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defaultThemeVersion="166925"/>
  <mc:AlternateContent xmlns:mc="http://schemas.openxmlformats.org/markup-compatibility/2006">
    <mc:Choice Requires="x15">
      <x15ac:absPath xmlns:x15ac="http://schemas.microsoft.com/office/spreadsheetml/2010/11/ac" url="/Users/germainchevignon/Desktop/CRBM.dir/Papier-RNAseq.dir/Version_April_2020.dir/Chevignon_et_al/"/>
    </mc:Choice>
  </mc:AlternateContent>
  <xr:revisionPtr revIDLastSave="0" documentId="13_ncr:1_{D09A2297-6663-224E-A45F-C29C97D83DE6}" xr6:coauthVersionLast="45" xr6:coauthVersionMax="45" xr10:uidLastSave="{00000000-0000-0000-0000-000000000000}"/>
  <bookViews>
    <workbookView xWindow="3180" yWindow="2060" windowWidth="27640" windowHeight="16940" activeTab="2" xr2:uid="{DCD1E9B0-1490-E343-939A-A388AD6D595B}"/>
  </bookViews>
  <sheets>
    <sheet name="up-Ovaries(1621)" sheetId="3" r:id="rId1"/>
    <sheet name="up-PZ(213)" sheetId="1" r:id="rId2"/>
    <sheet name="up-MZ(347)"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405" i="3" l="1"/>
  <c r="E1402" i="3"/>
  <c r="E1400" i="3"/>
  <c r="E1399" i="3"/>
  <c r="E1397" i="3"/>
  <c r="E1396" i="3"/>
  <c r="E1393" i="3"/>
  <c r="E1392" i="3"/>
  <c r="E1389" i="3"/>
  <c r="E1388" i="3"/>
  <c r="E1386" i="3"/>
  <c r="E1383" i="3"/>
  <c r="E1382" i="3"/>
  <c r="E1380" i="3"/>
  <c r="E1378" i="3"/>
  <c r="E1377" i="3"/>
  <c r="E1376" i="3"/>
  <c r="E1375" i="3"/>
  <c r="E1374" i="3"/>
  <c r="E1372" i="3"/>
  <c r="E1371" i="3"/>
  <c r="E1370" i="3"/>
  <c r="E1368" i="3"/>
  <c r="E1366" i="3"/>
  <c r="E1365" i="3"/>
  <c r="E1364" i="3"/>
  <c r="E1363" i="3"/>
  <c r="E1362" i="3"/>
  <c r="E1361" i="3"/>
  <c r="E1359" i="3"/>
  <c r="E1356" i="3"/>
  <c r="E1354" i="3"/>
  <c r="E1353" i="3"/>
  <c r="E1352" i="3"/>
  <c r="E1350" i="3"/>
  <c r="E1349" i="3"/>
  <c r="E1348" i="3"/>
  <c r="E1346" i="3"/>
  <c r="E1345" i="3"/>
  <c r="E1344" i="3"/>
  <c r="E1343" i="3"/>
  <c r="E1342" i="3"/>
  <c r="E1340" i="3"/>
  <c r="E1339" i="3"/>
  <c r="E1338" i="3"/>
  <c r="E1337" i="3"/>
  <c r="E1335" i="3"/>
  <c r="E1334" i="3"/>
  <c r="E1333" i="3"/>
  <c r="E1332" i="3"/>
  <c r="E1331" i="3"/>
  <c r="E1330" i="3"/>
  <c r="E1329" i="3"/>
  <c r="E1328" i="3"/>
  <c r="E1327" i="3"/>
  <c r="E1325" i="3"/>
  <c r="E1324" i="3"/>
  <c r="E1322" i="3"/>
  <c r="E1319" i="3"/>
  <c r="E1316" i="3"/>
  <c r="E1315" i="3"/>
  <c r="E1314" i="3"/>
  <c r="E1313" i="3"/>
  <c r="E1312" i="3"/>
  <c r="E1309" i="3"/>
  <c r="E1308" i="3"/>
  <c r="E1307" i="3"/>
  <c r="E1306" i="3"/>
  <c r="E1305" i="3"/>
  <c r="E1304" i="3"/>
  <c r="E1303" i="3"/>
  <c r="E1302" i="3"/>
  <c r="E1301" i="3"/>
  <c r="E1298" i="3"/>
  <c r="E1297" i="3"/>
  <c r="E1296" i="3"/>
  <c r="E1295" i="3"/>
  <c r="E1293" i="3"/>
  <c r="E1292" i="3"/>
  <c r="E1290" i="3"/>
  <c r="E1289" i="3"/>
  <c r="E1288" i="3"/>
  <c r="E1287" i="3"/>
  <c r="E1286" i="3"/>
  <c r="E1284" i="3"/>
  <c r="E1283" i="3"/>
  <c r="E1282" i="3"/>
  <c r="E1281" i="3"/>
  <c r="E1280" i="3"/>
  <c r="E1275" i="3"/>
  <c r="E1272" i="3"/>
  <c r="E1271" i="3"/>
  <c r="E1270" i="3"/>
  <c r="E1269" i="3"/>
  <c r="E1268" i="3"/>
  <c r="E1266" i="3"/>
  <c r="E1264" i="3"/>
  <c r="E1263" i="3"/>
  <c r="E1260" i="3"/>
  <c r="E1259" i="3"/>
  <c r="E1257" i="3"/>
  <c r="E1256" i="3"/>
  <c r="E1255" i="3"/>
  <c r="E1254" i="3"/>
  <c r="E1253" i="3"/>
  <c r="E1251" i="3"/>
  <c r="E1250" i="3"/>
  <c r="E1249" i="3"/>
  <c r="E1246" i="3"/>
  <c r="E1245" i="3"/>
  <c r="E1244" i="3"/>
  <c r="E1243" i="3"/>
  <c r="E1242" i="3"/>
  <c r="E1241" i="3"/>
  <c r="E1240" i="3"/>
  <c r="E1239" i="3"/>
  <c r="E1238" i="3"/>
  <c r="E1237" i="3"/>
  <c r="E1235" i="3"/>
  <c r="E1231" i="3"/>
  <c r="E1230" i="3"/>
  <c r="E1229" i="3"/>
  <c r="E1226" i="3"/>
  <c r="E1224" i="3"/>
  <c r="E1223" i="3"/>
  <c r="E1221" i="3"/>
  <c r="E1220" i="3"/>
  <c r="E1219" i="3"/>
  <c r="E1217" i="3"/>
  <c r="E1216" i="3"/>
  <c r="E1214" i="3"/>
  <c r="E1213" i="3"/>
  <c r="E1212" i="3"/>
  <c r="E1211" i="3"/>
  <c r="E1210" i="3"/>
  <c r="E1206" i="3"/>
  <c r="E1205" i="3"/>
  <c r="E1204" i="3"/>
  <c r="E1203" i="3"/>
  <c r="E1201" i="3"/>
  <c r="E1199" i="3"/>
  <c r="E1198" i="3"/>
  <c r="E1196" i="3"/>
  <c r="E1193" i="3"/>
  <c r="E1190" i="3"/>
  <c r="E1189" i="3"/>
  <c r="E1187" i="3"/>
  <c r="E1185" i="3"/>
  <c r="E1184" i="3"/>
  <c r="E1183" i="3"/>
  <c r="E1181" i="3"/>
  <c r="E1180" i="3"/>
  <c r="E1179" i="3"/>
  <c r="E1178" i="3"/>
  <c r="E1176" i="3"/>
  <c r="E1175" i="3"/>
  <c r="E1174" i="3"/>
  <c r="E1173" i="3"/>
  <c r="E1172" i="3"/>
  <c r="E1171" i="3"/>
  <c r="E1170" i="3"/>
  <c r="E1167" i="3"/>
  <c r="E1166" i="3"/>
  <c r="E1165" i="3"/>
  <c r="E1164" i="3"/>
  <c r="E1163" i="3"/>
  <c r="E1161" i="3"/>
  <c r="E1160" i="3"/>
  <c r="E1156" i="3"/>
  <c r="E1155" i="3"/>
  <c r="E1154" i="3"/>
  <c r="E1153" i="3"/>
  <c r="E1152" i="3"/>
  <c r="E1150" i="3"/>
  <c r="E1149" i="3"/>
  <c r="E1148" i="3"/>
  <c r="E1146" i="3"/>
  <c r="E1144" i="3"/>
  <c r="E1143" i="3"/>
  <c r="E1141" i="3"/>
  <c r="E1140" i="3"/>
  <c r="E1137" i="3"/>
  <c r="E1136" i="3"/>
  <c r="E1134" i="3"/>
  <c r="E1133" i="3"/>
  <c r="E1131" i="3"/>
  <c r="E1130" i="3"/>
  <c r="E1129" i="3"/>
  <c r="E1124" i="3"/>
  <c r="E1119" i="3"/>
  <c r="E1115" i="3"/>
  <c r="E1114" i="3"/>
  <c r="E1112" i="3"/>
  <c r="E1111" i="3"/>
  <c r="E1109" i="3"/>
  <c r="E1108" i="3"/>
  <c r="E1106" i="3"/>
  <c r="E1104" i="3"/>
  <c r="E1103" i="3"/>
  <c r="E1101" i="3"/>
  <c r="E1099" i="3"/>
  <c r="E1098" i="3"/>
  <c r="E1094" i="3"/>
  <c r="E1092" i="3"/>
  <c r="E1089" i="3"/>
  <c r="E1088" i="3"/>
  <c r="E1087" i="3"/>
  <c r="E1086" i="3"/>
  <c r="E1085" i="3"/>
  <c r="E1084" i="3"/>
  <c r="E1083" i="3"/>
  <c r="E1081" i="3"/>
  <c r="E1080" i="3"/>
  <c r="E1079" i="3"/>
  <c r="E1078" i="3"/>
  <c r="E1075" i="3"/>
  <c r="E1074" i="3"/>
  <c r="E1073" i="3"/>
  <c r="E1072" i="3"/>
  <c r="E1071" i="3"/>
  <c r="E1069" i="3"/>
  <c r="E1067" i="3"/>
  <c r="E1065" i="3"/>
  <c r="E1062" i="3"/>
  <c r="E1061" i="3"/>
  <c r="E1060" i="3"/>
  <c r="E1059" i="3"/>
  <c r="E1058" i="3"/>
  <c r="E1056" i="3"/>
  <c r="E1055" i="3"/>
  <c r="E1053" i="3"/>
  <c r="E1052" i="3"/>
  <c r="E1050" i="3"/>
  <c r="E1049" i="3"/>
  <c r="E1048" i="3"/>
  <c r="E1047" i="3"/>
  <c r="E1046" i="3"/>
  <c r="E1045" i="3"/>
  <c r="E1044" i="3"/>
  <c r="E1043" i="3"/>
  <c r="E1042" i="3"/>
  <c r="E1041" i="3"/>
  <c r="E1039" i="3"/>
  <c r="E1038" i="3"/>
  <c r="E1037" i="3"/>
  <c r="E1036" i="3"/>
  <c r="E1035" i="3"/>
  <c r="E1034" i="3"/>
  <c r="E1033" i="3"/>
  <c r="E1032" i="3"/>
  <c r="E1031" i="3"/>
  <c r="E1030" i="3"/>
  <c r="E1029" i="3"/>
  <c r="E1028" i="3"/>
  <c r="E1025" i="3"/>
  <c r="E1024" i="3"/>
  <c r="E1021" i="3"/>
  <c r="E1020" i="3"/>
  <c r="E1019" i="3"/>
  <c r="E1017" i="3"/>
  <c r="E1016" i="3"/>
  <c r="E1014" i="3"/>
  <c r="E1013" i="3"/>
  <c r="E1011" i="3"/>
  <c r="E1010" i="3"/>
  <c r="E1009" i="3"/>
  <c r="E1007" i="3"/>
  <c r="E1004" i="3"/>
  <c r="E1001" i="3"/>
  <c r="E1000" i="3"/>
  <c r="E999" i="3"/>
  <c r="E998" i="3"/>
  <c r="O772" i="3"/>
  <c r="O769" i="3"/>
  <c r="O768" i="3"/>
  <c r="O765" i="3"/>
  <c r="O759" i="3"/>
  <c r="O758" i="3"/>
  <c r="O747" i="3"/>
  <c r="O739" i="3"/>
  <c r="O735" i="3"/>
  <c r="O733" i="3"/>
  <c r="O728" i="3"/>
  <c r="O723" i="3"/>
  <c r="O720" i="3"/>
  <c r="O713" i="3"/>
  <c r="O711" i="3"/>
  <c r="O710" i="3"/>
  <c r="O709" i="3"/>
  <c r="O708" i="3"/>
  <c r="O705" i="3"/>
  <c r="O704" i="3"/>
  <c r="O695" i="3"/>
  <c r="O688" i="3"/>
  <c r="O687" i="3"/>
  <c r="O686" i="3"/>
  <c r="O683" i="3"/>
  <c r="O680" i="3"/>
  <c r="O679" i="3"/>
  <c r="O678" i="3"/>
  <c r="O673" i="3"/>
  <c r="O671" i="3"/>
  <c r="O670" i="3"/>
  <c r="O669" i="3"/>
  <c r="O668" i="3"/>
  <c r="O667" i="3"/>
  <c r="O663" i="3"/>
  <c r="O651" i="3"/>
  <c r="O648" i="3"/>
  <c r="O646" i="3"/>
  <c r="O645" i="3"/>
  <c r="O642" i="3"/>
  <c r="O640" i="3"/>
  <c r="O639" i="3"/>
  <c r="O638" i="3"/>
  <c r="O629" i="3"/>
  <c r="O626" i="3"/>
  <c r="O622" i="3"/>
  <c r="O619" i="3"/>
  <c r="O615" i="3"/>
  <c r="O613" i="3"/>
  <c r="O611" i="3"/>
  <c r="O601" i="3"/>
  <c r="O600" i="3"/>
  <c r="O598" i="3"/>
  <c r="O587" i="3"/>
  <c r="O567" i="3"/>
  <c r="O562" i="3"/>
  <c r="O561" i="3"/>
  <c r="O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J345" i="3"/>
  <c r="E345" i="3"/>
  <c r="E344" i="3"/>
  <c r="E343" i="3"/>
  <c r="E342" i="3"/>
  <c r="E341" i="3"/>
  <c r="E340" i="3"/>
  <c r="E339" i="3"/>
  <c r="E338" i="3"/>
  <c r="E337" i="3"/>
  <c r="E336" i="3"/>
  <c r="E335" i="3"/>
  <c r="J334" i="3"/>
  <c r="E334" i="3"/>
  <c r="E333" i="3"/>
  <c r="J332" i="3"/>
  <c r="E332" i="3"/>
  <c r="E331" i="3"/>
  <c r="J330" i="3"/>
  <c r="E330" i="3"/>
  <c r="E329" i="3"/>
  <c r="E328" i="3"/>
  <c r="E327" i="3"/>
  <c r="E326" i="3"/>
  <c r="E325" i="3"/>
  <c r="J324" i="3"/>
  <c r="E324" i="3"/>
  <c r="E323" i="3"/>
  <c r="J322" i="3"/>
  <c r="E322" i="3"/>
  <c r="E321" i="3"/>
  <c r="E320" i="3"/>
  <c r="J319" i="3"/>
  <c r="E319" i="3"/>
  <c r="E318" i="3"/>
  <c r="E317" i="3"/>
  <c r="E316" i="3"/>
  <c r="E315" i="3"/>
  <c r="E314" i="3"/>
  <c r="E313" i="3"/>
  <c r="J312" i="3"/>
  <c r="E312" i="3"/>
  <c r="E311" i="3"/>
  <c r="E310" i="3"/>
  <c r="E309" i="3"/>
  <c r="E308" i="3"/>
  <c r="E307" i="3"/>
  <c r="E306" i="3"/>
  <c r="E305" i="3"/>
  <c r="E304" i="3"/>
  <c r="E303" i="3"/>
  <c r="E302" i="3"/>
  <c r="E301" i="3"/>
  <c r="E300" i="3"/>
  <c r="E299" i="3"/>
  <c r="E298" i="3"/>
  <c r="E297" i="3"/>
  <c r="E296" i="3"/>
  <c r="E295" i="3"/>
  <c r="E294" i="3"/>
  <c r="J293" i="3"/>
  <c r="E293" i="3"/>
  <c r="E292" i="3"/>
  <c r="E291" i="3"/>
  <c r="E290" i="3"/>
  <c r="J289" i="3"/>
  <c r="E289" i="3"/>
  <c r="J288" i="3"/>
  <c r="E288" i="3"/>
  <c r="J287" i="3"/>
  <c r="E287" i="3"/>
  <c r="E286" i="3"/>
  <c r="E285" i="3"/>
  <c r="E284" i="3"/>
  <c r="J283" i="3"/>
  <c r="E283" i="3"/>
  <c r="E282" i="3"/>
  <c r="E281" i="3"/>
  <c r="E280" i="3"/>
  <c r="J279" i="3"/>
  <c r="E279" i="3"/>
  <c r="E278" i="3"/>
  <c r="E277" i="3"/>
  <c r="E276" i="3"/>
  <c r="E275" i="3"/>
  <c r="E274" i="3"/>
  <c r="E273" i="3"/>
  <c r="E272" i="3"/>
  <c r="E271" i="3"/>
  <c r="E270" i="3"/>
  <c r="E269" i="3"/>
  <c r="J268" i="3"/>
  <c r="E268" i="3"/>
  <c r="E267" i="3"/>
  <c r="E266" i="3"/>
  <c r="E265" i="3"/>
  <c r="E264" i="3"/>
  <c r="J263" i="3"/>
  <c r="E263" i="3"/>
  <c r="E262" i="3"/>
  <c r="E261" i="3"/>
  <c r="J260" i="3"/>
  <c r="E260" i="3"/>
  <c r="E259" i="3"/>
  <c r="E258" i="3"/>
  <c r="E257" i="3"/>
  <c r="E256" i="3"/>
  <c r="E255" i="3"/>
  <c r="J254" i="3"/>
  <c r="E254" i="3"/>
  <c r="E253" i="3"/>
  <c r="E252" i="3"/>
  <c r="J251" i="3"/>
  <c r="E251" i="3"/>
  <c r="J250" i="3"/>
  <c r="E250" i="3"/>
  <c r="E249" i="3"/>
  <c r="J248" i="3"/>
  <c r="E248" i="3"/>
  <c r="J247" i="3"/>
  <c r="E247" i="3"/>
  <c r="E246" i="3"/>
  <c r="J245" i="3"/>
  <c r="E245" i="3"/>
  <c r="E244" i="3"/>
  <c r="E243" i="3"/>
  <c r="E242" i="3"/>
  <c r="E241" i="3"/>
  <c r="E240" i="3"/>
  <c r="E239" i="3"/>
  <c r="E238" i="3"/>
  <c r="E237" i="3"/>
  <c r="E236" i="3"/>
  <c r="J235" i="3"/>
  <c r="E235" i="3"/>
  <c r="E234" i="3"/>
  <c r="E233" i="3"/>
  <c r="E232" i="3"/>
  <c r="E231" i="3"/>
  <c r="E230" i="3"/>
  <c r="J229" i="3"/>
  <c r="E229" i="3"/>
  <c r="E228" i="3"/>
  <c r="E227" i="3"/>
  <c r="J226" i="3"/>
  <c r="E226" i="3"/>
  <c r="E225" i="3"/>
  <c r="J224" i="3"/>
  <c r="E224" i="3"/>
  <c r="E223" i="3"/>
  <c r="E222" i="3"/>
  <c r="E221" i="3"/>
  <c r="E220" i="3"/>
  <c r="E219" i="3"/>
  <c r="E218" i="3"/>
  <c r="E217" i="3"/>
  <c r="E216" i="3"/>
  <c r="E215" i="3"/>
  <c r="E214" i="3"/>
  <c r="E213" i="3"/>
  <c r="E212" i="3"/>
  <c r="E211" i="3"/>
  <c r="E210" i="3"/>
  <c r="E209" i="3"/>
  <c r="E208" i="3"/>
  <c r="E207" i="3"/>
  <c r="J206" i="3"/>
  <c r="E206" i="3"/>
  <c r="E205" i="3"/>
  <c r="J204" i="3"/>
  <c r="E204" i="3"/>
  <c r="E203" i="3"/>
  <c r="E202" i="3"/>
  <c r="E201" i="3"/>
  <c r="E200" i="3"/>
  <c r="J199" i="3"/>
  <c r="E199" i="3"/>
  <c r="E198" i="3"/>
  <c r="E197" i="3"/>
  <c r="E196" i="3"/>
  <c r="E195" i="3"/>
  <c r="J194" i="3"/>
  <c r="E194" i="3"/>
  <c r="E193" i="3"/>
  <c r="E192" i="3"/>
  <c r="J191" i="3"/>
  <c r="E191" i="3"/>
  <c r="J190" i="3"/>
  <c r="E190" i="3"/>
  <c r="E189" i="3"/>
  <c r="E188" i="3"/>
  <c r="E187" i="3"/>
  <c r="E186" i="3"/>
  <c r="E185" i="3"/>
  <c r="E184" i="3"/>
  <c r="E183" i="3"/>
  <c r="E182" i="3"/>
  <c r="E181" i="3"/>
  <c r="E180" i="3"/>
  <c r="E179" i="3"/>
  <c r="E178" i="3"/>
  <c r="E177" i="3"/>
  <c r="E176" i="3"/>
  <c r="E175" i="3"/>
  <c r="E174" i="3"/>
  <c r="J173" i="3"/>
  <c r="E173" i="3"/>
  <c r="J172" i="3"/>
  <c r="E172" i="3"/>
  <c r="E171" i="3"/>
  <c r="E170" i="3"/>
  <c r="E169" i="3"/>
  <c r="E168" i="3"/>
  <c r="E167" i="3"/>
  <c r="E166" i="3"/>
  <c r="E165" i="3"/>
  <c r="E164" i="3"/>
  <c r="J163" i="3"/>
  <c r="E163" i="3"/>
  <c r="J162" i="3"/>
  <c r="E162" i="3"/>
  <c r="E161" i="3"/>
  <c r="E160" i="3"/>
  <c r="J159" i="3"/>
  <c r="E159" i="3"/>
  <c r="E158" i="3"/>
  <c r="J157" i="3"/>
  <c r="E157" i="3"/>
  <c r="E156" i="3"/>
  <c r="J155" i="3"/>
  <c r="E155" i="3"/>
  <c r="J154" i="3"/>
  <c r="E154" i="3"/>
  <c r="E153" i="3"/>
  <c r="J152" i="3"/>
  <c r="E152" i="3"/>
  <c r="E151" i="3"/>
  <c r="J150" i="3"/>
  <c r="E150" i="3"/>
  <c r="E149" i="3"/>
  <c r="J148" i="3"/>
  <c r="E148" i="3"/>
  <c r="E147" i="3"/>
  <c r="E146" i="3"/>
  <c r="E145" i="3"/>
  <c r="E144" i="3"/>
  <c r="E143" i="3"/>
  <c r="E142" i="3"/>
  <c r="E141" i="3"/>
  <c r="E140" i="3"/>
  <c r="E139" i="3"/>
  <c r="E138" i="3"/>
  <c r="J137" i="3"/>
  <c r="E137" i="3"/>
  <c r="E136" i="3"/>
  <c r="J135" i="3"/>
  <c r="E135" i="3"/>
  <c r="E134" i="3"/>
  <c r="E133" i="3"/>
  <c r="J132" i="3"/>
  <c r="E132" i="3"/>
  <c r="E131" i="3"/>
  <c r="E130" i="3"/>
  <c r="E129" i="3"/>
  <c r="J128" i="3"/>
  <c r="E128" i="3"/>
  <c r="E127" i="3"/>
  <c r="E126" i="3"/>
  <c r="E125" i="3"/>
  <c r="J124" i="3"/>
  <c r="E124" i="3"/>
  <c r="E123" i="3"/>
  <c r="E122" i="3"/>
  <c r="E121" i="3"/>
  <c r="E120" i="3"/>
  <c r="E119" i="3"/>
  <c r="J118" i="3"/>
  <c r="E118" i="3"/>
  <c r="E117" i="3"/>
  <c r="E116" i="3"/>
  <c r="E115" i="3"/>
  <c r="E114" i="3"/>
  <c r="E113" i="3"/>
  <c r="J112" i="3"/>
  <c r="E112" i="3"/>
  <c r="J111" i="3"/>
  <c r="E111" i="3"/>
  <c r="E110" i="3"/>
  <c r="E109" i="3"/>
  <c r="E108" i="3"/>
  <c r="E107" i="3"/>
  <c r="E106" i="3"/>
  <c r="E105" i="3"/>
  <c r="E104" i="3"/>
  <c r="E103" i="3"/>
  <c r="E102" i="3"/>
  <c r="E101" i="3"/>
  <c r="E100" i="3"/>
  <c r="E99" i="3"/>
  <c r="J98" i="3"/>
  <c r="E98" i="3"/>
  <c r="E97" i="3"/>
  <c r="E96" i="3"/>
  <c r="E95" i="3"/>
  <c r="J94" i="3"/>
  <c r="E94" i="3"/>
  <c r="E93" i="3"/>
  <c r="E92" i="3"/>
  <c r="E91" i="3"/>
  <c r="E90" i="3"/>
  <c r="E89" i="3"/>
  <c r="E88" i="3"/>
  <c r="E87" i="3"/>
  <c r="E86" i="3"/>
  <c r="J85" i="3"/>
  <c r="E85" i="3"/>
  <c r="E84" i="3"/>
  <c r="E83" i="3"/>
  <c r="E82" i="3"/>
  <c r="E81" i="3"/>
  <c r="E80" i="3"/>
  <c r="E79" i="3"/>
  <c r="E78" i="3"/>
  <c r="E77" i="3"/>
  <c r="E76" i="3"/>
  <c r="E75" i="3"/>
  <c r="E74" i="3"/>
  <c r="E73" i="3"/>
  <c r="E72" i="3"/>
  <c r="E71" i="3"/>
  <c r="E70" i="3"/>
  <c r="E69" i="3"/>
  <c r="J68" i="3"/>
  <c r="E68" i="3"/>
  <c r="E67" i="3"/>
  <c r="E66" i="3"/>
  <c r="J65" i="3"/>
  <c r="E65" i="3"/>
  <c r="E64" i="3"/>
  <c r="E63" i="3"/>
  <c r="E62" i="3"/>
  <c r="E61" i="3"/>
  <c r="J60" i="3"/>
  <c r="E60" i="3"/>
  <c r="E59" i="3"/>
  <c r="J58" i="3"/>
  <c r="E58" i="3"/>
  <c r="J57" i="3"/>
  <c r="E57" i="3"/>
  <c r="J56" i="3"/>
  <c r="E56" i="3"/>
  <c r="E55" i="3"/>
  <c r="E54" i="3"/>
  <c r="E53" i="3"/>
  <c r="J52" i="3"/>
  <c r="E52" i="3"/>
  <c r="E51" i="3"/>
  <c r="E50" i="3"/>
  <c r="E49" i="3"/>
  <c r="E48" i="3"/>
  <c r="E47" i="3"/>
  <c r="E46" i="3"/>
  <c r="J45" i="3"/>
  <c r="E45" i="3"/>
  <c r="E44" i="3"/>
  <c r="E43" i="3"/>
  <c r="E42" i="3"/>
  <c r="E41" i="3"/>
  <c r="J40" i="3"/>
  <c r="E40" i="3"/>
  <c r="E39" i="3"/>
  <c r="E38" i="3"/>
  <c r="E37" i="3"/>
  <c r="E36" i="3"/>
  <c r="E35" i="3"/>
  <c r="J34" i="3"/>
  <c r="E34" i="3"/>
  <c r="E33" i="3"/>
  <c r="E32" i="3"/>
  <c r="E31" i="3"/>
  <c r="E30" i="3"/>
  <c r="E29" i="3"/>
  <c r="E28" i="3"/>
  <c r="E27" i="3"/>
  <c r="E26" i="3"/>
  <c r="J25" i="3"/>
  <c r="E25" i="3"/>
  <c r="J24" i="3"/>
  <c r="E24" i="3"/>
  <c r="E23" i="3"/>
  <c r="E22" i="3"/>
  <c r="E21" i="3"/>
  <c r="J20" i="3"/>
  <c r="E20" i="3"/>
  <c r="E19" i="3"/>
  <c r="E18" i="3"/>
  <c r="E17" i="3"/>
  <c r="E16" i="3"/>
  <c r="E15" i="3"/>
  <c r="J14" i="3"/>
  <c r="E14" i="3"/>
  <c r="E13" i="3"/>
  <c r="E12" i="3"/>
  <c r="E11" i="3"/>
  <c r="E10" i="3"/>
  <c r="E9" i="3"/>
  <c r="E8" i="3"/>
  <c r="E7" i="3"/>
  <c r="E6" i="3"/>
  <c r="J5" i="3"/>
  <c r="E5" i="3"/>
  <c r="E4" i="3"/>
  <c r="E3" i="3"/>
  <c r="E2" i="3"/>
  <c r="E348" i="2"/>
  <c r="E347" i="2"/>
  <c r="E346" i="2"/>
  <c r="J345" i="2"/>
  <c r="E345" i="2"/>
  <c r="E344" i="2"/>
  <c r="E343" i="2"/>
  <c r="E342" i="2"/>
  <c r="E341" i="2"/>
  <c r="E340" i="2"/>
  <c r="E339" i="2"/>
  <c r="E338" i="2"/>
  <c r="E337" i="2"/>
  <c r="E336" i="2"/>
  <c r="E335" i="2"/>
  <c r="J334" i="2"/>
  <c r="E334" i="2"/>
  <c r="E333" i="2"/>
  <c r="J332" i="2"/>
  <c r="E332" i="2"/>
  <c r="E331" i="2"/>
  <c r="J330" i="2"/>
  <c r="E330" i="2"/>
  <c r="E329" i="2"/>
  <c r="E328" i="2"/>
  <c r="E327" i="2"/>
  <c r="E326" i="2"/>
  <c r="E325" i="2"/>
  <c r="J324" i="2"/>
  <c r="E324" i="2"/>
  <c r="E323" i="2"/>
  <c r="J322" i="2"/>
  <c r="E322" i="2"/>
  <c r="E321" i="2"/>
  <c r="E320" i="2"/>
  <c r="J319" i="2"/>
  <c r="E319" i="2"/>
  <c r="E318" i="2"/>
  <c r="E317" i="2"/>
  <c r="E316" i="2"/>
  <c r="E315" i="2"/>
  <c r="E314" i="2"/>
  <c r="E313" i="2"/>
  <c r="J312" i="2"/>
  <c r="E312" i="2"/>
  <c r="E311" i="2"/>
  <c r="E310" i="2"/>
  <c r="E309" i="2"/>
  <c r="E308" i="2"/>
  <c r="E307" i="2"/>
  <c r="E306" i="2"/>
  <c r="E305" i="2"/>
  <c r="E304" i="2"/>
  <c r="E303" i="2"/>
  <c r="E302" i="2"/>
  <c r="E301" i="2"/>
  <c r="E300" i="2"/>
  <c r="E299" i="2"/>
  <c r="E298" i="2"/>
  <c r="E297" i="2"/>
  <c r="E296" i="2"/>
  <c r="E295" i="2"/>
  <c r="E294" i="2"/>
  <c r="J293" i="2"/>
  <c r="E293" i="2"/>
  <c r="E292" i="2"/>
  <c r="E291" i="2"/>
  <c r="E290" i="2"/>
  <c r="J289" i="2"/>
  <c r="E289" i="2"/>
  <c r="J288" i="2"/>
  <c r="E288" i="2"/>
  <c r="J287" i="2"/>
  <c r="E287" i="2"/>
  <c r="E286" i="2"/>
  <c r="E285" i="2"/>
  <c r="E284" i="2"/>
  <c r="J283" i="2"/>
  <c r="E283" i="2"/>
  <c r="E282" i="2"/>
  <c r="E281" i="2"/>
  <c r="E280" i="2"/>
  <c r="J279" i="2"/>
  <c r="E279" i="2"/>
  <c r="E278" i="2"/>
  <c r="E277" i="2"/>
  <c r="E276" i="2"/>
  <c r="E275" i="2"/>
  <c r="E274" i="2"/>
  <c r="E273" i="2"/>
  <c r="E272" i="2"/>
  <c r="E271" i="2"/>
  <c r="E270" i="2"/>
  <c r="E269" i="2"/>
  <c r="J268" i="2"/>
  <c r="E268" i="2"/>
  <c r="E267" i="2"/>
  <c r="E266" i="2"/>
  <c r="E265" i="2"/>
  <c r="E264" i="2"/>
  <c r="J263" i="2"/>
  <c r="E263" i="2"/>
  <c r="E262" i="2"/>
  <c r="E261" i="2"/>
  <c r="J260" i="2"/>
  <c r="E260" i="2"/>
  <c r="E259" i="2"/>
  <c r="E258" i="2"/>
  <c r="E257" i="2"/>
  <c r="E256" i="2"/>
  <c r="E255" i="2"/>
  <c r="J254" i="2"/>
  <c r="E254" i="2"/>
  <c r="E253" i="2"/>
  <c r="E252" i="2"/>
  <c r="J251" i="2"/>
  <c r="E251" i="2"/>
  <c r="J250" i="2"/>
  <c r="E250" i="2"/>
  <c r="E249" i="2"/>
  <c r="J248" i="2"/>
  <c r="E248" i="2"/>
  <c r="J247" i="2"/>
  <c r="E247" i="2"/>
  <c r="E246" i="2"/>
  <c r="J245" i="2"/>
  <c r="E245" i="2"/>
  <c r="E244" i="2"/>
  <c r="E243" i="2"/>
  <c r="E242" i="2"/>
  <c r="E241" i="2"/>
  <c r="E240" i="2"/>
  <c r="E239" i="2"/>
  <c r="E238" i="2"/>
  <c r="E237" i="2"/>
  <c r="E236" i="2"/>
  <c r="J235" i="2"/>
  <c r="E235" i="2"/>
  <c r="E234" i="2"/>
  <c r="E233" i="2"/>
  <c r="E232" i="2"/>
  <c r="E231" i="2"/>
  <c r="E230" i="2"/>
  <c r="J229" i="2"/>
  <c r="E229" i="2"/>
  <c r="E228" i="2"/>
  <c r="E227" i="2"/>
  <c r="J226" i="2"/>
  <c r="E226" i="2"/>
  <c r="E225" i="2"/>
  <c r="J224" i="2"/>
  <c r="E224" i="2"/>
  <c r="E223" i="2"/>
  <c r="E222" i="2"/>
  <c r="E221" i="2"/>
  <c r="E220" i="2"/>
  <c r="E219" i="2"/>
  <c r="E218" i="2"/>
  <c r="E217" i="2"/>
  <c r="E216" i="2"/>
  <c r="E215" i="2"/>
  <c r="E214" i="2"/>
  <c r="E213" i="2"/>
  <c r="E212" i="2"/>
  <c r="E211" i="2"/>
  <c r="E210" i="2"/>
  <c r="E209" i="2"/>
  <c r="E208" i="2"/>
  <c r="E207" i="2"/>
  <c r="J206" i="2"/>
  <c r="E206" i="2"/>
  <c r="E205" i="2"/>
  <c r="J204" i="2"/>
  <c r="E204" i="2"/>
  <c r="E203" i="2"/>
  <c r="E202" i="2"/>
  <c r="E201" i="2"/>
  <c r="E200" i="2"/>
  <c r="J199" i="2"/>
  <c r="E199" i="2"/>
  <c r="E198" i="2"/>
  <c r="E197" i="2"/>
  <c r="E196" i="2"/>
  <c r="E195" i="2"/>
  <c r="J194" i="2"/>
  <c r="E194" i="2"/>
  <c r="E193" i="2"/>
  <c r="E192" i="2"/>
  <c r="J191" i="2"/>
  <c r="E191" i="2"/>
  <c r="J190" i="2"/>
  <c r="E190" i="2"/>
  <c r="E189" i="2"/>
  <c r="E188" i="2"/>
  <c r="E187" i="2"/>
  <c r="E186" i="2"/>
  <c r="E185" i="2"/>
  <c r="E184" i="2"/>
  <c r="E183" i="2"/>
  <c r="E182" i="2"/>
  <c r="E181" i="2"/>
  <c r="E180" i="2"/>
  <c r="E179" i="2"/>
  <c r="E178" i="2"/>
  <c r="E177" i="2"/>
  <c r="E176" i="2"/>
  <c r="E175" i="2"/>
  <c r="E174" i="2"/>
  <c r="J173" i="2"/>
  <c r="E173" i="2"/>
  <c r="J172" i="2"/>
  <c r="E172" i="2"/>
  <c r="E171" i="2"/>
  <c r="E170" i="2"/>
  <c r="E169" i="2"/>
  <c r="E168" i="2"/>
  <c r="E167" i="2"/>
  <c r="E166" i="2"/>
  <c r="E165" i="2"/>
  <c r="E164" i="2"/>
  <c r="J163" i="2"/>
  <c r="E163" i="2"/>
  <c r="J162" i="2"/>
  <c r="E162" i="2"/>
  <c r="E161" i="2"/>
  <c r="E160" i="2"/>
  <c r="J159" i="2"/>
  <c r="E159" i="2"/>
  <c r="E158" i="2"/>
  <c r="J157" i="2"/>
  <c r="E157" i="2"/>
  <c r="E156" i="2"/>
  <c r="J155" i="2"/>
  <c r="E155" i="2"/>
  <c r="J154" i="2"/>
  <c r="E154" i="2"/>
  <c r="E153" i="2"/>
  <c r="J152" i="2"/>
  <c r="E152" i="2"/>
  <c r="E151" i="2"/>
  <c r="J150" i="2"/>
  <c r="E150" i="2"/>
  <c r="E149" i="2"/>
  <c r="J148" i="2"/>
  <c r="E148" i="2"/>
  <c r="E147" i="2"/>
  <c r="E146" i="2"/>
  <c r="E145" i="2"/>
  <c r="E144" i="2"/>
  <c r="E143" i="2"/>
  <c r="E142" i="2"/>
  <c r="E141" i="2"/>
  <c r="E140" i="2"/>
  <c r="E139" i="2"/>
  <c r="E138" i="2"/>
  <c r="J137" i="2"/>
  <c r="E137" i="2"/>
  <c r="E136" i="2"/>
  <c r="J135" i="2"/>
  <c r="E135" i="2"/>
  <c r="E134" i="2"/>
  <c r="E133" i="2"/>
  <c r="J132" i="2"/>
  <c r="E132" i="2"/>
  <c r="E131" i="2"/>
  <c r="E130" i="2"/>
  <c r="E129" i="2"/>
  <c r="J128" i="2"/>
  <c r="E128" i="2"/>
  <c r="E127" i="2"/>
  <c r="E126" i="2"/>
  <c r="E125" i="2"/>
  <c r="J124" i="2"/>
  <c r="E124" i="2"/>
  <c r="E123" i="2"/>
  <c r="E122" i="2"/>
  <c r="E121" i="2"/>
  <c r="E120" i="2"/>
  <c r="E119" i="2"/>
  <c r="J118" i="2"/>
  <c r="E118" i="2"/>
  <c r="E117" i="2"/>
  <c r="E116" i="2"/>
  <c r="E115" i="2"/>
  <c r="E114" i="2"/>
  <c r="E113" i="2"/>
  <c r="J112" i="2"/>
  <c r="E112" i="2"/>
  <c r="J111" i="2"/>
  <c r="E111" i="2"/>
  <c r="E110" i="2"/>
  <c r="E109" i="2"/>
  <c r="E108" i="2"/>
  <c r="E107" i="2"/>
  <c r="E106" i="2"/>
  <c r="E105" i="2"/>
  <c r="E104" i="2"/>
  <c r="E103" i="2"/>
  <c r="E102" i="2"/>
  <c r="E101" i="2"/>
  <c r="E100" i="2"/>
  <c r="E99" i="2"/>
  <c r="J98" i="2"/>
  <c r="E98" i="2"/>
  <c r="E97" i="2"/>
  <c r="E96" i="2"/>
  <c r="E95" i="2"/>
  <c r="J94" i="2"/>
  <c r="E94" i="2"/>
  <c r="E93" i="2"/>
  <c r="E92" i="2"/>
  <c r="E91" i="2"/>
  <c r="E90" i="2"/>
  <c r="E89" i="2"/>
  <c r="E88" i="2"/>
  <c r="E87" i="2"/>
  <c r="E86" i="2"/>
  <c r="J85" i="2"/>
  <c r="E85" i="2"/>
  <c r="E84" i="2"/>
  <c r="E83" i="2"/>
  <c r="E82" i="2"/>
  <c r="E81" i="2"/>
  <c r="E80" i="2"/>
  <c r="E79" i="2"/>
  <c r="E78" i="2"/>
  <c r="E77" i="2"/>
  <c r="E76" i="2"/>
  <c r="E75" i="2"/>
  <c r="E74" i="2"/>
  <c r="E73" i="2"/>
  <c r="E72" i="2"/>
  <c r="E71" i="2"/>
  <c r="E70" i="2"/>
  <c r="E69" i="2"/>
  <c r="J68" i="2"/>
  <c r="E68" i="2"/>
  <c r="E67" i="2"/>
  <c r="E66" i="2"/>
  <c r="J65" i="2"/>
  <c r="E65" i="2"/>
  <c r="E64" i="2"/>
  <c r="E63" i="2"/>
  <c r="E62" i="2"/>
  <c r="E61" i="2"/>
  <c r="J60" i="2"/>
  <c r="E60" i="2"/>
  <c r="E59" i="2"/>
  <c r="J58" i="2"/>
  <c r="E58" i="2"/>
  <c r="J57" i="2"/>
  <c r="E57" i="2"/>
  <c r="J56" i="2"/>
  <c r="E56" i="2"/>
  <c r="E55" i="2"/>
  <c r="E54" i="2"/>
  <c r="E53" i="2"/>
  <c r="J52" i="2"/>
  <c r="E52" i="2"/>
  <c r="E51" i="2"/>
  <c r="E50" i="2"/>
  <c r="E49" i="2"/>
  <c r="E48" i="2"/>
  <c r="E47" i="2"/>
  <c r="E46" i="2"/>
  <c r="J45" i="2"/>
  <c r="E45" i="2"/>
  <c r="E44" i="2"/>
  <c r="E43" i="2"/>
  <c r="E42" i="2"/>
  <c r="E41" i="2"/>
  <c r="J40" i="2"/>
  <c r="E40" i="2"/>
  <c r="E39" i="2"/>
  <c r="E38" i="2"/>
  <c r="E37" i="2"/>
  <c r="E36" i="2"/>
  <c r="E35" i="2"/>
  <c r="J34" i="2"/>
  <c r="E34" i="2"/>
  <c r="E33" i="2"/>
  <c r="E32" i="2"/>
  <c r="E31" i="2"/>
  <c r="E30" i="2"/>
  <c r="E29" i="2"/>
  <c r="E28" i="2"/>
  <c r="E27" i="2"/>
  <c r="E26" i="2"/>
  <c r="J25" i="2"/>
  <c r="E25" i="2"/>
  <c r="J24" i="2"/>
  <c r="E24" i="2"/>
  <c r="E23" i="2"/>
  <c r="E22" i="2"/>
  <c r="E21" i="2"/>
  <c r="J20" i="2"/>
  <c r="E20" i="2"/>
  <c r="E19" i="2"/>
  <c r="E18" i="2"/>
  <c r="E17" i="2"/>
  <c r="E16" i="2"/>
  <c r="E15" i="2"/>
  <c r="J14" i="2"/>
  <c r="E14" i="2"/>
  <c r="E13" i="2"/>
  <c r="E12" i="2"/>
  <c r="E11" i="2"/>
  <c r="E10" i="2"/>
  <c r="E9" i="2"/>
  <c r="E8" i="2"/>
  <c r="E7" i="2"/>
  <c r="E6" i="2"/>
  <c r="J5" i="2"/>
  <c r="E5" i="2"/>
  <c r="E4" i="2"/>
  <c r="E3" i="2"/>
  <c r="E2" i="2"/>
  <c r="O214" i="1"/>
  <c r="O211" i="1"/>
  <c r="O210" i="1"/>
  <c r="O207" i="1"/>
  <c r="O201" i="1"/>
  <c r="O200" i="1"/>
  <c r="O189" i="1"/>
  <c r="O181" i="1"/>
  <c r="O177" i="1"/>
  <c r="O175" i="1"/>
  <c r="O170" i="1"/>
  <c r="O165" i="1"/>
  <c r="O162" i="1"/>
  <c r="O155" i="1"/>
  <c r="O153" i="1"/>
  <c r="O152" i="1"/>
  <c r="O151" i="1"/>
  <c r="O150" i="1"/>
  <c r="O147" i="1"/>
  <c r="O146" i="1"/>
  <c r="O137" i="1"/>
  <c r="O130" i="1"/>
  <c r="O129" i="1"/>
  <c r="O128" i="1"/>
  <c r="O125" i="1"/>
  <c r="O122" i="1"/>
  <c r="O121" i="1"/>
  <c r="O120" i="1"/>
  <c r="O115" i="1"/>
  <c r="O113" i="1"/>
  <c r="O112" i="1"/>
  <c r="O111" i="1"/>
  <c r="O110" i="1"/>
  <c r="O109" i="1"/>
  <c r="O105" i="1"/>
  <c r="O93" i="1"/>
  <c r="O90" i="1"/>
  <c r="O88" i="1"/>
  <c r="O87" i="1"/>
  <c r="O84" i="1"/>
  <c r="O82" i="1"/>
  <c r="O81" i="1"/>
  <c r="O80" i="1"/>
  <c r="O71" i="1"/>
  <c r="O68" i="1"/>
  <c r="O64" i="1"/>
  <c r="O61" i="1"/>
  <c r="O57" i="1"/>
  <c r="O55" i="1"/>
  <c r="O53" i="1"/>
  <c r="O43" i="1"/>
  <c r="O42" i="1"/>
  <c r="O40" i="1"/>
  <c r="O29" i="1"/>
  <c r="O9" i="1"/>
  <c r="O4" i="1"/>
  <c r="O3" i="1"/>
  <c r="O2" i="1"/>
</calcChain>
</file>

<file path=xl/sharedStrings.xml><?xml version="1.0" encoding="utf-8"?>
<sst xmlns="http://schemas.openxmlformats.org/spreadsheetml/2006/main" count="95565" uniqueCount="17326">
  <si>
    <t>Genes_ID</t>
  </si>
  <si>
    <t>WormBase_gene_ID</t>
  </si>
  <si>
    <t>log2FoldChangePZvsMZ</t>
  </si>
  <si>
    <t>padj_PZvsMZ</t>
  </si>
  <si>
    <t>#</t>
  </si>
  <si>
    <t>log2FoldChange_PZvsBW</t>
  </si>
  <si>
    <t>padj_PZvsBW</t>
  </si>
  <si>
    <t>log2FoldChange_MZvsBW</t>
  </si>
  <si>
    <t>padj_MZvsBW</t>
  </si>
  <si>
    <t>WormBase_Parasite</t>
  </si>
  <si>
    <t>GO_term_accession</t>
  </si>
  <si>
    <t>GO_term_name</t>
  </si>
  <si>
    <t>GO_term_definition</t>
  </si>
  <si>
    <t>GO_domain</t>
  </si>
  <si>
    <t>InterPro_ID</t>
  </si>
  <si>
    <t>InterPro_description</t>
  </si>
  <si>
    <t>InterPro_short_description</t>
  </si>
  <si>
    <t>NCBI_note</t>
  </si>
  <si>
    <t>eggNOG_Seed_ortholog</t>
  </si>
  <si>
    <t>eggNOG_e-value</t>
  </si>
  <si>
    <t>eggNOG_score</t>
  </si>
  <si>
    <t>eggNOG_best_tax_lvl</t>
  </si>
  <si>
    <t>eggNOG_Preferred_name</t>
  </si>
  <si>
    <t>eggNOG_GO_terms</t>
  </si>
  <si>
    <t>eggNOG_EC_number</t>
  </si>
  <si>
    <t>eggNOG_KEGG_KO</t>
  </si>
  <si>
    <t>eggNOG_KEGG_pathway</t>
  </si>
  <si>
    <t>eggNOG_KEGG_module</t>
  </si>
  <si>
    <t>eggNOG_KEGG_reaction</t>
  </si>
  <si>
    <t>eggNOG_KEGG_rclass</t>
  </si>
  <si>
    <t>eggNOG_BRITE</t>
  </si>
  <si>
    <t>eggNOG_KEGG_TC</t>
  </si>
  <si>
    <t>eggNOG_CAZy</t>
  </si>
  <si>
    <t>eggNOG_BiGG_reaction</t>
  </si>
  <si>
    <t>eggNOG_annot_lvl</t>
  </si>
  <si>
    <t>eggNOG_matching_OGs</t>
  </si>
  <si>
    <t>eggNOG_Best_OG</t>
  </si>
  <si>
    <t>eggNOG_COG_cat</t>
  </si>
  <si>
    <t>eggNOG_description</t>
  </si>
  <si>
    <t>Coiled_coils_(Ncoils)</t>
  </si>
  <si>
    <t>Transmembrane_(TMHMM)_domain</t>
  </si>
  <si>
    <t>Cleavage_site_(SignalP)</t>
  </si>
  <si>
    <t>Parasite_sort</t>
  </si>
  <si>
    <t>Gene_root</t>
  </si>
  <si>
    <t>Bpahangi-%</t>
  </si>
  <si>
    <t>Btimori-%</t>
  </si>
  <si>
    <t>Wbancrofti-PRJNA275548-%</t>
  </si>
  <si>
    <t>Lloa-PRJNA37757-%</t>
  </si>
  <si>
    <t>Lsigmodontis-%</t>
  </si>
  <si>
    <t>Oflexuosa-PRJEB512-%</t>
  </si>
  <si>
    <t>Oochengi-PRJEB1204-%</t>
  </si>
  <si>
    <t>Ovolvulus-%</t>
  </si>
  <si>
    <t>Dimmitis-%</t>
  </si>
  <si>
    <t>Asuum-PRJNA80881-%</t>
  </si>
  <si>
    <t>Sratti-%</t>
  </si>
  <si>
    <t>Predivivus-%</t>
  </si>
  <si>
    <t>Bxylophilus-%</t>
  </si>
  <si>
    <t>Gpallida-%</t>
  </si>
  <si>
    <t>Mhapla-%</t>
  </si>
  <si>
    <t>Mincognita-PRJEB8714-%</t>
  </si>
  <si>
    <t>Ppacificus-%</t>
  </si>
  <si>
    <t>Hcontortus-PRJEB506-%</t>
  </si>
  <si>
    <t>Hbacteriophora-%</t>
  </si>
  <si>
    <t>Namericanus-%</t>
  </si>
  <si>
    <t>Celegans-%</t>
  </si>
  <si>
    <t>Rculicivorax-%</t>
  </si>
  <si>
    <t>Tspiralis-PRJNA12603-%</t>
  </si>
  <si>
    <t>Tmuris-%</t>
  </si>
  <si>
    <t>Tsaginata-%</t>
  </si>
  <si>
    <t>Dmelanogaster-%</t>
  </si>
  <si>
    <t>Human-%</t>
  </si>
  <si>
    <t>Mouse-%</t>
  </si>
  <si>
    <t>Zebrafish-%</t>
  </si>
  <si>
    <t>Scerevisiae-%</t>
  </si>
  <si>
    <t>Clade_code</t>
  </si>
  <si>
    <t>Celegans-ID_Orthologs</t>
  </si>
  <si>
    <t>Celegans-%_Identity</t>
  </si>
  <si>
    <t>Celegans-Expression_(Ortiz_et_al_2014_G3)</t>
  </si>
  <si>
    <t>Up_PZ</t>
  </si>
  <si>
    <t>Up-MZ</t>
  </si>
  <si>
    <t>Up-BW</t>
  </si>
  <si>
    <t>PZvsBW</t>
  </si>
  <si>
    <t>MZvsBW</t>
  </si>
  <si>
    <t>(DO-PO)vsBW</t>
  </si>
  <si>
    <t>Celegans-Cell_Function_Meiotic_Function_(Ortiz_et_al_2014_G3)</t>
  </si>
  <si>
    <t>Bm10033</t>
  </si>
  <si>
    <t>WBGene00230294</t>
  </si>
  <si>
    <t>Yes</t>
  </si>
  <si>
    <t>GO:0016020/GO:0016021/</t>
  </si>
  <si>
    <t>integral_component_of_membrane/membrane/</t>
  </si>
  <si>
    <t>A_lipid_bilayer_along_with_all_the_proteins_and_protein_complexes_embedded_in_it_an_attached_to_it._[GOC:dos,_GOC:mah,_ISBN:0815316194]/"The_component_of_a_membrane_consisting_of_the_gene_products_and_protein_complexes_having_at_least_some_part_of_their_peptide_sequence_embedded_in_the_hydrophobic_region_of_the_membrane."_[GOC:dos,_GOC:go_curators]/</t>
  </si>
  <si>
    <t>cellular_component/</t>
  </si>
  <si>
    <t>/</t>
  </si>
  <si>
    <t>no_NCBI</t>
  </si>
  <si>
    <t>noEgg</t>
  </si>
  <si>
    <t>No</t>
  </si>
  <si>
    <t>TMhelix</t>
  </si>
  <si>
    <t>Spirurina</t>
  </si>
  <si>
    <t>No_Ortho</t>
  </si>
  <si>
    <t>No_Expr</t>
  </si>
  <si>
    <t>no</t>
  </si>
  <si>
    <t>up-DO</t>
  </si>
  <si>
    <t>Ovaries</t>
  </si>
  <si>
    <t>Bm10076</t>
  </si>
  <si>
    <t>WBGene00230337</t>
  </si>
  <si>
    <t>IPR008569/</t>
  </si>
  <si>
    <t>Protein_of_unknown_function_DUF851/</t>
  </si>
  <si>
    <t>DUF851/</t>
  </si>
  <si>
    <t>note=contains_similarity_to_Pfam_domain_PF05867_Protein_of_unknown_function_(DUF851)</t>
  </si>
  <si>
    <t>7209.EJD74493.1</t>
  </si>
  <si>
    <t>3.3e-174</t>
  </si>
  <si>
    <t>617.8</t>
  </si>
  <si>
    <t>Chromadorea</t>
  </si>
  <si>
    <t>1KXA1@119089,2E907@1,2SFEF@2759,3AD5C@33154,3BWM4@33208,3DCC3@33213,40F0N@6231</t>
  </si>
  <si>
    <t>NA|NA|NA</t>
  </si>
  <si>
    <t>Coil</t>
  </si>
  <si>
    <t>57,1059/18,6047</t>
  </si>
  <si>
    <t>21,1886/31,7829</t>
  </si>
  <si>
    <t>Bm10079</t>
  </si>
  <si>
    <t>WBGene00230340</t>
  </si>
  <si>
    <t>GO:0005509/</t>
  </si>
  <si>
    <t>calcium_ion_binding/</t>
  </si>
  <si>
    <t>Interacting_selectively_and_non-covalently_with_calcium_ions_(Ca2+)._[GOC:ai]/</t>
  </si>
  <si>
    <t>molecular_function/</t>
  </si>
  <si>
    <t>IPR002048/IPR011992/IPR018247/</t>
  </si>
  <si>
    <t>EF-Hand_1,_calcium-binding_site/EF-hand_domain/EF-hand_domain_pair/</t>
  </si>
  <si>
    <t>EF-hand-dom_pair/EF_Hand_1_Ca_BS/EF_hand_dom/</t>
  </si>
  <si>
    <t>note=contains_similarity_to_Interpro_domain_IPR011992_(EF-hand_domain_pair)</t>
  </si>
  <si>
    <t>7209.EFO23444.2</t>
  </si>
  <si>
    <t>2.6e-177</t>
  </si>
  <si>
    <t>628.6</t>
  </si>
  <si>
    <t>1KX0W@119089,38DAB@33154,3BCD5@33208,3CZW3@33213,40ES0@6231,COG5126@1,KOG0027@2759</t>
  </si>
  <si>
    <t>T</t>
  </si>
  <si>
    <t>positive regulation of protein localization to ciliary membrane</t>
  </si>
  <si>
    <t>Bm10086</t>
  </si>
  <si>
    <t>WBGene00230347</t>
  </si>
  <si>
    <t>IPR002602/</t>
  </si>
  <si>
    <t>Domain_of_unknown_function_DB/</t>
  </si>
  <si>
    <t>DB/</t>
  </si>
  <si>
    <t>note=contains_similarity_to_Pfam_domain_PF01682_DB_module_contains_similarity_to_Interpro_domain_IPR002602_(Domain_of_unknown_function_DB)</t>
  </si>
  <si>
    <t>7209.EFO23970.1</t>
  </si>
  <si>
    <t>6.3e-93</t>
  </si>
  <si>
    <t>346.7</t>
  </si>
  <si>
    <t>1KYZ4@119089,2EH38@1,2SMVR@2759,3AJS5@33154,3C055@33208,3DG8D@33213,40G5X@6231</t>
  </si>
  <si>
    <t>S</t>
  </si>
  <si>
    <t>DB module</t>
  </si>
  <si>
    <t>Bm10088</t>
  </si>
  <si>
    <t>WBGene00230349</t>
  </si>
  <si>
    <t>Spiruromorpha</t>
  </si>
  <si>
    <t>Bm10120</t>
  </si>
  <si>
    <t>WBGene00230381</t>
  </si>
  <si>
    <t>Onchocercidae</t>
  </si>
  <si>
    <t>up-PO</t>
  </si>
  <si>
    <t>Bm10121</t>
  </si>
  <si>
    <t>WBGene00230382</t>
  </si>
  <si>
    <t>IPR011009/</t>
  </si>
  <si>
    <t>Protein_kinase-like_domain_superfamily/</t>
  </si>
  <si>
    <t>Kinase-like_dom_sf/</t>
  </si>
  <si>
    <t>note=contains_similarity_to_Pfam_domain_PF12330_Domain_of_unknown_function_(DUF3635)_contains_similarity_to_Interpro_domains_IPR011009_(Protein_kinase-like_domain),_IPR024604_(Domain_of_unknown_function_DUF3635)</t>
  </si>
  <si>
    <t>7209.EFO16496.2</t>
  </si>
  <si>
    <t>2.5e-181</t>
  </si>
  <si>
    <t>641.7</t>
  </si>
  <si>
    <t>GO:0001965,GO:0003674,GO:0005488,GO:0005515</t>
  </si>
  <si>
    <t>2.7.11.1</t>
  </si>
  <si>
    <t>ko:K16315</t>
  </si>
  <si>
    <t>ko00000,ko01000,ko01001,ko03036</t>
  </si>
  <si>
    <t>1KWBT@119089,39UH0@33154,3BDD1@33208,3CVX3@33213,40D2U@6231,COG5072@1,KOG2464@2759</t>
  </si>
  <si>
    <t>D</t>
  </si>
  <si>
    <t>transferase activity, transferring phosphorus-containing groups</t>
  </si>
  <si>
    <t>Opisthokonta</t>
  </si>
  <si>
    <t>61,5894/50,5519</t>
  </si>
  <si>
    <t>61,3687/67,9912</t>
  </si>
  <si>
    <t>33,3333/31,5673</t>
  </si>
  <si>
    <t>18,9845/19,2053</t>
  </si>
  <si>
    <t>18,543/15,011/16,3355</t>
  </si>
  <si>
    <t>9,05077/15,2318/17,8808/20,3091</t>
  </si>
  <si>
    <t>19,6468/20,9713</t>
  </si>
  <si>
    <t>20,3091/18,3223</t>
  </si>
  <si>
    <t>6,84327/9,27152/8,60927</t>
  </si>
  <si>
    <t>6,84327/8,83002/8,16777</t>
  </si>
  <si>
    <t>6,84327/9,93377</t>
  </si>
  <si>
    <t>11,479/17,4393</t>
  </si>
  <si>
    <t>WBGene00021214/WBGene00007258</t>
  </si>
  <si>
    <t>19.6468/20.9713</t>
  </si>
  <si>
    <t>Gender_Neutral/Spermatogenic</t>
  </si>
  <si>
    <t>Bm10130</t>
  </si>
  <si>
    <t>WBGene00230391</t>
  </si>
  <si>
    <t>Bm10138</t>
  </si>
  <si>
    <t>WBGene00230399</t>
  </si>
  <si>
    <t>/GO:0016020/GO:0016021/</t>
  </si>
  <si>
    <t>/integral_component_of_membrane/membrane/</t>
  </si>
  <si>
    <t>/"A_lipid_bilayer_along_with_all_the_proteins_and_protein_complexes_embedded_in_it_an_attached_to_it."_[GOC:dos,_GOC:mah,_ISBN:0815316194]/"The_component_of_a_membrane_consisting_of_the_gene_products_and_protein_complexes_having_at_least_some_part_of_their_peptide_sequence_embedded_in_the_hydrophobic_region_of_the_membrane."_[GOC:dos,_GOC:go_curators]/</t>
  </si>
  <si>
    <t>/cellular_component/</t>
  </si>
  <si>
    <t>IPR007110/IPR013783/IPR036179/</t>
  </si>
  <si>
    <t>Immunoglobulin-like_domain/Immunoglobulin-like_domain_superfamily/Immunoglobulin-like_fold/</t>
  </si>
  <si>
    <t>Ig-like_dom/Ig-like_dom_sf/Ig-like_fold/</t>
  </si>
  <si>
    <t>note=B._malayi_BMA-OIG-7_protein,_contains_similarity_toInterpro_domain_IPR013783_(Immunoglobulin-like_fold)</t>
  </si>
  <si>
    <t>SignalP-noTM</t>
  </si>
  <si>
    <t>Bm10147</t>
  </si>
  <si>
    <t>WBGene00230408</t>
  </si>
  <si>
    <t>GO:0000166/GO:0004672/GO:0004674/GO:0005524/GO:0006468/</t>
  </si>
  <si>
    <t>ATP_binding/nucleotide_binding/protein_kinase_activity/protein_phosphorylation/protein_serine/threonine_kinase_activity/</t>
  </si>
  <si>
    <t>Catalysis_of_the_phosphorylation_of_an_amino_acid_residue_in_a_protein,_usually_according_to_the_reaction:_a_protein_+_ATP_=_a_phosphoprotein_+_ADP._[MetaCyc:PROTEIN-KINASE-RXN]/"Catalysis_of_the_reactions:_ATP_+_protein_serine_=_ADP_+_protein_serine_phosphate,_and_ATP_+_protein_threonine_=_ADP_+_protein_threonine_phosphate."_[GOC:bf]/"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he_process_of_introducing_a_phosphate_group_on_to_a_protein."_[GOC:hb]/</t>
  </si>
  <si>
    <t>biological_process/molecular_function/</t>
  </si>
  <si>
    <t>IPR000719/IPR008271/IPR011009/IPR017441/</t>
  </si>
  <si>
    <t>Protein_kinase,_ATP_binding_site/Protein_kinase-like_domain_superfamily/Protein_kinase_domain/Serine/threonine-protein_kinase,_active_site/</t>
  </si>
  <si>
    <t>Kinase-like_dom_sf/Prot_kinase_dom/Protein_kinase_ATP_BS/Ser/Thr_kinase_AS/</t>
  </si>
  <si>
    <t>note=contains_similarity_to_Pfam_domain_PF00069_Protein_kinase_domain_contains_similarity_to_Interpro_domains_IPR002290_(Serine/threonine/dual_specificity_protein_kinase,_catalytic_domain),_IPR011009_(Protein_kinase-like_domain),_IPR000719_(Protein_kinase_domain)</t>
  </si>
  <si>
    <t>7209.EFO23943.2</t>
  </si>
  <si>
    <t>1.5e-151</t>
  </si>
  <si>
    <t>542.3</t>
  </si>
  <si>
    <t>1KV4X@119089,38B58@33154,3BH44@33208,3CYR4@33213,40BWV@6231,KOG0594@1,KOG0594@2759</t>
  </si>
  <si>
    <t>Belongs to the protein kinase superfamily</t>
  </si>
  <si>
    <t>Metazoa</t>
  </si>
  <si>
    <t>35,9621/35,9621</t>
  </si>
  <si>
    <t>39,7476/38,1703</t>
  </si>
  <si>
    <t>27,7603/30,9148/30,9148</t>
  </si>
  <si>
    <t>WBGene00019362</t>
  </si>
  <si>
    <t>37.224</t>
  </si>
  <si>
    <t>Gender_Neutral</t>
  </si>
  <si>
    <t>Bm10150</t>
  </si>
  <si>
    <t>WBGene00230411</t>
  </si>
  <si>
    <t>7209.EFO27307.1</t>
  </si>
  <si>
    <t>6.3e-115</t>
  </si>
  <si>
    <t>420.6</t>
  </si>
  <si>
    <t>32,4759/50,4823</t>
  </si>
  <si>
    <t>40,5145/40,1929</t>
  </si>
  <si>
    <t>45,3376/45,3376</t>
  </si>
  <si>
    <t>41,4791/44,373</t>
  </si>
  <si>
    <t>12,5402/38,2637</t>
  </si>
  <si>
    <t>43,0868/42,4437/35,0482/42,4437/42,4437/35,0482</t>
  </si>
  <si>
    <t>27,3312/9,96785/39,5498/37,299/33,7621/28,9389/15,1125/30,5466/19,6141/27,0096/31,5113/36,9775/38,5852/26,3666/30,5466/30,8682/27,0096/15,4341/20,2572/19,2926/28,9389/20,2572/38,5852</t>
  </si>
  <si>
    <t>44,0514/41,1576</t>
  </si>
  <si>
    <t>WBGene00000405</t>
  </si>
  <si>
    <t>43.7299</t>
  </si>
  <si>
    <t>meiosis/mitosis_meiotic_progression</t>
  </si>
  <si>
    <t>Bm10159</t>
  </si>
  <si>
    <t>WBGene00230420</t>
  </si>
  <si>
    <t>69,7183/67,6056</t>
  </si>
  <si>
    <t>Bm10175</t>
  </si>
  <si>
    <t>WBGene00230436</t>
  </si>
  <si>
    <t>Bm10393</t>
  </si>
  <si>
    <t>WBGene00230654</t>
  </si>
  <si>
    <t>7209.EJD74209.1</t>
  </si>
  <si>
    <t>1.9e-93</t>
  </si>
  <si>
    <t>350.5</t>
  </si>
  <si>
    <t>1KZJX@119089,2ENDV@1,2SRV7@2759,3ANV6@33154,3C1IE@33208,3DHC1@33213,40GH7@6231</t>
  </si>
  <si>
    <t>Bm10398</t>
  </si>
  <si>
    <t>WBGene00230659</t>
  </si>
  <si>
    <t>48,5714/25,7143</t>
  </si>
  <si>
    <t>Bm10401</t>
  </si>
  <si>
    <t>WBGene00230662</t>
  </si>
  <si>
    <t>64,9616/12,9156</t>
  </si>
  <si>
    <t>5,49872/24,8082</t>
  </si>
  <si>
    <t>Bm10521</t>
  </si>
  <si>
    <t>WBGene00230782</t>
  </si>
  <si>
    <t>11,7944/12,7016/5,14113/23,8911</t>
  </si>
  <si>
    <t>61,8952/61,8952</t>
  </si>
  <si>
    <t>Bm10565</t>
  </si>
  <si>
    <t>WBGene00230826</t>
  </si>
  <si>
    <t>10,5263/19,1136</t>
  </si>
  <si>
    <t>Bm10566</t>
  </si>
  <si>
    <t>WBGene00230827</t>
  </si>
  <si>
    <t>37,8571/49,2857</t>
  </si>
  <si>
    <t>Bm10569</t>
  </si>
  <si>
    <t>WBGene00230830</t>
  </si>
  <si>
    <t>56,4935/18,1818</t>
  </si>
  <si>
    <t>17,2078/36,039</t>
  </si>
  <si>
    <t>Bm10576</t>
  </si>
  <si>
    <t>WBGene00230837</t>
  </si>
  <si>
    <t>GO:0000166/GO:0004672/GO:0004713/GO:0004715/GO:0005524/GO:0006468/GO:0016301/GO:0016310/GO:0016740/GO:0018108/</t>
  </si>
  <si>
    <t>ATP_binding/kinase_activity/non-membrane_spanning_protein_tyrosine_kinase_activity/nucleotide_binding/peptidyl-tyrosine_phosphorylation/phosphorylation/protein_kinase_activity/protein_phosphorylation/protein_tyrosine_kinase_activity/transferase_activity/</t>
  </si>
  <si>
    <t>Catalysis_of_the_phosphorylation_of_an_amino_acid_residue_in_a_protein,_usually_according_to_the_reaction:_a_protein_+_ATP_=_a_phosphoprotein_+_ADP._[MetaCyc:PROTEIN-KINASE-RXN]/"Catalysis_of_the_reaction:_ATP_+_a_protein_tyrosine_=_ADP_+_protein_tyrosine_phosphate."_[EC:2.7.10]/"Catalysis_of_the_reaction:_ATP_+_protein_L-tyrosine_=_ADP_+_protein_L-tyrosine_phosphate_by_a_non-membrane_spanning_protein."_[EC:2.7.10.2]/"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_phosphate_group,_usually_from_ATP,_to_a_substrate_molecule."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he_phosphorylation_of_peptidyl-tyrosine_to_form_peptidyl-O4'-phospho-L-tyrosine."_[RESID:AA0039]/"The_process_of_introducing_a_phosphate_group_into_a_molecule,_usually_with_the_formation_of_a_phosphoric_ester,_a_phosphoric_anhydride_or_a_phosphoric_amide."_[ISBN:0198506732]/"The_process_of_introducing_a_phosphate_group_on_to_a_protein."_[GOC:hb]/</t>
  </si>
  <si>
    <t>IPR000719/IPR000980/IPR001245/IPR008266/IPR011009/IPR017441/IPR020635/IPR035849/IPR036860/</t>
  </si>
  <si>
    <t>Fes/Fps/Fer,_SH2_domain/Protein_kinase,_ATP_binding_site/Protein_kinase-like_domain_superfamily/Protein_kinase_domain/SH2_domain/SH2_domain_superfamily/Serine-threonine/tyrosine-protein_kinase,_catalytic_domain/Tyrosine-protein_kinase,_active_site/Tyrosine-protein_kinase,_catalytic_domain/</t>
  </si>
  <si>
    <t>Fes/Fps/Fer_SH2/Kinase-like_dom_sf/Prot_kinase_dom/Protein_kinase_ATP_BS/SH2/SH2_dom_sf/Ser-Thr/Tyr_kinase_cat_dom/Tyr_kinase_AS/Tyr_kinase_cat_dom/</t>
  </si>
  <si>
    <t>note=contains_similarity_to_Pfam_domains_PF07714_(Protein_tyrosine_kinase),_PF00017_(SH2_domain)_contains_similarity_to_Interpro_domains_IPR011009_(Protein_kinase-like_domain),_IPR001245_(Serine-threonine/tyrosine-protein_kinase_catalytic_domain),_IPR000980_(SH2_domain),_IPR020635_(Tyrosine-protein_kinase,_catalytic_domain)</t>
  </si>
  <si>
    <t>7209.EFO27598.2</t>
  </si>
  <si>
    <t>6.5e-191</t>
  </si>
  <si>
    <t>673.3</t>
  </si>
  <si>
    <t>1KY0A@119089,3AIMZ@33154,3BYVX@33208,3DE54@33213,40FH3@6231,COG0515@1,KOG0194@2759</t>
  </si>
  <si>
    <t>Src homology 2 domains</t>
  </si>
  <si>
    <t>Nematoda</t>
  </si>
  <si>
    <t>Bm10608</t>
  </si>
  <si>
    <t>WBGene00230869</t>
  </si>
  <si>
    <t>Bm10615</t>
  </si>
  <si>
    <t>WBGene00230876</t>
  </si>
  <si>
    <t>Bm10621</t>
  </si>
  <si>
    <t>WBGene00230882</t>
  </si>
  <si>
    <t>54,7739/54,7739</t>
  </si>
  <si>
    <t>Bm10646</t>
  </si>
  <si>
    <t>WBGene00230907</t>
  </si>
  <si>
    <t>IPR002087/IPR015676/IPR036054/</t>
  </si>
  <si>
    <t>Anti-proliferative_protein/BTG-like_domain_superfamily/Tob1/2/</t>
  </si>
  <si>
    <t>Anti_prolifrtn/BTG-like_sf/Tob1/2/</t>
  </si>
  <si>
    <t>note=contains_similarity_to_Pfam_domain_PF07742_BTG_family_contains_similarity_to_Interpro_domains_IPR015676_(Tob),_IPR002087_(Anti-proliferative_protein)</t>
  </si>
  <si>
    <t>7209.EFO19692.2</t>
  </si>
  <si>
    <t>1.2e-64</t>
  </si>
  <si>
    <t>254.6</t>
  </si>
  <si>
    <t>fog-3</t>
  </si>
  <si>
    <t>GO:0000003,GO:0001708,GO:0003006,GO:0005575,GO:0005622,GO:0005623,GO:0005634,GO:0005737,GO:0007275,GO:0007276,GO:0007283,GO:0007530,GO:0008150,GO:0009987,GO:0010720,GO:0018992,GO:0019953,GO:0022414,GO:0030154,GO:0031974,GO:0031981,GO:0032501,GO:0032502,GO:0032504,GO:0034399,GO:0040021,GO:0042006,GO:0043226,GO:0043227,GO:0043229,GO:0043231,GO:0043233,GO:0043900,GO:0043902,GO:0044422,GO:0044424,GO:0044428,GO:0044446,GO:0044464,GO:0044703,GO:0045165,GO:0045595,GO:0045597,GO:0048232,GO:0048518,GO:0048522,GO:0048609,GO:0048856,GO:0048869,GO:0050789,GO:0050793,GO:0050794,GO:0051094,GO:0051239,GO:0051240,GO:0051704,GO:0060281,GO:0060282,GO:0060284,GO:0065007,GO:0070013,GO:1905879,GO:1905881,GO:2000241,GO:2000243</t>
  </si>
  <si>
    <t>ko:K14443</t>
  </si>
  <si>
    <t>ko03018,map03018</t>
  </si>
  <si>
    <t>ko00000,ko00001,ko03019</t>
  </si>
  <si>
    <t>1KZNN@119089,39RN2@33154,3BA2U@33208,3DC7B@33213,40GV5@6231,KOG4006@1,KOG4006@2759</t>
  </si>
  <si>
    <t>BTG family</t>
  </si>
  <si>
    <t>Bm10649</t>
  </si>
  <si>
    <t>WBGene00230910</t>
  </si>
  <si>
    <t>IPR002087/IPR036054/</t>
  </si>
  <si>
    <t>Anti-proliferative_protein/BTG-like_domain_superfamily/</t>
  </si>
  <si>
    <t>Anti_prolifrtn/BTG-like_sf/</t>
  </si>
  <si>
    <t>7209.EFO18044.2</t>
  </si>
  <si>
    <t>1.8e-21</t>
  </si>
  <si>
    <t>109.0</t>
  </si>
  <si>
    <t>Eukaryota</t>
  </si>
  <si>
    <t>KOG4006@1,KOG4006@2759</t>
  </si>
  <si>
    <t>negative regulation of cell proliferation</t>
  </si>
  <si>
    <t>Bm10661</t>
  </si>
  <si>
    <t>WBGene00230922</t>
  </si>
  <si>
    <t>22,6087/22,029/13,913/7,24638/25,2174/17,1014/27,5362/20,2899/35,6522/28,9855/29,2754/40,5797/17,3913/22,029/42,6087/44,3478/36,5217/40,8696/41,4493/24,058/35,3623</t>
  </si>
  <si>
    <t>Bm10716</t>
  </si>
  <si>
    <t>WBGene00230977</t>
  </si>
  <si>
    <t>malayi</t>
  </si>
  <si>
    <t>Bm10739</t>
  </si>
  <si>
    <t>WBGene00231000</t>
  </si>
  <si>
    <t>GO:0004553/GO:0005615/GO:0005975/GO:0008061/GO:0008152/GO:0016787/GO:0016798/</t>
  </si>
  <si>
    <t>carbohydrate_metabolic_process/chitin_binding/extracellular_space/hydrolase_activity/hydrolase_activity,_acting_on_glycosyl_bonds/hydrolase_activity,_hydrolyzing_O-glycosyl_compounds/metabolic_process/</t>
  </si>
  <si>
    <t>Catalysis_of_the_hydrolysis_of_any_O-glycosyl_bond._[GOC:mah]/"Catalysis_of_the_hydrolysis_of_any_glycosyl_bond."_[GOC:jl]/"Catalysis_of_the_hydrolysis_of_various_bonds,_e.g._C-O,_C-N,_C-C,_phosphoric_anhydride_bonds,_etc._Hydrolase_is_the_systematic_name_for_any_enzyme_of_EC_class_3."_[ISBN:0198506732]/"Interacting_selectively_and_non-covalently_with_chitin,_a_linear_polysaccharide_consisting_of_beta-(1-&gt;4)-linked_N-acetyl-D-glucosamine_residues."_[GOC:jl,_ISBN:0198506732]/"That_part_of_a_multicellular_organism_outside_the_cells_proper,_usually_taken_to_be_outside_the_plasma_membranes,_and_occupied_by_fluid."_[ISBN:0198547684]/"The_chemical_reactions_and_pathways,_including_anabolism_and_catabolism,_by_which_living_organisms_transform_chemical_substances._Metabolic_processes_typically_transform_small_molecules,_but_also_include_macromolecular_processes_such_as_DNA_repair_and_replication,_and_protein_synthesis_and_degradation."_[GOC:go_curators,_ISBN:0198547684]/"The_chemical_reactions_and_pathways_involving_carbohydrates,_any_of_a_group_of_organic_compounds_based_of_the_general_formula_Cx(H2O)y._Includes_the_formation_of_carbohydrate_derivatives_by_the_addition_of_a_carbohydrate_residue_to_another_molecule."_[GOC:mah,_ISBN:0198506732]/</t>
  </si>
  <si>
    <t>biological_process/cellular_component/molecular_function/</t>
  </si>
  <si>
    <t>IPR001223/IPR001579/IPR011583/IPR017853/IPR028541/IPR029070/</t>
  </si>
  <si>
    <t>Chitinase-3-like_protein_2/Chitinase_II/Chitinase_insertion_domain_superfamily/Glycoside_hydrolase,_chitinase_active_site/Glycoside_hydrolase_family_18,_catalytic_domain/Glycoside_hydrolase_superfamily/</t>
  </si>
  <si>
    <t>CHI3L2/Chitinase_II/Chitinase_insertion_sf/Glyco_hydro18_cat/Glyco_hydro_18_chit_AS/Glycoside_hydrolase_SF/</t>
  </si>
  <si>
    <t>note=contains_similarity_to_Interpro_domains_IPR017853_(Glycoside_hydrolase_superfamily),_IPR013781_(Glycoside_hydrolase,_catalytic_domain)</t>
  </si>
  <si>
    <t>7209.EFO15585.1</t>
  </si>
  <si>
    <t>9.4e-194</t>
  </si>
  <si>
    <t>682.9</t>
  </si>
  <si>
    <t>GO:0008150,GO:0009605,GO:0009607,GO:0009620,GO:0043207,GO:0050896,GO:0051704,GO:0051707</t>
  </si>
  <si>
    <t>3.2.1.14</t>
  </si>
  <si>
    <t>ko:K01183</t>
  </si>
  <si>
    <t>ko00520,ko01100,map00520,map01100</t>
  </si>
  <si>
    <t>R01206,R02334</t>
  </si>
  <si>
    <t>RC00467</t>
  </si>
  <si>
    <t>ko00000,ko00001,ko01000</t>
  </si>
  <si>
    <t>GH18</t>
  </si>
  <si>
    <t>1KYPU@119089,38BJK@33154,3BA7Q@33208,3CS5K@33213,40C6W@6231,COG3325@1,KOG2806@2759</t>
  </si>
  <si>
    <t>G</t>
  </si>
  <si>
    <t>chitin binding</t>
  </si>
  <si>
    <t>65,5093/70,8333</t>
  </si>
  <si>
    <t>32,6389/31,25/30,0926/34,9537</t>
  </si>
  <si>
    <t>35,8796/27,7778</t>
  </si>
  <si>
    <t>33,3333/36,5741/36,5741/34,4907</t>
  </si>
  <si>
    <t>32,8704/31,4815/35,1852/35,1852/32,4074/35,1852</t>
  </si>
  <si>
    <t>21,7593/25,2315/21,5278/23,3796/24,0741/21,7593/32,6389/27,7778/6,71296</t>
  </si>
  <si>
    <t>Bm10764</t>
  </si>
  <si>
    <t>WBGene00231025</t>
  </si>
  <si>
    <t>39,6135/30,9179/58,4541/48,7923</t>
  </si>
  <si>
    <t>26,57/42,029</t>
  </si>
  <si>
    <t>31,8841/72,9469</t>
  </si>
  <si>
    <t>Bm10923</t>
  </si>
  <si>
    <t>WBGene00231184</t>
  </si>
  <si>
    <t>GO:0003677/GO:0005634/GO:0006355/GO:0043565/</t>
  </si>
  <si>
    <t>DNA_binding/nucleus/regulation_of_transcription,_DNA-templated/sequence-specific_DNA_binding/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</si>
  <si>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Any_process_that_modulates_the_frequency,_rate_or_extent_of_cellular_DNA-templated_transcription."_[GOC:go_curators,_GOC:txnOH]/"Interacting_selectively_and_non-covalently_with_DNA_of_a_specific_nucleotide_composition,_e.g._GC-rich_DNA_binding,_or_with_a_specific_sequence_motif_or_type_of_DNA_e.g._promotor_binding_or_rDNA_binding."_[GOC:jl]/</t>
  </si>
  <si>
    <t>IPR001356/IPR009057/IPR017970/</t>
  </si>
  <si>
    <t>Homeobox,_conserved_site/Homeobox-like_domain_superfamily/Homeobox_domain/</t>
  </si>
  <si>
    <t>Homeobox-like_sf/Homeobox_CS/Homeobox_dom/</t>
  </si>
  <si>
    <t>note=B._malayi_BMA-CEH-53_protein,_contains_similarity_to_Pfam_domain_PF00046_Homeobox_domain_contains_similarity_to_Interpro_domains_IPR001356_(Homeobox_domain),_IPR009057_(Homeodomain-like)</t>
  </si>
  <si>
    <t>7209.EFO25621.1</t>
  </si>
  <si>
    <t>7.4e-46</t>
  </si>
  <si>
    <t>190.3</t>
  </si>
  <si>
    <t>KOG0486@1,KOG0486@2759</t>
  </si>
  <si>
    <t>K</t>
  </si>
  <si>
    <t>superior vena cava morphogenesis</t>
  </si>
  <si>
    <t>17,3653/17,3653</t>
  </si>
  <si>
    <t>Bm10980</t>
  </si>
  <si>
    <t>WBGene00231241</t>
  </si>
  <si>
    <t>GO:0004888/GO:0004930/GO:0005515/GO:0007165/GO:0007166/GO:0007186/GO:0016020/GO:0016021/</t>
  </si>
  <si>
    <t>G_protein-coupled_receptor_activity/G_protein-coupled_receptor_signaling_pathway/cell_surface_receptor_signaling_pathway/integral_component_of_membrane/membrane/protein_binding/signal_transduction/transmembrane_signaling_receptor_activity/</t>
  </si>
  <si>
    <t>A_lipid_bilayer_along_with_all_the_proteins_and_protein_complexes_embedded_in_it_an_attached_to_it._[GOC:dos,_GOC:mah,_ISBN:0815316194]/"A_series_of_molecular_signals_initiated_by_activation_of_a_receptor_on_the_surface_of_a_cell._The_pathway_begins_with_binding_of_an_extracellular_ligand_to_a_cell_surface_receptor,_or_for_receptors_that_signal_in_the_absence_of_a_ligand,_by_ligand-withdrawal_or_the_activity_of_a_constitutively_active_receptor._The_pathway_ends_with_regulation_of_a_downstream_cellular_process,_e.g._transcription."_[GOC:bf,_GOC:mah,_GOC:pr,_GOC:signaling]/"A_series_of_molecular_signals_that_proceeds_with_an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or_for_basal_GPCR_signaling_the_pathway_begins_with_the_receptor_activating_its_G_protein_in_the_absence_of_an_agonist,_and_ends_with_regulation_of_a_downstream_cellular_process,_e.g._transcription.__The_pathway_can_start_from_the_plasma_membrane,_Golgi_or_nuclear_membrane_(PMID:24568158_and_PMID:16902576)."_[GOC:bf,_GOC:mah,_PMID:16902576,_PMID:24568158,_Wikipedia:G_protein-coupled_receptor]/"Combining_with_an_extracellular_or_intracellular_signal_and_transmitting_the_signal_from_one_side_of_the_membrane_to_the_other_to_initiate_a_change_in_cell_activity_or_state_as_part_of_signal_transduction."_[GOC:go_curators,_Wikipedia:Transmembrane_receptor]/"Combining_with_an_extracellular_signal_and_transmitting_the_signal_across_the_membrane_by_activating_an_associated_G-protein;_promotes_the_exchange_of_GDP_for_GTP_on_the_alpha_subunit_of_a_heterotrimeric_G-protein_complex."_[GOC:bf,_http://www.iuphar-db.org,_Wikipedia:GPCR]/"Interacting_selectively_and_non-covalently_with_any_protein_or_protein_complex_(a_complex_of_two_or_more_proteins_that_may_include_other_nonprotein_molecules)."_[GOC:go_curators]/"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he_component_of_a_membrane_consisting_of_the_gene_products_and_protein_complexes_having_at_least_some_part_of_their_peptide_sequence_embedded_in_the_hydrophobic_region_of_the_membrane."_[GOC:dos,_GOC:go_curators]/</t>
  </si>
  <si>
    <t>IPR000483/IPR001611/IPR001879/IPR003591/IPR003599/IPR007110/IPR013098/IPR013783/IPR017981/IPR032675/IPR036179/</t>
  </si>
  <si>
    <t>Cysteine-rich_flanking_region,_C-terminal/GPCR,_family_2,_extracellular_hormone_receptor_domain/GPCR,_family_2-like/Immunoglobulin-like_domain/Immunoglobulin-like_domain_superfamily/Immunoglobulin-like_fold/Immunoglobulin_I-set/Immunoglobulin_subtype/Leucine-rich_repeat/Leucine-rich_repeat,_typical_subtype/Leucine-rich_repeat_domain_superfamily/</t>
  </si>
  <si>
    <t>Cys-rich_flank_reg_C/GPCR_2-like/GPCR_2_extracellular_dom/Ig-like_dom/Ig-like_dom_sf/Ig-like_fold/Ig_I-set/Ig_sub/LRR_dom_sf/Leu-rich_rpt/Leu-rich_rpt_typical-subtyp/</t>
  </si>
  <si>
    <t>note=contains_similarity_to_Pfam_domains_PF13855_(Leucine_rich_repeat),_PF07679_(Immunoglobulin_I-set_domain)_contains_similarity_to_Interpro_domains_IPR000483_(Cysteine-rich_flanking_region,_C-terminal),_IPR001611_(Leucine-rich_repeat),_IPR013098_(Immunoglobulin_I-set),_IPR013783_(Immunoglobulin-like_fold),_IPR003591_(Leucine-rich_repeat,_typical_subtype),_IPR003599_(Immunoglobulin_subtype)</t>
  </si>
  <si>
    <t>7209.EFO23781.1</t>
  </si>
  <si>
    <t>1.6e-202</t>
  </si>
  <si>
    <t>713.4</t>
  </si>
  <si>
    <t>Bilateria</t>
  </si>
  <si>
    <t>38CVZ@33154,3BFVJ@33208,3CZMS@33213,COG4886@1,KOG0619@2759</t>
  </si>
  <si>
    <t>G protein-coupled receptor</t>
  </si>
  <si>
    <t>4,83871/4,64896/2,37192/2,37192</t>
  </si>
  <si>
    <t>6,07211/5,12334</t>
  </si>
  <si>
    <t>5,6926/5,02846</t>
  </si>
  <si>
    <t>5,78748/5,50285</t>
  </si>
  <si>
    <t>4,26945/3,98482/6,16698/8,15939/8,15939</t>
  </si>
  <si>
    <t>4,26945/4,0797/6,45161/8,25427</t>
  </si>
  <si>
    <t>Bm10981</t>
  </si>
  <si>
    <t>WBGene00231242</t>
  </si>
  <si>
    <t>27,2189/50,8876</t>
  </si>
  <si>
    <t>Bm10993</t>
  </si>
  <si>
    <t>WBGene00231254</t>
  </si>
  <si>
    <t>Bm11054</t>
  </si>
  <si>
    <t>WBGene00231315</t>
  </si>
  <si>
    <t>GO:0004672/GO:0004713/GO:0005524/GO:0006468/GO:0018108/</t>
  </si>
  <si>
    <t>ATP_binding/peptidyl-tyrosine_phosphorylation/protein_kinase_activity/protein_phosphorylation/protein_tyrosine_kinase_activity/</t>
  </si>
  <si>
    <t>Catalysis_of_the_phosphorylation_of_an_amino_acid_residue_in_a_protein,_usually_according_to_the_reaction:_a_protein_+_ATP_=_a_phosphoprotein_+_ADP._[MetaCyc:PROTEIN-KINASE-RXN]/"Catalysis_of_the_reaction:_ATP_+_a_protein_tyrosine_=_ADP_+_protein_tyrosine_phosphate."_[EC:2.7.10]/"Interacting_selectively_and_non-covalently_with_ATP,_adenosine_5'-triphosphate,_a_universally_important_coenzyme_and_enzyme_regulator."_[ISBN:0198506732]/"The_phosphorylation_of_peptidyl-tyrosine_to_form_peptidyl-O4'-phospho-L-tyrosine."_[RESID:AA0039]/"The_process_of_introducing_a_phosphate_group_on_to_a_protein."_[GOC:hb]/</t>
  </si>
  <si>
    <t>IPR000719/IPR001245/IPR008266/IPR011009/IPR017441/IPR020635/</t>
  </si>
  <si>
    <t>Protein_kinase,_ATP_binding_site/Protein_kinase-like_domain_superfamily/Protein_kinase_domain/Serine-threonine/tyrosine-protein_kinase,_catalytic_domain/Tyrosine-protein_kinase,_active_site/Tyrosine-protein_kinase,_catalytic_domain/</t>
  </si>
  <si>
    <t>Kinase-like_dom_sf/Prot_kinase_dom/Protein_kinase_ATP_BS/Ser-Thr/Tyr_kinase_cat_dom/Tyr_kinase_AS/Tyr_kinase_cat_dom/</t>
  </si>
  <si>
    <t>note=contains_similarity_to_Pfam_domain_PF07714_Protein_tyrosine_kinase_contains_similarity_to_Interpro_domains_IPR002290_(Serine/threonine/dual_specificity_protein_kinase,_catalytic_domain),_IPR011009_(Protein_kinase-like_domain),_IPR001245_(Serine-threonine/tyrosine-protein_kinase_catalytic_domain),_IPR020635_(Tyrosine-protein_kinase,_catalytic_domain)</t>
  </si>
  <si>
    <t>7209.EFO24700.1</t>
  </si>
  <si>
    <t>1.3e-235</t>
  </si>
  <si>
    <t>822.4</t>
  </si>
  <si>
    <t>1KYZ9@119089,3AKED@33154,3BZYU@33208,3DG71@33213,40G7E@6231,COG0515@1,KOG0194@2759</t>
  </si>
  <si>
    <t>10,4882/15,5515</t>
  </si>
  <si>
    <t>14,6474/16,2749</t>
  </si>
  <si>
    <t>Bm11058</t>
  </si>
  <si>
    <t>WBGene00231319</t>
  </si>
  <si>
    <t>30,4833/29,368</t>
  </si>
  <si>
    <t>Bm11064</t>
  </si>
  <si>
    <t>WBGene00231325</t>
  </si>
  <si>
    <t>GO:0016021/</t>
  </si>
  <si>
    <t>integral_component_of_membrane/</t>
  </si>
  <si>
    <t>The_component_of_a_membrane_consisting_of_the_gene_products_and_protein_complexes_having_at_least_some_part_of_their_peptide_sequence_embedded_in_the_hydrophobic_region_of_the_membrane._[GOC:dos,_GOC:go_curators]/</t>
  </si>
  <si>
    <t>IPR017452/IPR019430/</t>
  </si>
  <si>
    <t>7TM_GPCR,_serpentine_receptor_class_x__(Srx)/GPCR,_rhodopsin-like,_7TM/</t>
  </si>
  <si>
    <t>7TM_GPCR_serpentine_rcpt_Srx/GPCR_Rhodpsn_7TM/</t>
  </si>
  <si>
    <t>note=contains_similarity_to_Pfam_domain_PF10328_Serpentine_type_7TM_GPCR_chemoreceptor_Srx_contains_similarity_to_Interpro_domain_IPR019430_(7TM_GPCR,_serpentine_receptor_class_x_(Srx))</t>
  </si>
  <si>
    <t>7209.EFO20462.2</t>
  </si>
  <si>
    <t>6.6e-49</t>
  </si>
  <si>
    <t>200.3</t>
  </si>
  <si>
    <t>1M009@119089,2D4T9@1,2SW7M@2759,3AU6P@33154,3C3U0@33208,3DJKF@33213,40HCQ@6231</t>
  </si>
  <si>
    <t>Serpentine type 7TM GPCR chemoreceptor Srx</t>
  </si>
  <si>
    <t>59,3548/52,9032/55,4839/58,0645/56,7742</t>
  </si>
  <si>
    <t>45,8064/49,6774/51,6129/51,6129</t>
  </si>
  <si>
    <t>Bm11086</t>
  </si>
  <si>
    <t>WBGene00231347</t>
  </si>
  <si>
    <t>Bm1154</t>
  </si>
  <si>
    <t>WBGene00221415</t>
  </si>
  <si>
    <t>Bm1205</t>
  </si>
  <si>
    <t>WBGene00221466</t>
  </si>
  <si>
    <t>55,2326/22,6744/27,907</t>
  </si>
  <si>
    <t>61,6279/58,7209/63,3721</t>
  </si>
  <si>
    <t>47,6744/32,5581/48,2558</t>
  </si>
  <si>
    <t>Bm12109</t>
  </si>
  <si>
    <t>WBGene00232370</t>
  </si>
  <si>
    <t>GO:0005856/GO:0016020/GO:0016021/</t>
  </si>
  <si>
    <t>cytoskeleton/integral_component_of_membrane/membrane/</t>
  </si>
  <si>
    <t>A_lipid_bilayer_along_with_all_the_proteins_and_protein_complexes_embedded_in_it_an_attached_to_it._[GOC:dos,_GOC:mah,_ISBN:0815316194]/"Any_of_the_various_filamentous_elements_that_form_the_internal_framework_of_cells,_and_typically_remain_after_treatment_of_the_cells_with_mild_detergent_to_remove_membrane_constituents_and_soluble_components_of_the_cytoplasm._The_term_embraces_intermediate_filaments,_microfilaments,_microtubules,_the_microtrabecular_lattice,_and_other_structures_characterized_by_a_polymeric_filamentous_nature_and_long-range_order_within_the_cell._The_various_elements_of_the_cytoskeleton_not_only_serve_in_the_maintenance_of_cellular_shape_but_also_have_roles_in_other_cellular_functions,_including_cellular_movement,_cell_division,_endocytosis,_and_movement_of_organelles."_[GOC:mah,_ISBN:0198547684,_PMID:16959967]/"The_component_of_a_membrane_consisting_of_the_gene_products_and_protein_complexes_having_at_least_some_part_of_their_peptide_sequence_embedded_in_the_hydrophobic_region_of_the_membrane."_[GOC:dos,_GOC:go_curators]/</t>
  </si>
  <si>
    <t>IPR000535/IPR008962/IPR013783/</t>
  </si>
  <si>
    <t>Immunoglobulin-like_fold/Major_sperm_protein_(MSP)_domain/PapD-like_superfamily/</t>
  </si>
  <si>
    <t>Ig-like_fold/MSP_dom/PapD-like_sf/</t>
  </si>
  <si>
    <t>note=contains_similarity_to_Pfam_domain_PF00635_MSP_(Major_sperm_protein)_domain_contains_similarity_to_Interpro_domains_IPR008962_(PapD-like),_IPR000535_(MSP_domain)</t>
  </si>
  <si>
    <t>7209.EJD74124.1</t>
  </si>
  <si>
    <t>6.7e-35</t>
  </si>
  <si>
    <t>155.2</t>
  </si>
  <si>
    <t>1KZER@119089,2E7Z0@1,2SEH0@2759,3AD2W@33154,3C1RZ@33208,3DYG2@33213,40GH4@6231</t>
  </si>
  <si>
    <t>Central component in molecular interactions underlying sperm crawling. Forms an extensive filament system that extends from sperm villipoda, along the leading edge of the pseudopod</t>
  </si>
  <si>
    <t>31,829/25,1781</t>
  </si>
  <si>
    <t>Bm12184</t>
  </si>
  <si>
    <t>WBGene00232445</t>
  </si>
  <si>
    <t>GO:0003676/</t>
  </si>
  <si>
    <t>nucleic_acid_binding/</t>
  </si>
  <si>
    <t>Interacting_selectively_and_non-covalently_with_any_nucleic_acid._[GOC:jl]/</t>
  </si>
  <si>
    <t>IPR013087/IPR036236/</t>
  </si>
  <si>
    <t>Zinc_finger_C2H2-type/Zinc_finger_C2H2_superfamily/</t>
  </si>
  <si>
    <t>Znf_C2H2_sf/Znf_C2H2_type/</t>
  </si>
  <si>
    <t>note=contains_similarity_to_Pfam_domain_PF00096_Zinc_finger,_C2H2_type_contains_similarity_to_Interpro_domains_IPR015880_(Zinc_finger,_C2H2-like),_IPR013087_(Zinc_finger_C2H2-type/integrase_DNA-binding_domain),_IPR007087_(Zinc_finger,_C2H2)</t>
  </si>
  <si>
    <t>7209.EJD73542.1</t>
  </si>
  <si>
    <t>1e-23</t>
  </si>
  <si>
    <t>118.2</t>
  </si>
  <si>
    <t>3AVDW@33154,KOG1721@1,KOG1721@2759</t>
  </si>
  <si>
    <t>zinc finger</t>
  </si>
  <si>
    <t>10,4925/11,7773/10,0642/13,7045/12,2056</t>
  </si>
  <si>
    <t>11,349/12,6338/13,4904/2,99786/5,99572/5,99572/0,642398/11,9914/11,5632/13,9186/11,349/8,35118/12,848/11,9914</t>
  </si>
  <si>
    <t>11,349/12,4197/13,7045/2,99786/12,2056/13,0621/13,4904/11,9914/8,13704</t>
  </si>
  <si>
    <t>Bm12264</t>
  </si>
  <si>
    <t>WBGene00232525</t>
  </si>
  <si>
    <t>7209.EFO18798.1</t>
  </si>
  <si>
    <t>1.8e-106</t>
  </si>
  <si>
    <t>392.1</t>
  </si>
  <si>
    <t>1KW2N@119089,2BWI3@1,2S2D9@2759,3A4ZF@33154,3BSBZ@33208,3D95N@33213,40DN1@6231</t>
  </si>
  <si>
    <t>42,2594/42,2594/42,2594</t>
  </si>
  <si>
    <t>WBGene00006956</t>
  </si>
  <si>
    <t>31.7992</t>
  </si>
  <si>
    <t>Bm12276</t>
  </si>
  <si>
    <t>WBGene00232537</t>
  </si>
  <si>
    <t>IPR001841/IPR013083/IPR017907/</t>
  </si>
  <si>
    <t>Zinc_finger,_RING-type/Zinc_finger,_RING-type,_conserved_site/Zinc_finger,_RING/FYVE/PHD-type/</t>
  </si>
  <si>
    <t>Znf_RING/Znf_RING/FYVE/PHD/Znf_RING_CS/</t>
  </si>
  <si>
    <t>7209.EFO16050.2</t>
  </si>
  <si>
    <t>6.3e-158</t>
  </si>
  <si>
    <t>563.9</t>
  </si>
  <si>
    <t>1KZ2W@119089,2EK0A@1,2SQ14@2759,3AKJ5@33154,3C0SM@33208,3DGGF@33213,40GCT@6231</t>
  </si>
  <si>
    <t>WBGene00015796</t>
  </si>
  <si>
    <t>26.7606</t>
  </si>
  <si>
    <t>Bm1264</t>
  </si>
  <si>
    <t>WBGene00221525</t>
  </si>
  <si>
    <t>Bm12742</t>
  </si>
  <si>
    <t>WBGene00233003</t>
  </si>
  <si>
    <t>45,2107/40,9962</t>
  </si>
  <si>
    <t>Bm12853</t>
  </si>
  <si>
    <t>WBGene00233114</t>
  </si>
  <si>
    <t>Bm12884</t>
  </si>
  <si>
    <t>WBGene00233145</t>
  </si>
  <si>
    <t>GO:0016020/GO:0016021/GO:0042302/</t>
  </si>
  <si>
    <t>integral_component_of_membrane/membrane/structural_constituent_of_cuticle/</t>
  </si>
  <si>
    <t>A_lipid_bilayer_along_with_all_the_proteins_and_protein_complexes_embedded_in_it_an_attached_to_it._[GOC:dos,_GOC:mah,_ISBN:0815316194]/"The_action_of_a_molecule_that_contributes_to_the_structural_integrity_of_a_cuticle."_[GOC:jl]/"The_component_of_a_membrane_consisting_of_the_gene_products_and_protein_complexes_having_at_least_some_part_of_their_peptide_sequence_embedded_in_the_hydrophobic_region_of_the_membrane."_[GOC:dos,_GOC:go_curators]/</t>
  </si>
  <si>
    <t>cellular_component/molecular_function/</t>
  </si>
  <si>
    <t>IPR002486/IPR008160/</t>
  </si>
  <si>
    <t>Collagen_triple_helix_repeat/Nematode_cuticle_collagen,_N-terminal/</t>
  </si>
  <si>
    <t>Col_cuticle_N/Collagen/</t>
  </si>
  <si>
    <t>note=contains_similarity_to_Pfam_domains_PF01484_(Nematode_cuticle_collagen_N-terminal_domain),_PF01391_(Collagen_triple_helix_repeat_(20_copies))_contains_similarity_to_Interpro_domains_IPR002486_(Nematode_cuticle_collagen,_N-terminal),_IPR008160_(Collagen_triple_helix_repeat)</t>
  </si>
  <si>
    <t>36,9128/37,5839/36,5772/37,5839/37,2483/37,2483/38,255/34,8993/37,9195/36,5772/37,9195/36,2416/35,906/34,2282</t>
  </si>
  <si>
    <t>35,2349/34,8993/34,8993/34,2282</t>
  </si>
  <si>
    <t>WBGene00000729/WBGene00000638/WBGene00000596/WBGene00000656</t>
  </si>
  <si>
    <t>35.2349/34.8993/34.8993/34.2282</t>
  </si>
  <si>
    <t>Gender_Neutral/Gender_Neutral/Gender_Neutral</t>
  </si>
  <si>
    <t>Bm12908</t>
  </si>
  <si>
    <t>WBGene00233169</t>
  </si>
  <si>
    <t>Bm12983</t>
  </si>
  <si>
    <t>WBGene00233244</t>
  </si>
  <si>
    <t>76,5799/80,6691</t>
  </si>
  <si>
    <t>Bm12985</t>
  </si>
  <si>
    <t>WBGene00233246</t>
  </si>
  <si>
    <t>GO:0004252/GO:0006508/GO:0008233/GO:0008236/GO:0016787/</t>
  </si>
  <si>
    <t>hydrolase_activity/peptidase_activity/proteolysis/serine-type_endopeptidase_activity/serine-type_peptidase_activity/</t>
  </si>
  <si>
    <t>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internal,_alpha-peptide_bonds_in_a_polypeptide_chain_by_a_catalytic_mechanism_that_involves_a_catalytic_triad_consisting_of_a_serine_nucleophile_that_is_activated_by_a_proton_relay_involving_an_acidic_residue_(e.g._aspartate_or_glutamate)_and_a_basic_residue_(usually_histidine)."_[GOC:mah,_http://merops.sanger.ac.uk/about/glossary.htm#CATTYPE,_ISBN:0716720094]/"Catalysis_of_the_hydrolysis_of_peptide_bonds_in_a_polypeptide_chain_by_a_catalytic_mechanism_that_involves_a_catalytic_triad_consisting_of_a_serine_nucleophile_that_is_activated_by_a_proton_relay_involving_an_acidic_residue_(e.g._aspartate_or_glutamate)_and_a_basic_residue_(usually_histidine)."_[http://merops.sanger.ac.uk/about/glossary.htm#CATTYPE,_ISBN:0716720094]/"Catalysis_of_the_hydrolysis_of_various_bonds,_e.g._C-O,_C-N,_C-C,_phosphoric_anhydride_bonds,_etc._Hydrolase_is_the_systematic_name_for_any_enzyme_of_EC_class_3."_[ISBN:0198506732]/"The_hydrolysis_of_proteins_into_smaller_polypeptides_and/or_amino_acids_by_cleavage_of_their_peptide_bonds."_[GOC:bf,_GOC:mah]/</t>
  </si>
  <si>
    <t>IPR000209/IPR002884/IPR008979/IPR015500/IPR022398/IPR023827/IPR023828/IPR032815/IPR034182/IPR036852/IPR038466/</t>
  </si>
  <si>
    <t>Galactose-binding-like_domain_superfamily/Kexin/furin_catalytic_domain/P_domain/Peptidase_S8,_pro-domain/Peptidase_S8,_pro-domain_superfamily/Peptidase_S8,_subtilisin,_His-active_site/Peptidase_S8,_subtilisin,_Ser-active_site/Peptidase_S8,_subtilisin,__Asp-active_site/Peptidase_S8,_subtilisin-related/Peptidase_S8/S53_domain/Peptidase_S8/S53_domain_superfamily/</t>
  </si>
  <si>
    <t>Galactose-bd-like_sf/Kexin/furin/P_dom/Peptidase_S8/S53_dom/Peptidase_S8/S53_dom_sf/Peptidase_S8_Asp-AS/Peptidase_S8_His-AS/Peptidase_S8_Ser-AS/Peptidase_S8_subtilisin-rel/S8_pro-domain/S8_pro-domain_sf/</t>
  </si>
  <si>
    <t>note=B._malayi_BMA-AEX-5_protein,_contains_similarity_toPfam_domains_PF00082_(Subtilase_family),_PF01483(Proprotein_convertase_P-domain)_contains_similarity_toInterpro_domains_IPR000209_(Peptidase_S8/S53_domain),IPR015500_(Peptidase_S8,_subtilisin-related),_IPR008979(Galactose-binding_domain-like),_IPR002884_(Proproteinconvertase,_P),_IPR009020_(Proteinase_inhibitor,propeptide)</t>
  </si>
  <si>
    <t>48698.ENSPFOP00000010482</t>
  </si>
  <si>
    <t>5.4e-172</t>
  </si>
  <si>
    <t>611.3</t>
  </si>
  <si>
    <t>Actinopterygii</t>
  </si>
  <si>
    <t>38C1N@33154,3B9FW@33208,3CR86@33213,47ZMM@7711,49321@7742,49ZC3@7898,COG1404@1,KOG3525@2759</t>
  </si>
  <si>
    <t>O</t>
  </si>
  <si>
    <t>Proprotein convertase subtilisin kexin type 1</t>
  </si>
  <si>
    <t>18,8623/25,5988</t>
  </si>
  <si>
    <t>37,4251/38,9222/36,0778</t>
  </si>
  <si>
    <t>37,1257/39,2216/35,6287</t>
  </si>
  <si>
    <t>38,4731/38,7725/30,0898/39,0719</t>
  </si>
  <si>
    <t>Bm13002</t>
  </si>
  <si>
    <t>WBGene00233263</t>
  </si>
  <si>
    <t>Bm13003</t>
  </si>
  <si>
    <t>WBGene00233264</t>
  </si>
  <si>
    <t>Bm1308</t>
  </si>
  <si>
    <t>WBGene00221569</t>
  </si>
  <si>
    <t>Bm13109</t>
  </si>
  <si>
    <t>WBGene00233370</t>
  </si>
  <si>
    <t>Bm1316</t>
  </si>
  <si>
    <t>WBGene00221577</t>
  </si>
  <si>
    <t>Bm13265</t>
  </si>
  <si>
    <t>WBGene00233526</t>
  </si>
  <si>
    <t>Bm13564</t>
  </si>
  <si>
    <t>WBGene00233825</t>
  </si>
  <si>
    <t>Bm13638</t>
  </si>
  <si>
    <t>WBGene00233899</t>
  </si>
  <si>
    <t>Bm1367</t>
  </si>
  <si>
    <t>WBGene00221628</t>
  </si>
  <si>
    <t>Bm14121</t>
  </si>
  <si>
    <t>WBGene00234382</t>
  </si>
  <si>
    <t>7209.EFO20744.1</t>
  </si>
  <si>
    <t>2.9e-09</t>
  </si>
  <si>
    <t>67.8</t>
  </si>
  <si>
    <t>KOG1868@1,KOG1868@2759</t>
  </si>
  <si>
    <t>ubiquitinyl hydrolase activity</t>
  </si>
  <si>
    <t>Bm14179</t>
  </si>
  <si>
    <t>WBGene00234440</t>
  </si>
  <si>
    <t>7209.EFO25887.2</t>
  </si>
  <si>
    <t>7.6e-90</t>
  </si>
  <si>
    <t>337.4</t>
  </si>
  <si>
    <t>1KZX0@119089,38GM0@33154,3BKJM@33208,3CSDB@33213,40EM6@6231,KOG0488@1,KOG0488@2759</t>
  </si>
  <si>
    <t>Homeodomain</t>
  </si>
  <si>
    <t>1,77515/11,8343</t>
  </si>
  <si>
    <t>9,76331/20,7101/6,50888/5,6213</t>
  </si>
  <si>
    <t>21,0059/7,39645</t>
  </si>
  <si>
    <t>10,6509/7,98817</t>
  </si>
  <si>
    <t>10,355/11,8343/11,5385/7,10059/12,1302/9,46746/8,57988/20,1183/10,6509/20,4142/10,6509/8,57988/10,355/10,0592/5,91716/6,21302/9,1716/9,76331/7,69231/8,57988/8,87574/10,355/12,426/9,1716/22,4852/10,0592/7,39645/10,9467/2,66272/9,1716/11,5385/9,1716/10,0592/10,6509/9,1716/10,6509/10,355/10,355/10,0592</t>
  </si>
  <si>
    <t>10,355/13,0178/11,2426/6,80473/12,1302/9,46746/8,57988/20,1183/10,6509/21,0059/10,355/8,57988/10,355/10,0592/5,91716/6,21302/9,1716/9,76331/8,57988/8,57988/10,355/12,426/9,1716/22,4852/10,6509/7,39645/11,2426/2,95858/10,0592/11,5385/9,1716/10,0592/10,6509/10,355/10,9467/10,355/10,355/10,0592</t>
  </si>
  <si>
    <t>10,6509/10,355/12,7219/9,76331/9,46746/21,0059/9,46746/9,1716/8,87574/10,355/10,6509/7,10059/9,46746/10,355/8,87574/8,87574/8,28402/9,1716/7,69231/21,0059/11,8343/10,6509/20,7101/19,8225/8,28402/7,98817/7,39645/7,10059/7,10059/6,80473/6,80473/10,6509/10,0592/11,5385/9,46746/10,9467/9,46746/10,355/9,76331/10,6509/10,355/10,0592/11,2426/10,355/9,1716</t>
  </si>
  <si>
    <t>WBGene00044535/WBGene00045215</t>
  </si>
  <si>
    <t>1.77515/11.8343</t>
  </si>
  <si>
    <t>Bm1444</t>
  </si>
  <si>
    <t>WBGene00221705</t>
  </si>
  <si>
    <t>/GO:0016020/</t>
  </si>
  <si>
    <t>/membrane/</t>
  </si>
  <si>
    <t>/"A_lipid_bilayer_along_with_all_the_proteins_and_protein_complexes_embedded_in_it_an_attached_to_it."_[GOC:dos,_GOC:mah,_ISBN:0815316194]/</t>
  </si>
  <si>
    <t>IPR004345/</t>
  </si>
  <si>
    <t>TB2/DP1/HVA22-related_protein/</t>
  </si>
  <si>
    <t>TB2_DP1_HVA22/</t>
  </si>
  <si>
    <t>note=contains_similarity_to_Pfam_domain_PF03134_TB2/DP1,HVA22_family_contains_similarity_to_Interpro_domainIPR004345_(TB2/DP1/HVA22-related_protein)</t>
  </si>
  <si>
    <t>7209.EFO27470.1</t>
  </si>
  <si>
    <t>4.8e-19</t>
  </si>
  <si>
    <t>100.5</t>
  </si>
  <si>
    <t>COG5052@1,KOG1725@2759</t>
  </si>
  <si>
    <t>U</t>
  </si>
  <si>
    <t>endoplasmic reticulum tubular network membrane organization</t>
  </si>
  <si>
    <t>33,5526/32,8947</t>
  </si>
  <si>
    <t>13,8158/15,1316/13,8158/13,1579</t>
  </si>
  <si>
    <t>13,8158/15,7895/13,8158/13,8158</t>
  </si>
  <si>
    <t>16,4474/15,7895/12,5/22,3684/14,4737</t>
  </si>
  <si>
    <t>Bm1461</t>
  </si>
  <si>
    <t>WBGene00221722</t>
  </si>
  <si>
    <t>Brugia</t>
  </si>
  <si>
    <t>Bm14728</t>
  </si>
  <si>
    <t>WBGene00235063</t>
  </si>
  <si>
    <t>Bm14800</t>
  </si>
  <si>
    <t>WBGene00234985</t>
  </si>
  <si>
    <t>Bm1486</t>
  </si>
  <si>
    <t>WBGene00221747</t>
  </si>
  <si>
    <t>Bm1502</t>
  </si>
  <si>
    <t>WBGene00221763</t>
  </si>
  <si>
    <t>Bm1562</t>
  </si>
  <si>
    <t>WBGene00221823</t>
  </si>
  <si>
    <t>IPR026066/</t>
  </si>
  <si>
    <t>Headcase_protein/</t>
  </si>
  <si>
    <t>Headcase/</t>
  </si>
  <si>
    <t>7209.EFO20394.1</t>
  </si>
  <si>
    <t>2.2e-144</t>
  </si>
  <si>
    <t>518.8</t>
  </si>
  <si>
    <t>1KWUT@119089,398NG@33154,3BUME@33208,3DY8Q@33213,40ETW@6231,KOG3816@1,KOG3816@2759</t>
  </si>
  <si>
    <t>Headcase protein family homologue</t>
  </si>
  <si>
    <t>15,212/15,212/16,7082</t>
  </si>
  <si>
    <t>WBGene00015073</t>
  </si>
  <si>
    <t>18.2045</t>
  </si>
  <si>
    <t>Bm1592</t>
  </si>
  <si>
    <t>WBGene00221853</t>
  </si>
  <si>
    <t>GO:0004888/GO:0005216/GO:0005230/GO:0005886/GO:0006811/GO:0016020/GO:0016021/GO:0034220/</t>
  </si>
  <si>
    <t>extracellular_ligand-gated_ion_channel_activity/integral_component_of_membrane/ion_channel_activity/ion_transmembrane_transport/ion_transport/membrane/plasma_membrane/transmembrane_signaling_receptor_activity/</t>
  </si>
  <si>
    <t>A_lipid_bilayer_along_with_all_the_proteins_and_protein_complexes_embedded_in_it_an_attached_to_it._[GOC:dos,_GOC:mah,_ISBN:0815316194]/"A_process_in_which_an_ion_is_transported_across_a_membrane."_[GOC:mah]/"Combining_with_an_extracellular_or_intracellular_signal_and_transmitting_the_signal_from_one_side_of_the_membrane_to_the_other_to_initiate_a_change_in_cell_activity_or_state_as_part_of_signal_transduction."_[GOC:go_curators,_Wikipedia:Transmembrane_receptor]/"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Enables_the_transmembrane_transfer_of_an_ion_by_a_channel_that_opens_when_a_specific_extracellular_ligand_has_been_bound_by_the_channel_complex_or_one_of_its_constituent_parts."_[GOC:mtg_transport,_ISBN:0815340729]/"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he_membrane_surrounding_a_cell_that_separates_the_cell_from_its_external_environment._It_consists_of_a_phospholipid_bilayer_and_associated_proteins."_[ISBN:0716731363]/</t>
  </si>
  <si>
    <t>IPR006028/IPR006029/IPR006201/IPR006202/IPR018000/IPR036719/IPR036734/</t>
  </si>
  <si>
    <t>Gamma-aminobutyric_acid_A_receptor/Glycine_receptor_alpha/Neurotransmitter-gated_ion-channel/Neurotransmitter-gated_ion-channel,_conserved_site/Neurotransmitter-gated_ion-channel_ligand-binding_domain/Neurotransmitter-gated_ion-channel_ligand-binding_domain_superfamily/Neurotransmitter-gated_ion-channel_transmembrane_domain/Neurotransmitter-gated_ion-channel_transmembrane_domain_superfamily/</t>
  </si>
  <si>
    <t>GABAA/Glycine_rcpt/Neur_chan_lig-bd/Neur_chan_lig-bd_sf/Neur_channel/Neuro-gated_channel_TM_sf/Neurotrans-gated_channel_TM/Neurotransmitter_ion_chnl_CS/</t>
  </si>
  <si>
    <t>note=contains_similarity_to_Pfam_domain_PF02931_Neurotransmitter-gated_ion-channel_ligand_binding_domain_contains_similarity_to_Interpro_domains_IPR006202_(Neurotransmitter-gated_ion-channel_ligand-binding_domain),_IPR006201_(Neurotransmitter-gated_ion-channel)</t>
  </si>
  <si>
    <t>281687.CJA05276</t>
  </si>
  <si>
    <t>3.2e-175</t>
  </si>
  <si>
    <t>621.7</t>
  </si>
  <si>
    <t>Rhabditida</t>
  </si>
  <si>
    <t>lgc-39</t>
  </si>
  <si>
    <t>ko:K05273</t>
  </si>
  <si>
    <t>ko00000,ko04040</t>
  </si>
  <si>
    <t>1.A.9.4</t>
  </si>
  <si>
    <t>1KVQY@119089,3A22J@33154,3BR03@33208,3D7U0@33213,40D4H@6231,40SCR@6236,KOG3644@1,KOG3644@2759</t>
  </si>
  <si>
    <t>Belongs to the ligand-gated ion channel (TC 1.A.9) family</t>
  </si>
  <si>
    <t>9,57643/27,256</t>
  </si>
  <si>
    <t>WBGene00017314</t>
  </si>
  <si>
    <t>55.0645</t>
  </si>
  <si>
    <t>Bm1624</t>
  </si>
  <si>
    <t>WBGene00221885</t>
  </si>
  <si>
    <t>IPR008166/</t>
  </si>
  <si>
    <t>Glycosyltransferase_family_92/</t>
  </si>
  <si>
    <t>Glyco_transf_92/</t>
  </si>
  <si>
    <t>note=contains_similarity_to_Pfam_domain_PF01697_Glycosyltransferase_family_92_contains_similarity_to_Interpro_domain_IPR008166_(Domain_of_unknown_function_DUF23)</t>
  </si>
  <si>
    <t>7209.EJD75095.1</t>
  </si>
  <si>
    <t>1.9e-41</t>
  </si>
  <si>
    <t>177.2</t>
  </si>
  <si>
    <t>1KZDG@119089,2D3C7@1,2SR1M@2759,3AP4D@33154,3C1K3@33208,3DHQ6@33213,40GEZ@6231</t>
  </si>
  <si>
    <t>Glycosyltransferase family 92</t>
  </si>
  <si>
    <t>22,5882/12,4706/20,4706</t>
  </si>
  <si>
    <t>19,7647/15,0588/13,8824/15,5294/14,8235/19,2941/14,5882</t>
  </si>
  <si>
    <t>WBGene00015985/WBGene00011786/WBGene00050875/WBGene00014184/WBGene00015984/WBGene00018207/WBGene00008473</t>
  </si>
  <si>
    <t>19.7647/15.0588/13.8824/15.5294/14.8235/19.2941/14.5882</t>
  </si>
  <si>
    <t>Spermatogenic</t>
  </si>
  <si>
    <t>Bm1655</t>
  </si>
  <si>
    <t>WBGene00221916</t>
  </si>
  <si>
    <t>Bm1661</t>
  </si>
  <si>
    <t>WBGene00221922</t>
  </si>
  <si>
    <t>Bm16902</t>
  </si>
  <si>
    <t>WBGene00255377</t>
  </si>
  <si>
    <t>IPR017907/</t>
  </si>
  <si>
    <t>Zinc_finger,_RING-type,_conserved_site/</t>
  </si>
  <si>
    <t>Znf_RING_CS/</t>
  </si>
  <si>
    <t>Bm16917</t>
  </si>
  <si>
    <t>WBGene00255398</t>
  </si>
  <si>
    <t>GO:0003676/GO:0003723/</t>
  </si>
  <si>
    <t>RNA_binding/nucleic_acid_binding/</t>
  </si>
  <si>
    <t>Interacting_selectively_and_non-covalently_with_an_RNA_molecule_or_a_portion_thereof._[GOC:jl,_GOC:mah]/"Interacting_selectively_and_non-covalently_with_any_nucleic_acid."_[GOC:jl]/</t>
  </si>
  <si>
    <t>IPR004087/IPR004088/IPR036612/</t>
  </si>
  <si>
    <t>K_Homology_domain/K_Homology_domain,_type_1/K_Homology_domain,_type_1_superfamily/</t>
  </si>
  <si>
    <t>KH_dom/KH_dom_type_1/KH_dom_type_1_sf/</t>
  </si>
  <si>
    <t>note=contains_similarity_to_Pfam_domain_PF00013_KH_domain_contains_similarity_to_Interpro_domains_IPR004087_(K_Homology_domain),_IPR004088_(K_Homology_domain,_type_1)</t>
  </si>
  <si>
    <t>Bm16934</t>
  </si>
  <si>
    <t>WBGene00255552</t>
  </si>
  <si>
    <t>GO:0046872/</t>
  </si>
  <si>
    <t>metal_ion_binding/</t>
  </si>
  <si>
    <t>Interacting_selectively_and_non-covalently_with_any_metal_ion._[GOC:ai]/</t>
  </si>
  <si>
    <t>IPR008380/IPR016695/IPR023214/IPR036412/</t>
  </si>
  <si>
    <t>HAD-like_superfamily/HAD-superfamily_hydrolase,_subfamily_IG,_5'-nucleotidase/HAD_superfamily/Purine_5'-nucleotidase/</t>
  </si>
  <si>
    <t>HAD-SF_hydro_IG_5-nucl/HAD-like_sf/HAD_sf/Pur_nucleotidase/</t>
  </si>
  <si>
    <t>note=contains_similarity_to_Pfam_domain_PF05761_5'_nucleotidase_family_contains_similarity_to_Interpro_domains_IPR023214_(HAD-like_domain),_IPR008380_(HAD-superfamily_hydrolase,_subfamily_IG,_5'-nucleotidase)</t>
  </si>
  <si>
    <t>7209.EFO20954.1</t>
  </si>
  <si>
    <t>1.7e-272</t>
  </si>
  <si>
    <t>944.9</t>
  </si>
  <si>
    <t>3.1.3.5</t>
  </si>
  <si>
    <t>ko:K01081</t>
  </si>
  <si>
    <t>ko00230,ko00240,ko00760,ko01100,ko01110,map00230,map00240,map00760,map01100,map01110</t>
  </si>
  <si>
    <t>R00183,R00511,R00963,R01126,R01227,R01569,R01664,R01968,R02088,R02102,R02323,R02719,R03346</t>
  </si>
  <si>
    <t>RC00017</t>
  </si>
  <si>
    <t>1KUYZ@119089,38DSH@33154,3B9SY@33208,3CXWG@33213,40ARV@6231,KOG2469@1,KOG2469@2759</t>
  </si>
  <si>
    <t>F</t>
  </si>
  <si>
    <t>5' nucleotidase family</t>
  </si>
  <si>
    <t>24,6801/48,0804</t>
  </si>
  <si>
    <t>40,4022/8,95795</t>
  </si>
  <si>
    <t>30,1645/13,1627/30,1645</t>
  </si>
  <si>
    <t>38,9397/25,9598/9,32358</t>
  </si>
  <si>
    <t>23,9488/40,585/28,8848/24,3144</t>
  </si>
  <si>
    <t>23,766/19,9269/40,585/19,1956</t>
  </si>
  <si>
    <t>25,2285/37,4771</t>
  </si>
  <si>
    <t>Bm17083</t>
  </si>
  <si>
    <t>WBGene00268227</t>
  </si>
  <si>
    <t>/IPR011004/</t>
  </si>
  <si>
    <t>/Trimeric_LpxA-like_superfamily/</t>
  </si>
  <si>
    <t>/Trimer_LpxA-like_sf/</t>
  </si>
  <si>
    <t>Bm17085</t>
  </si>
  <si>
    <t>WBGene00268229</t>
  </si>
  <si>
    <t>Bm17120</t>
  </si>
  <si>
    <t>WBGene00268264</t>
  </si>
  <si>
    <t>Bm17175</t>
  </si>
  <si>
    <t>WBGene00268318</t>
  </si>
  <si>
    <t>Bm17201</t>
  </si>
  <si>
    <t>WBGene00268344</t>
  </si>
  <si>
    <t>GO:0003677/GO:0003824/GO:0003905/GO:0004177/GO:0005622/GO:0006284/GO:0006508/</t>
  </si>
  <si>
    <t>DNA_binding/alkylbase_DNA_N-glycosylase_activity/aminopeptidase_activity/base-excision_repair/catalytic_activity/intracellular/proteolysis/</t>
  </si>
  <si>
    <t>Any_molecular_function_by_which_a_gene_product_interacts_selectively_and_non-covalently_with_DNA_(deoxyribonucleic_acid)._[GOC:dph,_GOC:jl,_GOC:tb,_GOC:vw]/"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Catalysis_of_the_hydrolysis_of_N-terminal_amino_acid_residues_from_in_a_polypeptide_chain."_[GOC:jl,_ISBN:0198506732]/"Catalysis_of_the_reaction:_DNA_with_alkylated_base_+_H2O_=_DNA_with_abasic_site_+_alkylated_base._This_reaction_is_the_hydrolysis_of_DNA_by_cleavage_of_the_N-C1'_glycosidic_bond_between_the_target_damaged_DNA_base_and_the_deoxyribose_sugar_to_remove_an_alkylated_base,_leaving_an_apyrimidinic_or_apurinic_site."_[EC:3.2.2.21,_GOC:elh,_PMID:10872450,_PMID:9224623]/"In_base_excision_repair,_an_altered_base_is_removed_by_a_DNA_glycosylase_enzyme,_followed_by_excision_of_the_resulting_sugar_phosphate._The_small_gap_left_in_the_DNA_helix_is_filled_in_by_the_sequential_action_of_DNA_polymerase_and_DNA_ligase."_[ISBN:0815316194]/"The_hydrolysis_of_proteins_into_smaller_polypeptides_and/or_amino_acids_by_cleavage_of_their_peptide_bonds."_[GOC:bf,_GOC:mah]/"The_living_contents_of_a_cell;_the_matter_contained_within_(but_not_including)_the_plasma_membrane,_usually_taken_to_exclude_large_vacuoles_and_masses_of_secretory_or_ingested_material._In_eukaryotes_it_includes_the_nucleus_and_cytoplasm."_[ISBN:0198506732]/</t>
  </si>
  <si>
    <t>IPR000819/IPR003180/IPR008948/IPR011034/IPR027417/</t>
  </si>
  <si>
    <t>Formyl_transferase-like,_C-terminal_domain_superfamily/L-Aspartase-like/Methylpurine-DNA_glycosylase/P-loop_containing_nucleoside_triphosphate_hydrolase/Peptidase_M17,_leucyl_aminopeptidase,_C-terminal/</t>
  </si>
  <si>
    <t>Formyl_transferase-like_C_sf/L-Aspartase-like/MPG/P-loop_NTPase/Peptidase_M17_C/</t>
  </si>
  <si>
    <t>551789.ATVJ01000002_gene2750</t>
  </si>
  <si>
    <t>3.1e-19</t>
  </si>
  <si>
    <t>102.8</t>
  </si>
  <si>
    <t>Hyphomonadaceae</t>
  </si>
  <si>
    <t>1MW0W@1224,2TQK9@28211,43WY6@69657,COG0178@1,COG0178@2</t>
  </si>
  <si>
    <t>L</t>
  </si>
  <si>
    <t>The UvrABC repair system catalyzes the recognition and processing of DNA lesions. UvrA is an ATPase and a DNA-binding protein. A damage recognition complex composed of 2 UvrA and 2 UvrB subunits scans DNA for abnormalities. When the presence of a lesion has been verified by UvrB, the UvrA molecules dissociate</t>
  </si>
  <si>
    <t>Bm17359</t>
  </si>
  <si>
    <t>WBGene00268502</t>
  </si>
  <si>
    <t>9.7e-65</t>
  </si>
  <si>
    <t>Bm17360</t>
  </si>
  <si>
    <t>WBGene00268503</t>
  </si>
  <si>
    <t>Bm17402</t>
  </si>
  <si>
    <t>WBGene00268545</t>
  </si>
  <si>
    <t>IPR005312/</t>
  </si>
  <si>
    <t>Protein_of_unknown_function_DUF1759/</t>
  </si>
  <si>
    <t>DUF1759/</t>
  </si>
  <si>
    <t>7209.EJD76719.1</t>
  </si>
  <si>
    <t>3.3e-25</t>
  </si>
  <si>
    <t>121.7</t>
  </si>
  <si>
    <t>2CMP4@1,2QR56@2759,39VQX@33154,3BR69@33208,3D755@33213,40G3A@6231</t>
  </si>
  <si>
    <t>Putative peptidase (DUF1758)</t>
  </si>
  <si>
    <t>59,5376/70,5202/17,341</t>
  </si>
  <si>
    <t>28,9017/41,6185</t>
  </si>
  <si>
    <t>Bm17416</t>
  </si>
  <si>
    <t>WBGene00268559</t>
  </si>
  <si>
    <t>Bm17446</t>
  </si>
  <si>
    <t>WBGene00268589</t>
  </si>
  <si>
    <t>7209.EJD73558.1</t>
  </si>
  <si>
    <t>1.6e-15</t>
  </si>
  <si>
    <t>91.3</t>
  </si>
  <si>
    <t>Bm17500</t>
  </si>
  <si>
    <t>WBGene00268643</t>
  </si>
  <si>
    <t>Bm17571</t>
  </si>
  <si>
    <t>WBGene00268714</t>
  </si>
  <si>
    <t>7209.EFO15783.1</t>
  </si>
  <si>
    <t>7.8e-09</t>
  </si>
  <si>
    <t>68.2</t>
  </si>
  <si>
    <t>3AMPT@33154,3C0IH@33208,3DH1X@33213,KOG1721@1,KOG1721@2759</t>
  </si>
  <si>
    <t>Bm17628</t>
  </si>
  <si>
    <t>WBGene00268770</t>
  </si>
  <si>
    <t>IPR005312/IPR008737/IPR021109/</t>
  </si>
  <si>
    <t>Aspartic_peptidase_domain_superfamily/Peptidase_aspartic,_putative/Protein_of_unknown_function_DUF1759/</t>
  </si>
  <si>
    <t>DUF1759/Peptidase_asp_put/Peptidase_aspartic_dom_sf/</t>
  </si>
  <si>
    <t>5811.TGME49_102950</t>
  </si>
  <si>
    <t>1.1e-154</t>
  </si>
  <si>
    <t>553.9</t>
  </si>
  <si>
    <t>2CMP4@1,2QR56@2759</t>
  </si>
  <si>
    <t>Bm17728</t>
  </si>
  <si>
    <t>WBGene00268870</t>
  </si>
  <si>
    <t>Bm17729</t>
  </si>
  <si>
    <t>WBGene00268871</t>
  </si>
  <si>
    <t>Bm17735</t>
  </si>
  <si>
    <t>WBGene00268877</t>
  </si>
  <si>
    <t>SignalP-TM</t>
  </si>
  <si>
    <t>Bm17763</t>
  </si>
  <si>
    <t>WBGene00268905</t>
  </si>
  <si>
    <t>Bm17863</t>
  </si>
  <si>
    <t>WBGene00269005</t>
  </si>
  <si>
    <t>1.7e-10</t>
  </si>
  <si>
    <t>73.9</t>
  </si>
  <si>
    <t>17,4387/17,1662/17,4387/16,0763/15,8038</t>
  </si>
  <si>
    <t>30,5177/29,4278/29,1553/29,1553/23,4332/27,7929/32,6975/24,5232/33,515/29,1553/32,4251/34,0599/26,4305/26,158/31,3351/31,0627/22,8883/34,3324/34,6049/28,0654/28,8828/25,8856/31,8801/21,7984/27,7929/24,5232/34,0599/28,3379/32,97/34,6049/31,8801/35,4223/34,3324/33,7875/2,99728/31,0627/33,7875/26,4305/28,0654/24,5232/27,5204/34,0599/20,9809/26,703/31,6076/31,0627/34,0599/10,6267/3,54223/25,0681/31,6076/32,97/33,515/29,4278/22,8883/31,8801/31,3351/26,703/3,26975/32,4251/33,515/3,26975/32,6975/24,7956/21,2534/26,158/34,6049/20,9809/19,0736/29,4278/31,6076/30,2452/9,80926/32,6975/2,99728/29,1553/29,1553/23,9782/27,248/32,4251/22,6158/31,3351/24,2507/32,97/30,7902/33,2425/33,7875/31,0627/28,8828/32,97/30,2452/29,4278/32,4251/33,2425/18,8011/29,7003/27,5204/29,9728/21,7984/28,6104/27,248/28,6104/29,4278/30,5177/30,2452/32,1526/28,8828/27,7929/22,8883/24,5232/32,97/29,4278/22,6158/18,5286/21,2534/25,6131/29,4278/32,6975</t>
  </si>
  <si>
    <t>29,1553/31,6076/25,0681/25,3406/34,0599/21,7984/32,97/16,0763/32,4251/31,8801/24,7956/31,6076/32,6975/27,5204/29,9728/32,4251/31,3351/34,6049/25,6131/23,9782/27,7929/26,158/28,6104/34,3324/29,4278/31,6076/33,2425/24,5232/25,8856/26,4305/29,1553/31,0627/32,6975/28,6104/30,5177/32,6975/32,97/22,0708/27,7929/27,5204/29,4278/29,7003/28,0654/27,7929/28,3379/26,9755/31,6076/22,3433/30,2452/18,5286/32,4251/29,7003/28,0654/31,6076/7,08447/18,8011/17,7112/22,3433/30,5177/20,436/26,4305/26,703/27,248/29,1553/31,3351/32,6975/15,2589</t>
  </si>
  <si>
    <t>27,248/26,4305</t>
  </si>
  <si>
    <t>Bm17884</t>
  </si>
  <si>
    <t>WBGene00269026</t>
  </si>
  <si>
    <t>85,5856/88,2883</t>
  </si>
  <si>
    <t>Bm17908</t>
  </si>
  <si>
    <t>WBGene00269050</t>
  </si>
  <si>
    <t>4.6e-59</t>
  </si>
  <si>
    <t>235.7</t>
  </si>
  <si>
    <t>Bm17910</t>
  </si>
  <si>
    <t>WBGene00269052</t>
  </si>
  <si>
    <t>IPR008042/IPR040676/</t>
  </si>
  <si>
    <t>Domain_of_unknown_function_DUF5641/Retrotransposon,_Pao/</t>
  </si>
  <si>
    <t>DUF5641/Retrotrans_Pao/</t>
  </si>
  <si>
    <t>1.3e-81</t>
  </si>
  <si>
    <t>310.1</t>
  </si>
  <si>
    <t>Bm17928</t>
  </si>
  <si>
    <t>WBGene00269070</t>
  </si>
  <si>
    <t>44,7853/40,4908</t>
  </si>
  <si>
    <t>Bm17933</t>
  </si>
  <si>
    <t>no_WB-ID</t>
  </si>
  <si>
    <t>NA</t>
  </si>
  <si>
    <t>Bm17962</t>
  </si>
  <si>
    <t>WBGene00269104</t>
  </si>
  <si>
    <t>GO:0016579/GO:0036459/</t>
  </si>
  <si>
    <t>protein_deubiquitination/thiol-dependent_ubiquitinyl_hydrolase_activity/</t>
  </si>
  <si>
    <t>Catalysis_of_the_thiol-dependent_hydrolysis_of_an_ester,_thioester,_amide,_peptide_or_isopeptide_bond_formed_by_the_C-terminal_glycine_of_ubiquitin._[EC:3.4.19.12,_GOC:bf,_GOC:ka]/"The_removal_of_one_or_more_ubiquitin_groups_from_a_protein."_[GOC:ai]/</t>
  </si>
  <si>
    <t>IPR001394/IPR038765/</t>
  </si>
  <si>
    <t>Papain-like_cysteine_peptidase_superfamily/Peptidase_C19,_ubiquitin_carboxyl-terminal_hydrolase/</t>
  </si>
  <si>
    <t>Papain_like_cys_pep_sf/Peptidase_C19_UCH/</t>
  </si>
  <si>
    <t>1.1e-52</t>
  </si>
  <si>
    <t>213.8</t>
  </si>
  <si>
    <t>69,6864/18,4669</t>
  </si>
  <si>
    <t>24,7387/27,8746/27,8746</t>
  </si>
  <si>
    <t>Bm17979</t>
  </si>
  <si>
    <t>WBGene00269121</t>
  </si>
  <si>
    <t>GO:0004222/GO:0006508/GO:0008237/</t>
  </si>
  <si>
    <t>metalloendopeptidase_activity/metallopeptidase_activity/proteolysis/</t>
  </si>
  <si>
    <t>Catalysis_of_the_hydrolysis_of_internal,_alpha-peptide_bonds_in_a_polypeptide_chain_by_a_mechanism_in_which_water_acts_as_a_nucleophile,_one_or_two_metal_ions_hold_the_water_molecule_in_place,_and_charged_amino_acid_side_chains_are_ligands_for_the_metal_ions._[GOC:mah,_http://merops.sanger.ac.uk/about/glossary.htm#CATTYPE,_http://merops.sanger.ac.uk/about/glossary.htm#ENDOPEPTIDASE]/"Catalysis_of_the_hydrolysis_of_peptide_bonds_by_a_mechanism_in_which_water_acts_as_a_nucleophile,_one_or_two_metal_ions_hold_the_water_molecule_in_place,_and_charged_amino_acid_side_chains_are_ligands_for_the_metal_ions."_[GOC:mah,_http://merops.sanger.ac.uk/about/glossary.htm#CATTYPE]/"The_hydrolysis_of_proteins_into_smaller_polypeptides_and/or_amino_acids_by_cleavage_of_their_peptide_bonds."_[GOC:bf,_GOC:mah]/</t>
  </si>
  <si>
    <t>IPR000884/IPR001590/IPR002870/IPR024079/IPR036383/IPR041645/</t>
  </si>
  <si>
    <t>ADAM_cysteine-rich_domain_2/Metallopeptidase,_catalytic_domain_superfamily/Peptidase_M12B,_ADAM/reprolysin/Peptidase_M12B,_propeptide/Thrombospondin_type-1_(TSP1)_repeat/Thrombospondin_type-1_(TSP1)_repeat_superfamily/</t>
  </si>
  <si>
    <t>ADAM_CR_2/MetalloPept_cat_dom_sf/Peptidase_M12B/Peptidase_M12B_N/TSP1_rpt/TSP1_rpt_sf/</t>
  </si>
  <si>
    <t>7209.EFO19955.2</t>
  </si>
  <si>
    <t>0.0</t>
  </si>
  <si>
    <t>1458.4</t>
  </si>
  <si>
    <t>1KUDH@119089,39WR6@33154,3BH2R@33208,3CZ22@33213,40CB4@6231,KOG3538@1,KOG3538@2759</t>
  </si>
  <si>
    <t>Thrombospondin type 1 repeats</t>
  </si>
  <si>
    <t>9,88106/10,1555</t>
  </si>
  <si>
    <t>5,94694/9,24062</t>
  </si>
  <si>
    <t>30,6496/18,5727</t>
  </si>
  <si>
    <t>18,5727/15,7365/9,4236/10,5215/19,0302/15,3705/15,828/15,279/15,645/14,1812/17,8408/15,828/5,48948/11,0704/13,0833/12,9003/12,0769/19,8536/15,7365/14,8216/10,1555/18,9387/18,3898</t>
  </si>
  <si>
    <t>17,2919/15,9195/9,33211/10,8875/18,9387/15,645/15,7365/15,462/15,828/14,0897/17,9323/15,3705/5,67246/10,7045/13,3577/12,9918/11,9854/20,0366/15,645/14,7301/10,247/19,2132/18,2983</t>
  </si>
  <si>
    <t>13,5407/11,3449/8,4172/6,49588/19,2132/15,645/2,19579/15,828/15,828/14,5471/17,9323/15,279/14,1812/18,0238/6,3129/12,9918/11,9854/19,0302/16,3769/12,8088/13,4492/19,0302</t>
  </si>
  <si>
    <t>WBGene00000082</t>
  </si>
  <si>
    <t>50.7777</t>
  </si>
  <si>
    <t>Bm18010</t>
  </si>
  <si>
    <t>WBGene00269152</t>
  </si>
  <si>
    <t>6326.BUX.s00139.75</t>
  </si>
  <si>
    <t>1.3e-08</t>
  </si>
  <si>
    <t>67.4</t>
  </si>
  <si>
    <t>1KX9Z@119089,2E9XK@1,2SG7Q@2759,3AE0R@33154,3BVSF@33208,3DCXK@33213,40F7N@6231</t>
  </si>
  <si>
    <t>Bm18043</t>
  </si>
  <si>
    <t>WBGene00269183</t>
  </si>
  <si>
    <t>IPR011677/IPR040354/</t>
  </si>
  <si>
    <t>Domain_of_unknown_function_DUF1619/Tectonic/</t>
  </si>
  <si>
    <t>DUF1619/Tectonic/</t>
  </si>
  <si>
    <t>6238.CBG01743</t>
  </si>
  <si>
    <t>7e-07</t>
  </si>
  <si>
    <t>61.6</t>
  </si>
  <si>
    <t>ko:K19382</t>
  </si>
  <si>
    <t>ko00000,ko03036</t>
  </si>
  <si>
    <t>1KYYH@119089,39V99@33154,3B9F3@33208,3D0IA@33213,40EBG@6231,40YQJ@6236,COG5596@1,KOG1652@2759</t>
  </si>
  <si>
    <t>Essential component of the TIM23 complex, a complex that mediates the translocation of transit peptide-containing proteins across the mitochondrial inner membrane</t>
  </si>
  <si>
    <t>59,1837/8,16327</t>
  </si>
  <si>
    <t>Bm18051</t>
  </si>
  <si>
    <t>WBGene00269191</t>
  </si>
  <si>
    <t>GO:0005615/GO:0016020/GO:0016021/</t>
  </si>
  <si>
    <t>extracellular_space/integral_component_of_membrane/membrane/</t>
  </si>
  <si>
    <t>A_lipid_bilayer_along_with_all_the_proteins_and_protein_complexes_embedded_in_it_an_attached_to_it._[GOC:dos,_GOC:mah,_ISBN:0815316194]/"That_part_of_a_multicellular_organism_outside_the_cells_proper,_usually_taken_to_be_outside_the_plasma_membranes,_and_occupied_by_fluid."_[ISBN:0198547684]/"The_component_of_a_membrane_consisting_of_the_gene_products_and_protein_complexes_having_at_least_some_part_of_their_peptide_sequence_embedded_in_the_hydrophobic_region_of_the_membrane."_[GOC:dos,_GOC:go_curators]/</t>
  </si>
  <si>
    <t>IPR000215/IPR023795/IPR023796/IPR036186/</t>
  </si>
  <si>
    <t>Serpin,_conserved_site/Serpin_domain/Serpin_family/Serpin_superfamily/</t>
  </si>
  <si>
    <t>Serpin_CS/Serpin_dom/Serpin_fam/Serpin_sf/</t>
  </si>
  <si>
    <t>7209.EFO16571.1</t>
  </si>
  <si>
    <t>9e-103</t>
  </si>
  <si>
    <t>380.6</t>
  </si>
  <si>
    <t>GO:0003674,GO:0005488,GO:0005515</t>
  </si>
  <si>
    <t>ko:K13963</t>
  </si>
  <si>
    <t>ko05146,map05146</t>
  </si>
  <si>
    <t>ko00000,ko00001</t>
  </si>
  <si>
    <t>1M7RM@119089,38VR6@33154,3BBFJ@33208,3CV81@33213,40QUY@6231,COG4826@1,KOG2392@2759</t>
  </si>
  <si>
    <t>V</t>
  </si>
  <si>
    <t>Belongs to the serpin family</t>
  </si>
  <si>
    <t>50,5128/46,1538/45,641/42,5641/50/43,8462</t>
  </si>
  <si>
    <t>26,1538/28,9744/30,2564</t>
  </si>
  <si>
    <t>11,2821/31,0256/26,9231/29,2308/28,2051/26,6667/30</t>
  </si>
  <si>
    <t>22,0513/26,9231/25,641/28,2051/22,8205/21,2821/30,2564/7,69231/26,4103/20,5128/12,8205/23,3333/22,8205/24,359/22,8205/23,8462/22,3077/17,4359/28,9744/23,0769/25,3846/16,9231/23,8462/24,6154/24,359/25,1282/20/26,1538/22,3077/23,5897/23,8462</t>
  </si>
  <si>
    <t>20,7692/26,6667/25,8974/27,1795/23,0769/18,4615/22,8205/27,9487/27,1795/29,4872/29,2308/30/26,1538/20/19,4872/23,5897/23,8462/23,8462/23,5897/24,359/23,3333/25,3846/24,1026/21,7949/23,0769/24,8718/29,7436/29,7436/30/29,2308/29,7436/27,4359/28,2051/28,2051/20,2564/22,8205/22,3077/23,3333/26,4103/27,4359/26,9231/25,8974/24,8718/15,641/24,8718/18,7179/23,5897/22,5641/24,359/25,641/22,5641/27,4359/21,0256/23,5897</t>
  </si>
  <si>
    <t>20,2564/24,8718/23,0769/22,0513/19,4872/29,7436/20,2564/21,5385/23,3333/22,3077/20,2564/22,3077/17,9487/23,5897/23,5897/25,641/25,3846/25,3846/25,1282/25,3846/24,8718</t>
  </si>
  <si>
    <t>Bm18053</t>
  </si>
  <si>
    <t>WBGene00269193</t>
  </si>
  <si>
    <t>6239.C25B8.8</t>
  </si>
  <si>
    <t>1.4e-44</t>
  </si>
  <si>
    <t>186.8</t>
  </si>
  <si>
    <t>1KZQV@119089,2EPZV@1,2ST3F@2759,3AQTD@33154,3C1Z8@33208,3DIJR@33213,40GSI@6231,40U4E@6236</t>
  </si>
  <si>
    <t>WBGene00044297</t>
  </si>
  <si>
    <t>39.0244</t>
  </si>
  <si>
    <t>Bm18112</t>
  </si>
  <si>
    <t>WBGene00269252</t>
  </si>
  <si>
    <t>Bm18115</t>
  </si>
  <si>
    <t>WBGene00269255</t>
  </si>
  <si>
    <t>7209.EJD75354.1</t>
  </si>
  <si>
    <t>2.2e-14</t>
  </si>
  <si>
    <t>85.5</t>
  </si>
  <si>
    <t>slo-2</t>
  </si>
  <si>
    <t>GO:0001505,GO:0001956,GO:0003674,GO:0005215,GO:0005216,GO:0005227,GO:0005244,GO:0005249,GO:0005261,GO:0005267,GO:0005575,GO:0005623,GO:0006810,GO:0006811,GO:0006812,GO:0006813,GO:0008150,GO:0008324,GO:0009987,GO:0010646,GO:0010647,GO:0015075,GO:0015077,GO:0015079,GO:0015267,GO:0015269,GO:0015271,GO:0015318,GO:0015672,GO:0022803,GO:0022832,GO:0022836,GO:0022838,GO:0022839,GO:0022843,GO:0022857,GO:0022890,GO:0023051,GO:0023056,GO:0030001,GO:0030424,GO:0032879,GO:0034220,GO:0042995,GO:0043005,GO:0044464,GO:0046873,GO:0046928,GO:0048518,GO:0048522,GO:0050789,GO:0050794,GO:0050804,GO:0050806,GO:0051046,GO:0051047,GO:0051049,GO:0051050,GO:0051179,GO:0051234,GO:0051588,GO:0051590,GO:0055085,GO:0060341,GO:0065007,GO:0065008,GO:0071804,GO:0071805,GO:0097458,GO:0098655,GO:0098660,GO:0098662,GO:0099177,GO:0120025,GO:1903530,GO:1903532</t>
  </si>
  <si>
    <t>ko:K04946</t>
  </si>
  <si>
    <t>1.A.1.3.4,1.A.1.3.7,1.A.1.3.8</t>
  </si>
  <si>
    <t>1KYBQ@119089,38E39@33154,3B9HM@33208,3CSWY@33213,40BE0@6231,KOG3193@1,KOG3193@2759</t>
  </si>
  <si>
    <t>P</t>
  </si>
  <si>
    <t>Calcium-activated BK potassium channel alpha subunit</t>
  </si>
  <si>
    <t>Bm18171</t>
  </si>
  <si>
    <t>WBGene00269311</t>
  </si>
  <si>
    <t>Bm1912</t>
  </si>
  <si>
    <t>WBGene00222173</t>
  </si>
  <si>
    <t>note=B._malayi_BMA-JUD-4_protein</t>
  </si>
  <si>
    <t>7209.EFO23391.1</t>
  </si>
  <si>
    <t>2.1e-102</t>
  </si>
  <si>
    <t>378.6</t>
  </si>
  <si>
    <t>1KX8E@119089,2C9TB@1,2SC4E@2759,3ABRD@33154,3BWHN@33208,3DCYS@33213,40F9Q@6231</t>
  </si>
  <si>
    <t>WBGene00007262</t>
  </si>
  <si>
    <t>29.2887</t>
  </si>
  <si>
    <t>Bm1988</t>
  </si>
  <si>
    <t>WBGene00222249</t>
  </si>
  <si>
    <t>note=contains_similarity_to_Pfam_domain_PF00079_Serpin_(serine_protease_inhibitor)_contains_similarity_to_Interpro_domains_IPR023796_(Serpin_domain),_IPR000215_(Serpin_family)</t>
  </si>
  <si>
    <t>Bm2218</t>
  </si>
  <si>
    <t>WBGene00222479</t>
  </si>
  <si>
    <t>GO:0005634/GO:0043565/GO:0045944/GO:0046983/GO:0090575/</t>
  </si>
  <si>
    <t>RNA_polymerase_II_transcription_factor_complex/nucleus/positive_regulation_of_transcription_by_RNA_polymerase_II/protein_dimerization_activity/sequence-specific_DNA_binding/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</si>
  <si>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transcription_factor_complex_that_acts_at_a_regulatory_region_of_a_gene_transcribed_by_RNA_polymerase_II."_[GOC:tb]/"Any_process_that_activates_or_increases_the_frequency,_rate_or_extent_of_transcription_from_an_RNA_polymerase_II_promoter."_[GOC:go_curators,_GOC:txnOH]/"Interacting_selectively_and_non-covalently_with_DNA_of_a_specific_nucleotide_composition,_e.g._GC-rich_DNA_binding,_or_with_a_specific_sequence_motif_or_type_of_DNA_e.g._promotor_binding_or_rDNA_binding."_[GOC:jl]/"The_formation_of_a_protein_dimer,_a_macromolecular_structure_consists_of_two_noncovalently_associated_identical_or_nonidentical_subunits."_[ISBN:0198506732]/</t>
  </si>
  <si>
    <t>IPR000014/IPR011598/IPR035965/IPR036638/</t>
  </si>
  <si>
    <t>Helix-loop-helix_DNA-binding_domain_superfamily/Myc-type,_basic_helix-loop-helix_(bHLH)_domain/PAS_domain/PAS_domain_superfamily/</t>
  </si>
  <si>
    <t>HLH_DNA-bd_sf/PAS/PAS-like_dom_sf/bHLH_dom/</t>
  </si>
  <si>
    <t>note=B._malayi_BMA-CKY-1_protein,_contains_similarity_toPfam_domains_PF00010_(Helix-loop-helix_DNA-bindingdomain),_PF14598_(PAS_domain)_contains_similarity_toInterpro_domains_IPR000014_(PAS_domain),_IPR011598(Myc-type,_basic_helix-loop-helix_(bHLH)_domain)</t>
  </si>
  <si>
    <t>7209.EFO26708.1</t>
  </si>
  <si>
    <t>1.2e-270</t>
  </si>
  <si>
    <t>938.7</t>
  </si>
  <si>
    <t>cky-1</t>
  </si>
  <si>
    <t>GO:0003674,GO:0005488,GO:0005515,GO:0005575,GO:0005622,GO:0005623,GO:0005634,GO:0005667,GO:0006355,GO:0006357,GO:0008150,GO:0009889,GO:0009891,GO:0009893,GO:0010468,GO:0010556,GO:0010557,GO:0010604,GO:0010628,GO:0019219,GO:0019222,GO:0031323,GO:0031325,GO:0031326,GO:0031328,GO:0032991,GO:0043226,GO:0043227,GO:0043229,GO:0043231,GO:0044422,GO:0044424,GO:0044428,GO:0044446,GO:0044464,GO:0044798,GO:0045893,GO:0045935,GO:0045944,GO:0048518,GO:0048522,GO:0050789,GO:0050794,GO:0051171,GO:0051173,GO:0051252,GO:0051254,GO:0060255,GO:0065007,GO:0080090,GO:0090575,GO:1902680,GO:1903506,GO:1903508,GO:2000112,GO:2001141</t>
  </si>
  <si>
    <t>1KXQP@119089,28JIU@1,2QRXX@2759,39JUP@33154,3BDNM@33208,3CT7M@33213,40DMQ@6231</t>
  </si>
  <si>
    <t>PAS domain</t>
  </si>
  <si>
    <t>23,4875/22,9537</t>
  </si>
  <si>
    <t>13,1673/13,1673</t>
  </si>
  <si>
    <t>20,9964/22,7758</t>
  </si>
  <si>
    <t>WBGene00000521</t>
  </si>
  <si>
    <t>37.3665</t>
  </si>
  <si>
    <t>Bm2300</t>
  </si>
  <si>
    <t>WBGene00222561</t>
  </si>
  <si>
    <t>GO:0016020/GO:0016021/GO:0016247/GO:0051968/</t>
  </si>
  <si>
    <t>channel_regulator_activity/integral_component_of_membrane/membrane/positive_regulation_of_synaptic_transmission,_glutamatergic/</t>
  </si>
  <si>
    <t>A_lipid_bilayer_along_with_all_the_proteins_and_protein_complexes_embedded_in_it_an_attached_to_it._[GOC:dos,_GOC:mah,_ISBN:0815316194]/"Any_process_that_activates,_maintains_or_increases_the_frequency,_rate_or_extent_of_glutamatergic_synaptic_transmission,_the_process_of_communication_from_a_neuron_to_another_neuron_across_a_synapse_using_the_neurotransmitter_glutamate."_[GOC:ai]/"Modulates_the_activity_of_a_channel._A_channel_catalyzes_energy-independent_facilitated_diffusion,_mediated_by_passage_of_a_solute_through_a_transmembrane_aqueous_pore_or_channel."_[GOC:mah]/"The_component_of_a_membrane_consisting_of_the_gene_products_and_protein_complexes_having_at_least_some_part_of_their_peptide_sequence_embedded_in_the_hydrophobic_region_of_the_membrane."_[GOC:dos,_GOC:go_curators]/</t>
  </si>
  <si>
    <t>IPR004031/</t>
  </si>
  <si>
    <t>PMP-22/EMP/MP20/Claudin_superfamily/</t>
  </si>
  <si>
    <t>PMP22/EMP/MP20/Claudin/</t>
  </si>
  <si>
    <t>note=B._malayi_BMA-STG-1_protein</t>
  </si>
  <si>
    <t>7209.EFO17813.1</t>
  </si>
  <si>
    <t>1.4e-107</t>
  </si>
  <si>
    <t>396.0</t>
  </si>
  <si>
    <t>GO:0003674,GO:0008150,GO:0010646,GO:0010647,GO:0016247,GO:0023051,GO:0023056,GO:0048518,GO:0048522,GO:0050789,GO:0050794,GO:0050804,GO:0050806,GO:0051966,GO:0051968,GO:0065007,GO:0065009,GO:0098772,GO:0099177</t>
  </si>
  <si>
    <t>1KVYB@119089,28M76@1,2QPQH@2759,38W1P@33154,3BJ3R@33208,3CYC5@33213,40DES@6231</t>
  </si>
  <si>
    <t>positive regulation of AMPA receptor activity</t>
  </si>
  <si>
    <t>45,5598/37,0656/35,9073</t>
  </si>
  <si>
    <t>17,3745/15,444/18,5328/16,2162</t>
  </si>
  <si>
    <t>15,8301/15,444/17,3745/18,5328</t>
  </si>
  <si>
    <t>17,3745/15,0579/14,6718/16,6023/16,6023/11,9691/16,9884/14,6718</t>
  </si>
  <si>
    <t>WBGene00007670</t>
  </si>
  <si>
    <t>49.4208</t>
  </si>
  <si>
    <t>Bm2312</t>
  </si>
  <si>
    <t>WBGene00222573</t>
  </si>
  <si>
    <t>3.5e-201</t>
  </si>
  <si>
    <t>707.6</t>
  </si>
  <si>
    <t>Bm2336</t>
  </si>
  <si>
    <t>WBGene00222597</t>
  </si>
  <si>
    <t>GO:0016020/GO:0016021/GO:0018996/GO:0045138/</t>
  </si>
  <si>
    <t>integral_component_of_membrane/membrane/molting_cycle,_collagen_and_cuticulin-based_cuticle/nematode_male_tail_tip_morphogenesis/</t>
  </si>
  <si>
    <t>A_lipid_bilayer_along_with_all_the_proteins_and_protein_complexes_embedded_in_it_an_attached_to_it._[GOC:dos,_GOC:mah,_ISBN:0815316194]/"The_component_of_a_membrane_consisting_of_the_gene_products_and_protein_complexes_having_at_least_some_part_of_their_peptide_sequence_embedded_in_the_hydrophobic_region_of_the_membrane."_[GOC:dos,_GOC:go_curators]/"The_periodic_shedding_of_part_or_all_of_a_collagen_and_cuticulin-based_cuticle,_which_is_then_replaced_by_a_new_collagen_and_cuticulin-based_cuticle._An_example_of_this_is_found_in_the_Nematode_worm,_Caenorhabditis_elegans."_[GOC:jl,_GOC:mtg_sensu]/"The_process_in_which_the_anatomical_structure_of_the_adult_male_tail_tip_is_generated_and_organized._In_some_species_of_rhabitid_nematodes,_the_male_tail_tip_undergoes_a_morphological_change_such_that_the_most_posterior_hypodermal_cells_in_the_tail_(hyp8-11_in_C._elegans)_fuse_and_retract_anteriorly,_changing_the_shape_of_the_tail_from_a_pointed,_tapered_cone,_or_spike,_to_a_rounded,_blunt_dome."_[GOC:kmv,_PMID:16806150,_PMID:18050419,_PMID:21408209,_PMID:7409314]/</t>
  </si>
  <si>
    <t>biological_process/cellular_component/</t>
  </si>
  <si>
    <t>IPR000731/IPR003392/</t>
  </si>
  <si>
    <t>Protein_patched/dispatched/Sterol-sensing_domain/</t>
  </si>
  <si>
    <t>Ptc/Disp/SSD/</t>
  </si>
  <si>
    <t>note=B._malayi_BMA-PTR-1_protein,_contains_similarity_toPfam_domain_PF02460_Patched_family_contains_similarity_toInterpro_domain_IPR003392_(Patched)</t>
  </si>
  <si>
    <t>7209.EFO23360.1</t>
  </si>
  <si>
    <t>1674.1</t>
  </si>
  <si>
    <t>GO:0000003,GO:0003006,GO:0007275,GO:0007548,GO:0008150,GO:0009653,GO:0018996,GO:0022414,GO:0032501,GO:0032502,GO:0042303,GO:0045138,GO:0046661,GO:0048856,GO:0090598</t>
  </si>
  <si>
    <t>1KTN8@119089,39Y60@33154,3BFR6@33208,3D5YD@33213,40CKZ@6231,KOG1934@1,KOG1934@2759</t>
  </si>
  <si>
    <t>Patched family</t>
  </si>
  <si>
    <t>24,0876/17,9353/23,4619</t>
  </si>
  <si>
    <t>30,9698/46,194</t>
  </si>
  <si>
    <t>52,5547/51,4077</t>
  </si>
  <si>
    <t>12,4088/5,00521</t>
  </si>
  <si>
    <t>WBGene00004216</t>
  </si>
  <si>
    <t>52.0334</t>
  </si>
  <si>
    <t>Bm2422</t>
  </si>
  <si>
    <t>WBGene00222683</t>
  </si>
  <si>
    <t>IPR000047/IPR001356/IPR009057/IPR017970/IPR020479/</t>
  </si>
  <si>
    <t>Helix-turn-helix_motif/Homeobox,_conserved_site/Homeobox-like_domain_superfamily/Homeobox_domain/Homeobox_domain,_metazoa/</t>
  </si>
  <si>
    <t>HTH_motif/Homeobox-like_sf/Homeobox_CS/Homeobox_dom/Homeobox_metazoa/</t>
  </si>
  <si>
    <t>note=B._malayi_BMA-CEH-2_protein,_contains_similarity_toPfam_domain_PF00046_Homeobox_domain_contains_similarity_toInterpro_domains_IPR000047_(Helix-turn-helix_motif),IPR020479_(Homeodomain,_metazoa),_IPR001356_(Homeoboxdomain),_IPR009057_(Homeodomain-like)</t>
  </si>
  <si>
    <t>281687.CJA19276b</t>
  </si>
  <si>
    <t>5.4e-43</t>
  </si>
  <si>
    <t>181.8</t>
  </si>
  <si>
    <t>GO:0005575,GO:0005622,GO:0005623,GO:0005634,GO:0043226,GO:0043227,GO:0043229,GO:0043231,GO:0044424,GO:0044464</t>
  </si>
  <si>
    <t>ko:K09317</t>
  </si>
  <si>
    <t>ko00000,ko03000</t>
  </si>
  <si>
    <t>1M04R@119089,39SRX@33154,3BQ4B@33208,3CSS6@33213,40EFV@6231,40U5Q@6236,KOG0843@2759,KOG0850@1</t>
  </si>
  <si>
    <t>Homeobox domain</t>
  </si>
  <si>
    <t>16,7647/18,5294</t>
  </si>
  <si>
    <t>17,9412/17,9412</t>
  </si>
  <si>
    <t>17,9412/18,5294</t>
  </si>
  <si>
    <t>17,3529/17,6471/18,8235</t>
  </si>
  <si>
    <t>WBGene00000429</t>
  </si>
  <si>
    <t>27.9412</t>
  </si>
  <si>
    <t>Bm253</t>
  </si>
  <si>
    <t>WBGene00220514</t>
  </si>
  <si>
    <t>Bm2666</t>
  </si>
  <si>
    <t>WBGene00222927</t>
  </si>
  <si>
    <t>GO:0000138/GO:0005096/GO:0005769/GO:0005797/GO:0005829/GO:0016020/GO:0016021/GO:0017137/GO:0043547/GO:1990502/</t>
  </si>
  <si>
    <t>GTPase_activator_activity/Golgi_medial_cisterna/Golgi_trans_cisterna/Rab_GTPase_binding/cytosol/dense_core_granule_maturation/early_endosome/integral_component_of_membrane/membrane/positive_regulation_of_GTPase_activity/</t>
  </si>
  <si>
    <t>A_lipid_bilayer_along_with_all_the_proteins_and_protein_complexes_embedded_in_it_an_attached_to_it._[GOC:dos,_GOC:mah,_ISBN:0815316194]/"A_membrane-bounded_organelle_that_receives_incoming_material_from_primary_endocytic_vesicles_that_have_been_generated_by_clathrin-dependent_and_clathrin-independent_endocytosis;_vesicles_fuse_with_the_early_endosome_to_deliver_cargo_for_sorting_into_recycling_or_degradation_pathways."_[GOC:mah,_NIF_Subcellular:nlx_subcell_20090701,_PMID:19696797]/"Any_process_that_activates_or_increases_the_activity_of_a_GTPase."_[GOC:jl,_GOC:mah]/"Binds_to_and_increases_the_activity_of_a_GTPase,_an_enzyme_that_catalyzes_the_hydrolysis_of_GTP."_[GOC:mah]/"Interacting_selectively_and_non-covalently_with_Rab_protein,_any_member_of_the_Rab_subfamily_of_the_Ras_superfamily_of_monomeric_GTPases."_[GOC:mah]/"Steps_required_to_transform_a_dense_core_granule_generated_at_the_trans-Golgi_network_into_a_fully_formed_and_transmissible_dense_core_granule._Dense_core_granule_maturation_proceeds_through_clathrin-mediated_membrane_remodeling_events_and_is_essential_for_efficient_processing_of_cargo_within_dense_core_granules_as_well_as_for_removing_factors_that_might_otherwise_interfere_with_dense_core_granule_trafficking_and_exocytosis."_[GOC:kmv,_PMID:22654674]/"The_Golgi_cisterna_farthest_from_the_endoplasmic_reticulum;_the_final_processing_compartment_through_which_proteins_pass_before_exiting_the_Golgi_apparatus;_the_compartment_in_which_N-linked_protein_glycosylation_is_completed."_[ISBN:0815316194]/"The_component_of_a_membrane_consisting_of_the_gene_products_and_protein_complexes_having_at_least_some_part_of_their_peptide_sequence_embedded_in_the_hydrophobic_region_of_the_membrane."_[GOC:dos,_GOC:go_curators]/"The_middle_Golgi_cisterna_(or_cisternae)."_[ISBN:0815316194]/"The_part_of_the_cytoplasm_that_does_not_contain_organelles_but_which_does_contain_other_particulate_matter,_such_as_protein_complexes."_[GOC:hjd,_GOC:jl]/</t>
  </si>
  <si>
    <t>IPR000195/IPR004012/IPR021935/IPR035969/IPR037213/IPR037745/</t>
  </si>
  <si>
    <t>RUN_domain/RUN_domain_superfamily/Rab-GTPase-TBC_domain/Rab-GTPase-TBC_domain_superfamily/Small_G_protein_signalling_modulator_1/2,_PH_domain/Small_G_protein_signalling_modulator_1/2,_Rab-binding_domain/</t>
  </si>
  <si>
    <t>Rab-GTPase-TBC_dom/Rab-GTPase_TBC_sf/Run_dom/Run_dom_sf/SGSM1/2/SGSM1/2_RBD/</t>
  </si>
  <si>
    <t>note=B._malayi_BMA-TBC-8_protein,_contains_similarity_toPfam_domain_PF00566_Rab-GTPase-TBC_domain_containssimilarity_to_Interpro_domain_IPR000195_(Rab-GTPase-TBCdomain)</t>
  </si>
  <si>
    <t>7209.EJD73813.1</t>
  </si>
  <si>
    <t>2.2e-208</t>
  </si>
  <si>
    <t>732.6</t>
  </si>
  <si>
    <t>GO:0000138,GO:0003674,GO:0005488,GO:0005515,GO:0005575,GO:0005622,GO:0005623,GO:0005737,GO:0005768,GO:0005769,GO:0005794,GO:0005795,GO:0005797,GO:0005829,GO:0006996,GO:0008150,GO:0009987,GO:0010256,GO:0012505,GO:0016043,GO:0016050,GO:0017016,GO:0017137,GO:0019899,GO:0021700,GO:0031267,GO:0031410,GO:0031982,GO:0031984,GO:0031985,GO:0032502,GO:0033363,GO:0043226,GO:0043227,GO:0043229,GO:0043231,GO:0044422,GO:0044424,GO:0044431,GO:0044444,GO:0044446,GO:0044464,GO:0051020,GO:0061792,GO:0071840,GO:0097708,GO:0098791,GO:1990502</t>
  </si>
  <si>
    <t>ko:K21847</t>
  </si>
  <si>
    <t>ko00000,ko04131</t>
  </si>
  <si>
    <t>1KTYP@119089,38HEA@33154,3BANQ@33208,3CU86@33213,40CDF@6231,COG5210@1,KOG1648@2759</t>
  </si>
  <si>
    <t>Domain in Tre-2, BUB2p, and Cdc16p. Probable Rab-GAPs.</t>
  </si>
  <si>
    <t>6,81818/16,342/19,0476/4,97835/7,90043/19,2641</t>
  </si>
  <si>
    <t>8,98268/12,013</t>
  </si>
  <si>
    <t>10,2814/6,92641</t>
  </si>
  <si>
    <t>19,0476/6,92641</t>
  </si>
  <si>
    <t>34,3074/34,9567</t>
  </si>
  <si>
    <t>8,65801/3,24675/8,98268/5,51948/5,08658/5,51948/5,73593/5,73593/5,73593/5,62771/5,62771/5,62771/5,62771/5,73593/5,73593/5,73593/5,62771/3,8961/7,46753/8,11688/36,5801/8,44156/7,79221/2,81385/3,78788</t>
  </si>
  <si>
    <t>8,33333/3,4632/8,98268/5,51948/4,97835/5,51948/7,35931/8,00866/36,9048/7,90043/7,46753</t>
  </si>
  <si>
    <t>7,57576/8,44156/5,51948/5,84416/5,08658/5,08658/5,08658/7,68398/7,25108/36,5801/9,09091/6,92641/4,97835/5,95238</t>
  </si>
  <si>
    <t>3,78788/6,38528/8,44156</t>
  </si>
  <si>
    <t>WBGene00008018</t>
  </si>
  <si>
    <t>39.0693</t>
  </si>
  <si>
    <t>Bm2671</t>
  </si>
  <si>
    <t>WBGene00222932</t>
  </si>
  <si>
    <t>IPR001356/IPR009057/IPR017970/IPR020479/</t>
  </si>
  <si>
    <t>Homeobox,_conserved_site/Homeobox-like_domain_superfamily/Homeobox_domain/Homeobox_domain,_metazoa/</t>
  </si>
  <si>
    <t>Homeobox-like_sf/Homeobox_CS/Homeobox_dom/Homeobox_metazoa/</t>
  </si>
  <si>
    <t>note=B._malayi_BMA-MLS-2_protein,_contains_similarity_toPfam_domain_PF00046_Homeobox_domain_contains_similarity_toInterpro_domains_IPR020479_(Homeodomain,_metazoa),IPR001356_(Homeobox_domain),_IPR009057_(Homeodomain-like)</t>
  </si>
  <si>
    <t>7209.EJD73909.1</t>
  </si>
  <si>
    <t>1.2e-67</t>
  </si>
  <si>
    <t>263.5</t>
  </si>
  <si>
    <t>GO:0000132,GO:0000226,GO:0000278,GO:0000976,GO:0000977,GO:0001012,GO:0001067,GO:0002119,GO:0002164,GO:0003386,GO:0003387,GO:0003674,GO:0003676,GO:0003677,GO:0003690,GO:0005488,GO:0005575,GO:0005622,GO:0005623,GO:0005634,GO:0006355,GO:0006357,GO:0006996,GO:0007010,GO:0007017,GO:0007049,GO:0007163,GO:0007275,GO:0007399,GO:0007423,GO:0008150,GO:0008284,GO:0009791,GO:0009889,GO:0009891,GO:0009893,GO:0009987,GO:0010453,GO:0010468,GO:0010470,GO:0010556,GO:0010557,GO:0010604,GO:0010628,GO:0016043,GO:0019219,GO:0019222,GO:0022008,GO:0022402,GO:0022603,GO:0030010,GO:0030154,GO:0030182,GO:0031323,GO:0031325,GO:0031326,GO:0031328,GO:0032501,GO:0032502,GO:0040001,GO:0042127,GO:0042659,GO:0042661,GO:0043226,GO:0043227,GO:0043229,GO:0043231,GO:0043565,GO:0044212,GO:0044424,GO:0044464,GO:0045595,GO:0045893,GO:0045935,GO:0045944,GO:0045995,GO:0048513,GO:0048518,GO:0048522,GO:0048699,GO:0048731,GO:0048856,GO:0048869,GO:0050789,GO:0050793,GO:0050794,GO:0051171,GO:0051173,GO:0051179,GO:0051234,GO:0051239,GO:0051252,GO:0051254,GO:0051293,GO:0051294,GO:0051640,GO:0051641,GO:0051649,GO:0051653,GO:0051656,GO:0060255,GO:0065007,GO:0071840,GO:0080090,GO:0097159,GO:1901363,GO:1902680,GO:1902850,GO:1903047,GO:1903506,GO:1903508,GO:1905770,GO:1905902,GO:1990837,GO:2000026,GO:2000027,GO:2000112,GO:2000380,GO:2001141</t>
  </si>
  <si>
    <t>ko:K09349</t>
  </si>
  <si>
    <t>1KWXT@119089,3A449@33154,3BRDX@33208,3D26J@33213,40EKZ@6231,KOG0485@1,KOG0485@2759</t>
  </si>
  <si>
    <t>27,1429/20,7143</t>
  </si>
  <si>
    <t>WBGene00003377</t>
  </si>
  <si>
    <t>26.4286</t>
  </si>
  <si>
    <t>Bm2744</t>
  </si>
  <si>
    <t>WBGene00223005</t>
  </si>
  <si>
    <t>7209.EJD76746.1</t>
  </si>
  <si>
    <t>8.7e-149</t>
  </si>
  <si>
    <t>533.9</t>
  </si>
  <si>
    <t>1KZ7C@119089,2E2K6@1,2S9TG@2759,3AAIS@33154,3BUJT@33208,3DB3J@33213,40GAA@6231</t>
  </si>
  <si>
    <t>WBGene00008079</t>
  </si>
  <si>
    <t>21.1215</t>
  </si>
  <si>
    <t>Bm2841</t>
  </si>
  <si>
    <t>WBGene00223102</t>
  </si>
  <si>
    <t>GO:0016020/GO:0016021/GO:0016747/</t>
  </si>
  <si>
    <t>integral_component_of_membrane/membrane/transferase_activity,_transferring_acyl_groups_other_than_amino-acyl_groups/</t>
  </si>
  <si>
    <t>A_lipid_bilayer_along_with_all_the_proteins_and_protein_complexes_embedded_in_it_an_attached_to_it._[GOC:dos,_GOC:mah,_ISBN:0815316194]/"Catalysis_of_the_transfer_of_an_acyl_group,_other_than_amino-acyl,_from_one_compound_(donor)_to_another_(acceptor)."_[GOC:jl]/"The_component_of_a_membrane_consisting_of_the_gene_products_and_protein_complexes_having_at_least_some_part_of_their_peptide_sequence_embedded_in_the_hydrophobic_region_of_the_membrane."_[GOC:dos,_GOC:go_curators]/</t>
  </si>
  <si>
    <t>IPR002656/IPR006621/</t>
  </si>
  <si>
    <t>Acyltransferase_3/Nose_resistant-to-fluoxetine_protein,_N-terminal/</t>
  </si>
  <si>
    <t>Acyl_transf_3/Nose-resist-to-fluoxetine_N/</t>
  </si>
  <si>
    <t>note=B._malayi_BMA-OAC-9_protein,_contains_similarity_toPfam_domain_PF01757_Acyltransferase_family_containssimilarity_to_Interpro_domains_IPR002656_(Acyltransferase3),_IPR006621_(Nose_resistant-to-fluoxetine_protein,N-terminal)</t>
  </si>
  <si>
    <t>7209.EFO25045.2</t>
  </si>
  <si>
    <t>1206.8</t>
  </si>
  <si>
    <t>1KVG8@119089,3A1BS@33154,3BPQS@33208,3D73U@33213,40CQC@6231,KOG3700@1,KOG3700@2759</t>
  </si>
  <si>
    <t>Acyltransferase family</t>
  </si>
  <si>
    <t>25,8438/17,4542</t>
  </si>
  <si>
    <t>8,48602/9,73963/10,0289/10,4147/9,06461</t>
  </si>
  <si>
    <t>WBGene00016753</t>
  </si>
  <si>
    <t>19.6721</t>
  </si>
  <si>
    <t>Bm2895</t>
  </si>
  <si>
    <t>WBGene00223156</t>
  </si>
  <si>
    <t>GO:0003824/GO:0005623/GO:0007638/GO:0050976/</t>
  </si>
  <si>
    <t>catalytic_activity/cell/detection_of_mechanical_stimulus_involved_in_sensory_perception_of_touch/mechanosensory_behavior/</t>
  </si>
  <si>
    <t>Behavior_that_is_dependent_upon_the_sensation_of_a_mechanical_stimulus._[GOC:go_curators]/"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The_basic_structural_and_functional_unit_of_all_organisms._Includes_the_plasma_membrane_and_any_external_encapsulating_structures_such_as_the_cell_wall_and_cell_envelope."_[GOC:go_curators]/"The_series_of_events_involved_in_the_perception_of_touch_in_which_a_mechanical_stimulus_is_received_and_converted_into_a_molecular_signal."_[GOC:ai,_GOC:dos]/</t>
  </si>
  <si>
    <t>IPR000873/IPR025110/</t>
  </si>
  <si>
    <t>AMP-binding_enzyme,_C-terminal_domain/AMP-dependent_synthetase/ligase/</t>
  </si>
  <si>
    <t>AMP-bd_C/AMP-dep_Synth/Lig/</t>
  </si>
  <si>
    <t>note=B._malayi_BMA-MEC-18_protein,_contains_similarity_to_Pfam_domains_PF13193_(AMP-binding_enzyme_C-terminal_domain),_PF00501_(AMP-binding_enzyme)_contains_similarity_to_Interpro_domains_IPR000873_(AMP-dependent_synthetase/ligase),_IPR025110_(AMP-binding_enzyme_C-terminal_domain)</t>
  </si>
  <si>
    <t>6238.CBG14383</t>
  </si>
  <si>
    <t>4.5e-107</t>
  </si>
  <si>
    <t>395.6</t>
  </si>
  <si>
    <t>GO:0003008,GO:0003674,GO:0003824,GO:0005575,GO:0005623,GO:0007600,GO:0007610,GO:0007638,GO:0008150,GO:0009581,GO:0009582,GO:0009605,GO:0009612,GO:0009628,GO:0016405,GO:0016874,GO:0016877,GO:0032501,GO:0050877,GO:0050896,GO:0050906,GO:0050954,GO:0050974,GO:0050975,GO:0050976,GO:0050982,GO:0051606</t>
  </si>
  <si>
    <t>1KYPB@119089,3AGFG@33154,3BWU3@33208,3DDRY@33213,40FQ8@6231,40SMT@6236,COG0318@1,KOG1176@2759</t>
  </si>
  <si>
    <t>I</t>
  </si>
  <si>
    <t>AMP-binding enzyme C-terminal domain</t>
  </si>
  <si>
    <t>11,6641/25,0389</t>
  </si>
  <si>
    <t>13,2193/13,5303/14,619/13,9969/13,5303/14,619/15,5521/13,5303/14,93/13,3748/12,9082/12,2862/10,8865/9,79782/9,79782/9,48678/11,042</t>
  </si>
  <si>
    <t>10,8865/9,17574/10,8865/10,2644/10,1089/12,2862/11,5086/11,042/9,17574/9,95334/14,7745</t>
  </si>
  <si>
    <t>11,9751/9,95334/9,17574/10,4199/11,6641/11,353/12,9082/10,7309/9,17574/10,1089/14,7745</t>
  </si>
  <si>
    <t>9,79782/12,1306/9,95334/10,8865/10,1089/9,17574/12,4417/11,9751/4,66563/11,042/11,042/10,2644/14,1524/14,7745</t>
  </si>
  <si>
    <t>WBGene00003179</t>
  </si>
  <si>
    <t>31.4152</t>
  </si>
  <si>
    <t>Bm2923</t>
  </si>
  <si>
    <t>WBGene00223184</t>
  </si>
  <si>
    <t>GO:0000139/GO:0005794/GO:0006486/GO:0015018/GO:0016020/GO:0016740/GO:0046872/</t>
  </si>
  <si>
    <t>Golgi_apparatus/Golgi_membrane/galactosylgalactosylxylosylprotein_3-beta-glucuronosyltransferase_activity/membrane/metal_ion_binding/protein_glycosylation/transferase_activity/</t>
  </si>
  <si>
    <t>A_compound_membranous_cytoplasmic_organelle_of_eukaryotic_cells,_consisting_of_flattened,_ribosome-free_vesicles_arranged_in_a_more_or_less_regular_stack._The_Golgi_apparatus_differs_from_the_endoplasmic_reticulum_in_often_having_slightly_thicker_membranes,_appearing_in_sections_as_a_characteristic_shallow_semicircle_so_that_the_convex_side_(cis_or_entry_face)_abuts_the_endoplasmic_reticulum,_secretory_vesicles_emerging_from_the_concave_side_(trans_or_exit_face)._In_vertebrate_cells_there_is_usually_one_such_organelle,_while_in_invertebrates_and_plants,_where_they_are_known_usually_as_dictyosomes,_there_may_be_several_scattered_in_the_cytoplasm._The_Golgi_apparatus_processes_proteins_produced_on_the_ribosomes_of_the_rough_endoplasmic_reticulum;_such_processing_includes_modification_of_the_core_oligosaccharides_of_glycoproteins,_and_the_sorting_and_packaging_of_proteins_for_transport_to_a_variety_of_cellular_locations._Three_different_regions_of_the_Golgi_are_now_recognized_both_in_terms_of_structure_and_function:_cis,_in_the_vicinity_of_the_cis_face,_trans,_in_the_vicinity_of_the_trans_face,_and_medial,_lying_between_the_cis_and_trans_regions._[ISBN:0198506732]/"A_lipid_bilayer_along_with_all_the_proteins_and_protein_complexes_embedded_in_it_an_attached_to_it."_[GOC:dos,_GOC:mah,_ISBN:0815316194]/"A_protein_modification_process_that_results_in_the_addition_of_a_carbohydrate_or_carbohydrate_derivative_unit_to_a_protein_amino_acid,_e.g._the_addition_of_glycan_chains_to_proteins."_[GOC:curators,_GOC:pr]/"Catalysis_of_the_reaction:_UDP-glucuronate_+_3-beta-D-galactosyl-4-beta-D-galactosyl-O-beta-D-xylosylprotein_=_UDP_+_3-beta-D-glucuronosyl-3-beta-D-galactosyl-4-beta-D-galactosyl-O-beta-D-xylosylprotein."_[EC:2.4.1.135]/"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Interacting_selectively_and_non-covalently_with_any_metal_ion."_[GOC:ai]/"The_lipid_bilayer_surrounding_any_of_the_compartments_of_the_Golgi_apparatus."_[GOC:mah]/</t>
  </si>
  <si>
    <t>IPR005027/IPR029044/</t>
  </si>
  <si>
    <t>Glycosyl_transferase,_family_43/Nucleotide-diphospho-sugar_transferases/</t>
  </si>
  <si>
    <t>Glyco_trans_43/Nucleotide-diphossugar_trans/</t>
  </si>
  <si>
    <t>note=contains_similarity_to_Pfam_domain_PF03360_Glycosyltransferase_family_43_contains_similarity_to_Interpro_domains_IPR005027_(Glycosyl_transferase,_family_43),_IPR029044_(Nucleotide-diphospho-sugar_transferases)</t>
  </si>
  <si>
    <t>7209.EFO21724.1</t>
  </si>
  <si>
    <t>6.7e-124</t>
  </si>
  <si>
    <t>450.3</t>
  </si>
  <si>
    <t>1M0S2@119089,38EWD@33154,3BCSU@33208,3CSH4@33213,40R31@6231,KOG1476@1,KOG1476@2759</t>
  </si>
  <si>
    <t>Belongs to the glycosyltransferase 43 family</t>
  </si>
  <si>
    <t>32,8622/32,8622</t>
  </si>
  <si>
    <t>29,682/27,2085/30,7421/32,8622</t>
  </si>
  <si>
    <t>Bm307</t>
  </si>
  <si>
    <t>WBGene00220568</t>
  </si>
  <si>
    <t>IPR002716/IPR029060/</t>
  </si>
  <si>
    <t>PIN-like_domain_superfamily/PIN_domain/</t>
  </si>
  <si>
    <t>PIN-like_dom_sf/PIN_dom/</t>
  </si>
  <si>
    <t>note=contains_similarity_to_Pfam_domain_PF13638_PIN_domain_contains_similarity_to_Interpro_domains_IPR002716_(PIN_domain),_IPR029060_(PIN_domain-like)</t>
  </si>
  <si>
    <t>7209.EFO26668.2</t>
  </si>
  <si>
    <t>7.4e-88</t>
  </si>
  <si>
    <t>330.9</t>
  </si>
  <si>
    <t>1M019@119089,2D5K1@1,2SYU1@2759,39BCZ@33154,3CFF2@33208,3DWV8@33213,40H3K@6231</t>
  </si>
  <si>
    <t>PIN domain</t>
  </si>
  <si>
    <t>Bm3171</t>
  </si>
  <si>
    <t>WBGene00223432</t>
  </si>
  <si>
    <t>7209.EFO26610.1</t>
  </si>
  <si>
    <t>1.1e-205</t>
  </si>
  <si>
    <t>722.6</t>
  </si>
  <si>
    <t>1KZIF@119089,2EN40@1,2SRMG@2759,3ANQP@33154,3C1DX@33208,3DH61@33213,40GJG@6231</t>
  </si>
  <si>
    <t>WBGene00017215</t>
  </si>
  <si>
    <t>23.8532</t>
  </si>
  <si>
    <t>Bm3229</t>
  </si>
  <si>
    <t>WBGene00223490</t>
  </si>
  <si>
    <t>GO:0005524/GO:0006298/GO:0030983/</t>
  </si>
  <si>
    <t>ATP_binding/mismatch_repair/mismatched_DNA_binding/</t>
  </si>
  <si>
    <t>A_system_for_the_correction_of_errors_in_which_an_incorrect_base,_which_cannot_form_hydrogen_bonds_with_the_corresponding_base_in_the_parent_strand,_is_incorporated_into_the_daughter_strand._The_mismatch_repair_system_promotes_genomic_fidelity_by_repairing_base-base_mismatches,_insertion-deletion_loops_and_heterologies_generated_during_DNA_replication_and_recombination._[ISBN:0198506732,_PMID:11687886]/"Interacting_selectively_and_non-covalently_with_ATP,_adenosine_5'-triphosphate,_a_universally_important_coenzyme_and_enzyme_regulator."_[ISBN:0198506732]/"Interacting_selectively_and_non-covalently_with_double-stranded_DNA_containing_one_or_more_mismatches."_[GOC:mah]/</t>
  </si>
  <si>
    <t>IPR000432/IPR007696/IPR017261/IPR027417/IPR036187/IPR036678/</t>
  </si>
  <si>
    <t>DNA_mismatch_repair_protein_MutS,_C-terminal/DNA_mismatch_repair_protein_MutS,_core/DNA_mismatch_repair_protein_MutS,_core_domain_superfamily/DNA_mismatch_repair_protein_MutS/MSH/MutS,_connector_domain_superfamily/P-loop_containing_nucleoside_triphosphate_hydrolase/</t>
  </si>
  <si>
    <t>DNA_mismatch_repair_MutS/MSH/DNA_mismatch_repair_MutS_C/DNA_mismatch_repair_MutS_core/DNA_mismatch_repair_MutS_sf/MutS_con_dom_sf/P-loop_NTPase/</t>
  </si>
  <si>
    <t>note=B._malayi_BMA-MSH-5_protein,_contains_similarity_toPfam_domain_PF05192_MutS_domain_III_contains_similarity_toInterpro_domains_IPR007860_(DNA_mismatch_repair_proteinMutS,_connector_domain),_IPR007696_(DNA_mismatch_repairprotein_MutS,_core)</t>
  </si>
  <si>
    <t>7209.EJD74740.1</t>
  </si>
  <si>
    <t>1223.8</t>
  </si>
  <si>
    <t>msh-5</t>
  </si>
  <si>
    <t>GO:0000003,GO:0000280,GO:0003674,GO:0005488,GO:0005515,GO:0005575,GO:0005622,GO:0005623,GO:0005634,GO:0006139,GO:0006259,GO:0006310,GO:0006725,GO:0006807,GO:0006996,GO:0007049,GO:0007059,GO:0007127,GO:0007129,GO:0007131,GO:0008150,GO:0008152,GO:0009987,GO:0016043,GO:0022402,GO:0022414,GO:0022607,GO:0034641,GO:0035825,GO:0043170,GO:0043226,GO:0043227,GO:0043229,GO:0043231,GO:0044085,GO:0044237,GO:0044238,GO:0044260,GO:0044424,GO:0044464,GO:0045132,GO:0045143,GO:0046483,GO:0048285,GO:0051026,GO:0051276,GO:0051321,GO:0061982,GO:0070192,GO:0071704,GO:0071840,GO:0090304,GO:0098813,GO:0140013,GO:1901360,GO:1903046</t>
  </si>
  <si>
    <t>ko:K08741</t>
  </si>
  <si>
    <t>ko00000,ko03400</t>
  </si>
  <si>
    <t>1KUN6@119089,38FDG@33154,3B9GJ@33208,3D28W@33213,40CFM@6231,COG0249@1,KOG0221@2759</t>
  </si>
  <si>
    <t>ATPase domain of DNA mismatch repair MUTS family</t>
  </si>
  <si>
    <t>31,9264/25</t>
  </si>
  <si>
    <t>33,8745/7,46753/11,3636</t>
  </si>
  <si>
    <t>32,1429/14,1775/9,41558/26,5152</t>
  </si>
  <si>
    <t>9,41558/12,013</t>
  </si>
  <si>
    <t>17,8571/7,79221</t>
  </si>
  <si>
    <t>29,0043/29,0043</t>
  </si>
  <si>
    <t>WBGene00003421</t>
  </si>
  <si>
    <t>29.6537</t>
  </si>
  <si>
    <t>meiosis_meiotic_recombination</t>
  </si>
  <si>
    <t>Bm3404</t>
  </si>
  <si>
    <t>WBGene00223665</t>
  </si>
  <si>
    <t>GO:0005216/GO:0005244/GO:0005249/GO:0005267/GO:0006811/GO:0006813/GO:0016020/GO:0016021/GO:0034765/GO:0055085/GO:0071805/</t>
  </si>
  <si>
    <t>integral_component_of_membrane/ion_channel_activity/ion_transport/membrane/potassium_channel_activity/potassium_ion_transmembrane_transport/potassium_ion_transport/regulation_of_ion_transmembrane_transport/transmembrane_transport/voltage-gated_ion_channel_activity/voltage-gated_potassium_channel_activity/</t>
  </si>
  <si>
    <t>A_lipid_bilayer_along_with_all_the_proteins_and_protein_complexes_embedded_in_it_an_attached_to_it._[GOC:dos,_GOC:mah,_ISBN:0815316194]/"A_process_in_which_a_potassium_ion_is_transported_from_one_side_of_a_membrane_to_the_other."_[GOC:mah]/"Any_process_that_modulates_the_frequency,_rate_or_extent_of_the_directed_movement_of_ions_from_one_side_of_a_membrane_to_the_other."_[GOC:mah]/"Enables_the_facilitated_diffusion_of_a_potassium_ion_(by_an_energy-independent_process)_involving_passage_through_a_transmembrane_aqueous_pore_or_channel_without_evidence_for_a_carrier-mediated_mechanism."_[GOC:BHF,_GOC:mtg_transport,_GOC:pr,_ISBN:0815340729]/"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Enables_the_transmembrane_transfer_of_a_potassium_ion_by_a_voltage-gated_channel._A_voltage-gated_channel_is_a_channel_whose_open_state_is_dependent_on_the_voltage_across_the_membrane_in_which_it_is_embedded."_[GOC:mtg_transport,_ISBN:0815340729]/"Enables_the_transmembrane_transfer_of_an_ion_by_a_voltage-gated_channel._An_ion_is_an_atom_or_group_of_atoms_carrying_an_electric_charge_by_virtue_of_having_gained_or_lost_one_or_more_electrons._A_voltage-gated_channel_is_a_channel_whose_open_state_is_dependent_on_the_voltage_across_the_membrane_in_which_it_is_embedded."_[GOC:mtg_transport,_ISBN:0198506732,_ISBN:0815340729]/"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he_directed_movement_of_potassium_ions_(K+)_into,_out_of_or_within_a_cell,_or_between_cells,_by_means_of_some_agent_such_as_a_transporter_or_pore."_[GOC:ai]/"The_process_in_which_a_solute_is_transported_across_a_lipid_bilayer,_from_one_side_of_a_membrane_to_the_other."_[GOC:dph,_GOC:jid]/</t>
  </si>
  <si>
    <t>IPR000014/IPR000595/IPR000700/IPR001610/IPR003938/IPR003949/IPR005821/IPR014710/IPR018490/IPR027359/IPR035965/</t>
  </si>
  <si>
    <t>Cyclic_nucleotide-binding-like/Cyclic_nucleotide-binding_domain/Ion_transport_domain/PAC_motif/PAS-associated,_C-terminal/PAS_domain/PAS_domain_superfamily/Potassium_channel,_voltage-dependent,_EAG/Potassium_channel,_voltage-dependent,_EAG/ELK/ERG/RmlC-like_jelly_roll_fold/Voltage-dependent_channel_domain_superfamily/</t>
  </si>
  <si>
    <t>Ion_trans_dom/K_chnl_volt-dep_EAG/K_chnl_volt-dep_EAG/ELK/ERG/PAC/PAS/PAS-assoc_C/PAS-like_dom_sf/RmlC-like_jellyroll/Volt_channel_dom_sf/cNMP-bd-like/cNMP-bd_dom/</t>
  </si>
  <si>
    <t>note=B._malayi_BMA-EGL-2_protein,_contains_similarity_toPfam_domains_PF00027_(Cyclic_nucleotide-binding_domain),PF00520_(Ion_transport_protein),_PF13426_(PAS_domain)contains_similarity_to_Interpro_domains_IPR001610_(PACmotif),_IPR000595_(Cyclic_nucleotide-binding_domain),IPR030171_(Potassium_voltage-gated_channel_subfamily_Hmember_5),_IPR003938_(Potassium_channel,voltage-dependent,_EAG/ELK/ERG),_IPR000014_(PAS_domain),IPR003949_(Potassium_channel,_voltage-dependent,_EAG),IPR018490_(Cyclic_nucleotide-binding-like),_IPR005821_(Iontransport_domain),_IPR014710_(RmlC-like_jelly_roll_fold)</t>
  </si>
  <si>
    <t>7209.EJD75039.1</t>
  </si>
  <si>
    <t>1342.4</t>
  </si>
  <si>
    <t>GO:0000003,GO:0003008,GO:0003012,GO:0003674,GO:0005215,GO:0005216,GO:0005261,GO:0005267,GO:0005488,GO:0005515,GO:0005575,GO:0005623,GO:0005886,GO:0005902,GO:0006810,GO:0006811,GO:0006812,GO:0006813,GO:0006936,GO:0007610,GO:0007635,GO:0008150,GO:0008324,GO:0009987,GO:0015075,GO:0015077,GO:0015079,GO:0015267,GO:0015318,GO:0015672,GO:0016020,GO:0018991,GO:0019098,GO:0019899,GO:0019900,GO:0019901,GO:0022414,GO:0022803,GO:0022838,GO:0022857,GO:0022890,GO:0030001,GO:0031253,GO:0031528,GO:0032501,GO:0032504,GO:0034220,GO:0042221,GO:0042995,GO:0044425,GO:0044459,GO:0044463,GO:0044464,GO:0046873,GO:0048609,GO:0050896,GO:0051179,GO:0051234,GO:0055085,GO:0071804,GO:0071805,GO:0071944,GO:0098590,GO:0098655,GO:0098660,GO:0098662,GO:0098858,GO:0120025,GO:0120038</t>
  </si>
  <si>
    <t>ko:K04908</t>
  </si>
  <si>
    <t>1.A.1.20.6</t>
  </si>
  <si>
    <t>1KXHA@119089,38HAJ@33154,3BB5P@33208,3CRBS@33213,40FJJ@6231,COG2202@1,KOG0501@2759</t>
  </si>
  <si>
    <t>Cyclic nucleotide-monophosphate binding domain</t>
  </si>
  <si>
    <t>49,6746/53,7961</t>
  </si>
  <si>
    <t>27,9826/8,78525/31,5618</t>
  </si>
  <si>
    <t>46,8547/47,9393</t>
  </si>
  <si>
    <t>WBGene00001171</t>
  </si>
  <si>
    <t>67.8959</t>
  </si>
  <si>
    <t>Bm3515</t>
  </si>
  <si>
    <t>WBGene00223776</t>
  </si>
  <si>
    <t>IPR000719/IPR001245/IPR008266/IPR011009/IPR017441/IPR020635/IPR036860/</t>
  </si>
  <si>
    <t>Protein_kinase,_ATP_binding_site/Protein_kinase-like_domain_superfamily/Protein_kinase_domain/SH2_domain_superfamily/Serine-threonine/tyrosine-protein_kinase,_catalytic_domain/Tyrosine-protein_kinase,_active_site/Tyrosine-protein_kinase,_catalytic_domain/</t>
  </si>
  <si>
    <t>Kinase-like_dom_sf/Prot_kinase_dom/Protein_kinase_ATP_BS/SH2_dom_sf/Ser-Thr/Tyr_kinase_cat_dom/Tyr_kinase_AS/Tyr_kinase_cat_dom/</t>
  </si>
  <si>
    <t>note=contains_similarity_to_Pfam_domains_PF07714_(Protein_tyrosine_kinase),_PF00017_(SH2_domain)_contains_similarity_to_Interpro_domains_IPR016253_(Integrin-linked_protein_kinase),_IPR001245_(Serine-threonine/tyrosine-protein_kinase_catalytic_domain),_IPR011009_(Protein_kinase-like_domain),_IPR000980_(SH2_domain),_IPR020635_(Tyrosine-protein_kinase,_catalytic_domain)</t>
  </si>
  <si>
    <t>7209.EFO27379.1</t>
  </si>
  <si>
    <t>8.8e-179</t>
  </si>
  <si>
    <t>632.9</t>
  </si>
  <si>
    <t>1KXXI@119089,38HSB@33154,3B9EV@33208,3CTSU@33213,40FFF@6231,COG0515@1,KOG0194@2759</t>
  </si>
  <si>
    <t>TK FER protein kinase</t>
  </si>
  <si>
    <t>42,6471/40,8824/42,6471/41,7647/42,6471/38,2353/10,5882</t>
  </si>
  <si>
    <t>Bm3595</t>
  </si>
  <si>
    <t>WBGene00223856</t>
  </si>
  <si>
    <t>GO:0003677/</t>
  </si>
  <si>
    <t>DNA_binding/</t>
  </si>
  <si>
    <t>Any_molecular_function_by_which_a_gene_product_interacts_selectively_and_non-covalently_with_DNA_(deoxyribonucleic_acid)._[GOC:dph,_GOC:jl,_GOC:tb,_GOC:vw]/</t>
  </si>
  <si>
    <t>IPR003656/IPR036236/</t>
  </si>
  <si>
    <t>Zinc_finger,_BED-type/Zinc_finger_C2H2_superfamily/</t>
  </si>
  <si>
    <t>Znf_BED/Znf_C2H2_sf/</t>
  </si>
  <si>
    <t>note=B._malayi_BMA-BED-3_protein,_contains_similarity_toPfam_domain_PF02892_BED_zinc_finger_contains_similarity_toInterpro_domain_IPR003656_(Zinc_finger,_BED-type)</t>
  </si>
  <si>
    <t>7209.EFO26564.1</t>
  </si>
  <si>
    <t>2.2e-217</t>
  </si>
  <si>
    <t>761.5</t>
  </si>
  <si>
    <t>GO:0000976,GO:0000977,GO:0001012,GO:0001067,GO:0001708,GO:0002119,GO:0002164,GO:0003674,GO:0003676,GO:0003677,GO:0003690,GO:0005488,GO:0007275,GO:0008150,GO:0009791,GO:0009987,GO:0018996,GO:0030154,GO:0032501,GO:0032502,GO:0040025,GO:0042303,GO:0043565,GO:0044212,GO:0045165,GO:0048513,GO:0048569,GO:0048731,GO:0048856,GO:0048869,GO:0050789,GO:0050794,GO:0051302,GO:0065007,GO:0072325,GO:0072327,GO:0097159,GO:1901363,GO:1990837</t>
  </si>
  <si>
    <t>1KX5N@119089,3A8X1@33154,3BV3R@33208,3DB8K@33213,40EW7@6231,KOG1121@1,KOG1121@2759</t>
  </si>
  <si>
    <t>BED zinc finger</t>
  </si>
  <si>
    <t>8,25893/10,9375/9,59821</t>
  </si>
  <si>
    <t>9,59821/9,15179/9,15179</t>
  </si>
  <si>
    <t>WBGene00009133</t>
  </si>
  <si>
    <t>26.3393</t>
  </si>
  <si>
    <t>Oogenic</t>
  </si>
  <si>
    <t>Bm364</t>
  </si>
  <si>
    <t>WBGene00220625</t>
  </si>
  <si>
    <t>Bm3691</t>
  </si>
  <si>
    <t>WBGene00223952</t>
  </si>
  <si>
    <t>GO:1990817/</t>
  </si>
  <si>
    <t>RNA_adenylyltransferase_activity/</t>
  </si>
  <si>
    <t>Catalysis_of_the_template-independent_extension_of_the_3'-_end_of_an_RNA_strand_by_addition_of_one_adenosine_molecule_at_a_time._Cannot_initiate_a_chain_'de_novo'._The_primer,_depending_on_the_source_of_the_enzyme,_may_be_an_RNA,_or_oligo(A)_bearing_a_3'-OH_terminal_group._[GOC:vw]/</t>
  </si>
  <si>
    <t>IPR002602/IPR012937/</t>
  </si>
  <si>
    <t>Domain_of_unknown_function_DB/Terminal_nucleotidyltransferase/</t>
  </si>
  <si>
    <t>DB/TET5/</t>
  </si>
  <si>
    <t>note=B._malayi_BMA-PQN-32_protein,_contains_similarity_to_Pfam_domain_PF01682_DB_module_contains_similarity_to_Interpro_domain_IPR002602_(Domain_of_unknown_function_DB)</t>
  </si>
  <si>
    <t>7209.EFO23109.1</t>
  </si>
  <si>
    <t>1.1e-160</t>
  </si>
  <si>
    <t>573.2</t>
  </si>
  <si>
    <t>1KVJ2@119089,2AAN6@1,2RYMF@2759,3A0Q6@33154,3BPK0@33208,3D6XA@33213,40CVR@6231</t>
  </si>
  <si>
    <t>41,0367/46,6523</t>
  </si>
  <si>
    <t>29,5896/28,5097/29,1577</t>
  </si>
  <si>
    <t>4,10367/4,31965</t>
  </si>
  <si>
    <t>4,10367/4,53564</t>
  </si>
  <si>
    <t>WBGene00004120</t>
  </si>
  <si>
    <t>35.6371</t>
  </si>
  <si>
    <t>Bm3714</t>
  </si>
  <si>
    <t>WBGene00223975</t>
  </si>
  <si>
    <t>GO:0004867/GO:0010951/</t>
  </si>
  <si>
    <t>negative_regulation_of_endopeptidase_activity/serine-type_endopeptidase_inhibitor_activity/</t>
  </si>
  <si>
    <t>Any_process_that_decreases_the_frequency,_rate_or_extent_of_endopeptidase_activity,_the_endohydrolysis_of_peptide_bonds_within_proteins._[GOC:dph,_GOC:tb]/"Stops,_prevents_or_reduces_the_activity_of_serine-type_endopeptidases,_enzymes_that_catalyze_the_hydrolysis_of_nonterminal_peptide_bonds_in_a_polypeptide_chain;_a_serine_residue_(and_a_histidine_residue)_are_at_the_active_center_of_the_enzyme."_[GOC:ai]/</t>
  </si>
  <si>
    <t>IPR002223/IPR006149/IPR006150/IPR020901/IPR028150/IPR036880/</t>
  </si>
  <si>
    <t>Cysteine-rich_repeat/EB_domain/Lustrin,_cysteine-rich_repeated/Pancreatic_trypsin_inhibitor_Kunitz_domain/Pancreatic_trypsin_inhibitor_Kunitz_domain_superfamily/Proteinase_inhibitor_I2,_Kunitz,_conserved_site/</t>
  </si>
  <si>
    <t>Cys_repeat_1/EB_dom/Kunitz_BPTI/Kunitz_BPTI_sf/Lustrin_cystein/Prtase_inh_Kunz-CS/</t>
  </si>
  <si>
    <t>note=contains_similarity_to_Pfam_domains_PF00014_(Kunitz/Bovine_pancreatic_trypsin_inhibitor_domain),_PF14625_(Lustrin,_cysteine-rich_repeated_domain)_contains_similarity_to_Interpro_domains_IPR006150_(Cysteine-rich_repeat),_IPR002223_(Proteinase_inhibitor_I2,_Kunitz_metazoa),_IPR028150_(Lustrin,_cysteine-rich_repeated_domain)</t>
  </si>
  <si>
    <t>6239.F30H5.3</t>
  </si>
  <si>
    <t>1644.8</t>
  </si>
  <si>
    <t>1KXHJ@119089,39VRR@33154,3BN71@33208,3DDGQ@33213,40FJS@6231,4118Z@6236,KOG4295@1,KOG4295@2759</t>
  </si>
  <si>
    <t>EB module</t>
  </si>
  <si>
    <t>40,2405/30,198</t>
  </si>
  <si>
    <t>1,76803/6,22348/6,43564/3,60679/4,24328/1,83876/1,90948/1,55587/2,9703/6,43564/4,87977</t>
  </si>
  <si>
    <t>1,90948/6,08204/6,57709/3,39463/4,59689/1,90948/1,76803/1,90948/1,90948/2,89958/6,2942/4,59689</t>
  </si>
  <si>
    <t>3,74823/3,60679/6,2942/5,86987/5,94059/1,55587/3,81895/3,25318/3,9604/3,9604/4,80905</t>
  </si>
  <si>
    <t>WBGene00017937</t>
  </si>
  <si>
    <t>56.5771</t>
  </si>
  <si>
    <t>Bm3734</t>
  </si>
  <si>
    <t>WBGene00223995</t>
  </si>
  <si>
    <t>GO:0003677/GO:0003700/GO:0005634/GO:0006355/GO:0008270/GO:0043565/GO:0046872/</t>
  </si>
  <si>
    <t>DNA-binding_transcription_factor_activity/DNA_binding/metal_ion_binding/nucleus/regulation_of_transcription,_DNA-templated/sequence-specific_DNA_binding/zinc_ion_binding/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</si>
  <si>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molecular_function_by_which_a_gene_product_interacts_selectively_and_non-covalently_with_DNA_(deoxyribonucleic_acid)."_[GOC:dph,_GOC:jl,_GOC:tb,_GOC:vw]/"Any_process_that_modulates_the_frequency,_rate_or_extent_of_cellular_DNA-templated_transcription."_[GOC:go_curators,_GOC:txnOH]/"Interacting_selectively_and_non-covalently_with_DNA_of_a_specific_nucleotide_composition,_e.g._GC-rich_DNA_binding,_or_with_a_specific_sequence_motif_or_type_of_DNA_e.g._promotor_binding_or_rDNA_binding."_[GOC:jl]/"Interacting_selectively_and_non-covalently_with_any_metal_ion."_[GOC:ai]/"Interacting_selectively_and_non-covalently_with_zinc_(Zn)_ions."_[GOC:ai]/</t>
  </si>
  <si>
    <t>IPR001628/IPR013088/</t>
  </si>
  <si>
    <t>Zinc_finger,_NHR/GATA-type/Zinc_finger,_nuclear_hormone_receptor-type/</t>
  </si>
  <si>
    <t>Znf_NHR/GATA/Znf_hrmn_rcpt/</t>
  </si>
  <si>
    <t>note=contains_similarity_to_Pfam_domain_PF00105_Zinc_finger,_C4_type_(two_domains)_contains_similarity_to_Interpro_domains_IPR013088_(Zinc_finger,_NHR/GATA-type),_IPR001628_(Zinc_finger,_nuclear_hormone_receptor-type)</t>
  </si>
  <si>
    <t>7209.EFO15518.2</t>
  </si>
  <si>
    <t>1.5e-109</t>
  </si>
  <si>
    <t>402.5</t>
  </si>
  <si>
    <t>GO:0000981,GO:0001228,GO:0003674,GO:0003700,GO:0005575,GO:0005622,GO:0005623,GO:0005634,GO:0006139,GO:0006351,GO:0006355,GO:0006357,GO:0006366,GO:0006725,GO:0006807,GO:0006935,GO:0008150,GO:0008152,GO:0009058,GO:0009059,GO:0009605,GO:0009889,GO:0009891,GO:0009893,GO:0009966,GO:0009968,GO:0009987,GO:0010467,GO:0010468,GO:0010556,GO:0010557,GO:0010604,GO:0010628,GO:0010646,GO:0010648,GO:0016070,GO:0018130,GO:0019219,GO:0019222,GO:0019438,GO:0022401,GO:0023051,GO:0023057,GO:0023058,GO:0031323,GO:0031325,GO:0031326,GO:0031328,GO:0032774,GO:0034641,GO:0034645,GO:0034654,GO:0040011,GO:0042221,GO:0042330,GO:0043170,GO:0043226,GO:0043227,GO:0043229,GO:0043231,GO:0044237,GO:0044238,GO:0044249,GO:0044260,GO:0044271,GO:0044424,GO:0044464,GO:0045893,GO:0045935,GO:0045944,GO:0046483,GO:0048518,GO:0048519,GO:0048522,GO:0048523,GO:0048583,GO:0048585,GO:0050789,GO:0050794,GO:0050896,GO:0050918,GO:0051171,GO:0051173,GO:0051252,GO:0051254,GO:0060255,GO:0065007,GO:0071704,GO:0080090,GO:0090304,GO:0097659,GO:0140110,GO:1901360,GO:1901362,GO:1901576,GO:1902680,GO:1903506,GO:1903508,GO:2000112,GO:2001141</t>
  </si>
  <si>
    <t>ko:K08706</t>
  </si>
  <si>
    <t>ko00000,ko03000,ko03310</t>
  </si>
  <si>
    <t>1KZSS@119089,2E0M1@1,2S815@2759,3APWQ@33154,3C23F@33208,3DIXI@33213,40GQJ@6231</t>
  </si>
  <si>
    <t>c4 zinc finger in nuclear hormone receptors</t>
  </si>
  <si>
    <t>22,8464/22,0974/20,2247</t>
  </si>
  <si>
    <t>WBGene00003854</t>
  </si>
  <si>
    <t>26.2172</t>
  </si>
  <si>
    <t>Bm3735</t>
  </si>
  <si>
    <t>WBGene00223996</t>
  </si>
  <si>
    <t>GO:0000122/GO:0005886/GO:0009653/GO:0016020/GO:0016021/GO:0018996/GO:0031410/GO:0046626/GO:0061066/</t>
  </si>
  <si>
    <t>anatomical_structure_morphogenesis/cytoplasmic_vesicle/integral_component_of_membrane/membrane/molting_cycle,_collagen_and_cuticulin-based_cuticle/negative_regulation_of_transcription_by_RNA_polymerase_II/plasma_membrane/positive_regulation_of_dauer_larval_development/regulation_of_insulin_receptor_signaling_pathway/</t>
  </si>
  <si>
    <t>A_lipid_bilayer_along_with_all_the_proteins_and_protein_complexes_embedded_in_it_an_attached_to_it._[GOC:dos,_GOC:mah,_ISBN:0815316194]/"A_vesicle_found_in_the_cytoplasm_of_a_cell."_[GOC:ai,_GOC:mah,_GOC:vesicles]/"Any_process_that_increases_the_rate,_frequency,_or_extent_of_dauer_larval_development,_the_process_whose_specific_outcome_is_the_progression_of_the_dauer_larva_over_time,_through_the_facultative_diapause_of_the_dauer_(enduring)_larval_stage,_with_specialized_traits_adapted_for_dispersal_and_long-term_survival,_with_elevated_stress_resistance_and_without_feeding."_[GOC:dph,_GOC:kmv]/"Any_process_that_modulates_the_frequency,_rate_or_extent_of_insulin_receptor_signaling."_[GOC:bf]/"Any_process_that_stops,_prevents,_or_reduces_the_frequency,_rate_or_extent_of_transcription_mediated_by_RNA_polymerase_II."_[GOC:go_curators,_GOC:txnOH]/"The_component_of_a_membrane_consisting_of_the_gene_products_and_protein_complexes_having_at_least_some_part_of_their_peptide_sequence_embedded_in_the_hydrophobic_region_of_the_membrane."_[GOC:dos,_GOC:go_curators]/"The_membrane_surrounding_a_cell_that_separates_the_cell_from_its_external_environment._It_consists_of_a_phospholipid_bilayer_and_associated_proteins."_[ISBN:0716731363]/"The_periodic_shedding_of_part_or_all_of_a_collagen_and_cuticulin-based_cuticle,_which_is_then_replaced_by_a_new_collagen_and_cuticulin-based_cuticle._An_example_of_this_is_found_in_the_Nematode_worm,_Caenorhabditis_elegans."_[GOC:jl,_GOC:mtg_sensu]/"The_process_in_which_anatomical_structures_are_generated_and_organized._Morphogenesis_pertains_to_the_creation_of_form."_[GOC:go_curators,_ISBN:0521436125]/</t>
  </si>
  <si>
    <t>note=B._malayi_BMA-DAF-6_protein,_contains_similarity_toPfam_domain_PF02460_Patched_family_contains_similarity_toInterpro_domain_IPR003392_(Patched)</t>
  </si>
  <si>
    <t>7209.EFO23309.1</t>
  </si>
  <si>
    <t>1416.4</t>
  </si>
  <si>
    <t>daf-6</t>
  </si>
  <si>
    <t>GO:0000122,GO:0005575,GO:0005622,GO:0005623,GO:0005737,GO:0005886,GO:0006355,GO:0006357,GO:0008150,GO:0009653,GO:0009889,GO:0009890,GO:0009892,GO:0009966,GO:0010468,GO:0010556,GO:0010558,GO:0010605,GO:0010629,GO:0010646,GO:0016020,GO:0018996,GO:0019219,GO:0019222,GO:0023051,GO:0031323,GO:0031324,GO:0031326,GO:0031327,GO:0031410,GO:0031982,GO:0032501,GO:0032502,GO:0042303,GO:0043226,GO:0043227,GO:0043229,GO:0044424,GO:0044444,GO:0044464,GO:0045892,GO:0045934,GO:0046626,GO:0048518,GO:0048519,GO:0048523,GO:0048580,GO:0048582,GO:0048583,GO:0048856,GO:0050789,GO:0050793,GO:0050794,GO:0051094,GO:0051171,GO:0051172,GO:0051239,GO:0051240,GO:0051252,GO:0051253,GO:0060255,GO:0061062,GO:0061063,GO:0061065,GO:0061066,GO:0065007,GO:0071944,GO:0080090,GO:0097708,GO:1900076,GO:1902679,GO:1903506,GO:1903507,GO:2000026,GO:2000112,GO:2000113,GO:2001141</t>
  </si>
  <si>
    <t>1KYG8@119089,38G4T@33154,3BFKR@33208,3CRC9@33213,40FXI@6231,KOG1934@1,KOG1934@2759</t>
  </si>
  <si>
    <t>Sterol-sensing domain of SREBP cleavage-activation</t>
  </si>
  <si>
    <t>23,0058/9,82659</t>
  </si>
  <si>
    <t>27,3988/35,2601</t>
  </si>
  <si>
    <t>56,5318/56,763</t>
  </si>
  <si>
    <t>8,78613/15,1445</t>
  </si>
  <si>
    <t>WBGene00000902</t>
  </si>
  <si>
    <t>56.8786</t>
  </si>
  <si>
    <t>Bm3896</t>
  </si>
  <si>
    <t>WBGene00224157</t>
  </si>
  <si>
    <t>IPR036812/</t>
  </si>
  <si>
    <t>NADP-dependent_oxidoreductase_domain_superfamily/</t>
  </si>
  <si>
    <t>NADP_OxRdtase_dom_sf/</t>
  </si>
  <si>
    <t>note=B._malayi_BMA-MEC-14_protein,_contains_similarity_to_Pfam_domain_PF00248_Aldo/keto_reductase_family_contains_similarity_to_Interpro_domains_IPR001395_(Aldo/keto_reductase),_IPR023210_(NADP-dependent_oxidoreductase_domain)</t>
  </si>
  <si>
    <t>31234.CRE25392</t>
  </si>
  <si>
    <t>1.1e-12</t>
  </si>
  <si>
    <t>80.5</t>
  </si>
  <si>
    <t>GO:0003008,GO:0007600,GO:0007610,GO:0007638,GO:0008150,GO:0009581,GO:0009582,GO:0009605,GO:0009612,GO:0009628,GO:0031644,GO:0031646,GO:0032101,GO:0032103,GO:0032501,GO:0044057,GO:0048518,GO:0048520,GO:0048583,GO:0048584,GO:0050789,GO:0050795,GO:0050877,GO:0050896,GO:0050906,GO:0050954,GO:0050974,GO:0050975,GO:0050976,GO:0050982,GO:0051239,GO:0051240,GO:0051606,GO:0051931,GO:0065007,GO:1905787,GO:1905789,GO:1905790,GO:1905792</t>
  </si>
  <si>
    <t>1KX9R@119089,39S2A@33154,3BIKY@33208,3D446@33213,40F9I@6231,4100S@6236,COG0667@1,KOG1576@2759</t>
  </si>
  <si>
    <t>C</t>
  </si>
  <si>
    <t>Aldo/keto reductase family</t>
  </si>
  <si>
    <t>Bm3957</t>
  </si>
  <si>
    <t>WBGene00224218</t>
  </si>
  <si>
    <t>GO:0004721/GO:0006470/GO:0016787/</t>
  </si>
  <si>
    <t>hydrolase_activity/phosphoprotein_phosphatase_activity/protein_dephosphorylation/</t>
  </si>
  <si>
    <t>Catalysis_of_the_hydrolysis_of_various_bonds,_e.g._C-O,_C-N,_C-C,_phosphoric_anhydride_bonds,_etc._Hydrolase_is_the_systematic_name_for_any_enzyme_of_EC_class_3._[ISBN:0198506732]/"Catalysis_of_the_reaction:_a_phosphoprotein_+_H2O_=_a_protein_+_phosphate._Together_with_protein_kinases,_these_enzymes_control_the_state_of_phosphorylation_of_cell_proteins_and_thereby_provide_an_important_mechanism_for_regulating_cellular_activity."_[EC:3.1.3.16,_ISBN:0198547684]/"The_process_of_removing_one_or_more_phosphoric_residues_from_a_protein."_[GOC:hb]/</t>
  </si>
  <si>
    <t>IPR004843/IPR006186/IPR029052/</t>
  </si>
  <si>
    <t>Calcineurin-like_phosphoesterase_domain,_ApaH_type/Metallo-dependent_phosphatase-like/Serine/threonine-specific_protein_phosphatase/bis(5-nucleosyl)-tetraphosphatase/</t>
  </si>
  <si>
    <t>Calcineurin-like_PHP_ApaH/Metallo-depent_PP-like/Ser/Thr-sp_prot-phosphatase/</t>
  </si>
  <si>
    <t>note=contains_similarity_to_Pfam_domain_PF00149_Calcineurin-like_phosphoesterase_contains_similarity_to_Interpro_domains_IPR029052_(Metallo-dependent_phosphatase-like),_IPR004843_(Calcineurin-like_phosphoesterase_domain,_apaH_type),_IPR006186_(Serine/threonine-specific_protein_phosphatase/bis(5-nucleosyl)-tetraphosphatase)</t>
  </si>
  <si>
    <t>7209.EFO15810.2</t>
  </si>
  <si>
    <t>2.5e-195</t>
  </si>
  <si>
    <t>688.0</t>
  </si>
  <si>
    <t>3.1.3.16</t>
  </si>
  <si>
    <t>ko:K06269</t>
  </si>
  <si>
    <t>ko03015,ko04022,ko04024,ko04113,ko04114,ko04218,ko04261,ko04270,ko04390,ko04510,ko04611,ko04720,ko04728,ko04750,ko04810,ko04910,ko04921,ko04931,ko05031,ko05034,ko05168,ko05205,map03015,map04022,map04024,map04113,map04114,map04218,map04261,map04270,map04390,map04510,map04611,map04720,map04728,map04750,map04810,map04910,map04921,map04931,map05031,map05034,map05168,map05205</t>
  </si>
  <si>
    <t>ko00000,ko00001,ko01000,ko01009,ko03019,ko03021,ko03041</t>
  </si>
  <si>
    <t>1KY5A@119089,3AH47@33154,3BXZM@33208,3DF68@33213,40FI6@6231,COG0639@1,KOG0374@2759</t>
  </si>
  <si>
    <t>Protein phosphatase 2A homologues, catalytic domain.</t>
  </si>
  <si>
    <t>44,8/50,9333</t>
  </si>
  <si>
    <t>31,4667/33,3333/36,5333/35,4667</t>
  </si>
  <si>
    <t>Bm4129</t>
  </si>
  <si>
    <t>WBGene00224390</t>
  </si>
  <si>
    <t>GO:0004930/GO:0005886/GO:0007165/GO:0007186/GO:0016020/GO:0016021/</t>
  </si>
  <si>
    <t>G_protein-coupled_receptor_activity/G_protein-coupled_receptor_signaling_pathway/integral_component_of_membrane/membrane/plasma_membrane/signal_transduction/</t>
  </si>
  <si>
    <t>A_lipid_bilayer_along_with_all_the_proteins_and_protein_complexes_embedded_in_it_an_attached_to_it._[GOC:dos,_GOC:mah,_ISBN:0815316194]/"A_series_of_molecular_signals_that_proceeds_with_an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or_for_basal_GPCR_signaling_the_pathway_begins_with_the_receptor_activating_its_G_protein_in_the_absence_of_an_agonist,_and_ends_with_regulation_of_a_downstream_cellular_process,_e.g._transcription.__The_pathway_can_start_from_the_plasma_membrane,_Golgi_or_nuclear_membrane_(PMID:24568158_and_PMID:16902576)."_[GOC:bf,_GOC:mah,_PMID:16902576,_PMID:24568158,_Wikipedia:G_protein-coupled_receptor]/"Combining_with_an_extracellular_signal_and_transmitting_the_signal_across_the_membrane_by_activating_an_associated_G-protein;_promotes_the_exchange_of_GDP_for_GTP_on_the_alpha_subunit_of_a_heterotrimeric_G-protein_complex."_[GOC:bf,_http://www.iuphar-db.org,_Wikipedia:GPCR]/"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he_component_of_a_membrane_consisting_of_the_gene_products_and_protein_complexes_having_at_least_some_part_of_their_peptide_sequence_embedded_in_the_hydrophobic_region_of_the_membrane."_[GOC:dos,_GOC:go_curators]/"The_membrane_surrounding_a_cell_that_separates_the_cell_from_its_external_environment._It_consists_of_a_phospholipid_bilayer_and_associated_proteins."_[ISBN:0716731363]/</t>
  </si>
  <si>
    <t>IPR000162/IPR000337/IPR001828/IPR011500/IPR017978/IPR017979/IPR028082/IPR038550/</t>
  </si>
  <si>
    <t>GPCR,_family_3/GPCR,_family_3,_conserved_site/GPCR,_family_3,_metabotropic_glutamate_receptor/GPCR,_family_3,_nine_cysteines_domain/GPCR,_family_3,_nine_cysteines_domain_superfamily/GPCR_family_3,_C-terminal/Periplasmic_binding_protein-like_I/Receptor,_ligand_binding_region/</t>
  </si>
  <si>
    <t>ANF_lig-bd_rcpt/GPCR_3/GPCR_3_9-Cys_dom/GPCR_3_9-Cys_sf/GPCR_3_C/GPCR_3_CS/GPCR_3_mtglu_rcpt/Peripla_BP_I/</t>
  </si>
  <si>
    <t>note=contains_similarity_to_Pfam_domains_PF07562_(Nine_Cysteines_Domain_of_family_3_GPCR),_PF01094_(Receptor_family_ligand_binding_region),_PF00003_(7_transmembrane_sweet-taste_receptor_of_3_GCPR)_contains_similarity_to_Interpro_domains_IPR011500_(GPCR,_family_3,_nine_cysteines_domain),_IPR028082_(Periplasmic_binding_protein-like_I),_IPR000337_(GPCR,_family_3),_IPR017978_(GPCR,_family_3,_C-terminal),_IPR001828_(Extracellular_ligand-binding_receptor),_IPR000162_(GPCR,_family_3,_metabotropic_glutamate_receptor)</t>
  </si>
  <si>
    <t>7209.EFO20945.2</t>
  </si>
  <si>
    <t>1706.0</t>
  </si>
  <si>
    <t>ko:K04604</t>
  </si>
  <si>
    <t>ko04020,ko04072,ko04080,ko04540,ko04720,ko04723,ko04724,ko05016,map04020,map04072,map04080,map04540,map04720,map04723,map04724,map05016</t>
  </si>
  <si>
    <t>ko00000,ko00001,ko04030</t>
  </si>
  <si>
    <t>1KTTQ@119089,38C5P@33154,3B9DN@33208,3CU4N@33213,40BH3@6231,KOG1056@1,KOG1056@2759</t>
  </si>
  <si>
    <t>PT</t>
  </si>
  <si>
    <t>Receptor family ligand binding region</t>
  </si>
  <si>
    <t>35,7143/40,5117</t>
  </si>
  <si>
    <t>33,6887/39,339</t>
  </si>
  <si>
    <t>48,8273/50,2132/40,0853</t>
  </si>
  <si>
    <t>24,6269/12,7932</t>
  </si>
  <si>
    <t>WBGene00003233</t>
  </si>
  <si>
    <t>59.2751</t>
  </si>
  <si>
    <t>Bm4248</t>
  </si>
  <si>
    <t>WBGene00224509</t>
  </si>
  <si>
    <t>IPR003609/</t>
  </si>
  <si>
    <t>PAN/Apple_domain/</t>
  </si>
  <si>
    <t>Pan_app/</t>
  </si>
  <si>
    <t>note=contains_similarity_to_Pfam_domain_PF00024_PAN_domain_contains_similarity_to_Interpro_domains_IPR003609_(Apple-like),_IPR003014_(PAN-1_domain)</t>
  </si>
  <si>
    <t>7209.EFO25383.2</t>
  </si>
  <si>
    <t>2.5e-172</t>
  </si>
  <si>
    <t>611.7</t>
  </si>
  <si>
    <t>1KVTR@119089,2B8A1@1,2S0RB@2759,3A2E3@33154,3BQZ3@33208,3D82N@33213,40DCP@6231</t>
  </si>
  <si>
    <t>divergent subfamily of APPLE domains</t>
  </si>
  <si>
    <t>9,52381/15,7895/15,5388/10,5263/17,2932/9,52381</t>
  </si>
  <si>
    <t>27,3183/28,8221/36,8421</t>
  </si>
  <si>
    <t>14,2857/15,7895/15,2882/12,782</t>
  </si>
  <si>
    <t>WBGene00018675</t>
  </si>
  <si>
    <t>35.589</t>
  </si>
  <si>
    <t>Bm4268</t>
  </si>
  <si>
    <t>WBGene00224529</t>
  </si>
  <si>
    <t>GO:0005634/GO:0006355/GO:0008270/GO:0140110/</t>
  </si>
  <si>
    <t>nucleus/regulation_of_transcription,_DNA-templated/transcription_regulator_activity/zinc_ion_binding/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</si>
  <si>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molecular_function_that_controls_the_rate,_timing_and/or_magnitude_of_transcription_of_genetic_information._The_function_of_transcriptional_regulators_is_to_modulate_gene_expression_at_the_transcription_step_so_that_they_are_expressed_in_the_right_cell_at_the_right_time_and_in_the_right_amount_throughout_the_life_of_the_cell_and_the_organism."_[GOC:pg,_GOC:txnOH-2018,_Wikipedia:Transcription_factor]/"Any_process_that_modulates_the_frequency,_rate_or_extent_of_cellular_DNA-templated_transcription."_[GOC:go_curators,_GOC:txnOH]/"Interacting_selectively_and_non-covalently_with_zinc_(Zn)_ions."_[GOC:ai]/</t>
  </si>
  <si>
    <t>IPR002515/IPR036060/</t>
  </si>
  <si>
    <t>Zinc_finger,_C2H2C-type/Zinc_finger,_C2H2C-type_superfamily/</t>
  </si>
  <si>
    <t>Znf_C2H2C/Znf_C2H2C_sf/</t>
  </si>
  <si>
    <t>note=B._malayi_BMA-ZTF-11_protein,_contains_similarity_to_Pfam_domain_PF01530_Zinc_finger,_C2HC_type_contains_similarity_to_Interpro_domain_IPR002515_(Zinc_finger,_C2HC-type)</t>
  </si>
  <si>
    <t>135651.CBN09920</t>
  </si>
  <si>
    <t>5.3e-15</t>
  </si>
  <si>
    <t>89.7</t>
  </si>
  <si>
    <t>GO:0002119,GO:0002164,GO:0007275,GO:0008150,GO:0009791,GO:0032501,GO:0032502,GO:0048856</t>
  </si>
  <si>
    <t>1KWZK@119089,38FQY@33154,3BF14@33208,3CTPU@33213,40EJT@6231,40Z8Q@6236,KOG3803@1,KOG3803@2759</t>
  </si>
  <si>
    <t>Zinc finger, C2HC type</t>
  </si>
  <si>
    <t>13,4259/14,1975</t>
  </si>
  <si>
    <t>16,6667/5,09259</t>
  </si>
  <si>
    <t>17,5926/5,24691</t>
  </si>
  <si>
    <t>16,6667/6,6358</t>
  </si>
  <si>
    <t>WBGene00009939</t>
  </si>
  <si>
    <t>19.5988</t>
  </si>
  <si>
    <t>Bm4270</t>
  </si>
  <si>
    <t>WBGene00224531</t>
  </si>
  <si>
    <t>GO:0005856/</t>
  </si>
  <si>
    <t>cytoskeleton/</t>
  </si>
  <si>
    <t>Any_of_the_various_filamentous_elements_that_form_the_internal_framework_of_cells,_and_typically_remain_after_treatment_of_the_cells_with_mild_detergent_to_remove_membrane_constituents_and_soluble_components_of_the_cytoplasm._The_term_embraces_intermediate_filaments,_microfilaments,_microtubules,_the_microtrabecular_lattice,_and_other_structures_characterized_by_a_polymeric_filamentous_nature_and_long-range_order_within_the_cell._The_various_elements_of_the_cytoskeleton_not_only_serve_in_the_maintenance_of_cellular_shape_but_also_have_roles_in_other_cellular_functions,_including_cellular_movement,_cell_division,_endocytosis,_and_movement_of_organelles._[GOC:mah,_ISBN:0198547684,_PMID:16959967]/</t>
  </si>
  <si>
    <t>7209.EFO26278.2</t>
  </si>
  <si>
    <t>5.5e-67</t>
  </si>
  <si>
    <t>260.4</t>
  </si>
  <si>
    <t>1KWQ7@119089,3A75B@33154,3BTKZ@33208,3DAA1@33213,40EAJ@6231,COG5066@1,KOG0439@2759</t>
  </si>
  <si>
    <t>41,5094/20,1258/42,1384/18,239</t>
  </si>
  <si>
    <t>WBGene00007613/WBGene00044763/WBGene00009941/WBGene00013165</t>
  </si>
  <si>
    <t>41.5094/20.1258/42.1384/18.239</t>
  </si>
  <si>
    <t>Spermatogenic/Spermatogenic/Spermatogenic/Spermatogenic</t>
  </si>
  <si>
    <t>Bm4322</t>
  </si>
  <si>
    <t>WBGene00224583</t>
  </si>
  <si>
    <t>note=B._malayi_BMA-SPE-8_protein,_contains_similarity_toPfam_domains_PF07714_(Protein_tyrosine_kinase),_PF00017(SH2_domain)_contains_similarity_to_Interpro_domainsIPR011009_(Protein_kinase-like_domain),_IPR001245(Serine-threonine/tyrosine-protein_kinase_catalyticdomain),_IPR000980_(SH2_domain),_IPR020635(Tyrosine-protein_kinase,_catalytic_domain)</t>
  </si>
  <si>
    <t>7209.EFO25002.1</t>
  </si>
  <si>
    <t>1.4e-220</t>
  </si>
  <si>
    <t>772.3</t>
  </si>
  <si>
    <t>spe-8</t>
  </si>
  <si>
    <t>GO:0000003,GO:0002376,GO:0003006,GO:0003674,GO:0003824,GO:0004672,GO:0004713,GO:0004715,GO:0005102,GO:0005488,GO:0005515,GO:0005575,GO:0005622,GO:0005623,GO:0005737,GO:0005886,GO:0006464,GO:0006468,GO:0006793,GO:0006796,GO:0006807,GO:0006928,GO:0006950,GO:0006952,GO:0006955,GO:0007154,GO:0007165,GO:0007166,GO:0007167,GO:0007169,GO:0007276,GO:0007281,GO:0007283,GO:0007286,GO:0008150,GO:0008152,GO:0009898,GO:0009987,GO:0016020,GO:0016301,GO:0016310,GO:0016477,GO:0016740,GO:0016772,GO:0016773,GO:0018108,GO:0018193,GO:0018212,GO:0019538,GO:0019897,GO:0019898,GO:0019953,GO:0022412,GO:0022414,GO:0023052,GO:0030154,GO:0031234,GO:0032501,GO:0032502,GO:0032504,GO:0036211,GO:0038083,GO:0040011,GO:0042127,GO:0043170,GO:0043412,GO:0044237,GO:0044238,GO:0044260,GO:0044267,GO:0044424,GO:0044425,GO:0044459,GO:0044464,GO:0044703,GO:0045087,GO:0046777,GO:0048232,GO:0048468,GO:0048515,GO:0048609,GO:0048856,GO:0048869,GO:0048870,GO:0050789,GO:0050794,GO:0050896,GO:0051179,GO:0051674,GO:0051704,GO:0051716,GO:0065007,GO:0071704,GO:0071944,GO:0098552,GO:0098562,GO:0140096,GO:1901564</t>
  </si>
  <si>
    <t>1KYKZ@119089,3AIET@33154,3BZ0S@33208,3DEI1@33213,40FE1@6231,COG0515@1,KOG0194@2759</t>
  </si>
  <si>
    <t>non-receptor tyrosine-protein kinase which plays a role in spermatid activation (spermiogenesis) in hermaphrodites</t>
  </si>
  <si>
    <t>44,358/45,9144</t>
  </si>
  <si>
    <t>30,7393/22,179</t>
  </si>
  <si>
    <t>WBGene00009160</t>
  </si>
  <si>
    <t>32.2957</t>
  </si>
  <si>
    <t>Bm4510</t>
  </si>
  <si>
    <t>WBGene00224771</t>
  </si>
  <si>
    <t>IPR001590/IPR024079/IPR041645/</t>
  </si>
  <si>
    <t>ADAM_cysteine-rich_domain_2/Metallopeptidase,_catalytic_domain_superfamily/Peptidase_M12B,_ADAM/reprolysin/</t>
  </si>
  <si>
    <t>ADAM_CR_2/MetalloPept_cat_dom_sf/Peptidase_M12B/</t>
  </si>
  <si>
    <t>note=B._malayi_BMA-MIG-17_protein,_contains_similarity_to_Pfam_domain_PF01421_Reprolysin_(M12B)_family_zinc_metalloprotease_contains_similarity_to_Interpro_domains_IPR024079_(Metallopeptidase,_catalytic_domain),_IPR001590_(Peptidase_M12B,_ADAM/reprolysin)</t>
  </si>
  <si>
    <t>7209.EFO28118.1</t>
  </si>
  <si>
    <t>1.6e-217</t>
  </si>
  <si>
    <t>761.9</t>
  </si>
  <si>
    <t>GO:0000003,GO:0003006,GO:0003674,GO:0003824,GO:0004175,GO:0004222,GO:0005575,GO:0005576,GO:0005604,GO:0005615,GO:0006508,GO:0006807,GO:0007275,GO:0007548,GO:0008104,GO:0008150,GO:0008152,GO:0008233,GO:0008237,GO:0008406,GO:0009653,GO:0009887,GO:0010467,GO:0016485,GO:0016540,GO:0016787,GO:0019538,GO:0022414,GO:0030334,GO:0031012,GO:0031638,GO:0032501,GO:0032502,GO:0032879,GO:0033036,GO:0035262,GO:0040012,GO:0043170,GO:0044238,GO:0044421,GO:0045137,GO:0048513,GO:0048608,GO:0048731,GO:0048856,GO:0050789,GO:0050794,GO:0051179,GO:0051270,GO:0051604,GO:0061458,GO:0062023,GO:0065007,GO:0070011,GO:0071704,GO:0140096,GO:1901564,GO:1903354,GO:2000145</t>
  </si>
  <si>
    <t>1KVYP@119089,3A30U@33154,3BQ99@33208,3D7VT@33213,40D8Z@6231,KOG3538@1,KOG3538@2759</t>
  </si>
  <si>
    <t>Metallo-peptidase family M12B Reprolysin-like</t>
  </si>
  <si>
    <t>26,5169/22,9213/26,0674</t>
  </si>
  <si>
    <t>10,5618/13,4831</t>
  </si>
  <si>
    <t>19,7753/17,5281/3,14607/3,59551/17,9775/20,2247/20/18,2022/20/17,0787/2,47191/19,3258/18,6517/18,8764/17,5281/19,3258</t>
  </si>
  <si>
    <t>19,7753/17,0787/3,14607/3,59551/18,2022/20/19,5506/18,427/20/17,0787/2,47191/19,5506/18,8764/19,3258/17,7528/18,8764</t>
  </si>
  <si>
    <t>10,7865/14,382/1,57303/0,224719/17,7528/19,3258/0,224719/20/19,1011/19,1011/19,5506/20,2247/19,1011/17,9775/17,9775</t>
  </si>
  <si>
    <t>WBGene00003248</t>
  </si>
  <si>
    <t>29.8876</t>
  </si>
  <si>
    <t>Bm4554</t>
  </si>
  <si>
    <t>WBGene00224815</t>
  </si>
  <si>
    <t>GO:0003700/GO:0006355/GO:0008270/GO:0043565/GO:0046872/</t>
  </si>
  <si>
    <t>DNA-binding_transcription_factor_activity/metal_ion_binding/regulation_of_transcription,_DNA-templated/sequence-specific_DNA_binding/zinc_ion_binding/</t>
  </si>
  <si>
    <t>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process_that_modulates_the_frequency,_rate_or_extent_of_cellular_DNA-templated_transcription."_[GOC:go_curators,_GOC:txnOH]/"Interacting_selectively_and_non-covalently_with_DNA_of_a_specific_nucleotide_composition,_e.g._GC-rich_DNA_binding,_or_with_a_specific_sequence_motif_or_type_of_DNA_e.g._promotor_binding_or_rDNA_binding."_[GOC:jl]/"Interacting_selectively_and_non-covalently_with_any_metal_ion."_[GOC:ai]/"Interacting_selectively_and_non-covalently_with_zinc_(Zn)_ions."_[GOC:ai]/</t>
  </si>
  <si>
    <t>IPR000679/IPR013088/IPR039355/</t>
  </si>
  <si>
    <t>Transcription_factor_GATA/Zinc_finger,_GATA-type/Zinc_finger,_NHR/GATA-type/</t>
  </si>
  <si>
    <t>Transcription_factor_GATA/Znf_GATA/Znf_NHR/GATA/</t>
  </si>
  <si>
    <t>note=contains_similarity_to_Pfam_domain_PF00320_GATA_zinc_finger_contains_similarity_to_Interpro_domains_IPR000679_(Zinc_finger,_GATA-type),_IPR013088_(Zinc_finger,_NHR/GATA-type)</t>
  </si>
  <si>
    <t>7209.EFO12775.1</t>
  </si>
  <si>
    <t>1.4e-28</t>
  </si>
  <si>
    <t>133.3</t>
  </si>
  <si>
    <t>GO:0000981,GO:0000983,GO:0001012,GO:0001067,GO:0003674,GO:0003676,GO:0003677,GO:0003700,GO:0005488,GO:0005575,GO:0005622,GO:0005623,GO:0005634,GO:0006355,GO:0006357,GO:0006950,GO:0006952,GO:0006970,GO:0006972,GO:0007275,GO:0007568,GO:0008150,GO:0008340,GO:0009605,GO:0009607,GO:0009620,GO:0009628,GO:0009651,GO:0009889,GO:0009891,GO:0009893,GO:0009987,GO:0010259,GO:0010468,GO:0010556,GO:0010557,GO:0010604,GO:0010628,GO:0019219,GO:0019222,GO:0031323,GO:0031325,GO:0031326,GO:0031328,GO:0032501,GO:0032502,GO:0033554,GO:0036003,GO:0036251,GO:0042538,GO:0043207,GO:0043226,GO:0043227,GO:0043229,GO:0043231,GO:0043618,GO:0043620,GO:0044212,GO:0044424,GO:0044464,GO:0045893,GO:0045935,GO:0045944,GO:0048518,GO:0048522,GO:0048856,GO:0050789,GO:0050794,GO:0050832,GO:0050896,GO:0051171,GO:0051173,GO:0051252,GO:0051254,GO:0051704,GO:0051707,GO:0051716,GO:0060255,GO:0061392,GO:0061393,GO:0061404,GO:0061416,GO:0065007,GO:0071214,GO:0071470,GO:0071472,GO:0071474,GO:0071475,GO:0080090,GO:0097159,GO:0098542,GO:0104004,GO:0140110,GO:1901244,GO:1901363,GO:1902680,GO:1903506,GO:1903508,GO:2000112,GO:2001141</t>
  </si>
  <si>
    <t>1KXCM@119089,3ABUM@33154,3BVHK@33208,3DCMU@33213,40F13@6231,COG5641@1,KOG1601@2759</t>
  </si>
  <si>
    <t>zinc finger binding to DNA consensus sequence [AT]GATA[AG]</t>
  </si>
  <si>
    <t>Bm4558</t>
  </si>
  <si>
    <t>WBGene00224819</t>
  </si>
  <si>
    <t>note=contains_similarity_to_Pfam_domains_PF00069_(Protein_kinase_domain),_PF00149_(Calcineurin-like_phosphoesterase)_contains_similarity_to_Interpro_domains_IPR029052_(Metallo-dependent_phosphatase-like),_IPR002290_(Serine/threonine/dual_specificity_protein_kinase,_catalytic_domain),_IPR011009_(Protein_kinase-like_domain),_IPR000719_(Protein_kinase_domain),_IPR004843_(Calcineurin-like_phosphoesterase_domain,_apaH_type),_IPR006186_(Serine/threonine-specific_protein_phosphatase/bis(5-nucleosyl)-tetraphosphatase)</t>
  </si>
  <si>
    <t>7209.EFO28225.2</t>
  </si>
  <si>
    <t>1.9e-188</t>
  </si>
  <si>
    <t>665.2</t>
  </si>
  <si>
    <t>ko:K01090</t>
  </si>
  <si>
    <t>ko00000,ko01000</t>
  </si>
  <si>
    <t>1KV10@119089,39UUF@33154,3BN6X@33208,3D3X5@33213,40AVT@6231,COG0639@1,KOG0374@2759</t>
  </si>
  <si>
    <t>Serine threonine-protein phosphatase</t>
  </si>
  <si>
    <t>23,4257/57,4307</t>
  </si>
  <si>
    <t>79,0932/52,1411</t>
  </si>
  <si>
    <t>56,6751/58,4383</t>
  </si>
  <si>
    <t>48,1108/47,8589</t>
  </si>
  <si>
    <t>WBGene00007354/WBGene00010265</t>
  </si>
  <si>
    <t>48.1108/47.8589</t>
  </si>
  <si>
    <t>Spermatogenic/Spermatogenic</t>
  </si>
  <si>
    <t>Bm4989</t>
  </si>
  <si>
    <t>WBGene00225250</t>
  </si>
  <si>
    <t>GO:0004364/GO:0005515/GO:0005737/</t>
  </si>
  <si>
    <t>cytoplasm/glutathione_transferase_activity/protein_binding/</t>
  </si>
  <si>
    <t>All_of_the_contents_of_a_cell_excluding_the_plasma_membrane_and_nucleus,_but_including_other_subcellular_structures._[ISBN:0198547684]/"Catalysis_of_the_reaction:_R-X_+_glutathione_=_H-X_+_R-S-glutathione._R_may_be_an_aliphatic,_aromatic_or_heterocyclic_group;_X_may_be_a_sulfate,_nitrile_or_halide_group."_[EC:2.5.1.18]/"Interacting_selectively_and_non-covalently_with_any_protein_or_protein_complex_(a_complex_of_two_or_more_proteins_that_may_include_other_nonprotein_molecules)."_[GOC:go_curators]/</t>
  </si>
  <si>
    <t>IPR004045/IPR004046/IPR005442/IPR010987/IPR036249/IPR036282/IPR040079/</t>
  </si>
  <si>
    <t>Glutathione_S-transferase,_C-terminal/Glutathione_S-transferase,_C-terminal-like/Glutathione_S-transferase,_C-terminal_domain_superfamily/Glutathione_S-transferase,_N-terminal/Glutathione_S-transferase,_omega-class/Glutathione_Transferase_family/Thioredoxin-like_superfamily/</t>
  </si>
  <si>
    <t>GST_C/GST_omega/Glutathione-S-Trfase_C-like/Glutathione-S-Trfase_C_sf/Glutathione_S-Trfase/Glutathione_S-Trfase_N/Thioredoxin-like_sf/</t>
  </si>
  <si>
    <t>note=B._malayi_BMA-GSTO-3_protein,_contains_similarity_to_Pfam_domains_PF00043_(Glutathione_S-transferase,_C-terminal_domain),_PF13417_(Glutathione_S-transferase,_N-terminal_domain)_contains_similarity_to_Interpro_domains_IPR005442_(Glutathione_S-transferase,_omega-class),_IPR012336_(Thioredoxin-like_fold),_IPR004046_(Glutathione_S-transferase,_C-terminal),_IPR004045_(Glutathione_S-transferase,_N-terminal),_IPR010987_(Glutathione_S-transferase,_C-terminal-like)</t>
  </si>
  <si>
    <t>281687.CJA15464</t>
  </si>
  <si>
    <t>3.4e-82</t>
  </si>
  <si>
    <t>312.0</t>
  </si>
  <si>
    <t>2.5.1.18</t>
  </si>
  <si>
    <t>ko:K00799</t>
  </si>
  <si>
    <t>ko00480,ko00980,ko00982,ko00983,ko01524,ko05200,ko05204,ko05225,ko05418,map00480,map00980,map00982,map00983,map01524,map05200,map05204,map05225,map05418</t>
  </si>
  <si>
    <t>R03522,R07002,R07003,R07004,R07023,R07024,R07025,R07026,R07069,R07070,R07083,R07084,R07091,R07092,R07093,R07094,R07100,R07113,R07116,R08280,R09409,R11905</t>
  </si>
  <si>
    <t>RC00004,RC00069,RC00840,RC00948,RC01704,RC01705,RC01706,RC01758,RC01759,RC01765,RC01767,RC01769,RC02243,RC02527,RC02939,RC02940,RC02942,RC02943,RC02944</t>
  </si>
  <si>
    <t>ko00000,ko00001,ko01000,ko02000</t>
  </si>
  <si>
    <t>1.A.12.2.2,1.A.12.3.2</t>
  </si>
  <si>
    <t>1KZIU@119089,38D3D@33154,3BJ5E@33208,3CXTB@33213,40GJ2@6231,40TZW@6236,KOG0406@1,KOG0406@2759</t>
  </si>
  <si>
    <t>Glutathione S-transferase, N-terminal domain</t>
  </si>
  <si>
    <t>34,0361/59,3373</t>
  </si>
  <si>
    <t>9,93976/8,73494/9,33735/10,5422/9,63855/10,5422/10,5422/10,5422/9,33735/9,33735/10,241/15,0602/12,9518/10,5422/11,4458/12,3494/12,6506/12,0482/12,6506/13,253/12,6506/12,3494/12,9518/12,9518/10,8434</t>
  </si>
  <si>
    <t>20,1807/12,0482/8,73494/12,3494/9,63855/11,4458/10,5422/14,1566/11,1446/10,8434/15,0602/22,5904/11,4458</t>
  </si>
  <si>
    <t>20,7831/12,0482/8,73494/12,0482/9,63855/10,241/14,1566/9,63855/9,63855/10,241/10,241/15,0602/22,8916/11,1446</t>
  </si>
  <si>
    <t>10,241/9,03614/12,9518/9,63855/10,5422/11,4458/11,1446/14,759/14,1566/24,3976/22,5904/10,8434/11,747</t>
  </si>
  <si>
    <t>WBGene00019636</t>
  </si>
  <si>
    <t>39.759</t>
  </si>
  <si>
    <t>Bm5188</t>
  </si>
  <si>
    <t>WBGene00225449</t>
  </si>
  <si>
    <t>note=B._malayi_BMA-COG-1_protein,_contains_similarity_toPfam_domain_PF00046_Homeobox_domain_contains_similarity_toInterpro_domains_IPR001356_(Homeobox_domain),_IPR009057(Homeodomain-like)</t>
  </si>
  <si>
    <t>7209.EFO14949.1</t>
  </si>
  <si>
    <t>2.1e-37</t>
  </si>
  <si>
    <t>163.3</t>
  </si>
  <si>
    <t>GO:0000003,GO:0003006,GO:0003386,GO:0003387,GO:0003388,GO:0003674,GO:0005488,GO:0005515,GO:0007275,GO:0007368,GO:0007389,GO:0007399,GO:0007423,GO:0007548,GO:0007610,GO:0008134,GO:0008150,GO:0008406,GO:0009799,GO:0009855,GO:0009892,GO:0009893,GO:0009987,GO:0010468,GO:0010604,GO:0010605,GO:0010628,GO:0010629,GO:0018991,GO:0019098,GO:0019222,GO:0022008,GO:0022414,GO:0030154,GO:0030182,GO:0032501,GO:0032502,GO:0032504,GO:0045137,GO:0048468,GO:0048513,GO:0048518,GO:0048519,GO:0048608,GO:0048609,GO:0048666,GO:0048699,GO:0048731,GO:0048856,GO:0048869,GO:0050789,GO:0060255,GO:0061458,GO:0065007,GO:0070491</t>
  </si>
  <si>
    <t>1KWUW@119089,38H0R@33154,3BEDJ@33208,3D0NE@33213,40EWX@6231,KOG0847@2759,KOG0850@1</t>
  </si>
  <si>
    <t>10,8401/16,2602/15,7182</t>
  </si>
  <si>
    <t>17,3442/13,5501</t>
  </si>
  <si>
    <t>10,2981/17,6152/4,06504/8,94309/16,5312/11,3821</t>
  </si>
  <si>
    <t>11,6531/17,6152/15,4472/8,94309/17,0732/12,1951</t>
  </si>
  <si>
    <t>10,8401/15,7182/15,4472/16,8022/11,1111</t>
  </si>
  <si>
    <t>WBGene00000584</t>
  </si>
  <si>
    <t>25.7453</t>
  </si>
  <si>
    <t>Bm5334</t>
  </si>
  <si>
    <t>WBGene00225595</t>
  </si>
  <si>
    <t>IPR040426/</t>
  </si>
  <si>
    <t>Uncharacterized_protein_C05B5.4-like/</t>
  </si>
  <si>
    <t>C05B5.4-like/</t>
  </si>
  <si>
    <t>135651.CBN00294</t>
  </si>
  <si>
    <t>3.3e-35</t>
  </si>
  <si>
    <t>156.0</t>
  </si>
  <si>
    <t>1KZ2Q@119089,2D2UY@1,2SP4A@2759,3AKXC@33154,3C0IY@33208,3DGKX@33213,40GDK@6231,40X2I@6236</t>
  </si>
  <si>
    <t>22,2841/15,8774/25,6267</t>
  </si>
  <si>
    <t>WBGene00007321/WBGene00008080/WBGene00011221</t>
  </si>
  <si>
    <t>22.2841/15.8774/25.6267</t>
  </si>
  <si>
    <t>Oogenic/Oogenic</t>
  </si>
  <si>
    <t>Bm5341</t>
  </si>
  <si>
    <t>WBGene00225602</t>
  </si>
  <si>
    <t>GO:0004180/GO:0004181/GO:0005737/GO:0006508/GO:0008270/GO:0060102/</t>
  </si>
  <si>
    <t>carboxypeptidase_activity/collagen_and_cuticulin-based_cuticle_extracellular_matrix/cytoplasm/metallocarboxypeptidase_activity/proteolysis/zinc_ion_binding/</t>
  </si>
  <si>
    <t>A_collagen_and_cuticulin-based_noncellular,_multilayered_structure_that_is_synthesized_by_an_underlying_ectodermal_(hypodermal)_cell_layer._The_cuticle_serves_essential_functions_in_body_morphology,_locomotion,_and_environmental_protection._An_example_of_this_component_is_found_in_Caenorhabditis_elegans._[GOC:dph,_GOC:kmv,_ISSN:15518507]/"All_of_the_contents_of_a_cell_excluding_the_plasma_membrane_and_nucleus,_but_including_other_subcellular_structures."_[ISBN:0198547684]/"Catalysis_of_the_hydrolysis_of_C-terminal_amino_acid_residues_from_a_polypeptide_chain_by_a_mechanism_in_which_water_acts_as_a_nucleophile,_one_or_two_metal_ions_hold_the_water_molecule_in_place,_and_charged_amino_acid_side_chains_are_ligands_for_the_metal_ions."_[http://merops.sanger.ac.uk/about/glossary.htm#CARBOXYPEPTIDASE,_http://merops.sanger.ac.uk/about/glossary.htm#CATTYPE,_ISBN:0198506732]/"Catalysis_of_the_hydrolysis_of_the_terminal_or_penultimate_peptide_bond_at_the_C-terminal_end_of_a_peptide_or_polypeptide."_[ISBN:0198506732]/"Interacting_selectively_and_non-covalently_with_zinc_(Zn)_ions."_[GOC:ai]/"The_hydrolysis_of_proteins_into_smaller_polypeptides_and/or_amino_acids_by_cleavage_of_their_peptide_bonds."_[GOC:bf,_GOC:mah]/</t>
  </si>
  <si>
    <t>IPR000834/IPR003146/IPR003582/IPR034223/IPR036990/</t>
  </si>
  <si>
    <t>Carboxypeptidase,_activation_peptide/Insect_gut_carboxypeptidase-like,_carboxypeptidase_domain/Metallocarboxypeptidase-like,_propeptide/Peptidase_M14,_carboxypeptidase_A/ShKT_domain/</t>
  </si>
  <si>
    <t>IGCP-like_CPD/M14A-like_propep/M14A_act_pep/Peptidase_M14/ShKT_dom/</t>
  </si>
  <si>
    <t>note=B._malayi_BMA-SURO-1_protein,_contains_similarity_to_Pfam_domain_PF00246_Zinc_carboxypeptidase_contains_similarity_to_Interpro_domain_IPR000834_(Peptidase_M14,_carboxypeptidase_A)</t>
  </si>
  <si>
    <t>7209.EJD75142.1</t>
  </si>
  <si>
    <t>1.8e-263</t>
  </si>
  <si>
    <t>915.2</t>
  </si>
  <si>
    <t>GO:0005575,GO:0005576,GO:0005622,GO:0005623,GO:0005737,GO:0031012,GO:0044421,GO:0044424,GO:0044464,GO:0060102,GO:0062023</t>
  </si>
  <si>
    <t>1KYFI@119089,38DUK@33154,3BA6U@33208,3CUQS@33213,40FPB@6231,COG2866@1,KOG2650@2759</t>
  </si>
  <si>
    <t>Zinc carboxypeptidase</t>
  </si>
  <si>
    <t>15,7492/50,9174</t>
  </si>
  <si>
    <t>18,9602/8,56269</t>
  </si>
  <si>
    <t>36,0856/37,4618</t>
  </si>
  <si>
    <t>32,5688/17,8899/15,4434/32,4159</t>
  </si>
  <si>
    <t>7,95107/19,8777</t>
  </si>
  <si>
    <t>18,5015/19,2661/19,2661/20,1835/19,7248/16,8196</t>
  </si>
  <si>
    <t>18,5015/17,2783/17,1254/20,4893/16,8196/17,737/20,3364/18,0428/17,8899</t>
  </si>
  <si>
    <t>18,0428/17,737/16,9725/20,948/17,5841/20,1835/18,3486/17,8899</t>
  </si>
  <si>
    <t>17,2783/17,8899/18,0428/18,5015/17,1254/2,44648/18,3486/17,4312</t>
  </si>
  <si>
    <t>WBGene00011235</t>
  </si>
  <si>
    <t>42.8135</t>
  </si>
  <si>
    <t>Bm5391</t>
  </si>
  <si>
    <t>WBGene00225652</t>
  </si>
  <si>
    <t>GO:0004930/GO:0007165/GO:0007186/GO:0016020/GO:0016021/</t>
  </si>
  <si>
    <t>G_protein-coupled_receptor_activity/G_protein-coupled_receptor_signaling_pathway/integral_component_of_membrane/membrane/signal_transduction/</t>
  </si>
  <si>
    <t>A_lipid_bilayer_along_with_all_the_proteins_and_protein_complexes_embedded_in_it_an_attached_to_it._[GOC:dos,_GOC:mah,_ISBN:0815316194]/"A_series_of_molecular_signals_that_proceeds_with_an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or_for_basal_GPCR_signaling_the_pathway_begins_with_the_receptor_activating_its_G_protein_in_the_absence_of_an_agonist,_and_ends_with_regulation_of_a_downstream_cellular_process,_e.g._transcription.__The_pathway_can_start_from_the_plasma_membrane,_Golgi_or_nuclear_membrane_(PMID:24568158_and_PMID:16902576)."_[GOC:bf,_GOC:mah,_PMID:16902576,_PMID:24568158,_Wikipedia:G_protein-coupled_receptor]/"Combining_with_an_extracellular_signal_and_transmitting_the_signal_across_the_membrane_by_activating_an_associated_G-protein;_promotes_the_exchange_of_GDP_for_GTP_on_the_alpha_subunit_of_a_heterotrimeric_G-protein_complex."_[GOC:bf,_http://www.iuphar-db.org,_Wikipedia:GPCR]/"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he_component_of_a_membrane_consisting_of_the_gene_products_and_protein_complexes_having_at_least_some_part_of_their_peptide_sequence_embedded_in_the_hydrophobic_region_of_the_membrane."_[GOC:dos,_GOC:go_curators]/</t>
  </si>
  <si>
    <t>IPR000276/IPR017452/</t>
  </si>
  <si>
    <t>GPCR,_rhodopsin-like,_7TM/G_protein-coupled_receptor,_rhodopsin-like/</t>
  </si>
  <si>
    <t>GPCR_Rhodpsn/GPCR_Rhodpsn_7TM/</t>
  </si>
  <si>
    <t>note=contains_similarity_to_Pfam_domain_PF00001_7_transmembrane_receptor_(rhodopsin_family)_contains_similarity_to_Interpro_domain_IPR000276_(G_protein-coupled_receptor,_rhodopsin-like)</t>
  </si>
  <si>
    <t>7209.EFO21091.2</t>
  </si>
  <si>
    <t>1e-177</t>
  </si>
  <si>
    <t>629.4</t>
  </si>
  <si>
    <t>1KW1U@119089,2BXBE@1,2S2GV@2759,3A439@33154,3BRZ1@33208,3D8KS@33213,40DGY@6231</t>
  </si>
  <si>
    <t>Belongs to the G-protein coupled receptor 1 family</t>
  </si>
  <si>
    <t>27,6353/27,3504/17,094</t>
  </si>
  <si>
    <t>24,7863/24,7863</t>
  </si>
  <si>
    <t>WBGene00019367</t>
  </si>
  <si>
    <t>29.3447</t>
  </si>
  <si>
    <t>Bm5683</t>
  </si>
  <si>
    <t>WBGene00225944</t>
  </si>
  <si>
    <t>GO:0003677/GO:0003700/GO:0005634/GO:0006355/GO:0043565/</t>
  </si>
  <si>
    <t>DNA-binding_transcription_factor_activity/DNA_binding/nucleus/regulation_of_transcription,_DNA-templated/sequence-specific_DNA_binding/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</si>
  <si>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molecular_function_by_which_a_gene_product_interacts_selectively_and_non-covalently_with_DNA_(deoxyribonucleic_acid)."_[GOC:dph,_GOC:jl,_GOC:tb,_GOC:vw]/"Any_process_that_modulates_the_frequency,_rate_or_extent_of_cellular_DNA-templated_transcription."_[GOC:go_curators,_GOC:txnOH]/"Interacting_selectively_and_non-covalently_with_DNA_of_a_specific_nucleotide_composition,_e.g._GC-rich_DNA_binding,_or_with_a_specific_sequence_motif_or_type_of_DNA_e.g._promotor_binding_or_rDNA_binding."_[GOC:jl]/</t>
  </si>
  <si>
    <t>IPR000418/IPR036388/IPR036390/</t>
  </si>
  <si>
    <t>Ets_domain/Winged_helix-like_DNA-binding_domain_superfamily/Winged_helix_DNA-binding_domain_superfamily/</t>
  </si>
  <si>
    <t>Ets_dom/WH-like_DNA-bd_sf/WH_DNA-bd_sf/</t>
  </si>
  <si>
    <t>note=B._malayi_BMA-AST-1_protein,_contains_similarity_toPfam_domain_PF00178_Ets-domain_contains_similarity_toInterpro_domains_IPR000418_(Ets_domain),_IPR011991_(Wingedhelix-turn-helix_DNA-binding_domain)</t>
  </si>
  <si>
    <t>7209.EFO28322.1</t>
  </si>
  <si>
    <t>3.5e-106</t>
  </si>
  <si>
    <t>391.7</t>
  </si>
  <si>
    <t>ast-1</t>
  </si>
  <si>
    <t>GO:0006355,GO:0006357,GO:0007275,GO:0007399,GO:0008150,GO:0009889,GO:0009891,GO:0009893,GO:0009987,GO:0010468,GO:0010556,GO:0010557,GO:0010604,GO:0010628,GO:0019219,GO:0019222,GO:0022008,GO:0030154,GO:0030182,GO:0031323,GO:0031325,GO:0031326,GO:0031328,GO:0032501,GO:0032502,GO:0045893,GO:0045935,GO:0045944,GO:0048518,GO:0048522,GO:0048699,GO:0048731,GO:0048856,GO:0048869,GO:0050789,GO:0050794,GO:0051171,GO:0051173,GO:0051252,GO:0051254,GO:0060255,GO:0065007,GO:0071542,GO:0080090,GO:1902680,GO:1903506,GO:1903508,GO:2000112,GO:2001141</t>
  </si>
  <si>
    <t>ko:K09436</t>
  </si>
  <si>
    <t>ko05202,map05202</t>
  </si>
  <si>
    <t>ko00000,ko00001,ko03000</t>
  </si>
  <si>
    <t>1KVYI@119089,38GQW@33154,3B9DA@33208,3CVF0@33213,40D39@6231,KOG3806@1,KOG3806@2759</t>
  </si>
  <si>
    <t>erythroblast transformation specific domain</t>
  </si>
  <si>
    <t>17,094/13,1054/10,8262/8,83191/15,6695/10,5413/14,245/17,6638/34,188/17,6638/17,9487/11,396/11,6809/19,3732/18,8034/15,9544/11,1111/11,6809</t>
  </si>
  <si>
    <t>17,094/13,3903/11,1111/8,83191/15,9544/14,8148/17,6638/33,9031/17,3789/17,9487/11,396/11,6809/19,3732/18,8034/15,9544/10,5413</t>
  </si>
  <si>
    <t>17,094/11,1111/10,5413/10,2564/10,5413/17,6638/13,1054/17,9487/15,0997/34,4729/11,6809/17,6638/17,6638/2,2792/12,2507</t>
  </si>
  <si>
    <t>Bm5701</t>
  </si>
  <si>
    <t>WBGene00225962</t>
  </si>
  <si>
    <t>IPR001304/IPR006149/IPR016186/IPR016187/</t>
  </si>
  <si>
    <t>C-type_lectin-like/C-type_lectin-like/link_domain_superfamily/C-type_lectin_fold/EB_domain/</t>
  </si>
  <si>
    <t>C-type_lectin-like/C-type_lectin-like/link_sf/CTDL_fold/EB_dom/</t>
  </si>
  <si>
    <t>note=contains_similarity_to_Pfam_domain_PF00059_Lectin_C-type_domain_contains_similarity_to_Interpro_domains_IPR016187_(C-type_lectin_fold),_IPR016186_(C-type_lectin-like),_IPR001304_(C-type_lectin)</t>
  </si>
  <si>
    <t>42254.XP_004608232.1</t>
  </si>
  <si>
    <t>5.9e-09</t>
  </si>
  <si>
    <t>69.7</t>
  </si>
  <si>
    <t>Mammalia</t>
  </si>
  <si>
    <t>38GMM@33154,3BHCN@33208,3CYVJ@33213,3JE7Y@40674,4870M@7711,492SN@7742,KOG4297@1,KOG4297@2759</t>
  </si>
  <si>
    <t>Phospholipase A2 receptor</t>
  </si>
  <si>
    <t>32,1958/29,2285</t>
  </si>
  <si>
    <t>Bm5779</t>
  </si>
  <si>
    <t>WBGene00226040</t>
  </si>
  <si>
    <t>IPR008516/</t>
  </si>
  <si>
    <t>Na,K-Atpase_Interacting_protein/</t>
  </si>
  <si>
    <t>Na/K-Atpase_Interacting/</t>
  </si>
  <si>
    <t>note=contains_similarity_to_Pfam_domain_PF05640_Na,K-Atpase_Interacting_protein_contains_similarity_to_Interpro_domain_IPR008516_(Na,K-Atpase_Interacting_protein)</t>
  </si>
  <si>
    <t>6326.BUX.s01109.399</t>
  </si>
  <si>
    <t>6e-30</t>
  </si>
  <si>
    <t>139.0</t>
  </si>
  <si>
    <t>1KZ4P@119089,3ADQN@33154,3BW20@33208,3DCNS@33213,40F25@6231,KOG4556@1,KOG4556@2759</t>
  </si>
  <si>
    <t>regulation of sodium ion transport</t>
  </si>
  <si>
    <t>Bm6072</t>
  </si>
  <si>
    <t>WBGene00226333</t>
  </si>
  <si>
    <t>GO:0004089/GO:0008270/</t>
  </si>
  <si>
    <t>carbonate_dehydratase_activity/zinc_ion_binding/</t>
  </si>
  <si>
    <t>Catalysis_of_the_reaction:_H2CO3_=_CO2_+_H2O._[EC:4.2.1.1]/"Interacting_selectively_and_non-covalently_with_zinc_(Zn)_ions."_[GOC:ai]/</t>
  </si>
  <si>
    <t>IPR001148/IPR023561/IPR036398/</t>
  </si>
  <si>
    <t>Alpha_carbonic_anhydrase_domain/Alpha_carbonic_anhydrase_domain_superfamily/Carbonic_anhydrase,_alpha-class/</t>
  </si>
  <si>
    <t>CA_dom/CA_dom_sf/Carbonic_anhydrase_a-class/</t>
  </si>
  <si>
    <t>note=B._malayi_BMA-CAH-6_protein,_contains_similarity_toPfam_domain_PF00194_Eukaryotic-type_carbonic_anhydrasecontains_similarity_to_Interpro_domains_IPR001148_(Alphacarbonic_anhydrase),_IPR023561_(Carbonic_anhydrase,alpha-class)</t>
  </si>
  <si>
    <t>7209.EFO23458.2</t>
  </si>
  <si>
    <t>2.1e-150</t>
  </si>
  <si>
    <t>538.5</t>
  </si>
  <si>
    <t>4.2.1.1</t>
  </si>
  <si>
    <t>ko:K01674</t>
  </si>
  <si>
    <t>ko00910,map00910</t>
  </si>
  <si>
    <t>R00132,R10092</t>
  </si>
  <si>
    <t>RC02807</t>
  </si>
  <si>
    <t>1KYKB@119089,38I3T@33154,3BIZY@33208,3D91B@33213,40DTX@6231,COG3338@1,KOG0382@2759</t>
  </si>
  <si>
    <t>Eukaryotic-type carbonic anhydrase</t>
  </si>
  <si>
    <t>33,9744/47,4359</t>
  </si>
  <si>
    <t>29,4872/30,1282/44,2308/39,1026/12,8205</t>
  </si>
  <si>
    <t>21,1538/23,3974/23,3974/23,0769/19,8718/24,359/23,7179/24,359/19,8718</t>
  </si>
  <si>
    <t>19,8718/23,3974/24,359/21,4744/24,0385/20,5128/25/24,6795/23,3974/20,1923</t>
  </si>
  <si>
    <t>18,2692/18,2692/18,5897/18,2692/20,1923/24,359/21,7949/20,8333/18,9103/19,5513/23,0769/22,4359/22,4359</t>
  </si>
  <si>
    <t>WBGene00000284</t>
  </si>
  <si>
    <t>47.1154</t>
  </si>
  <si>
    <t>Bm6129</t>
  </si>
  <si>
    <t>WBGene00226390</t>
  </si>
  <si>
    <t>7209.EFO26326.2</t>
  </si>
  <si>
    <t>6.2e-103</t>
  </si>
  <si>
    <t>380.9</t>
  </si>
  <si>
    <t>ko:K08811</t>
  </si>
  <si>
    <t>1KZ8A@119089,39WJ2@33154,3BIGD@33208,3D4P1@33213,40G9Y@6231,KOG0583@1,KOG0583@2759</t>
  </si>
  <si>
    <t>25,3561/24,2165/29,6296/23,9316/24,5014/25,9259/27,9202</t>
  </si>
  <si>
    <t>24,7863/23,6467/30,7692/23,6467/24,2165/25,3561/27,6353</t>
  </si>
  <si>
    <t>24,5014/25,3561/24,5014/25,0712/28,7749/24,7863/19,943</t>
  </si>
  <si>
    <t>23,3618/23,3618/19,6581/17,094/22,5071/22,5071/23,6467/19,3732/18,5185/18,8034/23,9316/22,792</t>
  </si>
  <si>
    <t>WBGene00012207</t>
  </si>
  <si>
    <t>37.3219</t>
  </si>
  <si>
    <t>Bm6280</t>
  </si>
  <si>
    <t>WBGene00226541</t>
  </si>
  <si>
    <t>GO:0004930/GO:0005886/GO:0007165/GO:0007186/GO:0010884/GO:0016020/GO:0016021/</t>
  </si>
  <si>
    <t>G_protein-coupled_receptor_activity/G_protein-coupled_receptor_signaling_pathway/integral_component_of_membrane/membrane/plasma_membrane/positive_regulation_of_lipid_storage/signal_transduction/</t>
  </si>
  <si>
    <t>A_lipid_bilayer_along_with_all_the_proteins_and_protein_complexes_embedded_in_it_an_attached_to_it._[GOC:dos,_GOC:mah,_ISBN:0815316194]/"A_series_of_molecular_signals_that_proceeds_with_an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or_for_basal_GPCR_signaling_the_pathway_begins_with_the_receptor_activating_its_G_protein_in_the_absence_of_an_agonist,_and_ends_with_regulation_of_a_downstream_cellular_process,_e.g._transcription.__The_pathway_can_start_from_the_plasma_membrane,_Golgi_or_nuclear_membrane_(PMID:24568158_and_PMID:16902576)."_[GOC:bf,_GOC:mah,_PMID:16902576,_PMID:24568158,_Wikipedia:G_protein-coupled_receptor]/"Any_process_that_increases_the_rate,_frequency_or_extent_of_lipid_storage._Lipid_storage_is_the_accumulation_and_maintenance_in_cells_or_tissues_of_lipids,_compounds_soluble_in_organic_solvents_but_insoluble_or_sparingly_soluble_in_aqueous_solvents._Lipid_reserves_can_be_accumulated_during_early_developmental_stages_for_mobilization_and_utilization_at_later_stages_of_development."_[GOC:BHF,_GOC:dph,_GOC:tb]/"Combining_with_an_extracellular_signal_and_transmitting_the_signal_across_the_membrane_by_activating_an_associated_G-protein;_promotes_the_exchange_of_GDP_for_GTP_on_the_alpha_subunit_of_a_heterotrimeric_G-protein_complex."_[GOC:bf,_http://www.iuphar-db.org,_Wikipedia:GPCR]/"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he_component_of_a_membrane_consisting_of_the_gene_products_and_protein_complexes_having_at_least_some_part_of_their_peptide_sequence_embedded_in_the_hydrophobic_region_of_the_membrane."_[GOC:dos,_GOC:go_curators]/"The_membrane_surrounding_a_cell_that_separates_the_cell_from_its_external_environment._It_consists_of_a_phospholipid_bilayer_and_associated_proteins."_[ISBN:0716731363]/</t>
  </si>
  <si>
    <t>IPR000162/IPR000337/IPR001828/IPR017978/IPR028082/IPR038550/</t>
  </si>
  <si>
    <t>GPCR,_family_3/GPCR,_family_3,_metabotropic_glutamate_receptor/GPCR,_family_3,_nine_cysteines_domain_superfamily/GPCR_family_3,_C-terminal/Periplasmic_binding_protein-like_I/Receptor,_ligand_binding_region/</t>
  </si>
  <si>
    <t>ANF_lig-bd_rcpt/GPCR_3/GPCR_3_9-Cys_sf/GPCR_3_C/GPCR_3_mtglu_rcpt/Peripla_BP_I/</t>
  </si>
  <si>
    <t>note=contains_similarity_to_Pfam_domains_PF07562_(Nine_Cysteines_Domain_of_family_3_GPCR),_PF01094_(Receptor_family_ligand_binding_region),_PF00003_(7_transmembrane_sweet-taste_receptor_of_3_GCPR)_contains_similarity_to_Interpro_domains_IPR011500_(GPCR,_family_3,_nine_cysteines_domain),_IPR028082_(Periplasmic_binding_protein-like_I),_IPR000337_(GPCR,_family_3),_IPR017978_(GPCR,_family_3,_C-terminal),_IPR001828_(Extracellular_ligand-binding_receptor)</t>
  </si>
  <si>
    <t>7209.EJD74157.1</t>
  </si>
  <si>
    <t>1239.2</t>
  </si>
  <si>
    <t>ko:K04608</t>
  </si>
  <si>
    <t>ko04072,ko04080,ko04724,map04072,map04080,map04724</t>
  </si>
  <si>
    <t>ko00000,ko00001,ko01009,ko04030</t>
  </si>
  <si>
    <t>1KXJK@119089,38C5P@33154,3B9DN@33208,3CU4N@33213,40ARK@6231,KOG1056@1,KOG1056@2759</t>
  </si>
  <si>
    <t>7 transmembrane sweet-taste receptor of 3 GCPR</t>
  </si>
  <si>
    <t>15,5638/34,3896</t>
  </si>
  <si>
    <t>7,08294/14,8183/45,014</t>
  </si>
  <si>
    <t>65,1445/13,9795</t>
  </si>
  <si>
    <t>12,6747/20,0373/12,8611</t>
  </si>
  <si>
    <t>43,15/43,2432/42,9637</t>
  </si>
  <si>
    <t>28,6114/25,3495</t>
  </si>
  <si>
    <t>28,7978/28,9842/29,6365/27,8658/29,1705/29,1705</t>
  </si>
  <si>
    <t>27,6794/29,1705/29,1705/28,7978/29,0774/29,5433</t>
  </si>
  <si>
    <t>28,2386/27,493/28,425/28,3318/18,9189/27,6794/29,0774/29,0774/29,7297</t>
  </si>
  <si>
    <t>WBGene00021152</t>
  </si>
  <si>
    <t>43.7092</t>
  </si>
  <si>
    <t>Bm6350</t>
  </si>
  <si>
    <t>WBGene00226611</t>
  </si>
  <si>
    <t>GO:0016020/GO:0016021/GO:0055085/</t>
  </si>
  <si>
    <t>integral_component_of_membrane/membrane/transmembrane_transport/</t>
  </si>
  <si>
    <t>A_lipid_bilayer_along_with_all_the_proteins_and_protein_complexes_embedded_in_it_an_attached_to_it._[GOC:dos,_GOC:mah,_ISBN:0815316194]/"The_component_of_a_membrane_consisting_of_the_gene_products_and_protein_complexes_having_at_least_some_part_of_their_peptide_sequence_embedded_in_the_hydrophobic_region_of_the_membrane."_[GOC:dos,_GOC:go_curators]/"The_process_in_which_a_solute_is_transported_across_a_lipid_bilayer,_from_one_side_of_a_membrane_to_the_other."_[GOC:dph,_GOC:jid]/</t>
  </si>
  <si>
    <t>IPR004481/IPR004837/</t>
  </si>
  <si>
    <t>Sodium/calcium_exchanger_membrane_region/Sodium/potassium/calcium_exchanger/</t>
  </si>
  <si>
    <t>K/Na/Ca-exchanger/NaCa_Exmemb/</t>
  </si>
  <si>
    <t>note=B._malayi_BMA-NCX-5_protein,_contains_similarity_toPfam_domain_PF01699_Sodium/calcium_exchanger_proteincontains_similarity_to_Interpro_domains_IPR030243(Sodium/potassium/calcium_exchanger_NCKX30C-like),IPR004481_(Sodium/potassium/calcium_exchanger),_IPR004837(Sodium/calcium_exchanger_membrane_region)</t>
  </si>
  <si>
    <t>7209.EFO20622.1</t>
  </si>
  <si>
    <t>6.5e-233</t>
  </si>
  <si>
    <t>813.5</t>
  </si>
  <si>
    <t>ko:K13750</t>
  </si>
  <si>
    <t>ko00000,ko02000</t>
  </si>
  <si>
    <t>2.A.19.4.2</t>
  </si>
  <si>
    <t>1KTYC@119089,38CGX@33154,3B994@33208,3CRWG@33213,40CCX@6231,COG0530@1,KOG1307@2759</t>
  </si>
  <si>
    <t>Belongs to the Ca(2 ) cation antiporter (CaCA) (TC 2.A.19) family</t>
  </si>
  <si>
    <t>39,2799/48,6088/39,2799/48,6088</t>
  </si>
  <si>
    <t>47,2995/21,7676</t>
  </si>
  <si>
    <t>23,4043/25,8592</t>
  </si>
  <si>
    <t>23,0769/21,9313/16,3666</t>
  </si>
  <si>
    <t>37,9705/38,1342</t>
  </si>
  <si>
    <t>39,4435/37,8069</t>
  </si>
  <si>
    <t>18,1669/38,6252/36,4975</t>
  </si>
  <si>
    <t>WBGene00003570</t>
  </si>
  <si>
    <t>43.6989</t>
  </si>
  <si>
    <t>Bm6690</t>
  </si>
  <si>
    <t>WBGene00226951</t>
  </si>
  <si>
    <t>IPR006602/IPR010554/IPR040193/</t>
  </si>
  <si>
    <t>Domain_of_unknown_function_DUF1126/EF-hand_domain-containing_protein_EFHC1/EFHC2/EFHB/Uncharacterised_domain_DM10/</t>
  </si>
  <si>
    <t>DUF1126/EFHC1/EFHC2/EFHB/Uncharacterised_DM10/</t>
  </si>
  <si>
    <t>note=contains_similarity_to_Interpro_domain_IPR006602_(Uncharacterised_domain_DM10)</t>
  </si>
  <si>
    <t>7209.EJD76584.1</t>
  </si>
  <si>
    <t>2.3e-164</t>
  </si>
  <si>
    <t>585.1</t>
  </si>
  <si>
    <t>1KWEB@119089,38HQ9@33154,3BDJP@33208,3CRMY@33213,40EEP@6231,KOG0043@1,KOG0043@2759</t>
  </si>
  <si>
    <t>DUF1126 PH-like domain</t>
  </si>
  <si>
    <t>24,8/21,8667</t>
  </si>
  <si>
    <t>23,7333/23,2</t>
  </si>
  <si>
    <t>22,4/22,4</t>
  </si>
  <si>
    <t>22,9333/22,9333</t>
  </si>
  <si>
    <t>21,8667/23,2</t>
  </si>
  <si>
    <t>WBGene00013028</t>
  </si>
  <si>
    <t>Bm6716</t>
  </si>
  <si>
    <t>WBGene00226977</t>
  </si>
  <si>
    <t>GO:0003824/GO:0016020/GO:0016021/</t>
  </si>
  <si>
    <t>catalytic_activity/integral_component_of_membrane/membrane/</t>
  </si>
  <si>
    <t>A_lipid_bilayer_along_with_all_the_proteins_and_protein_complexes_embedded_in_it_an_attached_to_it._[GOC:dos,_GOC:mah,_ISBN:0815316194]/"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The_component_of_a_membrane_consisting_of_the_gene_products_and_protein_complexes_having_at_least_some_part_of_their_peptide_sequence_embedded_in_the_hydrophobic_region_of_the_membrane."_[GOC:dos,_GOC:go_curators]/</t>
  </si>
  <si>
    <t>IPR001736/IPR032803/</t>
  </si>
  <si>
    <t>PLD-like_domain/Phospholipase_D/Transphosphatidylase/</t>
  </si>
  <si>
    <t>PLDc_3/PLipase_D/transphosphatidylase/</t>
  </si>
  <si>
    <t>note=contains_similarity_to_Pfam_domain_PF13091_PLD-likedomain_contains_similarity_to_Interpro_domain_IPR025202(Phospholipase_D-like_domain)</t>
  </si>
  <si>
    <t>1561998.Csp11.Scaffold630.g17411.t1</t>
  </si>
  <si>
    <t>1.6e-66</t>
  </si>
  <si>
    <t>1KXR7@119089,39T7E@33154,3BMNW@33208,3D62Z@33213,40AZ0@6231,40S3I@6236,KOG3603@1,KOG3603@2759</t>
  </si>
  <si>
    <t>PLD-like domain</t>
  </si>
  <si>
    <t>7,28051/12,4197/19,2719/34,0471/20,7709</t>
  </si>
  <si>
    <t>32,5482/19,4861</t>
  </si>
  <si>
    <t>30,4069/25,4818</t>
  </si>
  <si>
    <t>21,8415/23,3405</t>
  </si>
  <si>
    <t>21,8415/17,773/19,9143</t>
  </si>
  <si>
    <t>20,985/17,1306/21,6274</t>
  </si>
  <si>
    <t>15,4176/22,0557/23,7687</t>
  </si>
  <si>
    <t>WBGene00013080/WBGene00017124</t>
  </si>
  <si>
    <t>32.5482/19.4861</t>
  </si>
  <si>
    <t>Gender_Neutral/Gender_Neutral</t>
  </si>
  <si>
    <t>Bm6756</t>
  </si>
  <si>
    <t>WBGene00227017</t>
  </si>
  <si>
    <t>IPR004841/</t>
  </si>
  <si>
    <t>Amino_acid_permease/_SLC12A_domain/</t>
  </si>
  <si>
    <t>AA-permease/SLC12A_dom/</t>
  </si>
  <si>
    <t>note=contains_similarity_to_Pfam_domain_PF13520_Amino_acid_permease_contains_similarity_to_Interpro_domain_IPR002293_(Amino_acid/polyamine_transporter_I)</t>
  </si>
  <si>
    <t>7209.EJD75691.1</t>
  </si>
  <si>
    <t>4.2e-229</t>
  </si>
  <si>
    <t>801.2</t>
  </si>
  <si>
    <t>1KWZC@119089,3AB5A@33154,3BUMT@33208,3DBQ8@33213,40EKH@6231,COG0531@1,KOG1286@2759</t>
  </si>
  <si>
    <t>E</t>
  </si>
  <si>
    <t>Amino acid permease</t>
  </si>
  <si>
    <t>68,2171/68,2171</t>
  </si>
  <si>
    <t>10,9819/5,29716</t>
  </si>
  <si>
    <t>8,78553/8,39793/8,39793/9,43152/8,78553/8,39793/7,75194/8,65633/8,01034/7,23514/9,43152/8,26873/8,65633/7,49354</t>
  </si>
  <si>
    <t>WBGene00013159</t>
  </si>
  <si>
    <t>26.615</t>
  </si>
  <si>
    <t>Bm6819</t>
  </si>
  <si>
    <t>WBGene00227080</t>
  </si>
  <si>
    <t>GO:0046983/</t>
  </si>
  <si>
    <t>protein_dimerization_activity/</t>
  </si>
  <si>
    <t>The_formation_of_a_protein_dimer,_a_macromolecular_structure_consists_of_two_noncovalently_associated_identical_or_nonidentical_subunits._[ISBN:0198506732]/</t>
  </si>
  <si>
    <t>IPR011598/IPR036638/</t>
  </si>
  <si>
    <t>Helix-loop-helix_DNA-binding_domain_superfamily/Myc-type,_basic_helix-loop-helix_(bHLH)_domain/</t>
  </si>
  <si>
    <t>HLH_DNA-bd_sf/bHLH_dom/</t>
  </si>
  <si>
    <t>note=contains_similarity_to_Pfam_domain_PF00010_Helix-loop-helix_DNA-binding_domain_contains_similarity_to_Interpro_domain_IPR011598_(Myc-type,_basic_helix-loop-helix_(bHLH)_domain)</t>
  </si>
  <si>
    <t>7209.EFO19933.1</t>
  </si>
  <si>
    <t>8.4e-122</t>
  </si>
  <si>
    <t>443.4</t>
  </si>
  <si>
    <t>1M03C@119089,3A05F@33154,3BPN6@33208,3D7XN@33213,40F83@6231,KOG4304@1,KOG4304@2759</t>
  </si>
  <si>
    <t>helix loop helix domain</t>
  </si>
  <si>
    <t>15,917/15,917</t>
  </si>
  <si>
    <t>20,0692/20,4152/17,9931</t>
  </si>
  <si>
    <t>10,7266/19,7232/14,8789/11,7647/18,3391/9,34256/13,4948/12,1107/13,8408/11,4187/12,1107/12,1107</t>
  </si>
  <si>
    <t>11,7647/19,0311/13,8408/11,7647/17,6471/9,68858/13,8408/13,8408/13,8408/11,4187/11,0727/13,1488</t>
  </si>
  <si>
    <t>11,7647/11,7647/11,0727/20,7612/20,4152/10,0346/16,955/17,301/8,65052/13,8408/14,8789/12,1107/11,0727/11,0727/11,0727/11,0727/11,0727/10,7266/10,7266/10,7266/12,8028/9,68858/14,8789/11,7647/10,7266</t>
  </si>
  <si>
    <t>Bm6835</t>
  </si>
  <si>
    <t>WBGene00227096</t>
  </si>
  <si>
    <t>GO:0008528/GO:0016021/</t>
  </si>
  <si>
    <t>G_protein-coupled_peptide_receptor_activity/integral_component_of_membrane/</t>
  </si>
  <si>
    <t>Combining_with_a_peptide_and_transmitting_the_signal_across_the_membrane_by_activating_an_associated_G-protein;_promotes_the_exchange_of_GDP_for_GTP_on_the_alpha_subunit_of_a_heterotrimeric_G-protein_complex._[GOC:dph,_GOC:tb]/"The_component_of_a_membrane_consisting_of_the_gene_products_and_protein_complexes_having_at_least_some_part_of_their_peptide_sequence_embedded_in_the_hydrophobic_region_of_the_membrane."_[GOC:dos,_GOC:go_curators]/</t>
  </si>
  <si>
    <t>IPR017452/IPR019427/</t>
  </si>
  <si>
    <t>7TM_GPCR,_serpentine_receptor_class_w_(Srw)/GPCR,_rhodopsin-like,_7TM/</t>
  </si>
  <si>
    <t>7TM_GPCR_serpentine_rcpt_Srw/GPCR_Rhodpsn_7TM/</t>
  </si>
  <si>
    <t>note=B._malayi_BMA-DMSR-6_protein,_contains_similarity_to_Pfam_domain_PF10324_Serpentine_type_7TM_GPCR_chemoreceptor_Srw_contains_similarity_to_Interpro_domain_IPR019427_(7TM_GPCR,_serpentine_receptor_class_w_(Srw))</t>
  </si>
  <si>
    <t>6326.BUX.s01513.67</t>
  </si>
  <si>
    <t>2.4e-51</t>
  </si>
  <si>
    <t>209.5</t>
  </si>
  <si>
    <t>1KXM2@119089,2BWNV@1,2SHKI@2759,3AEC8@33154,3BYSP@33208,3DDV6@33213,40FJQ@6231</t>
  </si>
  <si>
    <t>Serpentine type 7TM GPCR chemoreceptor Srw</t>
  </si>
  <si>
    <t>33,7912/15,1099</t>
  </si>
  <si>
    <t>WBGene00013222</t>
  </si>
  <si>
    <t>43.4066</t>
  </si>
  <si>
    <t>Bm6846</t>
  </si>
  <si>
    <t>WBGene00227107</t>
  </si>
  <si>
    <t>IPR001507/</t>
  </si>
  <si>
    <t>Zona_pellucida_domain/</t>
  </si>
  <si>
    <t>ZP_dom/</t>
  </si>
  <si>
    <t>note=B._malayi_BMA-CUTL-25_protein,_contains_similarity_to_Pfam_domain_PF00100_Zona_pellucida-like_domain_contains_similarity_to_Interpro_domain_IPR001507_(Zona_pellucida_domain)</t>
  </si>
  <si>
    <t>7209.EJD74939.1</t>
  </si>
  <si>
    <t>1.5e-190</t>
  </si>
  <si>
    <t>672.2</t>
  </si>
  <si>
    <t>1KWNE@119089,2C8WS@1,2S35B@2759,3A4KB@33154,3BRRF@33208,3D8H9@33213,40DV6@6231</t>
  </si>
  <si>
    <t>Zona pellucida-like domain</t>
  </si>
  <si>
    <t>Bm6865</t>
  </si>
  <si>
    <t>WBGene00227126</t>
  </si>
  <si>
    <t>note=B._malayi_BMA-LGC-33_protein</t>
  </si>
  <si>
    <t>7209.EFO24822.1</t>
  </si>
  <si>
    <t>3.9e-109</t>
  </si>
  <si>
    <t>401.4</t>
  </si>
  <si>
    <t>1KWDD@119089,2DI28@1,2S5XS@2759,3A6EW@33154,3BSYV@33208,3DAIG@33213,40EBI@6231</t>
  </si>
  <si>
    <t>WBGene00021941</t>
  </si>
  <si>
    <t>27.3438</t>
  </si>
  <si>
    <t>Bm6968</t>
  </si>
  <si>
    <t>WBGene00227229</t>
  </si>
  <si>
    <t>7209.EFO23780.1</t>
  </si>
  <si>
    <t>7e-39</t>
  </si>
  <si>
    <t>166.4</t>
  </si>
  <si>
    <t>1KX8G@119089,2CBAX@1,2SGFR@2759,3ADHZ@33154,3BVI7@33208,3DCXU@33213,40F6W@6231</t>
  </si>
  <si>
    <t>44,1176/44,1176</t>
  </si>
  <si>
    <t>WBGene00022024</t>
  </si>
  <si>
    <t>34.3137</t>
  </si>
  <si>
    <t>Bm699</t>
  </si>
  <si>
    <t>WBGene00220960</t>
  </si>
  <si>
    <t>/GO:0046983/</t>
  </si>
  <si>
    <t>/protein_dimerization_activity/</t>
  </si>
  <si>
    <t>/"The_formation_of_a_protein_dimer,_a_macromolecular_structure_consists_of_two_noncovalently_associated_identical_or_nonidentical_subunits."_[ISBN:0198506732]/</t>
  </si>
  <si>
    <t>/molecular_function/</t>
  </si>
  <si>
    <t>/IPR011598/IPR036638/</t>
  </si>
  <si>
    <t>/Helix-loop-helix_DNA-binding_domain_superfamily/Myc-type,_basic_helix-loop-helix_(bHLH)_domain/</t>
  </si>
  <si>
    <t>/HLH_DNA-bd_sf/bHLH_dom/</t>
  </si>
  <si>
    <t>note=B._malayi_BMA-LIN-22_protein</t>
  </si>
  <si>
    <t>WBGene00003008</t>
  </si>
  <si>
    <t>17.3285</t>
  </si>
  <si>
    <t>Bm7098</t>
  </si>
  <si>
    <t>WBGene00227359</t>
  </si>
  <si>
    <t>/GO:0005515/GO:0005576/GO:0007275/GO:0016055/</t>
  </si>
  <si>
    <t>/Wnt_signaling_pathway/extracellular_region/multicellular_organism_development/protein_binding/</t>
  </si>
  <si>
    <t>/"Interacting_selectively_and_non-covalently_with_any_protein_or_protein_complex_(a_complex_of_two_or_more_proteins_that_may_include_other_nonprotein_molecules)."_[GOC:go_curators]/"The_biological_process_whose_specific_outcome_is_the_progression_of_a_multicellular_organism_over_time_from_an_initial_condition_(e.g._a_zygote_or_a_young_adult)_to_a_later_condition_(e.g._a_multicellular_animal_or_an_aged_adult)."_[GOC:dph,_GOC:ems,_GOC:isa_complete,_GOC:tb]/"The_series_of_molecular_signals_initiated_by_binding_of_a_Wnt_protein_to_a_frizzled_family_receptor_on_the_surface_of_the_target_cell_and_ending_with_a_change_in_cell_state."_[GOC:dph,_GOC:go_curators,_PMID:11532397]/"The_space_external_to_the_outermost_structure_of_a_cell._For_cells_without_external_protective_or_external_encapsulating_structures_this_refers_to_space_outside_of_the_plasma_membrane._This_term_covers_the_host_cell_environment_outside_an_intracellular_parasite."_[GOC:go_curators]/</t>
  </si>
  <si>
    <t>/biological_process/cellular_component/molecular_function/</t>
  </si>
  <si>
    <t>/IPR001134/IPR008993/IPR015526/IPR020067/IPR026559/IPR036790/</t>
  </si>
  <si>
    <t>/Frizzled/secreted_frizzled-related_protein/Frizzled_cysteine-rich_domain_superfamily/Frizzled_domain/Netrin_domain/Secreted_frizzled-related_protein_1/Tissue_inhibitor_of_metalloproteinases-like,_OB-fold/</t>
  </si>
  <si>
    <t>/Frizzled/SFRP/Frizzled_dom/Frizzled_dom_sf/Netrin_domain/SFRP1/TIMP-like_OB-fold/</t>
  </si>
  <si>
    <t>note=B._malayi_BMA-SFRP-1_protein</t>
  </si>
  <si>
    <t>7209.EFO27021.2</t>
  </si>
  <si>
    <t>1e-170</t>
  </si>
  <si>
    <t>605.9</t>
  </si>
  <si>
    <t>ko:K02222</t>
  </si>
  <si>
    <t>ko04310,map04310</t>
  </si>
  <si>
    <t>1KVEZ@119089,38CJD@33154,3BCWQ@33208,3CXY5@33213,40CU6@6231,KOG3577@1,KOG3577@2759</t>
  </si>
  <si>
    <t>Frizzled</t>
  </si>
  <si>
    <t>44,186/44,5183/44,186</t>
  </si>
  <si>
    <t>27,2425/28,5714</t>
  </si>
  <si>
    <t>15,2824/21,2625/25,5814/27,2425/15,2824/33,887/25,5814/35,8804/24,9169/24,2525</t>
  </si>
  <si>
    <t>14,9502/21,5947/25,5814/27,5748/15,2824/33,887/25,2492/35,8804/25,2492/23,9203</t>
  </si>
  <si>
    <t>22,2591/20,598/24,5847/26,5781/25,9136/33,2226/31,2292/34,8837/30,2326/24,2525/24,9169</t>
  </si>
  <si>
    <t>WBGene00022242</t>
  </si>
  <si>
    <t>51.495</t>
  </si>
  <si>
    <t>Bm7105</t>
  </si>
  <si>
    <t>WBGene00227366</t>
  </si>
  <si>
    <t>GO:0003723/</t>
  </si>
  <si>
    <t>RNA_binding/</t>
  </si>
  <si>
    <t>Interacting_selectively_and_non-covalently_with_an_RNA_molecule_or_a_portion_thereof._[GOC:jl,_GOC:mah]/</t>
  </si>
  <si>
    <t>IPR001313/IPR011989/IPR016024/IPR033133/</t>
  </si>
  <si>
    <t>Armadillo-like_helical/Armadillo-type_fold/Pumilio_RNA-binding_repeat/Pumilio_homology_domain/</t>
  </si>
  <si>
    <t>ARM-like/ARM-type_fold/PUM-HD/Pumilio_RNA-bd_rpt/</t>
  </si>
  <si>
    <t>note=contains_similarity_to_Pfam_domain_PF00806_Pumilio-family_RNA_binding_repeat_contains_similarity_to_Interpro_domains_IPR011989_(Armadillo-like_helical),_IPR001313_(Pumilio_RNA-binding_repeat),_IPR016024_(Armadillo-type_fold)</t>
  </si>
  <si>
    <t>7209.EJD75963.1</t>
  </si>
  <si>
    <t>6.9e-241</t>
  </si>
  <si>
    <t>839.7</t>
  </si>
  <si>
    <t>puf-5</t>
  </si>
  <si>
    <t>GO:0000003,GO:0003006,GO:0003008,GO:0003674,GO:0003676,GO:0003723,GO:0003729,GO:0003730,GO:0005488,GO:0005515,GO:0005575,GO:0005622,GO:0005623,GO:0005634,GO:0005737,GO:0006139,GO:0006401,GO:0006402,GO:0006417,GO:0006725,GO:0006807,GO:0006810,GO:0006884,GO:0007049,GO:0007097,GO:0007276,GO:0007281,GO:0007338,GO:0007346,GO:0007610,GO:0007611,GO:0007612,GO:0007635,GO:0008150,GO:0008152,GO:0008285,GO:0008306,GO:0008355,GO:0008361,GO:0009056,GO:0009057,GO:0009566,GO:0009889,GO:0009890,GO:0009892,GO:0009893,GO:0009987,GO:0009992,GO:0010468,GO:0010556,GO:0010558,GO:0010604,GO:0010605,GO:0010608,GO:0010628,GO:0010629,GO:0016043,GO:0016070,GO:0016071,GO:0017148,GO:0019222,GO:0019439,GO:0019725,GO:0019953,GO:0022402,GO:0022412,GO:0022414,GO:0030104,GO:0030154,GO:0031323,GO:0031324,GO:0031326,GO:0031327,GO:0032268,GO:0032269,GO:0032501,GO:0032502,GO:0032504,GO:0032535,GO:0032991,GO:0034248,GO:0034249,GO:0034641,GO:0034655,GO:0035046,GO:0035770,GO:0036464,GO:0040019,GO:0042048,GO:0042127,GO:0042221,GO:0042592,GO:0043073,GO:0043170,GO:0043186,GO:0043226,GO:0043227,GO:0043228,GO:0043229,GO:0043231,GO:0043232,GO:0044237,GO:0044238,GO:0044248,GO:0044260,GO:0044265,GO:0044270,GO:0044424,GO:0044444,GO:0044464,GO:0044703,GO:0045495,GO:0045786,GO:0045787,GO:0045930,GO:0045995,GO:0046483,GO:0046700,GO:0046907,GO:0048468,GO:0048471,GO:0048518,GO:0048519,GO:0048522,GO:0048523,GO:0048609,GO:0048856,GO:0048869,GO:0048878,GO:0050789,GO:0050793,GO:0050794,GO:0050877,GO:0050890,GO:0050896,GO:0051094,GO:0051171,GO:0051172,GO:0051179,GO:0051234,GO:0051239,GO:0051240,GO:0051246,GO:0051248,GO:0051445,GO:0051446,GO:0051640,GO:0051641,GO:0051647,GO:0051649,GO:0051656,GO:0051704,GO:0051726,GO:0051728,GO:0051729,GO:0055082,GO:0060184,GO:0060255,GO:0060293,GO:0065007,GO:0065008,GO:0071704,GO:0071840,GO:0080090,GO:0090066,GO:0090304,GO:0097159,GO:1901360,GO:1901361,GO:1901363,GO:1901575,GO:1990904,GO:2000026,GO:2000112,GO:2000113,GO:2000241,GO:2000243</t>
  </si>
  <si>
    <t>1KWPY@119089,3A772@33154,3BT0G@33208,3D9VD@33213,40E4I@6231,COG5099@1,KOG1488@2759</t>
  </si>
  <si>
    <t>J</t>
  </si>
  <si>
    <t>RNA-binding protein that binds to the consensus sequence 5'-CUCUGUAUCUUGU-3' in mRNA 3'-UTRs and modulates mRNA expression and stability. Functions redundantly with</t>
  </si>
  <si>
    <t>10,5263/10,9312</t>
  </si>
  <si>
    <t>24,0891/24,0891/24,0891</t>
  </si>
  <si>
    <t>31,5789/31,3765</t>
  </si>
  <si>
    <t>29,5547/29,7571/29,1498/28,9474</t>
  </si>
  <si>
    <t>12,3482/14,17/18,0162</t>
  </si>
  <si>
    <t>WBGene00001402/WBGene00001401/WBGene00004239/WBGene00022257</t>
  </si>
  <si>
    <t>29.5547/29.7571/29.1498/28.9474</t>
  </si>
  <si>
    <t>Gender_Neutral/Gender_Neutral/Oogenic/Oogenic</t>
  </si>
  <si>
    <t>meiosis/mitosis_meiotic_entry/meiosis/mitosis_chromosome_segregation</t>
  </si>
  <si>
    <t>Bm7394</t>
  </si>
  <si>
    <t>WBGene00227655</t>
  </si>
  <si>
    <t>7209.EFO19608.1</t>
  </si>
  <si>
    <t>1.8e-168</t>
  </si>
  <si>
    <t>598.6</t>
  </si>
  <si>
    <t>COG0639@1,KOG0374@2759</t>
  </si>
  <si>
    <t>phosphoprotein phosphatase activity</t>
  </si>
  <si>
    <t>31,9403/32,8358/35,8209/36,7164</t>
  </si>
  <si>
    <t>Bm7408</t>
  </si>
  <si>
    <t>WBGene00227669</t>
  </si>
  <si>
    <t>note=B._malayi_BMA-DPY-13_protein,_contains_similarity_to_Pfam_domains_PF01484_(Nematode_cuticle_collagen_N-terminal_domain),_PF01391_(Collagen_triple_helix_repeat_(20_copies))_contains_similarity_to_Interpro_domains_IPR002486_(Nematode_cuticle_collagen,_N-terminal),_IPR008160_(Collagen_triple_helix_repeat)</t>
  </si>
  <si>
    <t>7209.EFO23709.1</t>
  </si>
  <si>
    <t>4.3e-44</t>
  </si>
  <si>
    <t>185.3</t>
  </si>
  <si>
    <t>col-119</t>
  </si>
  <si>
    <t>GO:0005575,GO:0005576,GO:0007275,GO:0008150,GO:0018996,GO:0031012,GO:0032501,GO:0032502,GO:0040002,GO:0042303,GO:0042335,GO:0042338,GO:0044421,GO:0048856,GO:0060102,GO:0062023</t>
  </si>
  <si>
    <t>1KV4T@119089,39VI5@33154,3BNUI@33208,3D5SX@33213,40BHT@6231,KOG3544@1,KOG3544@2759</t>
  </si>
  <si>
    <t>W</t>
  </si>
  <si>
    <t>mRNA, complete cds</t>
  </si>
  <si>
    <t>52,459/57,377</t>
  </si>
  <si>
    <t>Bm7412</t>
  </si>
  <si>
    <t>WBGene00227673</t>
  </si>
  <si>
    <t>/GO:0000166/GO:0004672/GO:0004674/GO:0005524/GO:0006468/</t>
  </si>
  <si>
    <t>/ATP_binding/nucleotide_binding/protein_kinase_activity/protein_phosphorylation/protein_serine/threonine_kinase_activity/</t>
  </si>
  <si>
    <t>/"Catalysis_of_the_phosphorylation_of_an_amino_acid_residue_in_a_protein,_usually_according_to_the_reaction:_a_protein_+_ATP_=_a_phosphoprotein_+_ADP."_[MetaCyc:PROTEIN-KINASE-RXN]/"Catalysis_of_the_reactions:_ATP_+_protein_serine_=_ADP_+_protein_serine_phosphate,_and_ATP_+_protein_threonine_=_ADP_+_protein_threonine_phosphate."_[GOC:bf]/"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he_process_of_introducing_a_phosphate_group_on_to_a_protein."_[GOC:hb]/</t>
  </si>
  <si>
    <t>/biological_process/molecular_function/</t>
  </si>
  <si>
    <t>note=contains_similarity_to_Interpro_domain_IPR011009_(Protein_kinase-like_domain)</t>
  </si>
  <si>
    <t>7209.EFO21879.1</t>
  </si>
  <si>
    <t>5.4e-182</t>
  </si>
  <si>
    <t>643.7</t>
  </si>
  <si>
    <t>1KUMI@119089,39GG2@33154,3BN8Y@33208,3D5YM@33213,40CHP@6231,KOG1164@1,KOG1164@2759</t>
  </si>
  <si>
    <t>35,7746/40,5634</t>
  </si>
  <si>
    <t>WBGene00007269/WBGene00020580</t>
  </si>
  <si>
    <t>35.7746/40.5634</t>
  </si>
  <si>
    <t>Bm7583</t>
  </si>
  <si>
    <t>WBGene00227844</t>
  </si>
  <si>
    <t>GO:0000166/GO:0003924/GO:0005200/GO:0005525/GO:0005737/GO:0005856/GO:0005874/GO:0007010/GO:0007017/</t>
  </si>
  <si>
    <t>GTP_binding/GTPase_activity/cytoplasm/cytoskeleton/cytoskeleton_organization/microtubule/microtubule-based_process/nucleotide_binding/structural_constituent_of_cytoskeleton/</t>
  </si>
  <si>
    <t>A_process_that_is_carried_out_at_the_cellular_level_which_results_in_the_assembly,_arrangement_of_constituent_parts,_or_disassembly_of_cytoskeletal_structures._[GOC:dph,_GOC:jl,_GOC:mah]/"All_of_the_contents_of_a_cell_excluding_the_plasma_membrane_and_nucleus,_but_including_other_subcellular_structures."_[ISBN:0198547684]/"Any_cellular_process_that_depends_upon_or_alters_the_microtubule_cytoskeleton,_that_part_of_the_cytoskeleton_comprising_microtubules_and_their_associated_proteins."_[GOC:mah]/"Any_of_the_long,_generally_straight,_hollow_tubes_of_internal_diameter_12-15_nm_and_external_diameter_24_nm_found_in_a_wide_variety_of_eukaryotic_cells;_each_consists_(usually)_of_13_protofilaments_of_polymeric_tubulin,_staggered_in_such_a_manner_that_the_tubulin_monomers_are_arranged_in_a_helical_pattern_on_the_microtubular_surface,_and_with_the_alpha/beta_axes_of_the_tubulin_subunits_parallel_to_the_long_axis_of_the_tubule;_exist_in_equilibrium_with_pool_of_tubulin_monomers_and_can_be_rapidly_assembled_or_disassembled_in_response_to_physiological_stimuli;_concerned_with_force_generation,_e.g._in_the_spindle."_[ISBN:0879693568]/"Any_of_the_various_filamentous_elements_that_form_the_internal_framework_of_cells,_and_typically_remain_after_treatment_of_the_cells_with_mild_detergent_to_remove_membrane_constituents_and_soluble_components_of_the_cytoplasm._The_term_embraces_intermediate_filaments,_microfilaments,_microtubules,_the_microtrabecular_lattice,_and_other_structures_characterized_by_a_polymeric_filamentous_nature_and_long-range_order_within_the_cell._The_various_elements_of_the_cytoskeleton_not_only_serve_in_the_maintenance_of_cellular_shape_but_also_have_roles_in_other_cellular_functions,_including_cellular_movement,_cell_division,_endocytosis,_and_movement_of_organelles."_[GOC:mah,_ISBN:0198547684,_PMID:16959967]/"Catalysis_of_the_reaction:_GTP_+_H2O_=_GDP_+_phosphate."_[ISBN:0198547684]/"Interacting_selectively_and_non-covalently_with_GTP,_guanosine_triphosphate."_[GOC:ai]/"Interacting_selectively_and_non-covalently_with_a_nucleotide,_any_compound_consisting_of_a_nucleoside_that_is_esterified_with_(ortho)phosphate_or_an_oligophosphate_at_any_hydroxyl_group_on_the_ribose_or_deoxyribose."_[GOC:mah,_ISBN:0198547684]/"The_action_of_a_molecule_that_contributes_to_the_structural_integrity_of_a_cytoskeletal_structure."_[GOC:mah]/</t>
  </si>
  <si>
    <t>IPR000217/IPR002452/IPR003008/IPR008280/IPR017975/IPR018316/IPR023123/IPR036525/IPR037103/</t>
  </si>
  <si>
    <t>Alpha_tubulin/Tubulin/Tubulin,_C-terminal/Tubulin,_conserved_site/Tubulin/FtsZ,_2-layer_sandwich_domain/Tubulin/FtsZ,_C-terminal/Tubulin/FtsZ,_C-terminal_domain_superfamily/Tubulin/FtsZ,_GTPase_domain/Tubulin/FtsZ,_GTPase_domain_superfamily/</t>
  </si>
  <si>
    <t>Alpha_tubulin/Tub_FtsZ_C/Tubulin/Tubulin/FtsZ_2-layer-sand-dom/Tubulin/FtsZ_C_sf/Tubulin/FtsZ_GTPase_sf/Tubulin_C/Tubulin_CS/Tubulin_FtsZ_GTPase/</t>
  </si>
  <si>
    <t>note=B._malayi_BMA-TBA-8_protein,_contains_similarity_toPfam_domains_PF00091_(Tubulin/FtsZ_family,_GTPase_domain),PF03953_(Tubulin_C-terminal_domain)_contains_similarity_toInterpro_domains_IPR002452_(Alpha_tubulin),_IPR000217(Tubulin),_IPR003008_(Tubulin/FtsZ,_GTPase_domain),IPR023123_(Tubulin,_C-terminal),_IPR018316_(Tubulin/FtsZ,2-layer_sandwich_domain),_IPR008280_(Tubulin/FtsZ,C-terminal)</t>
  </si>
  <si>
    <t>8083.ENSXMAP00000015983</t>
  </si>
  <si>
    <t>1.6e-223</t>
  </si>
  <si>
    <t>781.9</t>
  </si>
  <si>
    <t>Vertebrata</t>
  </si>
  <si>
    <t>38E06@33154,3BAUV@33208,3CRFN@33213,47ZHV@7711,4901E@7742,COG5023@1,KOG1376@2759</t>
  </si>
  <si>
    <t>Z</t>
  </si>
  <si>
    <t>Tubulin is the major constituent of microtubules. It binds two moles of GTP, one at an exchangeable site on the beta chain and one at a non-exchangeable site on the alpha chain</t>
  </si>
  <si>
    <t>79,2208/25,3247</t>
  </si>
  <si>
    <t>40,2597/39,6104</t>
  </si>
  <si>
    <t>69,2641/68,3983</t>
  </si>
  <si>
    <t>Bm7660</t>
  </si>
  <si>
    <t>WBGene00227921</t>
  </si>
  <si>
    <t>GO:0003676/GO:0004523/GO:0090502/</t>
  </si>
  <si>
    <t>RNA-DNA_hybrid_ribonuclease_activity/RNA_phosphodiester_bond_hydrolysis,_endonucleolytic/nucleic_acid_binding/</t>
  </si>
  <si>
    <t>Catalysis_of_the_endonucleolytic_cleavage_of_RNA_in_RNA-DNA_hybrids_to_5'-phosphomonoesters._[EC:3.1.26.4]/"Interacting_selectively_and_non-covalently_with_any_nucleic_acid."_[GOC:jl]/"The_chemical_reactions_and_pathways_involving_the_hydrolysis_of_internal_3',5'-phosphodiester_bonds_in_one_or_two_strands_of_ribonucleotides."_[GOC:dph,_GOC:tb]/</t>
  </si>
  <si>
    <t>IPR002156/IPR012337/IPR036397/</t>
  </si>
  <si>
    <t>Ribonuclease_H-like_superfamily/Ribonuclease_H_domain/Ribonuclease_H_superfamily/</t>
  </si>
  <si>
    <t>RNaseH-like_sf/RNaseH_domain/RNaseH_sf/</t>
  </si>
  <si>
    <t>note=B._malayi_BMA-RNH-1.1_protein,_contains_similarity_to_Pfam_domain_PF00075_RNase_H_contains_similarity_to_Interpro_domains_IPR012337_(Ribonuclease_H-like_domain),_IPR002156_(Ribonuclease_H_domain)</t>
  </si>
  <si>
    <t>6326.BUX.s00532.14</t>
  </si>
  <si>
    <t>1.2e-31</t>
  </si>
  <si>
    <t>143.7</t>
  </si>
  <si>
    <t>rnh-1.1</t>
  </si>
  <si>
    <t>GO:0003674,GO:0003824,GO:0004518,GO:0004519,GO:0004521,GO:0004523,GO:0004540,GO:0006139,GO:0006725,GO:0006807,GO:0008150,GO:0008152,GO:0009987,GO:0016070,GO:0016787,GO:0016788,GO:0016891,GO:0016893,GO:0034641,GO:0043170,GO:0044237,GO:0044238,GO:0046483,GO:0071704,GO:0090304,GO:0090305,GO:0090501,GO:0090502,GO:0140098,GO:1901360</t>
  </si>
  <si>
    <t>1KZU9@119089,3AR8U@33154,3C2MQ@33208,3DIU1@33213,40GUY@6231,COG0328@1,KOG3752@2759</t>
  </si>
  <si>
    <t>RNase H</t>
  </si>
  <si>
    <t>41,9847/31,6794</t>
  </si>
  <si>
    <t>Bm7694</t>
  </si>
  <si>
    <t>WBGene00227955</t>
  </si>
  <si>
    <t>note=contains_similarity_to_Pfam_domain_PF00069_Protein_kinase_domain_contains_similarity_to_Interpro_domains_IPR011009_(Protein_kinase-like_domain),_IPR000719_(Protein_kinase_domain)</t>
  </si>
  <si>
    <t>7209.EFO20892.1</t>
  </si>
  <si>
    <t>1.7e-171</t>
  </si>
  <si>
    <t>608.6</t>
  </si>
  <si>
    <t>1KXI7@119089,3AHZ2@33154,3BX01@33208,3DDE9@33213,40FTH@6231,KOG1164@1,KOG1164@2759</t>
  </si>
  <si>
    <t>Protein kinase domain</t>
  </si>
  <si>
    <t>46,6667/43,0303</t>
  </si>
  <si>
    <t>13,9394/18,1818/15,7576/12,1212/18,4848/16,6667</t>
  </si>
  <si>
    <t>Bm7728</t>
  </si>
  <si>
    <t>WBGene00227989</t>
  </si>
  <si>
    <t>Bm7753</t>
  </si>
  <si>
    <t>WBGene00228014</t>
  </si>
  <si>
    <t>GO:0016787/</t>
  </si>
  <si>
    <t>hydrolase_activity/</t>
  </si>
  <si>
    <t>Catalysis_of_the_hydrolysis_of_various_bonds,_e.g._C-O,_C-N,_C-C,_phosphoric_anhydride_bonds,_etc._Hydrolase_is_the_systematic_name_for_any_enzyme_of_EC_class_3._[ISBN:0198506732]/</t>
  </si>
  <si>
    <t>note=contains_similarity_to_Interpro_domains_IPR029052_(Metallo-dependent_phosphatase-like),_IPR006186_(Serine/threonine-specific_protein_phosphatase/bis(5-nucleosyl)-tetraphosphatase)</t>
  </si>
  <si>
    <t>113608.XP_003685318.1</t>
  </si>
  <si>
    <t>2.8e-47</t>
  </si>
  <si>
    <t>196.1</t>
  </si>
  <si>
    <t>Saccharomycetaceae</t>
  </si>
  <si>
    <t>38BGF@33154,3NUEW@4751,3QMXQ@4890,3RRN9@4891,3RY7N@4893,COG0639@1,KOG0374@2759</t>
  </si>
  <si>
    <t>30,8962/22,1698/31,6038/27,8302/31,3679</t>
  </si>
  <si>
    <t>29,717/32,0755/30,6604</t>
  </si>
  <si>
    <t>WBGene00044347/WBGene00009079/WBGene00009054</t>
  </si>
  <si>
    <t>29.717/32.0755/30.6604</t>
  </si>
  <si>
    <t>Spermatogenic/Spermatogenic/Spermatogenic</t>
  </si>
  <si>
    <t>Bm7770</t>
  </si>
  <si>
    <t>WBGene00228031</t>
  </si>
  <si>
    <t>65,2174/58,6957</t>
  </si>
  <si>
    <t>Bm7776</t>
  </si>
  <si>
    <t>WBGene00228037</t>
  </si>
  <si>
    <t>Bm7902</t>
  </si>
  <si>
    <t>WBGene00228163</t>
  </si>
  <si>
    <t>GO:0003824/GO:0004555/GO:0005991/GO:0008152/GO:0016787/GO:0016798/</t>
  </si>
  <si>
    <t>alpha,alpha-trehalase_activity/catalytic_activity/hydrolase_activity/hydrolase_activity,_acting_on_glycosyl_bonds/metabolic_process/trehalose_metabolic_process/</t>
  </si>
  <si>
    <t>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Catalysis_of_the_hydrolysis_of_any_glycosyl_bond."_[GOC:jl]/"Catalysis_of_the_hydrolysis_of_various_bonds,_e.g._C-O,_C-N,_C-C,_phosphoric_anhydride_bonds,_etc._Hydrolase_is_the_systematic_name_for_any_enzyme_of_EC_class_3."_[ISBN:0198506732]/"Catalysis_of_the_reaction:_alpha,alpha-trehalose_+_H2O_=_2_D-glucose."_[EC:3.2.1.28]/"The_chemical_reactions_and_pathways,_including_anabolism_and_catabolism,_by_which_living_organisms_transform_chemical_substances._Metabolic_processes_typically_transform_small_molecules,_but_also_include_macromolecular_processes_such_as_DNA_repair_and_replication,_and_protein_synthesis_and_degradation."_[GOC:go_curators,_ISBN:0198547684]/"The_chemical_reactions_and_pathways_involving_trehalose,_a_disaccharide_isomeric_with_sucrose_and_obtained_from_certain_lichens_and_fungi."_[GOC:jl,_ISBN:0028623819]/</t>
  </si>
  <si>
    <t>IPR001661/IPR008928/IPR012341/IPR018232/</t>
  </si>
  <si>
    <t>Glycoside_hydrolase,_family_37/Glycoside_hydrolase,_family_37,_conserved_site/Six-hairpin_glycosidase-like_superfamily/Six-hairpin_glycosidase_superfamily/</t>
  </si>
  <si>
    <t>6-hairpin_glycosidase_sf/6hp_glycosidase-like_sf/Glyco_hydro_37/Glyco_hydro_37_CS/</t>
  </si>
  <si>
    <t>note=contains_similarity_to_Pfam_domain_PF01204_Trehalase_contains_similarity_to_Interpro_domains_IPR001661_(Glycoside_hydrolase,_family_37),_IPR008928_(Six-hairpin_glycosidase-like)</t>
  </si>
  <si>
    <t>7209.EJD75009.1</t>
  </si>
  <si>
    <t>7.8e-100</t>
  </si>
  <si>
    <t>369.8</t>
  </si>
  <si>
    <t>3.2.1.28</t>
  </si>
  <si>
    <t>ko:K01194</t>
  </si>
  <si>
    <t>ko00500,ko01100,map00500,map01100</t>
  </si>
  <si>
    <t>R00010</t>
  </si>
  <si>
    <t>RC00049</t>
  </si>
  <si>
    <t>ko00000,ko00001,ko00537,ko01000</t>
  </si>
  <si>
    <t>GH37</t>
  </si>
  <si>
    <t>1KY44@119089,38CKH@33154,3BBMJ@33208,3CRSP@33213,40BY3@6231,COG1626@1,KOG0602@2759</t>
  </si>
  <si>
    <t>Alpha-trehalose glucohydrolase</t>
  </si>
  <si>
    <t>74,3456/1,57068</t>
  </si>
  <si>
    <t>28,2723/27,7487</t>
  </si>
  <si>
    <t>24,6073/21,9895</t>
  </si>
  <si>
    <t>19,8953/18,3246</t>
  </si>
  <si>
    <t>Bm8091</t>
  </si>
  <si>
    <t>WBGene00228352</t>
  </si>
  <si>
    <t>IPR000718/IPR008753/IPR018497/IPR024079/</t>
  </si>
  <si>
    <t>Metallopeptidase,_catalytic_domain_superfamily/Peptidase_M13/Peptidase_M13,_C-terminal_domain/Peptidase_M13,_N-terminal_domain/</t>
  </si>
  <si>
    <t>MetalloPept_cat_dom_sf/Peptidase_M13/Peptidase_M13_C/Peptidase_M13_N/</t>
  </si>
  <si>
    <t>note=B._malayi_BMA-NEP-11_protein,_contains_similarity_to_Pfam_domain_PF01431_Peptidase_family_M13_contains_similarity_to_Interpro_domains_IPR024079_(Metallopeptidase,_catalytic_domain),_IPR018497_(Peptidase_M13,_C-terminal_domain),_IPR000718_(Peptidase_M13)</t>
  </si>
  <si>
    <t>7209.EJD73612.1</t>
  </si>
  <si>
    <t>1223.0</t>
  </si>
  <si>
    <t>3.4.24.71</t>
  </si>
  <si>
    <t>ko:K01415,ko:K08635</t>
  </si>
  <si>
    <t>ko00000,ko01000,ko01002,ko04147</t>
  </si>
  <si>
    <t>1KY8D@119089,38BNF@33154,3B9I2@33208,3CW8Q@33213,40BGG@6231,COG3590@1,KOG3624@2759</t>
  </si>
  <si>
    <t>Peptidase family M13</t>
  </si>
  <si>
    <t>27,9942/20,0577/34,632</t>
  </si>
  <si>
    <t>28,2828/21,5007/34,4877</t>
  </si>
  <si>
    <t>20,6349/33,0447</t>
  </si>
  <si>
    <t>Bm8301</t>
  </si>
  <si>
    <t>WBGene00228562</t>
  </si>
  <si>
    <t>/GO:0004553/GO:0005576/GO:0005615/GO:0005975/GO:0006030/GO:0008061/GO:0008152/GO:0016787/GO:0016798/</t>
  </si>
  <si>
    <t>/carbohydrate_metabolic_process/chitin_binding/chitin_metabolic_process/extracellular_region/extracellular_space/hydrolase_activity/hydrolase_activity,_acting_on_glycosyl_bonds/hydrolase_activity,_hydrolyzing_O-glycosyl_compounds/metabolic_process/</t>
  </si>
  <si>
    <t>/"Catalysis_of_the_hydrolysis_of_any_O-glycosyl_bond."_[GOC:mah]/"Catalysis_of_the_hydrolysis_of_any_glycosyl_bond."_[GOC:jl]/"Catalysis_of_the_hydrolysis_of_various_bonds,_e.g._C-O,_C-N,_C-C,_phosphoric_anhydride_bonds,_etc._Hydrolase_is_the_systematic_name_for_any_enzyme_of_EC_class_3."_[ISBN:0198506732]/"Interacting_selectively_and_non-covalently_with_chitin,_a_linear_polysaccharide_consisting_of_beta-(1-&gt;4)-linked_N-acetyl-D-glucosamine_residues."_[GOC:jl,_ISBN:0198506732]/"That_part_of_a_multicellular_organism_outside_the_cells_proper,_usually_taken_to_be_outside_the_plasma_membranes,_and_occupied_by_fluid."_[ISBN:0198547684]/"The_chemical_reactions_and_pathways,_including_anabolism_and_catabolism,_by_which_living_organisms_transform_chemical_substances._Metabolic_processes_typically_transform_small_molecules,_but_also_include_macromolecular_processes_such_as_DNA_repair_and_replication,_and_protein_synthesis_and_degradation."_[GOC:go_curators,_ISBN:0198547684]/"The_chemical_reactions_and_pathways_involving_carbohydrates,_any_of_a_group_of_organic_compounds_based_of_the_general_formula_Cx(H2O)y._Includes_the_formation_of_carbohydrate_derivatives_by_the_addition_of_a_carbohydrate_residue_to_another_molecule."_[GOC:mah,_ISBN:0198506732]/"The_chemical_reactions_and_pathways_involving_chitin,_a_linear_polysaccharide_consisting_of_beta-(1-&gt;4)-linked_N-acetyl-D-glucosamine_residues."_[GOC:jl,_ISBN:0198506732]/"The_space_external_to_the_outermost_structure_of_a_cell._For_cells_without_external_protective_or_external_encapsulating_structures_this_refers_to_space_outside_of_the_plasma_membrane._This_term_covers_the_host_cell_environment_outside_an_intracellular_parasite."_[GOC:go_curators]/</t>
  </si>
  <si>
    <t>IPR001223/IPR001579/IPR002557/IPR011583/IPR017853/IPR028541/IPR029070/IPR036508/</t>
  </si>
  <si>
    <t>Chitin_binding_domain/Chitin_binding_domain_superfamily/Chitinase-3-like_protein_2/Chitinase_II/Chitinase_insertion_domain_superfamily/Glycoside_hydrolase,_chitinase_active_site/Glycoside_hydrolase_family_18,_catalytic_domain/Glycoside_hydrolase_superfamily/</t>
  </si>
  <si>
    <t>CHI3L2/Chitin-bd_dom/Chitin-bd_dom_sf/Chitinase_II/Chitinase_insertion_sf/Glyco_hydro18_cat/Glyco_hydro_18_chit_AS/Glycoside_hydrolase_SF/</t>
  </si>
  <si>
    <t>1.2e-182</t>
  </si>
  <si>
    <t>646.4</t>
  </si>
  <si>
    <t>17,3913/37,1542/28,2609/14,8221/19,5652</t>
  </si>
  <si>
    <t>14,4269/34,7826/42,6877</t>
  </si>
  <si>
    <t>54,7431/49,4071/48,6166/27,4704/64,6245</t>
  </si>
  <si>
    <t>66,996/60,2767</t>
  </si>
  <si>
    <t>9,48617/8,69565</t>
  </si>
  <si>
    <t>11,8577/35,5731/8,69565/13,0435</t>
  </si>
  <si>
    <t>24,5059/25,4941/28,0632/25,0988/23,5178/25,4941/27,668</t>
  </si>
  <si>
    <t>33,2016/24,5059</t>
  </si>
  <si>
    <t>31,0277/33,3992</t>
  </si>
  <si>
    <t>34,9802/33,3992</t>
  </si>
  <si>
    <t>28,0632/29,6443</t>
  </si>
  <si>
    <t>27,2727/27,2727</t>
  </si>
  <si>
    <t>WBGene00000503</t>
  </si>
  <si>
    <t>37.1542</t>
  </si>
  <si>
    <t>Bm8506</t>
  </si>
  <si>
    <t>WBGene00228767</t>
  </si>
  <si>
    <t>GO:0004222/GO:0005576/GO:0006508/GO:0008233/GO:0008237/GO:0008270/GO:0016020/GO:0016021/GO:0016787/GO:0018996/GO:0046872/</t>
  </si>
  <si>
    <t>extracellular_region/hydrolase_activity/integral_component_of_membrane/membrane/metal_ion_binding/metalloendopeptidase_activity/metallopeptidase_activity/molting_cycle,_collagen_and_cuticulin-based_cuticle/peptidase_activity/proteolysis/zinc_ion_binding/</t>
  </si>
  <si>
    <t>A_lipid_bilayer_along_with_all_the_proteins_and_protein_complexes_embedded_in_it_an_attached_to_it._[GOC:dos,_GOC:mah,_ISBN:0815316194]/"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internal,_alpha-peptide_bonds_in_a_polypeptide_chain_by_a_mechanism_in_which_water_acts_as_a_nucleophile,_one_or_two_metal_ions_hold_the_water_molecule_in_place,_and_charged_amino_acid_side_chains_are_ligands_for_the_metal_ions."_[GOC:mah,_http://merops.sanger.ac.uk/about/glossary.htm#CATTYPE,_http://merops.sanger.ac.uk/about/glossary.htm#ENDOPEPTIDASE]/"Catalysis_of_the_hydrolysis_of_peptide_bonds_by_a_mechanism_in_which_water_acts_as_a_nucleophile,_one_or_two_metal_ions_hold_the_water_molecule_in_place,_and_charged_amino_acid_side_chains_are_ligands_for_the_metal_ions."_[GOC:mah,_http://merops.sanger.ac.uk/about/glossary.htm#CATTYPE]/"Catalysis_of_the_hydrolysis_of_various_bonds,_e.g._C-O,_C-N,_C-C,_phosphoric_anhydride_bonds,_etc._Hydrolase_is_the_systematic_name_for_any_enzyme_of_EC_class_3."_[ISBN:0198506732]/"Interacting_selectively_and_non-covalently_with_any_metal_ion."_[GOC:ai]/"Interacting_selectively_and_non-covalently_with_zinc_(Zn)_ions."_[GOC:ai]/"The_component_of_a_membrane_consisting_of_the_gene_products_and_protein_complexes_having_at_least_some_part_of_their_peptide_sequence_embedded_in_the_hydrophobic_region_of_the_membrane."_[GOC:dos,_GOC:go_curators]/"The_hydrolysis_of_proteins_into_smaller_polypeptides_and/or_amino_acids_by_cleavage_of_their_peptide_bonds."_[GOC:bf,_GOC:mah]/"The_periodic_shedding_of_part_or_all_of_a_collagen_and_cuticulin-based_cuticle,_which_is_then_replaced_by_a_new_collagen_and_cuticulin-based_cuticle._An_example_of_this_is_found_in_the_Nematode_worm,_Caenorhabditis_elegans."_[GOC:jl,_GOC:mtg_sensu]/"The_space_external_to_the_outermost_structure_of_a_cell._For_cells_without_external_protective_or_external_encapsulating_structures_this_refers_to_space_outside_of_the_plasma_membrane._This_term_covers_the_host_cell_environment_outside_an_intracellular_parasite."_[GOC:go_curators]/</t>
  </si>
  <si>
    <t>IPR000859/IPR001506/IPR006026/IPR013032/IPR017050/IPR024079/IPR034035/IPR035914/</t>
  </si>
  <si>
    <t>Astacin-like_metallopeptidase_domain/CUB_domain/EGF-like,_conserved_site/Metallopeptidase,_catalytic_domain_superfamily/Metallopeptidase,_nematode/Peptidase,_metallopeptidase/Peptidase_M12A/Spermadhesin,_CUB_domain_superfamily/</t>
  </si>
  <si>
    <t>Astacin-like_dom/CUB_dom/EGF-like_CS/MetalloPept_cat_dom_sf/Metallopeptidase_nem/Peptidase_M12A/Peptidase_Metallo/Sperma_CUB_dom_sf/</t>
  </si>
  <si>
    <t>note=contains_similarity_to_Pfam_domain_PF01400_Astacin_(Peptidase_family_M12A)_contains_similarity_to_Interpro_domains_IPR024079_(Metallopeptidase,_catalytic_domain),_IPR017050_(Metallopeptidase,_nematode),_IPR001506_(Peptidase_M12A,_astacin),_IPR006026_(Peptidase,_metallopeptidase),_IPR000859_(CUB_domain)</t>
  </si>
  <si>
    <t>7209.EFO13979.1</t>
  </si>
  <si>
    <t>2.8e-179</t>
  </si>
  <si>
    <t>635.2</t>
  </si>
  <si>
    <t>nas-30</t>
  </si>
  <si>
    <t>1KXK3@119089,3AEVW@33154,3BWYY@33208,3DEKX@33213,40FBK@6231,KOG3714@1,KOG3714@2759</t>
  </si>
  <si>
    <t>Zinc-dependent metalloprotease</t>
  </si>
  <si>
    <t>Bm8546</t>
  </si>
  <si>
    <t>WBGene00228807</t>
  </si>
  <si>
    <t>68,2819/82,3789/66,0793</t>
  </si>
  <si>
    <t>29,5154/27,3128</t>
  </si>
  <si>
    <t>Bm8602</t>
  </si>
  <si>
    <t>WBGene00228863</t>
  </si>
  <si>
    <t>Bm8617</t>
  </si>
  <si>
    <t>WBGene00228878</t>
  </si>
  <si>
    <t>GO:0016020/GO:0016757/</t>
  </si>
  <si>
    <t>membrane/transferase_activity,_transferring_glycosyl_groups/</t>
  </si>
  <si>
    <t>A_lipid_bilayer_along_with_all_the_proteins_and_protein_complexes_embedded_in_it_an_attached_to_it._[GOC:dos,_GOC:mah,_ISBN:0815316194]/"Catalysis_of_the_transfer_of_a_glycosyl_group_from_one_compound_(donor)_to_another_(acceptor)."_[GOC:jl,_ISBN:0198506732]/</t>
  </si>
  <si>
    <t>IPR003378/</t>
  </si>
  <si>
    <t>Fringe-like/</t>
  </si>
  <si>
    <t>note=contains_similarity_to_Pfam_domain_PF02434_Fringe-like_contains_similarity_to_Interpro_domain_IPR003378_(Fringe-like)</t>
  </si>
  <si>
    <t>69319.XP_008548594.1</t>
  </si>
  <si>
    <t>4.7e-72</t>
  </si>
  <si>
    <t>278.1</t>
  </si>
  <si>
    <t>Hymenoptera</t>
  </si>
  <si>
    <t>2C9I6@1,2QV30@2759,38FD9@33154,3BDNR@33208,3CV1E@33213,3SRMK@50557,41WPX@6656,46K48@7399</t>
  </si>
  <si>
    <t>Fringe-like</t>
  </si>
  <si>
    <t>37,1134/34,0206/37,1134</t>
  </si>
  <si>
    <t>34,7079/36,4261/37,8007</t>
  </si>
  <si>
    <t>36,0825/32,646/36,0825</t>
  </si>
  <si>
    <t>Bm8625</t>
  </si>
  <si>
    <t>WBGene00228886</t>
  </si>
  <si>
    <t>84,6847/87,3874</t>
  </si>
  <si>
    <t>Bm8682</t>
  </si>
  <si>
    <t>WBGene00228943</t>
  </si>
  <si>
    <t>7209.EJD74328.1</t>
  </si>
  <si>
    <t>2.4e-139</t>
  </si>
  <si>
    <t>502.3</t>
  </si>
  <si>
    <t>2D48D@1,2SU92@2759,39H6Z@33154,3CM10@33208,3DIUX@33213</t>
  </si>
  <si>
    <t>Bm8932</t>
  </si>
  <si>
    <t>WBGene00229193</t>
  </si>
  <si>
    <t>IPR001304/IPR016186/IPR016187/</t>
  </si>
  <si>
    <t>C-type_lectin-like/C-type_lectin-like/link_domain_superfamily/C-type_lectin_fold/</t>
  </si>
  <si>
    <t>C-type_lectin-like/C-type_lectin-like/link_sf/CTDL_fold/</t>
  </si>
  <si>
    <t>9305.ENSSHAP00000007387</t>
  </si>
  <si>
    <t>3.7e-13</t>
  </si>
  <si>
    <t>82.4</t>
  </si>
  <si>
    <t>Metatheria</t>
  </si>
  <si>
    <t>39X2I@33154,3BNNA@33208,3D2YV@33213,3J4TV@40674,489XX@7711,493J4@7742,4K8Q4@9263,KOG4297@1,KOG4297@2759</t>
  </si>
  <si>
    <t>TV</t>
  </si>
  <si>
    <t>C-type lectin (CTL) or carbohydrate-recognition domain (CRD)</t>
  </si>
  <si>
    <t>Bm8933</t>
  </si>
  <si>
    <t>WBGene00229194</t>
  </si>
  <si>
    <t>14,8315/24,2697</t>
  </si>
  <si>
    <t>Bm8956</t>
  </si>
  <si>
    <t>WBGene00229217</t>
  </si>
  <si>
    <t>Bm8978</t>
  </si>
  <si>
    <t>WBGene00229239</t>
  </si>
  <si>
    <t>20,082/26,2295</t>
  </si>
  <si>
    <t>Bm9002</t>
  </si>
  <si>
    <t>WBGene00229263</t>
  </si>
  <si>
    <t>56,2874/42,2156</t>
  </si>
  <si>
    <t>60,7784/62,5749</t>
  </si>
  <si>
    <t>Bm9046</t>
  </si>
  <si>
    <t>WBGene00229307</t>
  </si>
  <si>
    <t>IPR003511/IPR036570/</t>
  </si>
  <si>
    <t>HORMA_domain/HORMA_domain_superfamily/</t>
  </si>
  <si>
    <t>HORMA_dom/HORMA_dom_sf/</t>
  </si>
  <si>
    <t>note=contains_similarity_to_Pfam_domain_PF02301_HORMA_domain_contains_similarity_to_Interpro_domain_IPR003511_(DNA-binding_HORMA)</t>
  </si>
  <si>
    <t>7209.EFO18104.2</t>
  </si>
  <si>
    <t>3.1e-102</t>
  </si>
  <si>
    <t>GO:0000226,GO:0000228,GO:0000793,GO:0000794,GO:0000795,GO:0000800,GO:0005575,GO:0005622,GO:0005623,GO:0005634,GO:0005694,GO:0006996,GO:0007010,GO:0007017,GO:0007049,GO:0007098,GO:0008150,GO:0009987,GO:0010564,GO:0016043,GO:0022402,GO:0030997,GO:0031023,GO:0031974,GO:0031981,GO:0032886,GO:0033043,GO:0043226,GO:0043227,GO:0043228,GO:0043229,GO:0043231,GO:0043232,GO:0043233,GO:0044422,GO:0044424,GO:0044427,GO:0044428,GO:0044446,GO:0044454,GO:0044464,GO:0046605,GO:0050789,GO:0050794,GO:0051128,GO:0051493,GO:0051726,GO:0065007,GO:0070013,GO:0070507,GO:0071840,GO:0099086</t>
  </si>
  <si>
    <t>1M0G3@119089,38CUJ@33154,3BKW8@33208,3D0PC@33213,40H5K@6231,KOG4652@1,KOG4652@2759</t>
  </si>
  <si>
    <t>B</t>
  </si>
  <si>
    <t>regulation of centriole-centriole cohesion</t>
  </si>
  <si>
    <t>Bm9077</t>
  </si>
  <si>
    <t>WBGene00229338</t>
  </si>
  <si>
    <t>Bm9082</t>
  </si>
  <si>
    <t>WBGene00229343</t>
  </si>
  <si>
    <t>GO:0003676/GO:0003723/GO:0003730/GO:0006417/GO:0045182/</t>
  </si>
  <si>
    <t>RNA_binding/mRNA_3'-UTR_binding/nucleic_acid_binding/regulation_of_translation/translation_regulator_activity/</t>
  </si>
  <si>
    <t>Any_molecular_function_involved_in_the_initiation,_activation,_perpetuation,_repression_or_termination_of_polypeptide_synthesis_at_the_ribosome._[GOC:ai]/"Any_process_that_modulates_the_frequency,_rate_or_extent_of_the_chemical_reactions_and_pathways_resulting_in_the_formation_of_proteins_by_the_translation_of_mRNA_or_circRNA."_[GOC:isa_complete]/"Interacting_selectively_and_non-covalently_with_an_RNA_molecule_or_a_portion_thereof."_[GOC:jl,_GOC:mah]/"Interacting_selectively_and_non-covalently_with_any_nucleic_acid."_[GOC:jl]/"Interacting_selectively_and_non-covalently_with_the_3'_untranslated_region_of_an_mRNA_molecule."_[GOC:mah]/</t>
  </si>
  <si>
    <t>IPR000504/IPR012677/IPR032296/IPR034819/IPR035979/IPR038446/</t>
  </si>
  <si>
    <t>CEBP,_ZZ_domain_superfamily/Cytoplasmic_polyadenylation_element-binding_protein/Cytoplasmic_polyadenylation_element-binding_protein,_ZZ_domain/Nucleotide-binding_alpha-beta_plait_domain_superfamily/RNA-binding_domain_superfamily/RNA_recognition_motif_domain/</t>
  </si>
  <si>
    <t>CEBP_ZZ/CEBP_ZZ_sf/CPEB/Nucleotide-bd_a/b_plait_sf/RBD_domain_sf/RRM_dom/</t>
  </si>
  <si>
    <t>note=contains_similarity_to_Pfam_domain_PF00076_RNA_recognition_motif._(a.k.a._RRM,_RBD,_or_RNP_domain)_contains_similarity_to_Interpro_domains_IPR012677_(Nucleotide-binding_alpha-beta_plait_domain),_IPR000504_(RNA_recognition_motif_domain)</t>
  </si>
  <si>
    <t>7209.EFO27486.1</t>
  </si>
  <si>
    <t>2.2e-181</t>
  </si>
  <si>
    <t>ko:K02602</t>
  </si>
  <si>
    <t>ko04114,ko04320,ko04914,map04114,map04320,map04914</t>
  </si>
  <si>
    <t>1KXI0@119089,38CCI@33154,3BATM@33208,3CTJV@33213,40FT9@6231,KOG0129@1,KOG0129@2759</t>
  </si>
  <si>
    <t>A</t>
  </si>
  <si>
    <t>Cytoplasmic polyadenylation element binding protein that binds to and regulates the translation of specific mRNAs</t>
  </si>
  <si>
    <t>39,0306/37,2449</t>
  </si>
  <si>
    <t>23,2143/23,4694</t>
  </si>
  <si>
    <t>24,4898/25</t>
  </si>
  <si>
    <t>27,0408/26,5306</t>
  </si>
  <si>
    <t>Bm9127</t>
  </si>
  <si>
    <t>WBGene00229388</t>
  </si>
  <si>
    <t>78,3333/80,8333</t>
  </si>
  <si>
    <t>Bm9159</t>
  </si>
  <si>
    <t>WBGene00229420</t>
  </si>
  <si>
    <t>Bm9207</t>
  </si>
  <si>
    <t>WBGene00229468</t>
  </si>
  <si>
    <t>IPR038946/</t>
  </si>
  <si>
    <t>F-box_only_protein_47/</t>
  </si>
  <si>
    <t>FBXO47/</t>
  </si>
  <si>
    <t>7209.EFO15815.2</t>
  </si>
  <si>
    <t>1.5e-201</t>
  </si>
  <si>
    <t>709.1</t>
  </si>
  <si>
    <t>ko:K10321</t>
  </si>
  <si>
    <t>ko00000,ko04121</t>
  </si>
  <si>
    <t>1KZMK@119089,29JZD@1,2RT87@2759,395CZ@33154,3CA1A@33208,3DR5J@33213,40GV3@6231</t>
  </si>
  <si>
    <t>92,1456/91,954</t>
  </si>
  <si>
    <t>WBGene00009173</t>
  </si>
  <si>
    <t>21.0728</t>
  </si>
  <si>
    <t>meiosis_meiotic_progression</t>
  </si>
  <si>
    <t>Bm9229</t>
  </si>
  <si>
    <t>WBGene00229490</t>
  </si>
  <si>
    <t>Bm9258</t>
  </si>
  <si>
    <t>WBGene00229519</t>
  </si>
  <si>
    <t>Bm94</t>
  </si>
  <si>
    <t>WBGene00220355</t>
  </si>
  <si>
    <t>Bm9665</t>
  </si>
  <si>
    <t>WBGene00229926</t>
  </si>
  <si>
    <t>IPR029409/</t>
  </si>
  <si>
    <t>Transmembrane_protein_237/</t>
  </si>
  <si>
    <t>TMEM237/</t>
  </si>
  <si>
    <t>note=B._malayi_BMA-JBTS-14_protein,_contains_similarity_to_Pfam_domain_PF15383_Transmembrane_protein_237_contains_similarity_to_Interpro_domain_IPR029409_(Transmembrane_protein_237)</t>
  </si>
  <si>
    <t>7209.EFO26045.2</t>
  </si>
  <si>
    <t>5.6e-75</t>
  </si>
  <si>
    <t>287.7</t>
  </si>
  <si>
    <t>GO:0005575,GO:0005622,GO:0005623,GO:0005815,GO:0005856,GO:0005929,GO:0006996,GO:0008150,GO:0009987,GO:0015630,GO:0016043,GO:0022607,GO:0030030,GO:0030031,GO:0035869,GO:0036064,GO:0042995,GO:0043226,GO:0043228,GO:0043229,GO:0043232,GO:0044085,GO:0044422,GO:0044424,GO:0044430,GO:0044441,GO:0044446,GO:0044463,GO:0044464,GO:0044782,GO:0060271,GO:0070925,GO:0071840,GO:0120025,GO:0120031,GO:0120036,GO:0120038,GO:1905515</t>
  </si>
  <si>
    <t>1KXD9@119089,2E73D@1,2SDR2@2759,3ABKX@33154,3BWEG@33208,3DWQ2@33213,40F08@6231</t>
  </si>
  <si>
    <t>Transmembrane protein 237</t>
  </si>
  <si>
    <t>29,0909/57,0909</t>
  </si>
  <si>
    <t>Bm9705</t>
  </si>
  <si>
    <t>WBGene00229966</t>
  </si>
  <si>
    <t>23,3533/25,1497</t>
  </si>
  <si>
    <t>Bm9770</t>
  </si>
  <si>
    <t>WBGene00230031</t>
  </si>
  <si>
    <t>IPR019430/</t>
  </si>
  <si>
    <t>7TM_GPCR,_serpentine_receptor_class_x__(Srx)/</t>
  </si>
  <si>
    <t>7TM_GPCR_serpentine_rcpt_Srx/</t>
  </si>
  <si>
    <t>55,988/41,9162</t>
  </si>
  <si>
    <t>60,479/62,2754</t>
  </si>
  <si>
    <t>Bm9825</t>
  </si>
  <si>
    <t>WBGene00230086</t>
  </si>
  <si>
    <t>GO:0003677/GO:0003700/GO:0005634/GO:0006355/GO:0006915/GO:0044212/</t>
  </si>
  <si>
    <t>DNA-binding_transcription_factor_activity/DNA_binding/apoptotic_process/nucleus/regulation_of_transcription,_DNA-templated/transcription_regulatory_region_DNA_binding/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</si>
  <si>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grammed_cell_death_process_which_begins_when_a_cell_receives_an_internal_(e.g._DNA_damage)_or_external_signal_(e.g._an_extracellular_death_ligand),_and_proceeds_through_a_series_of_biochemical_events_(signaling_pathway_phase)_which_trigger_an_execution_phase._The_execution_phase_is_the_last_step_of_an_apoptotic_process,_and_is_typically_characterized_by_rounding-up_of_the_cell,_retraction_of_pseudopodes,_reduction_of_cellular_volume_(pyknosis),_chromatin_condensation,_nuclear_fragmentation_(karyorrhexis),_plasma_membrane_blebbing_and_fragmentation_of_the_cell_into_apoptotic_bodies._When_the_execution_phase_is_completed,_the_cell_has_died."_[GOC:cjm,_GOC:dhl,_GOC:ecd,_GOC:go_curators,_GOC:mtg_apoptosis,_GOC:tb,_ISBN:0198506732,_PMID:18846107,_PMID:21494263]/"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molecular_function_by_which_a_gene_product_interacts_selectively_and_non-covalently_with_DNA_(deoxyribonucleic_acid)."_[GOC:dph,_GOC:jl,_GOC:tb,_GOC:vw]/"Any_process_that_modulates_the_frequency,_rate_or_extent_of_cellular_DNA-templated_transcription."_[GOC:go_curators,_GOC:txnOH]/"Interacting_selectively_and_non-covalently_with_a_DNA_region_that_regulates_the_transcription_of_a_region_of_DNA,_which_may_be_a_gene,_cistron,_or_operon._Binding_may_occur_as_a_sequence_specific_interaction_or_as_an_interaction_observed_only_once_a_factor_has_been_recruited_to_the_DNA_by_other_factors."_[GOC:jl,_GOC:txnOH,_SO:0005836]/</t>
  </si>
  <si>
    <t>IPR002117/IPR008967/IPR011615/IPR012346/</t>
  </si>
  <si>
    <t>p53,_DNA-binding_domain/p53-like_transcription_factor,_DNA-binding/p53/RUNT-type_transcription_factor,_DNA-binding_domain_superfamily/p53_tumour_suppressor_family/</t>
  </si>
  <si>
    <t>p53-like_TF_DNA-bd/p53/RUNT-type_TF_DNA-bd_sf/p53_DNA-bd/p53_tumour_suppressor/</t>
  </si>
  <si>
    <t>note=contains_similarity_to_Pfam_domain_PF00870_P53_DNA-binding_domain_contains_similarity_to_Interpro_domains_IPR011615_(p53,_DNA-binding_domain),_IPR012346_(p53/RUNT-type_transcription_factor,_DNA-binding_domain),_IPR008967_(p53-like_transcription_factor,_DNA-binding),_IPR002117_(p53_tumour_suppressor_family)</t>
  </si>
  <si>
    <t>7209.EFO20772.1</t>
  </si>
  <si>
    <t>7.9e-229</t>
  </si>
  <si>
    <t>799.7</t>
  </si>
  <si>
    <t>2D81W@1,2T8D5@2759,392WY@33154,3C87K@33208,3DP7Z@33213,40HC1@6231</t>
  </si>
  <si>
    <t>P53 DNA-binding domain</t>
  </si>
  <si>
    <t>20,5285/8,33333</t>
  </si>
  <si>
    <t>Bm9826</t>
  </si>
  <si>
    <t>WBGene00230087</t>
  </si>
  <si>
    <t>GO:0005634/</t>
  </si>
  <si>
    <t>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</si>
  <si>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t>
  </si>
  <si>
    <t>IPR005647/IPR040453/IPR040661/</t>
  </si>
  <si>
    <t>Leucine_zipper_with_capping_helix_domain/Meiotic_nuclear_division_protein_1/Mnd1,_HTH_domain/</t>
  </si>
  <si>
    <t>LZ3wCH/Mnd1/Mnd1_HTH/</t>
  </si>
  <si>
    <t>note=contains_similarity_to_Pfam_domain_PF03962_Mnd1_family_contains_similarity_to_Interpro_domain_IPR005647_(Meiotic_nuclear_division_protein_1)</t>
  </si>
  <si>
    <t>7209.EFO20773.2</t>
  </si>
  <si>
    <t>1.1e-74</t>
  </si>
  <si>
    <t>286.2</t>
  </si>
  <si>
    <t>39R64@33154,3BEPV@33208,3CSR6@33213,COG5124@1,KOG3433@2759</t>
  </si>
  <si>
    <t>homologous recombination</t>
  </si>
  <si>
    <t>Bm9855</t>
  </si>
  <si>
    <t>WBGene00230116</t>
  </si>
  <si>
    <t>GO:0005515/</t>
  </si>
  <si>
    <t>protein_binding/</t>
  </si>
  <si>
    <t>Interacting_selectively_and_non-covalently_with_any_protein_or_protein_complex_(a_complex_of_two_or_more_proteins_that_may_include_other_nonprotein_molecules)._[GOC:go_curators]/</t>
  </si>
  <si>
    <t>IPR001680/IPR036322/</t>
  </si>
  <si>
    <t>WD40-repeat-containing_domain_superfamily/WD40_repeat/</t>
  </si>
  <si>
    <t>WD40_repeat/WD40_repeat_dom_sf/</t>
  </si>
  <si>
    <t>note=contains_similarity_to_Interpro_domains_IPR017986_(WD40-repeat-containing_domain),_IPR015943_(WD40/YVTN_repeat-like-containing_domain)</t>
  </si>
  <si>
    <t>126957.SMAR012574-PA</t>
  </si>
  <si>
    <t>2.6e-23</t>
  </si>
  <si>
    <t>117.5</t>
  </si>
  <si>
    <t>Arthropoda</t>
  </si>
  <si>
    <t>38C5M@33154,3BF97@33208,3CT0M@33213,41VZI@6656,KOG1587@1,KOG1587@2759</t>
  </si>
  <si>
    <t>WD40 repeats</t>
  </si>
  <si>
    <t>WBGene00016165</t>
  </si>
  <si>
    <t>20.3145</t>
  </si>
  <si>
    <t>Bm9915</t>
  </si>
  <si>
    <t>WBGene00230176</t>
  </si>
  <si>
    <t>Bm9936</t>
  </si>
  <si>
    <t>WBGene00230197</t>
  </si>
  <si>
    <t>IPR001478/IPR036034/IPR041489/</t>
  </si>
  <si>
    <t>PDZ_domain/PDZ_domain_6/PDZ_superfamily/</t>
  </si>
  <si>
    <t>PDZ/PDZ_6/PDZ_sf/</t>
  </si>
  <si>
    <t>note=contains_similarity_to_Pfam_domain_PF00595_PDZ_domain_(Also_known_as_DHR_or_GLGF)_contains_similarity_to_Interpro_domain_IPR001478_(PDZ_domain)</t>
  </si>
  <si>
    <t>7209.EFO27503.1</t>
  </si>
  <si>
    <t>3.4e-66</t>
  </si>
  <si>
    <t>258.8</t>
  </si>
  <si>
    <t>39AXI@33154,3BA3P@33208,3CWY0@33213,KOG0849@1,KOG0849@2759</t>
  </si>
  <si>
    <t>syndecan binding protein</t>
  </si>
  <si>
    <t>24,1791/36,4179</t>
  </si>
  <si>
    <t>30,7463/31,6418</t>
  </si>
  <si>
    <t>30,7463/30,7463</t>
  </si>
  <si>
    <t>29,5522/30,1493</t>
  </si>
  <si>
    <t>Bm9951</t>
  </si>
  <si>
    <t>WBGene00230212</t>
  </si>
  <si>
    <t>IPR035544/IPR040443/</t>
  </si>
  <si>
    <t>PHLA2/3,_PH_domain/Protein_of_unknown_function_DUF5369/</t>
  </si>
  <si>
    <t>DUF5369/PHLA2/3_PH/</t>
  </si>
  <si>
    <t>1561998.Csp11.Scaffold629.g14125.t1</t>
  </si>
  <si>
    <t>1.1e-07</t>
  </si>
  <si>
    <t>64.7</t>
  </si>
  <si>
    <t>1M4YP@119089,2F2DH@1,2T3BN@2759,38X5N@33154,3C5DE@33208,3E01A@33213,40MHK@6231,4133I@6236</t>
  </si>
  <si>
    <t>Family of unknown function (DUF5369)</t>
  </si>
  <si>
    <t>27,0833/17,4479</t>
  </si>
  <si>
    <t>Bm9954</t>
  </si>
  <si>
    <t>WBGene00230215</t>
  </si>
  <si>
    <t>GO:0004725/GO:0006470/GO:0016311/GO:0016791/GO:0035335/</t>
  </si>
  <si>
    <t>dephosphorylation/peptidyl-tyrosine_dephosphorylation/phosphatase_activity/protein_dephosphorylation/protein_tyrosine_phosphatase_activity/</t>
  </si>
  <si>
    <t>Catalysis_of_the_hydrolysis_of_phosphoric_monoesters,_releasing_inorganic_phosphate._[EC:3.1.3,_EC:3.1.3.41,_GOC:curators,_GOC:pg]/"Catalysis_of_the_reaction:_protein_tyrosine_phosphate_+_H2O_=_protein_tyrosine_+_phosphate."_[EC:3.1.3.48]/"The_process_of_removing_one_or_more_phosphoric_(ester_or_anhydride)_residues_from_a_molecule."_[ISBN:0198506732]/"The_process_of_removing_one_or_more_phosphoric_residues_from_a_protein."_[GOC:hb]/"The_removal_of_phosphoric_residues_from_peptidyl-O-phospho-tyrosine_to_form_peptidyl-tyrosine."_[GOC:bf]/</t>
  </si>
  <si>
    <t>IPR000242/IPR000387/IPR003595/IPR029021/</t>
  </si>
  <si>
    <t>PTP_type_protein_phosphatase/Protein-tyrosine_phosphatase,_catalytic/Protein-tyrosine_phosphatase-like/Tyrosine_specific_protein_phosphatases_domain/</t>
  </si>
  <si>
    <t>PTPase_domain/Prot-tyrosine_phosphatase-like/TYR_PHOSPHATASE_dom/Tyr_Pase_cat/</t>
  </si>
  <si>
    <t>note=contains_similarity_to_Pfam_domain_PF00102_Protein-tyrosine_phosphatase_contains_similarity_to_Interpro_domains_IPR003595_(Protein-tyrosine_phosphatase,_catalytic),_IPR029021_(Protein-tyrosine_phosphatase-like),_IPR000242_(Protein-tyrosine_phosphatase,_receptor/non-receptor_type)</t>
  </si>
  <si>
    <t>7209.EFO25226.2</t>
  </si>
  <si>
    <t>1.3e-225</t>
  </si>
  <si>
    <t>789.3</t>
  </si>
  <si>
    <t>1KZDI@119089,3ANQR@33154,3C1IY@33208,3DHBC@33213,40GMR@6231,COG5599@1,KOG0789@2759</t>
  </si>
  <si>
    <t>protein tyrosine phosphatase activity</t>
  </si>
  <si>
    <t>18,4433/18,7817</t>
  </si>
  <si>
    <t>13,5364/12,8596</t>
  </si>
  <si>
    <t>10,1523/10,6599</t>
  </si>
  <si>
    <t>WBGene00009129/WBGene00018895</t>
  </si>
  <si>
    <t>13.5364/12.8596</t>
  </si>
  <si>
    <t>Bm9974</t>
  </si>
  <si>
    <t>WBGene00230235</t>
  </si>
  <si>
    <t>0/34,8936</t>
  </si>
  <si>
    <t>54,8936/67,6596</t>
  </si>
  <si>
    <t>Bm9977</t>
  </si>
  <si>
    <t>WBGene00230238</t>
  </si>
  <si>
    <t>IPR011705/</t>
  </si>
  <si>
    <t>BTB/Kelch-associated/</t>
  </si>
  <si>
    <t>BACK/</t>
  </si>
  <si>
    <t>note=contains_similarity_to_Pfam_domain_PF07707_BTB_And_C-terminal_Kelch_contains_similarity_to_Interpro_domain_IPR011705_(BTB/Kelch-associated)</t>
  </si>
  <si>
    <t>7209.EJD76504.1</t>
  </si>
  <si>
    <t>8.2e-114</t>
  </si>
  <si>
    <t>417.2</t>
  </si>
  <si>
    <t>2D5F4@1,2SYBX@2759</t>
  </si>
  <si>
    <t>BTB And C-terminal Kelch</t>
  </si>
  <si>
    <t>58,7432/19,1257</t>
  </si>
  <si>
    <t>Bm9984</t>
  </si>
  <si>
    <t>WBGene00230245</t>
  </si>
  <si>
    <t>Bm9989</t>
  </si>
  <si>
    <t>WBGene00230250</t>
  </si>
  <si>
    <t>GO:0004672/GO:0005524/GO:0006468/</t>
  </si>
  <si>
    <t>ATP_binding/protein_kinase_activity/protein_phosphorylation/</t>
  </si>
  <si>
    <t>Catalysis_of_the_phosphorylation_of_an_amino_acid_residue_in_a_protein,_usually_according_to_the_reaction:_a_protein_+_ATP_=_a_phosphoprotein_+_ADP._[MetaCyc:PROTEIN-KINASE-RXN]/"Interacting_selectively_and_non-covalently_with_ATP,_adenosine_5'-triphosphate,_a_universally_important_coenzyme_and_enzyme_regulator."_[ISBN:0198506732]/"The_process_of_introducing_a_phosphate_group_on_to_a_protein."_[GOC:hb]/</t>
  </si>
  <si>
    <t>IPR000719/IPR011009/IPR017441/</t>
  </si>
  <si>
    <t>Protein_kinase,_ATP_binding_site/Protein_kinase-like_domain_superfamily/Protein_kinase_domain/</t>
  </si>
  <si>
    <t>Kinase-like_dom_sf/Prot_kinase_dom/Protein_kinase_ATP_BS/</t>
  </si>
  <si>
    <t>7209.EFO27304.1</t>
  </si>
  <si>
    <t>4.7e-171</t>
  </si>
  <si>
    <t>607.1</t>
  </si>
  <si>
    <t>1KTPN@119089,39WBM@33154,3BJXC@33208,3CYH3@33213,40BGB@6231,KOG1164@1,KOG1164@2759</t>
  </si>
  <si>
    <t>40,3909/41,0423/41,6938</t>
  </si>
  <si>
    <t>25,7329/38,4365/44,6254/29,9674</t>
  </si>
  <si>
    <t>44,6254/42,3453/15,6352/40,7166/41,6938/40,7166/44,6254/40,7166/22,4756/40,7166/40,7166/44,9511/41,6938/41,6938/41,6938/31,2704/39,4137/41,6938/40,7166/40,7166</t>
  </si>
  <si>
    <t>Bm12628</t>
  </si>
  <si>
    <t>WBGene00232889</t>
  </si>
  <si>
    <t>GO:0005576/GO:0006030/GO:0008061/</t>
  </si>
  <si>
    <t>chitin_binding/chitin_metabolic_process/extracellular_region/</t>
  </si>
  <si>
    <t>Interacting_selectively_and_non-covalently_with_chitin,_a_linear_polysaccharide_consisting_of_beta-(1-&gt;4)-linked_N-acetyl-D-glucosamine_residues._[GOC:jl,_ISBN:0198506732]/"The_chemical_reactions_and_pathways_involving_chitin,_a_linear_polysaccharide_consisting_of_beta-(1-&gt;4)-linked_N-acetyl-D-glucosamine_residues."_[GOC:jl,_ISBN:0198506732]/"The_space_external_to_the_outermost_structure_of_a_cell._For_cells_without_external_protective_or_external_encapsulating_structures_this_refers_to_space_outside_of_the_plasma_membrane._This_term_covers_the_host_cell_environment_outside_an_intracellular_parasite."_[GOC:go_curators]/</t>
  </si>
  <si>
    <t>IPR002557/IPR036508/</t>
  </si>
  <si>
    <t>Chitin_binding_domain/Chitin_binding_domain_superfamily/</t>
  </si>
  <si>
    <t>Chitin-bd_dom/Chitin-bd_dom_sf/</t>
  </si>
  <si>
    <t>note=contains_similarity_to_Pfam_domain_PF01607_Chitin_binding_Peritrophin-A_domain_contains_similarity_to_Interpro_domain_IPR002557_(Chitin_binding_domain)</t>
  </si>
  <si>
    <t>7209.EFO21829.2</t>
  </si>
  <si>
    <t>1932.1</t>
  </si>
  <si>
    <t>29YBV@1,2RXTR@2759,3A4EX@33154,3BSTI@33208,3D9KX@33213,40E5I@6231</t>
  </si>
  <si>
    <t>Chitin-binding domain type 2</t>
  </si>
  <si>
    <t>7,24409/10,3543</t>
  </si>
  <si>
    <t>7,16535/6,73228</t>
  </si>
  <si>
    <t>6,29921/7,16535/9,33071/5,55118</t>
  </si>
  <si>
    <t>WBGene00010351</t>
  </si>
  <si>
    <t>9.17323</t>
  </si>
  <si>
    <t>Bm6643</t>
  </si>
  <si>
    <t>WBGene00226904</t>
  </si>
  <si>
    <t>GO:0003677/GO:0005634/</t>
  </si>
  <si>
    <t>DNA_binding/nucleus/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</si>
  <si>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t>
  </si>
  <si>
    <t>IPR009071/IPR036910/</t>
  </si>
  <si>
    <t>High_mobility_group_box_domain/High_mobility_group_box_domain_superfamily/</t>
  </si>
  <si>
    <t>HMG_box_dom/HMG_box_dom_sf/</t>
  </si>
  <si>
    <t>note=contains_similarity_to_Pfam_domain_PF00505_HMG_(high_mobility_group)_box_contains_similarity_to_Interpro_domain_IPR009071_(High_mobility_group_box_domain)</t>
  </si>
  <si>
    <t>7209.EFO14171.2</t>
  </si>
  <si>
    <t>1.1e-20</t>
  </si>
  <si>
    <t>105.9</t>
  </si>
  <si>
    <t>1KX4N@119089,3ABBE@33154,3BVB7@33208,3DB46@33213,40ESG@6231,COG5648@1,KOG0381@2759</t>
  </si>
  <si>
    <t>high mobility group</t>
  </si>
  <si>
    <t>Bm7929</t>
  </si>
  <si>
    <t>WBGene00228190</t>
  </si>
  <si>
    <t>Bm10002</t>
  </si>
  <si>
    <t>WBGene00230263</t>
  </si>
  <si>
    <t>Bm10016</t>
  </si>
  <si>
    <t>WBGene00230277</t>
  </si>
  <si>
    <t>Bm10045</t>
  </si>
  <si>
    <t>WBGene00230306</t>
  </si>
  <si>
    <t>IPR032341/IPR038113/</t>
  </si>
  <si>
    <t>MIT,_C-terminal_domain_superfamily/MIT,_C-terminal_phospholipase_D-like_domain/</t>
  </si>
  <si>
    <t>MIT_C/MIT_C_sf/</t>
  </si>
  <si>
    <t>7209.EFO22138.1</t>
  </si>
  <si>
    <t>1.3e-143</t>
  </si>
  <si>
    <t>515.8</t>
  </si>
  <si>
    <t>39SDM@33154,3BDKU@33208,3CXI6@33213,KOG4509@1,KOG4509@2759</t>
  </si>
  <si>
    <t>cell separation after cytokinesis</t>
  </si>
  <si>
    <t>21,2996/20,2166</t>
  </si>
  <si>
    <t>Bm10065</t>
  </si>
  <si>
    <t>WBGene00230326</t>
  </si>
  <si>
    <t>IPR021917/</t>
  </si>
  <si>
    <t>Uncharacterised_protein_family,_zinc_metallopeptidase-like/</t>
  </si>
  <si>
    <t>Unchr_Zn-peptidase-like/</t>
  </si>
  <si>
    <t>note=contains_similarity_to_Pfam_domain_PF12044_Putativepeptidase_family_contains_similarity_to_Interpro_domainIPR021917_(Uncharacterised_protein_family,_zincmetallopeptidase-like)</t>
  </si>
  <si>
    <t>Bm10071</t>
  </si>
  <si>
    <t>WBGene00230332</t>
  </si>
  <si>
    <t>Bm10075</t>
  </si>
  <si>
    <t>WBGene00230336</t>
  </si>
  <si>
    <t>21,5116/5/28,8372</t>
  </si>
  <si>
    <t>Bm10169</t>
  </si>
  <si>
    <t>WBGene00230430</t>
  </si>
  <si>
    <t>Bm10199</t>
  </si>
  <si>
    <t>WBGene00230460</t>
  </si>
  <si>
    <t>GO:0016020/</t>
  </si>
  <si>
    <t>membrane/</t>
  </si>
  <si>
    <t>A_lipid_bilayer_along_with_all_the_proteins_and_protein_complexes_embedded_in_it_an_attached_to_it._[GOC:dos,_GOC:mah,_ISBN:0815316194]/</t>
  </si>
  <si>
    <t>IPR000998/IPR013320/</t>
  </si>
  <si>
    <t>Concanavalin_A-like_lectin/glucanase_domain_superfamily/MAM_domain/</t>
  </si>
  <si>
    <t>ConA-like_dom_sf/MAM_dom/</t>
  </si>
  <si>
    <t>note=B._malayi_BMA-MAM-8_protein</t>
  </si>
  <si>
    <t>135651.CBN16320</t>
  </si>
  <si>
    <t>1.2e-16</t>
  </si>
  <si>
    <t>95.1</t>
  </si>
  <si>
    <t>1M0HF@119089,2C49W@1,2SZWM@2759,3ASRH@33154,3C511@33208,3DJF8@33213,40HDB@6231,40W6P@6236</t>
  </si>
  <si>
    <t>MAM domain, meprin/A5/mu</t>
  </si>
  <si>
    <t>35,8372/28,169</t>
  </si>
  <si>
    <t>11,8936/11,5806</t>
  </si>
  <si>
    <t>Bm10202</t>
  </si>
  <si>
    <t>WBGene00230463</t>
  </si>
  <si>
    <t>32,5373/45,9701</t>
  </si>
  <si>
    <t>8,65672/21,194/28,0597</t>
  </si>
  <si>
    <t>21,791/31,0448/21,791/47,4627</t>
  </si>
  <si>
    <t>7,16418/27,7612</t>
  </si>
  <si>
    <t>Bm10209</t>
  </si>
  <si>
    <t>WBGene00230470</t>
  </si>
  <si>
    <t>note=contains_similarity_to_Interpro_domain_IPR011598_(Myc-type,_basic_helix-loop-helix_(bHLH)_domain)</t>
  </si>
  <si>
    <t>Bm10214</t>
  </si>
  <si>
    <t>WBGene00230475</t>
  </si>
  <si>
    <t>13,7072/10,9034</t>
  </si>
  <si>
    <t>Bm10215</t>
  </si>
  <si>
    <t>WBGene00230476</t>
  </si>
  <si>
    <t>14,2282/7,24832</t>
  </si>
  <si>
    <t>Bm10216</t>
  </si>
  <si>
    <t>WBGene00230477</t>
  </si>
  <si>
    <t>21,5017/10,2389</t>
  </si>
  <si>
    <t>38,9078/22,1843</t>
  </si>
  <si>
    <t>Bm10299</t>
  </si>
  <si>
    <t>WBGene00230560</t>
  </si>
  <si>
    <t>GO:0019904/</t>
  </si>
  <si>
    <t>protein_domain_specific_binding/</t>
  </si>
  <si>
    <t>Interacting_selectively_and_non-covalently_with_a_specific_domain_of_a_protein._[GOC:go_curators]/</t>
  </si>
  <si>
    <t>IPR000308/IPR023410/IPR036815/</t>
  </si>
  <si>
    <t>14-3-3_domain/14-3-3_domain_superfamily/14-3-3_protein/</t>
  </si>
  <si>
    <t>14-3-3/14-3-3_dom_sf/14-3-3_domain/</t>
  </si>
  <si>
    <t>note=contains_similarity_to_Pfam_domain_PF00244_14-3-3_protein_contains_similarity_to_Interpro_domains_IPR023410_(14-3-3_domain),_IPR000308_(14-3-3_protein)</t>
  </si>
  <si>
    <t>7209.EFO21442.1</t>
  </si>
  <si>
    <t>1e-256</t>
  </si>
  <si>
    <t>893.3</t>
  </si>
  <si>
    <t>38CKG@33154,3BCFK@33208,3CT6T@33213,COG5040@1,KOG0841@2759</t>
  </si>
  <si>
    <t>Belongs to the 14-3-3 family</t>
  </si>
  <si>
    <t>Bm10304</t>
  </si>
  <si>
    <t>WBGene00230565</t>
  </si>
  <si>
    <t>7209.EFO24261.2</t>
  </si>
  <si>
    <t>1.8e-129</t>
  </si>
  <si>
    <t>468.8</t>
  </si>
  <si>
    <t>1M0CI@119089,2F03X@1,2T1BG@2759,3AVD3@33154,3C3BE@33208,3DJQN@33213,40HF8@6231</t>
  </si>
  <si>
    <t>BTB/POZ domain</t>
  </si>
  <si>
    <t>Bm10361</t>
  </si>
  <si>
    <t>WBGene00230622</t>
  </si>
  <si>
    <t>GO:0000387/GO:0005634/GO:0006396/GO:0006397/GO:0008380/</t>
  </si>
  <si>
    <t>RNA_processing/RNA_splicing/mRNA_processing/nucleus/spliceosomal_snRNP_assembly/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</si>
  <si>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process_involved_in_the_conversion_of_a_primary_mRNA_transcript_into_one_or_more_mature_mRNA(s)_prior_to_translation_into_polypeptide."_[GOC:mah]/"Any_process_involved_in_the_conversion_of_one_or_more_primary_RNA_transcripts_into_one_or_more_mature_RNA_molecules."_[GOC:mah]/"The_aggregation,_arrangement_and_bonding_together_of_one_or_more_snRNA_and_multiple_protein_components_to_form_a_ribonucleoprotein_complex_that_is_involved_in_formation_of_the_spliceosome."_[GOC:krc,_GOC:mah,_ISBN:0879695897]/"The_process_of_removing_sections_of_the_primary_RNA_transcript_to_remove_sequences_not_present_in_the_mature_form_of_the_RNA_and_joining_the_remaining_sections_to_form_the_mature_form_of_the_RNA."_[GOC:krc,_GOC:mah]/</t>
  </si>
  <si>
    <t>IPR001163/IPR010920/IPR027141/IPR034102/</t>
  </si>
  <si>
    <t>LSM_domain,_eukaryotic/archaea-type/LSM_domain_superfamily/Like-Sm_(LSM)_domain_containing_protein,_LSm4/SmD1/SmD3/Small_nuclear_ribonucleoprotein_D1/</t>
  </si>
  <si>
    <t>LSM_dom_euk/arc/LSM_dom_sf/LSm4/Sm_D1/D3/Sm_D1/</t>
  </si>
  <si>
    <t>note=contains_similarity_to_Interpro_domain_IPR010920_(Like-Sm_(LSM)_domain)</t>
  </si>
  <si>
    <t>7209.EFO22890.1</t>
  </si>
  <si>
    <t>5.7e-44</t>
  </si>
  <si>
    <t>183.7</t>
  </si>
  <si>
    <t>3A3TV@33154,3BQID@33208,COG1958@1,KOG3428@2759</t>
  </si>
  <si>
    <t>spliceosomal snRNP assembly</t>
  </si>
  <si>
    <t>WBGene00044916</t>
  </si>
  <si>
    <t>13.1387</t>
  </si>
  <si>
    <t>Bm10365</t>
  </si>
  <si>
    <t>WBGene00230626</t>
  </si>
  <si>
    <t>39,9015/48,7685/69,2118</t>
  </si>
  <si>
    <t>Bm10373</t>
  </si>
  <si>
    <t>WBGene00230634</t>
  </si>
  <si>
    <t>38,0711/16,7513</t>
  </si>
  <si>
    <t>Bm10379</t>
  </si>
  <si>
    <t>WBGene00230640</t>
  </si>
  <si>
    <t>GO:0000166/GO:0003924/GO:0005200/GO:0005525/GO:0005737/GO:0005856/GO:0005874/GO:0005879/GO:0007010/GO:0007017/</t>
  </si>
  <si>
    <t>GTP_binding/GTPase_activity/axonemal_microtubule/cytoplasm/cytoskeleton/cytoskeleton_organization/microtubule/microtubule-based_process/nucleotide_binding/structural_constituent_of_cytoskeleton/</t>
  </si>
  <si>
    <t>A_microtubule_in_the_axoneme_of_a_eukaryotic_cilium_or_flagellum;_an_axoneme_contains_nine_modified_doublet_microtubules,_which_may_or_may_not_surround_a_pair_of_single_microtubules._[GOC:cilia,_ISBN:0815316194]/"A_process_that_is_carried_out_at_the_cellular_level_which_results_in_the_assembly,_arrangement_of_constituent_parts,_or_disassembly_of_cytoskeletal_structures."_[GOC:dph,_GOC:jl,_GOC:mah]/"All_of_the_contents_of_a_cell_excluding_the_plasma_membrane_and_nucleus,_but_including_other_subcellular_structures."_[ISBN:0198547684]/"Any_cellular_process_that_depends_upon_or_alters_the_microtubule_cytoskeleton,_that_part_of_the_cytoskeleton_comprising_microtubules_and_their_associated_proteins."_[GOC:mah]/"Any_of_the_long,_generally_straight,_hollow_tubes_of_internal_diameter_12-15_nm_and_external_diameter_24_nm_found_in_a_wide_variety_of_eukaryotic_cells;_each_consists_(usually)_of_13_protofilaments_of_polymeric_tubulin,_staggered_in_such_a_manner_that_the_tubulin_monomers_are_arranged_in_a_helical_pattern_on_the_microtubular_surface,_and_with_the_alpha/beta_axes_of_the_tubulin_subunits_parallel_to_the_long_axis_of_the_tubule;_exist_in_equilibrium_with_pool_of_tubulin_monomers_and_can_be_rapidly_assembled_or_disassembled_in_response_to_physiological_stimuli;_concerned_with_force_generation,_e.g._in_the_spindle."_[ISBN:0879693568]/"Any_of_the_various_filamentous_elements_that_form_the_internal_framework_of_cells,_and_typically_remain_after_treatment_of_the_cells_with_mild_detergent_to_remove_membrane_constituents_and_soluble_components_of_the_cytoplasm._The_term_embraces_intermediate_filaments,_microfilaments,_microtubules,_the_microtrabecular_lattice,_and_other_structures_characterized_by_a_polymeric_filamentous_nature_and_long-range_order_within_the_cell._The_various_elements_of_the_cytoskeleton_not_only_serve_in_the_maintenance_of_cellular_shape_but_also_have_roles_in_other_cellular_functions,_including_cellular_movement,_cell_division,_endocytosis,_and_movement_of_organelles."_[GOC:mah,_ISBN:0198547684,_PMID:16959967]/"Catalysis_of_the_reaction:_GTP_+_H2O_=_GDP_+_phosphate."_[ISBN:0198547684]/"Interacting_selectively_and_non-covalently_with_GTP,_guanosine_triphosphate."_[GOC:ai]/"Interacting_selectively_and_non-covalently_with_a_nucleotide,_any_compound_consisting_of_a_nucleoside_that_is_esterified_with_(ortho)phosphate_or_an_oligophosphate_at_any_hydroxyl_group_on_the_ribose_or_deoxyribose."_[GOC:mah,_ISBN:0198547684]/"The_action_of_a_molecule_that_contributes_to_the_structural_integrity_of_a_cytoskeletal_structure."_[GOC:mah]/</t>
  </si>
  <si>
    <t>note=contains_similarity_to_Pfam_domains_PF00091_(Tubulin/FtsZ_family,_GTPase_domain),_PF03953_(Tubulin_C-terminal_domain)_contains_similarity_to_Interpro_domains_IPR002452_(Alpha_tubulin),_IPR000217_(Tubulin),_IPR003008_(Tubulin/FtsZ,_GTPase_domain),_IPR023123_(Tubulin,_C-terminal),_IPR018316_(Tubulin/FtsZ,_2-layer_sandwich_domain),_IPR008280_(Tubulin/FtsZ,_C-terminal)</t>
  </si>
  <si>
    <t>7209.EFO16180.2</t>
  </si>
  <si>
    <t>2.4e-264</t>
  </si>
  <si>
    <t>917.5</t>
  </si>
  <si>
    <t>GO:0005575,GO:0005622,GO:0005623,GO:0005737,GO:0005856,GO:0005874,GO:0005879,GO:0005881,GO:0005929,GO:0005930,GO:0015630,GO:0032838,GO:0042995,GO:0043226,GO:0043228,GO:0043229,GO:0043232,GO:0044422,GO:0044424,GO:0044430,GO:0044441,GO:0044444,GO:0044446,GO:0044447,GO:0044463,GO:0044464,GO:0097014,GO:0099080,GO:0099081,GO:0099512,GO:0099513,GO:0099568,GO:0120025,GO:0120038</t>
  </si>
  <si>
    <t>ko:K07374</t>
  </si>
  <si>
    <t>ko04145,ko04210,ko04530,ko04540,ko05130,map04145,map04210,map04530,map04540,map05130</t>
  </si>
  <si>
    <t>ko00000,ko00001,ko03019,ko03036,ko04147,ko04812</t>
  </si>
  <si>
    <t>1KYJG@119089,3AISD@33154,3BY79@33208,3DDA9@33213,40FBJ@6231,COG5023@1,KOG1376@2759</t>
  </si>
  <si>
    <t>56,9536/79,4702/65,3422/75,9382</t>
  </si>
  <si>
    <t>74,6137/11,2583</t>
  </si>
  <si>
    <t>39,5143/39,0728/38,1898</t>
  </si>
  <si>
    <t>39,5143/38,1898</t>
  </si>
  <si>
    <t>WBGene00006531</t>
  </si>
  <si>
    <t>82.5607</t>
  </si>
  <si>
    <t>Bm10389</t>
  </si>
  <si>
    <t>WBGene00230650</t>
  </si>
  <si>
    <t>GO:0000166/GO:0000287/GO:0004012/GO:0005524/GO:0015914/GO:0016021/GO:0045332/</t>
  </si>
  <si>
    <t>ATP_binding/integral_component_of_membrane/magnesium_ion_binding/nucleotide_binding/phospholipid-translocating_ATPase_activity/phospholipid_translocation/phospholipid_transport/</t>
  </si>
  <si>
    <t>Catalysis_of_the_movement_of_phospholipids_from_one_membrane_bilayer_leaflet_to_the_other,_driven_by_the_hydrolysis_of_ATP._[EC:3.6.3.1,_PMID:15919184,_PMID:9099684]/"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magnesium_(Mg)_ions."_[GOC:ai]/"The_component_of_a_membrane_consisting_of_the_gene_products_and_protein_complexes_having_at_least_some_part_of_their_peptide_sequence_embedded_in_the_hydrophobic_region_of_the_membrane."_[GOC:dos,_GOC:go_curators]/"The_directed_movement_of_phospholipids_into,_out_of_or_within_a_cell,_or_between_cells,_by_means_of_some_agent_such_as_a_transporter_or_pore._Phospholipids_are_any_lipids_containing_phosphoric_acid_as_a_mono-_or_diester."_[GOC:ai]/"The_movement_of_a_phospholipid_molecule_from_one_leaflet_of_a_membrane_bilayer_to_the_opposite_leaflet."_[ISBN:0815316194,_PMID:16452632,_PMID:20043909,_PMID:20302864]/</t>
  </si>
  <si>
    <t>IPR006539/IPR023214/IPR023299/IPR026871/IPR036412/</t>
  </si>
  <si>
    <t>HAD-like_superfamily/HAD_superfamily/P-type_ATPase,_cytoplasmic_domain_N/P-type_ATPase,_subfamily_IV/Phospholipid-transporting_P-type_ATPase/</t>
  </si>
  <si>
    <t>ATPase_P-typ_cyto_dom_N/HAD-like_sf/HAD_sf/P-type_ATPase_IV/PLip_transp_ATPase/</t>
  </si>
  <si>
    <t>7209.EFO26770.1</t>
  </si>
  <si>
    <t>5.8e-62</t>
  </si>
  <si>
    <t>244.6</t>
  </si>
  <si>
    <t>1KUWB@119089,38BZ2@33154,3BDVG@33208,3CTIG@33213,40B8B@6231,COG0474@1,KOG0206@2759</t>
  </si>
  <si>
    <t>Belongs to the cation transport ATPase (P-type) (TC 3.A.3) family. Type IV subfamily</t>
  </si>
  <si>
    <t>30,2721/27,2109/28,2313/30,6122</t>
  </si>
  <si>
    <t>29,5918/26,1905/27,8912/29,932</t>
  </si>
  <si>
    <t>27,2109/0/30,9524/27,551/30,2721</t>
  </si>
  <si>
    <t>30,9524/28,9116</t>
  </si>
  <si>
    <t>WBGene00012360</t>
  </si>
  <si>
    <t>29.2517</t>
  </si>
  <si>
    <t>Bm10413</t>
  </si>
  <si>
    <t>WBGene00230674</t>
  </si>
  <si>
    <t>7209.EFO22856.1</t>
  </si>
  <si>
    <t>2.5e-49</t>
  </si>
  <si>
    <t>203.0</t>
  </si>
  <si>
    <t>1KYGU@119089,3AFDM@33154,3BX87@33208,3DF7C@33213,40FAA@6231,KOG3544@1,KOG3544@2759</t>
  </si>
  <si>
    <t>structural constituent of cuticle</t>
  </si>
  <si>
    <t>Bm10420</t>
  </si>
  <si>
    <t>WBGene00230681</t>
  </si>
  <si>
    <t>11,855/8,22873/68,8285/5,5788</t>
  </si>
  <si>
    <t>24,8257/37,5174</t>
  </si>
  <si>
    <t>Bm10455</t>
  </si>
  <si>
    <t>WBGene00230716</t>
  </si>
  <si>
    <t>7209.EJD75234.1</t>
  </si>
  <si>
    <t>1.5e-199</t>
  </si>
  <si>
    <t>702.6</t>
  </si>
  <si>
    <t>1KU4E@119089,38BXD@33154,3BFDP@33208,3CS0T@33213,40B62@6231,KOG0582@1,KOG0582@2759</t>
  </si>
  <si>
    <t>Oxidative-stress-responsive kinase 1 C-terminal domain</t>
  </si>
  <si>
    <t>12,1212/10,8734</t>
  </si>
  <si>
    <t>9,26916/10,3387/14,2602</t>
  </si>
  <si>
    <t>15,508/18,7166/13,1907/18,8948/12,8342/19,6078/14,795/19,4296/19,7861/10,5169/19,6078/19,9643/17,6471/10,8734/10,3387/21,2121/21,7469</t>
  </si>
  <si>
    <t>15,8645/18,7166/12,656/18,8948/12,656/19,0731/14,795/18,7166/19,7861/10,6952/19,9643/20,3209/17,6471/10,8734/10,6952/21,3904/21,9251</t>
  </si>
  <si>
    <t>15,6863/13,9037/19,6078/20,1426/11,7647/18,5383/14,6168/19,6078/19,4296/19,6078/20,3209/20,3209/5,16934/11,0517/5,88235/10,8734/10,5169/21,0339/20,6774</t>
  </si>
  <si>
    <t>14,2602/14,4385</t>
  </si>
  <si>
    <t>WBGene00003219/WBGene00007116/WBGene00001468</t>
  </si>
  <si>
    <t>9.26916/10.3387/14.2602</t>
  </si>
  <si>
    <t>Gender_Neutral/Oogenic</t>
  </si>
  <si>
    <t>Bm10583</t>
  </si>
  <si>
    <t>WBGene00230844</t>
  </si>
  <si>
    <t>IPR029153/</t>
  </si>
  <si>
    <t>Chondroitin_proteoglycan_4/</t>
  </si>
  <si>
    <t>CPG4/</t>
  </si>
  <si>
    <t>note=B._malayi_BMA-CPG-4_protein,_contains_similarity_toPfam_domain_PF15481_Chondroitin_proteoglycan_4_containssimilarity_to_Interpro_domain_IPR029153_(Chondroitinproteoglycan_4)</t>
  </si>
  <si>
    <t>7209.EJD75161.1</t>
  </si>
  <si>
    <t>1.8e-147</t>
  </si>
  <si>
    <t>528.9</t>
  </si>
  <si>
    <t>1KX12@119089,2DZEV@1,2S6Z7@2759,3A9U1@33154,3BU1A@33208,3DBC7@33213,40EQA@6231</t>
  </si>
  <si>
    <t>Chondroitin proteoglycan 4</t>
  </si>
  <si>
    <t>92,0228/92,0228</t>
  </si>
  <si>
    <t>Bm10611</t>
  </si>
  <si>
    <t>WBGene00230872</t>
  </si>
  <si>
    <t>GO:0019239/</t>
  </si>
  <si>
    <t>deaminase_activity/</t>
  </si>
  <si>
    <t>Catalysis_of_the_removal_of_an_amino_group_from_a_substrate,_producing_ammonia_(NH3)._[GOC:jl]/</t>
  </si>
  <si>
    <t>IPR001365/IPR032466/</t>
  </si>
  <si>
    <t>Adenosine/AMP_deaminase_domain/Metal-dependent_hydrolase/</t>
  </si>
  <si>
    <t>A/AMP_deaminase_dom/Metal_Hydrolase/</t>
  </si>
  <si>
    <t>note=contains_similarity_to_Pfam_domain_PF00962_Adenosine/AMP_deaminase_contains_similarity_to_Interpro_domain_IPR001365_(Adenosine/AMP_deaminase_domain)</t>
  </si>
  <si>
    <t>136037.KDR11213</t>
  </si>
  <si>
    <t>7.9e-17</t>
  </si>
  <si>
    <t>Insecta</t>
  </si>
  <si>
    <t>38FYY@33154,3BAWN@33208,3CZWD@33213,3SMA6@50557,41U5Q@6656,COG1816@1,KOG1097@2759</t>
  </si>
  <si>
    <t>deaminase</t>
  </si>
  <si>
    <t>17,6039/33,9853/10,7579</t>
  </si>
  <si>
    <t>37,4083/17,3594</t>
  </si>
  <si>
    <t>36,6748/12,2249</t>
  </si>
  <si>
    <t>Bm10635</t>
  </si>
  <si>
    <t>WBGene00230896</t>
  </si>
  <si>
    <t>GO:0005515/GO:0005634/GO:0046983/</t>
  </si>
  <si>
    <t>nucleus/protein_binding/protein_dimerization_activity/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</si>
  <si>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Interacting_selectively_and_non-covalently_with_any_protein_or_protein_complex_(a_complex_of_two_or_more_proteins_that_may_include_other_nonprotein_molecules)."_[GOC:go_curators]/"The_formation_of_a_protein_dimer,_a_macromolecular_structure_consists_of_two_noncovalently_associated_identical_or_nonidentical_subunits."_[ISBN:0198506732]/</t>
  </si>
  <si>
    <t>IPR000014/IPR011598/IPR013655/IPR035965/IPR036638/</t>
  </si>
  <si>
    <t>Helix-loop-helix_DNA-binding_domain_superfamily/Myc-type,_basic_helix-loop-helix_(bHLH)_domain/PAS_domain/PAS_domain_superfamily/PAS_fold-3/</t>
  </si>
  <si>
    <t>HLH_DNA-bd_sf/PAS/PAS-like_dom_sf/PAS_fold_3/bHLH_dom/</t>
  </si>
  <si>
    <t>note=contains_similarity_to_Pfam_domains_PF00010_(Helix-loop-helix_DNA-binding_domain),_PF08447_(PAS_fold)_contains_similarity_to_Interpro_domains_IPR013655_(PAS_fold-3),_IPR000014_(PAS_domain),_IPR011598_(Myc-type,_basic_helix-loop-helix_(bHLH)_domain)</t>
  </si>
  <si>
    <t>6500.XP_005112430.1</t>
  </si>
  <si>
    <t>7e-25</t>
  </si>
  <si>
    <t>122.5</t>
  </si>
  <si>
    <t>38GPM@33154,3BBCR@33208,3CX8T@33213,KOG3561@1,KOG3561@2759</t>
  </si>
  <si>
    <t>response to redox state</t>
  </si>
  <si>
    <t>Bm10694</t>
  </si>
  <si>
    <t>WBGene00230955</t>
  </si>
  <si>
    <t>note=contains_similarity_to_Pfam_domain_PF13499_EF-hand_domain_pair_contains_similarity_to_Interpro_domains_IPR011992_(EF-hand_domain_pair),_IPR002048_(EF-hand_domain)</t>
  </si>
  <si>
    <t>7209.EJD75946.1</t>
  </si>
  <si>
    <t>3.2e-244</t>
  </si>
  <si>
    <t>852.0</t>
  </si>
  <si>
    <t>COG5126@1,KOG0027@2759</t>
  </si>
  <si>
    <t>DTZ</t>
  </si>
  <si>
    <t>Ca2 -binding protein (EF-Hand superfamily</t>
  </si>
  <si>
    <t>32,1782/9,57096</t>
  </si>
  <si>
    <t>Bm10696</t>
  </si>
  <si>
    <t>WBGene00230957</t>
  </si>
  <si>
    <t>36,3919/35,9254</t>
  </si>
  <si>
    <t>Bm1072</t>
  </si>
  <si>
    <t>WBGene00221333</t>
  </si>
  <si>
    <t>87,8981/87,8981</t>
  </si>
  <si>
    <t>Bm10797</t>
  </si>
  <si>
    <t>Bm10813</t>
  </si>
  <si>
    <t>WBGene00231074</t>
  </si>
  <si>
    <t>GO:0004252/GO:0006508/</t>
  </si>
  <si>
    <t>proteolysis/serine-type_endopeptidase_activity/</t>
  </si>
  <si>
    <t>Catalysis_of_the_hydrolysis_of_internal,_alpha-peptide_bonds_in_a_polypeptide_chain_by_a_catalytic_mechanism_that_involves_a_catalytic_triad_consisting_of_a_serine_nucleophile_that_is_activated_by_a_proton_relay_involving_an_acidic_residue_(e.g._aspartate_or_glutamate)_and_a_basic_residue_(usually_histidine)._[GOC:mah,_http://merops.sanger.ac.uk/about/glossary.htm#CATTYPE,_ISBN:0716720094]/"The_hydrolysis_of_proteins_into_smaller_polypeptides_and/or_amino_acids_by_cleavage_of_their_peptide_bonds."_[GOC:bf,_GOC:mah]/</t>
  </si>
  <si>
    <t>IPR001254/IPR001314/IPR009003/IPR018114/</t>
  </si>
  <si>
    <t>Peptidase_S1,_PA_clan/Peptidase_S1A,_chymotrypsin_family/Serine_proteases,_trypsin_domain/Serine_proteases,_trypsin_family,_histidine_active_site/</t>
  </si>
  <si>
    <t>Peptidase_S1A/Peptidase_S1_PA/TRYPSIN_HIS/Trypsin_dom/</t>
  </si>
  <si>
    <t>note=contains_similarity_to_Pfam_domain_PF00089_Trypsin_contains_similarity_to_Interpro_domains_IPR001314_(Peptidase_S1A,_chymotrypsin-type),_IPR001254_(Peptidase_S1),_IPR009003_(Trypsin-like_cysteine/serine_peptidase_domain)</t>
  </si>
  <si>
    <t>670292.JH26_27820</t>
  </si>
  <si>
    <t>7e-09</t>
  </si>
  <si>
    <t>Methylobacteriaceae</t>
  </si>
  <si>
    <t>1JSR3@119045,1NPS4@1224,2U4PS@28211,COG5640@1,COG5640@2</t>
  </si>
  <si>
    <t>PFAM peptidase S1 and S6 chymotrypsin Hap</t>
  </si>
  <si>
    <t>17,8182/38,5455/14,1818</t>
  </si>
  <si>
    <t>Bm10829</t>
  </si>
  <si>
    <t>WBGene00231090</t>
  </si>
  <si>
    <t>GO:0005634/GO:0005737/GO:0006511/GO:0008104/GO:0008595/GO:0019100/GO:0019102/GO:0031145/GO:0031461/GO:0031462/GO:0031625/GO:0036369/GO:0042078/GO:0051232/GO:0051759/GO:1902104/</t>
  </si>
  <si>
    <t>Cul2-RING_ubiquitin_ligase_complex/anaphase-promoting_complex-dependent_catabolic_process/anterior/posterior_axis_specification,_embryo/cullin-RING_ubiquitin_ligase_complex/cytoplasm/germ-line_stem_cell_division/male_germ-line_sex_determination/male_somatic_sex_determination/meiotic_spindle_elongation/nucleus/positive_regulation_of_metaphase/anaphase_transition_of_meiotic_cell_cycle/protein_localization/sister_chromosome_movement_towards_spindle_pole_involved_in_meiotic_sister_chromatid_segregation/transcription_factor_catabolic_process/ubiquitin-dependent_protein_catabolic_process/ubiquitin_protein_ligase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</si>
  <si>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ubiquitin_ligase_complex_in_which_a_cullin_from_the_Cul2_subfamily_and_a_RING_domain_protein_form_the_catalytic_core;_substrate_specificity_is_conferred_by_an_elongin-BC_adaptor_and_a_SOCS/BC_box_protein."_[PMID:15571813,_PMID:15688063]/"All_of_the_contents_of_a_cell_excluding_the_plasma_membrane_and_nucleus,_but_including_other_subcellular_structures."_[ISBN:0198547684]/"Any_process_in_which_a_protein_is_transported_to,_or_maintained_in,_a_specific_location."_[GOC:ai]/"Any_process_that_activates_or_increases_the_frequency,_rate_or_extent_of_metaphase/anaphase_transition_of_meiotic_cell_cycle."_[GOC:mtg_cell_cycle,_GOC:TermGenie]/"Any_ubiquitin_ligase_complex_in_which_the_catalytic_core_consists_of_a_member_of_the_cullin_family_and_a_RING_domain_protein;_the_core_is_associated_with_one_or_more_additional_proteins_that_confer_substrate_specificity."_[PMID:15571813,_PMID:15688063]/"Interacting_selectively_and_non-covalently_with_a_ubiquitin_protein_ligase_enzyme,_any_of_the_E3_proteins."_[GOC:vp]/"The_chemical_reactions_and_pathways_resulting_in_the_breakdown_of_a_protein_or_peptide_by_hydrolysis_of_its_peptide_bonds,_initiated_by_the_covalent_attachment_of_a_ubiquitin_group,_or_multiple_ubiquitin_groups,_to_the_protein."_[GOC:go_curators]/"The_chemical_reactions_and_pathways_resulting_in_the_breakdown_of_a_protein_or_peptide_by_hydrolysis_of_its_peptide_bonds,_initiated_by_the_covalent_attachment_of_ubiquitin,_with_ubiquitin-protein_ligation_catalyzed_by_the_anaphase-promoting_complex,_and_mediated_by_the_proteasome."_[GOC:mah,_PMID:15380083,_PMID:15840442]/"The_chemical_reactions_and_pathways_resulting_in_the_breakdown_of_a_sequence-specific_DNA-binding_transcription_factor_by_hydrolysis_of_its_peptide_bonds,_initiated_by_the_covalent_attachment_of_ubiquitin,_and_mediated_by_the_proteasome."_[GOC:al,_GOC:vw,_PMID:22833559]/"The_determination_of_sex_and_sexual_phenotype_in_a_male_organism's_germ_line."_[GOC:mah]/"The_determination_of_sex_and_sexual_phenotypes_in_a_male_organism's_soma."_[GOC:mah]/"The_directed_movement_of_sister_chromosomes_from_the_center_of_the_spindle_towards_the_spindle_poles,_mediated_by_the_shortening_of_microtubules_attached_to_the_chromosomes,_during_meiosis_II."_[GOC:ai]/"The_lengthening_of_the_distance_between_poles_of_the_spindle_during_a_meiotic_cell_cycle."_[GOC:ai]/"The_self-renewing_division_of_a_germline_stem_cell_to_produce_a_daughter_stem_cell_and_a_daughter_germ_cell,_which_will_divide_to_form_the_gametes."_[GOC:jid,_PMID:2279698]/"The_specification_of_the_anterior/posterior_axis_of_the_embryo_by_the_products_of_genes_expressed_maternally_and_genes_expressed_in_the_zygote."_[http://fly.ebi.ac.uk/allied-data/lk/interactive-fly/aimain/1aahome.htm,_ISBN:0879694238]/</t>
  </si>
  <si>
    <t>IPR001373/IPR016157/IPR016158/IPR016159/IPR019559/IPR036317/IPR036388/IPR036390/</t>
  </si>
  <si>
    <t>Cullin,_N-terminal/Cullin,_conserved_site/Cullin_homology_domain/Cullin_homology_domain_superfamily/Cullin_protein,_neddylation_domain/Cullin_repeat-like-containing_domain_superfamily/Winged_helix-like_DNA-binding_domain_superfamily/Winged_helix_DNA-binding_domain_superfamily/</t>
  </si>
  <si>
    <t>Cullin_CS/Cullin_N/Cullin_homology/Cullin_homology_sf/Cullin_neddylation_domain/Cullin_repeat-like_dom_sf/WH-like_DNA-bd_sf/WH_DNA-bd_sf/</t>
  </si>
  <si>
    <t>note=B._malayi_BMA-CUL-2_protein,_contains_similarity_toPfam_domains_PF00888_(Cullin_family),_PF10557_(Cullinprotein_neddylation_domain)_contains_similarity_toInterpro_domains_IPR016159_(Cullin_repeat-like-containingdomain),_IPR019559_(Cullin_protein,_neddylation_domain),IPR001373_(Cullin,_N-terminal),_IPR011991_(Wingedhelix-turn-helix_DNA-binding_domain),_IPR016158_(Cullinhomology)</t>
  </si>
  <si>
    <t>7209.EFO28164.1</t>
  </si>
  <si>
    <t>1436.0</t>
  </si>
  <si>
    <t>cul-2</t>
  </si>
  <si>
    <t>GO:0000003,GO:0000212,GO:0000226,GO:0000280,GO:0000578,GO:0000819,GO:0003002,GO:0003006,GO:0003674,GO:0005488,GO:0005515,GO:0005575,GO:0005622,GO:0005623,GO:0005634,GO:0005737,GO:0006508,GO:0006511,GO:0006807,GO:0006928,GO:0006996,GO:0007010,GO:0007017,GO:0007018,GO:0007049,GO:0007051,GO:0007059,GO:0007135,GO:0007275,GO:0007276,GO:0007281,GO:0007350,GO:0007351,GO:0007389,GO:0007530,GO:0007538,GO:0007542,GO:0008104,GO:0008150,GO:0008152,GO:0008595,GO:0009056,GO:0009057,GO:0009790,GO:0009798,GO:0009880,GO:0009948,GO:0009952,GO:0009987,GO:0010498,GO:0010564,GO:0010638,GO:0016043,GO:0016344,GO:0017145,GO:0018992,GO:0018993,GO:0019100,GO:0019102,GO:0019538,GO:0019941,GO:0019953,GO:0022402,GO:0022412,GO:0022414,GO:0030154,GO:0030163,GO:0030238,GO:0031145,GO:0032501,GO:0032502,GO:0032504,GO:0033036,GO:0033043,GO:0033044,GO:0033045,GO:0035282,GO:0036369,GO:0040020,GO:0042078,GO:0043161,GO:0043170,GO:0043226,GO:0043227,GO:0043229,GO:0043231,GO:0043632,GO:0044237,GO:0044238,GO:0044248,GO:0044257,GO:0044260,GO:0044265,GO:0044267,GO:0044424,GO:0044464,GO:0044703,GO:0045132,GO:0045144,GO:0045787,GO:0045836,GO:0048285,GO:0048468,GO:0048518,GO:0048522,GO:0048609,GO:0048856,GO:0048869,GO:0050000,GO:0050789,GO:0050794,GO:0051128,GO:0051130,GO:0051179,GO:0051231,GO:0051232,GO:0051234,GO:0051276,GO:0051301,GO:0051303,GO:0051305,GO:0051321,GO:0051445,GO:0051446,GO:0051603,GO:0051640,GO:0051641,GO:0051649,GO:0051656,GO:0051704,GO:0051726,GO:0051759,GO:0051783,GO:0051785,GO:0051983,GO:0051984,GO:0061983,GO:0065007,GO:0070192,GO:0071704,GO:0071840,GO:0090068,GO:0098813,GO:0140013,GO:1901564,GO:1901565,GO:1901575,GO:1901987,GO:1901989,GO:1901993,GO:1901995,GO:1902099,GO:1902101,GO:1902102,GO:1902104,GO:1903046,GO:1905132,GO:1905134,GO:1905818,GO:1905820,GO:2000241,GO:2000243</t>
  </si>
  <si>
    <t>ko:K03870</t>
  </si>
  <si>
    <t>ko04066,ko04120,ko05200,ko05211,map04066,map04120,map05200,map05211</t>
  </si>
  <si>
    <t>M00383</t>
  </si>
  <si>
    <t>ko00000,ko00001,ko00002,ko04121</t>
  </si>
  <si>
    <t>1KYK2@119089,38GVB@33154,3BFNM@33208,3CR4W@33213,40FQX@6231,COG5647@1,KOG2284@2759</t>
  </si>
  <si>
    <t>Cullin protein neddylation domain</t>
  </si>
  <si>
    <t>97,375/97,375</t>
  </si>
  <si>
    <t>26,625/10,75</t>
  </si>
  <si>
    <t>33,875/33,75</t>
  </si>
  <si>
    <t>11,25/7,5</t>
  </si>
  <si>
    <t>12/0,625/0/12,125/11,5</t>
  </si>
  <si>
    <t>22,25/18,375</t>
  </si>
  <si>
    <t>WBGene00000837</t>
  </si>
  <si>
    <t>Bm10874</t>
  </si>
  <si>
    <t>WBGene00231135</t>
  </si>
  <si>
    <t>IPR002110/IPR020683/IPR036770/</t>
  </si>
  <si>
    <t>Ankyrin_repeat/Ankyrin_repeat-containing_domain/Ankyrin_repeat-containing_domain_superfamily/</t>
  </si>
  <si>
    <t>Ankyrin_rpt/Ankyrin_rpt-contain_dom/Ankyrin_rpt-contain_sf/</t>
  </si>
  <si>
    <t>note=contains_similarity_to_Pfam_domain_PF12796_Ankyrin_repeats_(3_copies)_contains_similarity_to_Interpro_domains_IPR002110_(Ankyrin_repeat),_IPR020683_(Ankyrin_repeat-containing_domain)</t>
  </si>
  <si>
    <t>7209.EFO22423.2</t>
  </si>
  <si>
    <t>2.8e-154</t>
  </si>
  <si>
    <t>552.4</t>
  </si>
  <si>
    <t>39N63@33154,3CPRD@33208,3E5WK@33213,COG0666@1,KOG0504@2759</t>
  </si>
  <si>
    <t>Ankyrin repeat</t>
  </si>
  <si>
    <t>10,5431/8,94569/10,3834/11,1821</t>
  </si>
  <si>
    <t>15,1757/14,6965/14,0575/9,10543</t>
  </si>
  <si>
    <t>15,3355/14,5367/9,74441/14,2173</t>
  </si>
  <si>
    <t>11,6613/14,8562/11,3419/7,34824/13,2588/15,8147</t>
  </si>
  <si>
    <t>Bm10921</t>
  </si>
  <si>
    <t>WBGene00231182</t>
  </si>
  <si>
    <t>IPR041105/</t>
  </si>
  <si>
    <t>TAR_DNA-binding_protein_43,_N-terminal/</t>
  </si>
  <si>
    <t>TDP43_N/</t>
  </si>
  <si>
    <t>7209.EFO25624.1</t>
  </si>
  <si>
    <t>1.9e-66</t>
  </si>
  <si>
    <t>258.5</t>
  </si>
  <si>
    <t>KOG0118@1,KOG0118@2759</t>
  </si>
  <si>
    <t>H</t>
  </si>
  <si>
    <t>RNA binding</t>
  </si>
  <si>
    <t>Bm1093</t>
  </si>
  <si>
    <t>WBGene00221354</t>
  </si>
  <si>
    <t>/GO:0005267/GO:0006811/GO:0016020/GO:0016021/GO:0071805/</t>
  </si>
  <si>
    <t>/integral_component_of_membrane/ion_transport/membrane/potassium_channel_activity/potassium_ion_transmembrane_transport/</t>
  </si>
  <si>
    <t>/"A_lipid_bilayer_along_with_all_the_proteins_and_protein_complexes_embedded_in_it_an_attached_to_it."_[GOC:dos,_GOC:mah,_ISBN:0815316194]/"A_process_in_which_a_potassium_ion_is_transported_from_one_side_of_a_membrane_to_the_other."_[GOC:mah]/"Enables_the_facilitated_diffusion_of_a_potassium_ion_(by_an_energy-independent_process)_involving_passage_through_a_transmembrane_aqueous_pore_or_channel_without_evidence_for_a_carrier-mediated_mechanism."_[GOC:BHF,_GOC:mtg_transport,_GOC:pr,_ISBN:0815340729]/"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
  </si>
  <si>
    <t>IPR003280/IPR013099/</t>
  </si>
  <si>
    <t>Potassium_channel_domain/Two_pore_domain_potassium_channel/</t>
  </si>
  <si>
    <t>2pore_dom_K_chnl/K_chnl_dom/</t>
  </si>
  <si>
    <t>7209.EFO22306.2</t>
  </si>
  <si>
    <t>1.9e-132</t>
  </si>
  <si>
    <t>479.6</t>
  </si>
  <si>
    <t>ko:K05323</t>
  </si>
  <si>
    <t>1.A.1.9</t>
  </si>
  <si>
    <t>1KXUF@119089,3AJ15@33154,3BZGA@33208,3DF33@33213,40FTK@6231,KOG1418@1,KOG1418@2759</t>
  </si>
  <si>
    <t>Belongs to the two pore domain potassium channel (TC 1.A.1.8) family</t>
  </si>
  <si>
    <t>20,3095/29,0135</t>
  </si>
  <si>
    <t>26,1122/13,5397</t>
  </si>
  <si>
    <t>23,5977/15,2805/17,6015/18,5687</t>
  </si>
  <si>
    <t>10,4449/15,2805</t>
  </si>
  <si>
    <t>9,47776/24,3714</t>
  </si>
  <si>
    <t>34,0426/29,5938</t>
  </si>
  <si>
    <t>WBGene00006670</t>
  </si>
  <si>
    <t>32.1083</t>
  </si>
  <si>
    <t>Bm11007</t>
  </si>
  <si>
    <t>WBGene00231268</t>
  </si>
  <si>
    <t>6239.C26G2.2</t>
  </si>
  <si>
    <t>7.5e-21</t>
  </si>
  <si>
    <t>109.8</t>
  </si>
  <si>
    <t>1M07X@119089,2CHNV@1,2T1MR@2759,3AS86@33154,3C49W@33208,3DJ1P@33213,40H9G@6231,40Z23@6236</t>
  </si>
  <si>
    <t>16,9561/16,8539/24,8212</t>
  </si>
  <si>
    <t>Bm11049</t>
  </si>
  <si>
    <t>WBGene00231310</t>
  </si>
  <si>
    <t>IPR001680/IPR015943/IPR036322/</t>
  </si>
  <si>
    <t>WD40-repeat-containing_domain_superfamily/WD40/YVTN_repeat-like-containing_domain_superfamily/WD40_repeat/</t>
  </si>
  <si>
    <t>WD40/YVTN_repeat-like_dom_sf/WD40_repeat/WD40_repeat_dom_sf/</t>
  </si>
  <si>
    <t>note=contains_similarity_to_Pfam_domain_PF00400_WD_domain,_G-beta_repeat_contains_similarity_to_Interpro_domains_IPR001680_(WD40_repeat),_IPR017986_(WD40-repeat-containing_domain),_IPR015943_(WD40/YVTN_repeat-like-containing_domain)</t>
  </si>
  <si>
    <t>7209.EFO24008.1</t>
  </si>
  <si>
    <t>5e-116</t>
  </si>
  <si>
    <t>424.5</t>
  </si>
  <si>
    <t>1KYER@119089,38C5B@33154,3BGZ8@33208,3CY8J@33213,40ESJ@6231,KOG2110@1,KOG2110@2759</t>
  </si>
  <si>
    <t>Bm11072</t>
  </si>
  <si>
    <t>WBGene00231333</t>
  </si>
  <si>
    <t>Bm11073</t>
  </si>
  <si>
    <t>WBGene00231334</t>
  </si>
  <si>
    <t>IPR000884/IPR036383/</t>
  </si>
  <si>
    <t>Thrombospondin_type-1_(TSP1)_repeat/Thrombospondin_type-1_(TSP1)_repeat_superfamily/</t>
  </si>
  <si>
    <t>TSP1_rpt/TSP1_rpt_sf/</t>
  </si>
  <si>
    <t>Bm11089</t>
  </si>
  <si>
    <t>WBGene00231350</t>
  </si>
  <si>
    <t>20,8333/15,625</t>
  </si>
  <si>
    <t>Bm11094</t>
  </si>
  <si>
    <t>WBGene00231355</t>
  </si>
  <si>
    <t>7209.EFO15875.1</t>
  </si>
  <si>
    <t>7.3e-37</t>
  </si>
  <si>
    <t>161.8</t>
  </si>
  <si>
    <t>3ASFY@33154,3C3SS@33208,3DJDI@33213,KOG2177@1,KOG2177@2759</t>
  </si>
  <si>
    <t>zinc-RING finger domain</t>
  </si>
  <si>
    <t>26,3889/59,7222</t>
  </si>
  <si>
    <t>Bm11111</t>
  </si>
  <si>
    <t>WBGene00231372</t>
  </si>
  <si>
    <t>IPR000573/IPR015928/</t>
  </si>
  <si>
    <t>Aconitase/3-isopropylmalate_dehydratase,_swivel/Aconitase_A/isopropylmalate_dehydratase_small_subunit,_swivel_domain/</t>
  </si>
  <si>
    <t>Aconitase/3IPM_dehydase_swvl/AconitaseA/IPMdHydase_ssu_swvl/</t>
  </si>
  <si>
    <t>note=contains_similarity_to_Pfam_domain_PF00694_Aconitase_C-terminal_domain_contains_similarity_to_Interpro_domains_IPR000573_(Aconitase_A/isopropylmalate_dehydratase_small_subunit,_swivel),_IPR015937_(Aconitase/isopropylmalate_dehydratase),_IPR015928_(Aconitase/3-isopropylmalate_dehydratase,_swivel)</t>
  </si>
  <si>
    <t>7209.EJD76235.1</t>
  </si>
  <si>
    <t>1.4e-79</t>
  </si>
  <si>
    <t>302.8</t>
  </si>
  <si>
    <t>4.2.1.3</t>
  </si>
  <si>
    <t>ko:K01681</t>
  </si>
  <si>
    <t>ko00020,ko00630,ko00720,ko01100,ko01110,ko01120,ko01130,ko01200,ko01210,ko01230,map00020,map00630,map00720,map01100,map01110,map01120,map01130,map01200,map01210,map01230</t>
  </si>
  <si>
    <t>M00009,M00010,M00012,M00173,M00740</t>
  </si>
  <si>
    <t>R01324,R01325,R01900</t>
  </si>
  <si>
    <t>RC00497,RC00498,RC00618</t>
  </si>
  <si>
    <t>br01601,ko00000,ko00001,ko00002,ko01000</t>
  </si>
  <si>
    <t>1KV47@119089,38CNX@33154,3B95S@33208,3CSK2@33213,40BJU@6231,COG1048@1,KOG0453@2759</t>
  </si>
  <si>
    <t>CE</t>
  </si>
  <si>
    <t>Belongs to the aconitase IPM isomerase family</t>
  </si>
  <si>
    <t>4,2735/62,8205</t>
  </si>
  <si>
    <t>58,1197/58,1197/58,1197</t>
  </si>
  <si>
    <t>23,5043/58,1197</t>
  </si>
  <si>
    <t>50,4273/50,4273</t>
  </si>
  <si>
    <t>49,5727/48,7179</t>
  </si>
  <si>
    <t>WBGene00000041</t>
  </si>
  <si>
    <t>55.5556</t>
  </si>
  <si>
    <t>Bm11446</t>
  </si>
  <si>
    <t>WBGene00231707</t>
  </si>
  <si>
    <t>GO:0003777/GO:0005515/GO:0005871/</t>
  </si>
  <si>
    <t>kinesin_complex/microtubule_motor_activity/protein_binding/</t>
  </si>
  <si>
    <t>Any_complex_that_includes_a_dimer_of_molecules_from_the_kinesin_superfamily,_a_group_of_related_proteins_that_contain_an_extended_region_of_predicted_alpha-helical_coiled_coil_in_the_main_chain_that_likely_produces_dimerization._The_native_complexes_of_several_kinesin_family_members_have_also_been_shown_to_contain_additional_peptides,_often_designated_light_chains_as_all_of_the_noncatalytic_subunits_that_are_currently_known_are_smaller_than_the_chain_that_contains_the_motor_unit._Kinesin_complexes_generally_possess_a_force-generating_enzymatic_activity,_or_motor,_which_converts_the_free_energy_of_the_gamma_phosphate_bond_of_ATP_into_mechanical_work._[GOC:mah,_http://www.proweb.org/kinesin//KinesinMotility.html,_http://www.proweb.org/kinesin//KinesinStructure.html]/"Catalysis_of_movement_along_a_microtubule,_coupled_to_the_hydrolysis_of_a_nucleoside_triphosphate_(usually_ATP)."_[GOC:mah,_ISBN:0815316194]/"Interacting_selectively_and_non-covalently_with_any_protein_or_protein_complex_(a_complex_of_two_or_more_proteins_that_may_include_other_nonprotein_molecules)."_[GOC:go_curators]/</t>
  </si>
  <si>
    <t>IPR002151/IPR011990/IPR013026/IPR019734/</t>
  </si>
  <si>
    <t>Kinesin_light_chain/Tetratricopeptide-like_helical_domain_superfamily/Tetratricopeptide_repeat/Tetratricopeptide_repeat-containing_domain/</t>
  </si>
  <si>
    <t>Kinesin_light/TPR-contain_dom/TPR-like_helical_dom_sf/TPR_repeat/</t>
  </si>
  <si>
    <t>7209.EFO28066.2</t>
  </si>
  <si>
    <t>7.5e-106</t>
  </si>
  <si>
    <t>390.6</t>
  </si>
  <si>
    <t>GO:0000003,GO:0000226,GO:0000280,GO:0000902,GO:0000904,GO:0000910,GO:0002119,GO:0002164,GO:0003674,GO:0005488,GO:0005515,GO:0005575,GO:0005622,GO:0005623,GO:0005634,GO:0005635,GO:0005737,GO:0005856,GO:0005871,GO:0005875,GO:0006810,GO:0006928,GO:0006996,GO:0007010,GO:0007017,GO:0007018,GO:0007049,GO:0007097,GO:0007143,GO:0007275,GO:0007276,GO:0007292,GO:0007399,GO:0007409,GO:0008092,GO:0008150,GO:0009653,GO:0009791,GO:0009987,GO:0010970,GO:0012505,GO:0015630,GO:0016043,GO:0016049,GO:0016192,GO:0016938,GO:0019894,GO:0019953,GO:0022008,GO:0022402,GO:0022412,GO:0022414,GO:0030030,GO:0030154,GO:0030182,GO:0030473,GO:0030705,GO:0031175,GO:0031967,GO:0031975,GO:0032501,GO:0032502,GO:0032504,GO:0032989,GO:0032990,GO:0032991,GO:0033206,GO:0040007,GO:0040011,GO:0040038,GO:0043226,GO:0043227,GO:0043228,GO:0043229,GO:0043231,GO:0043232,GO:0044422,GO:0044424,GO:0044428,GO:0044430,GO:0044446,GO:0044464,GO:0044703,GO:0046907,GO:0048285,GO:0048468,GO:0048489,GO:0048588,GO:0048589,GO:0048609,GO:0048666,GO:0048667,GO:0048675,GO:0048699,GO:0048731,GO:0048812,GO:0048856,GO:0048858,GO:0048869,GO:0051179,GO:0051234,GO:0051293,GO:0051295,GO:0051301,GO:0051321,GO:0051640,GO:0051641,GO:0051647,GO:0051648,GO:0051649,GO:0051650,GO:0051653,GO:0051656,GO:0051704,GO:0060560,GO:0061564,GO:0061640,GO:0071840,GO:0072384,GO:0097479,GO:0097480,GO:0099003,GO:0099111,GO:0120036,GO:0120039,GO:0140013,GO:1903046,GO:1990138</t>
  </si>
  <si>
    <t>ko:K10407</t>
  </si>
  <si>
    <t>ko05132,map05132</t>
  </si>
  <si>
    <t>ko00000,ko00001,ko03019,ko04812</t>
  </si>
  <si>
    <t>1KXJY@119089,38CFM@33154,3BC82@33208,3CWNT@33213,40CF3@6231,COG0457@1,KOG1840@2759</t>
  </si>
  <si>
    <t>establishment of meiotic spindle localization</t>
  </si>
  <si>
    <t>37,7976/48,8095</t>
  </si>
  <si>
    <t>23,5119/27,0833/15,7738/48,8095</t>
  </si>
  <si>
    <t>46,7262/27,381/51,1905/51,7857/13,3929</t>
  </si>
  <si>
    <t>51,4881/44,6429</t>
  </si>
  <si>
    <t>29,4643/25,2976</t>
  </si>
  <si>
    <t>27,0833/56,25</t>
  </si>
  <si>
    <t>48,5119/51,4881</t>
  </si>
  <si>
    <t>WBGene00002215</t>
  </si>
  <si>
    <t>47.619</t>
  </si>
  <si>
    <t>meiosis_spindle_localization</t>
  </si>
  <si>
    <t>Bm11518</t>
  </si>
  <si>
    <t>7209.EJD74585.1</t>
  </si>
  <si>
    <t>3.3e-40</t>
  </si>
  <si>
    <t>171.0</t>
  </si>
  <si>
    <t>egg-3</t>
  </si>
  <si>
    <t>GO:0000003,GO:0000280,GO:0000910,GO:0003006,GO:0003674,GO:0005488,GO:0005515,GO:0005575,GO:0005622,GO:0005623,GO:0005737,GO:0005938,GO:0006996,GO:0007010,GO:0007049,GO:0007143,GO:0007276,GO:0007281,GO:0007292,GO:0008150,GO:0009653,GO:0009987,GO:0016043,GO:0019899,GO:0019900,GO:0019901,GO:0019953,GO:0022402,GO:0022412,GO:0022414,GO:0030029,GO:0030036,GO:0030154,GO:0030703,GO:0030865,GO:0030866,GO:0032501,GO:0032502,GO:0032504,GO:0032879,GO:0032880,GO:0033206,GO:0040038,GO:0044424,GO:0044444,GO:0044464,GO:0044703,GO:0048285,GO:0048468,GO:0048477,GO:0048518,GO:0048609,GO:0048646,GO:0048856,GO:0048869,GO:0050789,GO:0051301,GO:0051321,GO:0051704,GO:0060341,GO:0061640,GO:0065007,GO:0071840,GO:0071944,GO:0099568,GO:0140013,GO:1903046,GO:1903827,GO:1903829,GO:1904375,GO:1904377,GO:1904776,GO:1904778</t>
  </si>
  <si>
    <t>1KU74@119089,39YSD@33154,3BKVY@33208,3D45S@33213,40CMY@6231,COG0724@1,COG5599@1,KOG0106@2759,KOG0789@2759</t>
  </si>
  <si>
    <t>AT</t>
  </si>
  <si>
    <t>RNA splicing</t>
  </si>
  <si>
    <t>Bm11545</t>
  </si>
  <si>
    <t>WBGene00231806</t>
  </si>
  <si>
    <t>20,0375/20,0375/64,0449/64,6067</t>
  </si>
  <si>
    <t>Bm11549</t>
  </si>
  <si>
    <t>WBGene00231810</t>
  </si>
  <si>
    <t>IPR006652/IPR015915/</t>
  </si>
  <si>
    <t>Kelch-type_beta_propeller/Kelch_repeat_type_1/</t>
  </si>
  <si>
    <t>Kelch-typ_b-propeller/Kelch_1/</t>
  </si>
  <si>
    <t>note=contains_similarity_to_Pfam_domains_PF13964_(Kelch_motif),_PF01344_(Kelch_motif),_PF13854_(Kelch_motif),_PF13418_(Galactose_oxidase,_central_domain)_contains_similarity_to_Interpro_domains_IPR006652_(Kelch_repeat_type_1),_IPR015915_(Kelch-type_beta_propeller)</t>
  </si>
  <si>
    <t>7209.EFO15931.1</t>
  </si>
  <si>
    <t>1.5e-83</t>
  </si>
  <si>
    <t>317.0</t>
  </si>
  <si>
    <t>1KV7C@119089,39MBY@33154,3BAEE@33208,3CX4Y@33213,40BVC@6231,KOG4693@1,KOG4693@2759</t>
  </si>
  <si>
    <t>Kelch motif</t>
  </si>
  <si>
    <t>17,8723/30</t>
  </si>
  <si>
    <t>15,3191/16,8085/11,2766/17,6596</t>
  </si>
  <si>
    <t>14,8936/16,8085/11,0638/17,6596</t>
  </si>
  <si>
    <t>13,4043/11,4894/12,1277/12,3404</t>
  </si>
  <si>
    <t>WBGene00009978</t>
  </si>
  <si>
    <t>29.3617</t>
  </si>
  <si>
    <t>Bm11611</t>
  </si>
  <si>
    <t>WBGene00231872</t>
  </si>
  <si>
    <t>7209.EJD74371.1</t>
  </si>
  <si>
    <t>1.7e-137</t>
  </si>
  <si>
    <t>495.7</t>
  </si>
  <si>
    <t>GO:0000981,GO:0003674,GO:0003700,GO:0005575,GO:0005622,GO:0005623,GO:0005634,GO:0006355,GO:0006357,GO:0008150,GO:0009889,GO:0010468,GO:0010556,GO:0019219,GO:0019222,GO:0031323,GO:0031326,GO:0032784,GO:0034243,GO:0043226,GO:0043227,GO:0043229,GO:0043231,GO:0044424,GO:0044464,GO:0050789,GO:0050794,GO:0051171,GO:0051252,GO:0060255,GO:0065007,GO:0080090,GO:0140110,GO:1903506,GO:2000112,GO:2001141</t>
  </si>
  <si>
    <t>1KWYG@119089,38GSQ@33154,3BDQ9@33208,3CYY3@33213,40E6A@6231,KOG0489@1,KOG0842@2759</t>
  </si>
  <si>
    <t>transcriptional regulator that is required in neural development for the normal formation of sublateral cholinergic motor neuron processes. Plays a role in regulating the expression of acetylcholine transporter protein unc-17 in the sublateral processes. In particular, it is required in sublateral motor neurons for a left-right turning behavior that occurs during the lethargus phase of the normal sleep process called flipping . During flipping animals rotate 180 degrees about their longitudinal axis</t>
  </si>
  <si>
    <t>18,3432/21,5976</t>
  </si>
  <si>
    <t>11,8343/17,7515/11,5385/20,7101/9,46746/13,0178</t>
  </si>
  <si>
    <t>12,1302/18,0473/11,5385/17,4556/9,46746/12,7219</t>
  </si>
  <si>
    <t>11,2426/17,1598/19,5266/10,9467/9,46746/10,9467</t>
  </si>
  <si>
    <t>WBGene00000447</t>
  </si>
  <si>
    <t>28.1065</t>
  </si>
  <si>
    <t>Bm11659</t>
  </si>
  <si>
    <t>WBGene00231920</t>
  </si>
  <si>
    <t>Bm11664</t>
  </si>
  <si>
    <t>WBGene00231925</t>
  </si>
  <si>
    <t>GO:0005242/GO:0005244/GO:0006811/GO:0006813/GO:0016020/GO:0016021/GO:0034220/GO:0034765/GO:0071805/</t>
  </si>
  <si>
    <t>integral_component_of_membrane/inward_rectifier_potassium_channel_activity/ion_transmembrane_transport/ion_transport/membrane/potassium_ion_transmembrane_transport/potassium_ion_transport/regulation_of_ion_transmembrane_transport/voltage-gated_ion_channel_activity/</t>
  </si>
  <si>
    <t>A_lipid_bilayer_along_with_all_the_proteins_and_protein_complexes_embedded_in_it_an_attached_to_it._[GOC:dos,_GOC:mah,_ISBN:0815316194]/"A_process_in_which_a_potassium_ion_is_transported_from_one_side_of_a_membrane_to_the_other."_[GOC:mah]/"A_process_in_which_an_ion_is_transported_across_a_membrane."_[GOC:mah]/"Any_process_that_modulates_the_frequency,_rate_or_extent_of_the_directed_movement_of_ions_from_one_side_of_a_membrane_to_the_other."_[GOC:mah]/"Enables_the_transmembrane_transfer_of_a_potassium_ion_by_an_inwardly-rectifying_voltage-gated_channel._An_inwardly_rectifying_current-voltage_relation_is_one_where_at_any_given_driving_force_the_inward_flow_of_K+_ions_exceeds_the_outward_flow_for_the_opposite_driving_force._The_inward-rectification_is_due_to_a_voltage-dependent_block_of_the_channel_pore_by_a_specific_ligand_or_ligands,_and_as_a_result_the_macroscopic_conductance_depends_on_the_difference_between_membrane_voltage_and_the_K+_equilibrium_potential_rather_than_on_membrane_voltage_itself."_[GOC:cb,_GOC:mah,_PMID:14977398]/"Enables_the_transmembrane_transfer_of_an_ion_by_a_voltage-gated_channel._An_ion_is_an_atom_or_group_of_atoms_carrying_an_electric_charge_by_virtue_of_having_gained_or_lost_one_or_more_electrons._A_voltage-gated_channel_is_a_channel_whose_open_state_is_dependent_on_the_voltage_across_the_membrane_in_which_it_is_embedded."_[GOC:mtg_transport,_ISBN:0198506732,_ISBN:0815340729]/"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he_directed_movement_of_potassium_ions_(K+)_into,_out_of_or_within_a_cell,_or_between_cells,_by_means_of_some_agent_such_as_a_transporter_or_pore."_[GOC:ai]/</t>
  </si>
  <si>
    <t>IPR013518/IPR014756/IPR016449/IPR040445/IPR041647/</t>
  </si>
  <si>
    <t>Immunoglobulin_E-set/Inward_rectifier_potassium_channel,_C-terminal/Potassium_channel,_inwardly_rectifying,_Kir/Potassium_channel,_inwardly_rectifying,_Kir,_cytoplasmic/Potassium_channel,_inwardly_rectifying,_transmembrane_domain/</t>
  </si>
  <si>
    <t>IRK_C/Ig_E-set/K_chnl_inward-rec_Kir/K_chnl_inward-rec_Kir_cyto/Kir_TM/</t>
  </si>
  <si>
    <t>note=B._malayi_BMA-IRK-3_protein,_contains_similarity_toPfam_domain_PF01007_Inward_rectifier_potassium_channelcontains_similarity_to_Interpro_domains_IPR014756(Immunoglobulin_E-set),_IPR013518_(Potassium_channel,inwardly_rectifying,_Kir,_cytoplasmic),_IPR016449(Potassium_channel,_inwardly_rectifying,_Kir)</t>
  </si>
  <si>
    <t>7209.EJD74325.1</t>
  </si>
  <si>
    <t>6.7e-185</t>
  </si>
  <si>
    <t>653.3</t>
  </si>
  <si>
    <t>irk-3</t>
  </si>
  <si>
    <t>GO:0003008,GO:0007610,GO:0007611,GO:0007613,GO:0007614,GO:0008150,GO:0032501,GO:0050877,GO:0050890</t>
  </si>
  <si>
    <t>ko:K05330</t>
  </si>
  <si>
    <t>1.A.2.1.14,1.A.2.1.15</t>
  </si>
  <si>
    <t>1KU32@119089,38BXT@33154,3BA68@33208,3D3JI@33213,40BSS@6231,KOG3827@1,KOG3827@2759</t>
  </si>
  <si>
    <t>Inward rectifier potassium channel</t>
  </si>
  <si>
    <t>51,6667/51,6667</t>
  </si>
  <si>
    <t>37,5/32,7778</t>
  </si>
  <si>
    <t>27,7778/33,0556/28,8889/30,8333/31,1111/33,3333/27,7778/30,2778/33,0556/32,5/33,3333/25,2778/28,6111/31,9444</t>
  </si>
  <si>
    <t>31,1111/30,2778/28,8889/33,0556/27,5/33,3333/25/28,3333/32,7778/29,1667/30,8333/32,5/31,9444</t>
  </si>
  <si>
    <t>30,2778/28,3333/28,6111/30/30/33,0556/33,6111/31,1111/31,1111/31,1111/30,8333/32,7778/33,3333/28,6111/29,7222/31,3889/31,3889/28,8889/30,2778/27,7778/29,4444/24,4444/29,4444/29,7222/26,6667/34,1667/30,2778/27,7778</t>
  </si>
  <si>
    <t>WBGene00002151</t>
  </si>
  <si>
    <t>55.2778</t>
  </si>
  <si>
    <t>Bm12010</t>
  </si>
  <si>
    <t>WBGene00232271</t>
  </si>
  <si>
    <t>GO:0004335/GO:0005524/GO:0005534/GO:0005737/GO:0006012/GO:0016301/GO:0016773/GO:0046835/</t>
  </si>
  <si>
    <t>ATP_binding/carbohydrate_phosphorylation/cytoplasm/galactokinase_activity/galactose_binding/galactose_metabolic_process/kinase_activity/phosphotransferase_activity,_alcohol_group_as_acceptor/</t>
  </si>
  <si>
    <t>All_of_the_contents_of_a_cell_excluding_the_plasma_membrane_and_nucleus,_but_including_other_subcellular_structures._[ISBN:0198547684]/"Catalysis_of_the_reaction:_D-galactose_+_ATP_=_alpha-D-galactose_1-phosphate_+_ADP_+_2_H(+)."_[EC:2.7.1.6,_RHEA:13553]/"Catalysis_of_the_transfer_of_a_phosphate_group,_usually_from_ATP,_to_a_substrate_molecule."_[ISBN:0198506732]/"Catalysis_of_the_transfer_of_a_phosphorus-containing_group_from_one_compound_(donor)_to_an_alcohol_group_(acceptor)."_[GOC:jl]/"Interacting_selectively_and_non-covalently_with_ATP,_adenosine_5'-triphosphate,_a_universally_important_coenzyme_and_enzyme_regulator."_[ISBN:0198506732]/"Interacting_selectively_and_non-covalently_with_the_aldohexose_galactose_(galacto-hexose),_a_common_constituent_of_many_oligo-_and_polysaccharides."_[CHEBI:28260,_GOC:jl,_ISBN:0198506732]/"The_chemical_reactions_and_pathways_involving_galactose,_the_aldohexose_galacto-hexose._D-galactose_is_widely_distributed_in_combined_form_in_plants,_animals_and_microorganisms_as_a_constituent_of_oligo-_and_polysaccharides;_it_also_occurs_in_galactolipids_and_as_its_glucoside_in_lactose_and_melibiose."_[ISBN:0198506732]/"The_process_of_introducing_a_phosphate_group_into_a_carbohydrate,_any_organic_compound_based_on_the_general_formula_Cx(H2O)y."_[ISBN:0198506732]/</t>
  </si>
  <si>
    <t>IPR000705/IPR006203/IPR006204/IPR006206/IPR013750/IPR014721/IPR019539/IPR019741/IPR020568/IPR036554/</t>
  </si>
  <si>
    <t>GHMP_kinase,_ATP-binding,_conserved_site/GHMP_kinase,_C-terminal_domain/GHMP_kinase,_C-terminal_domain_superfamily/GHMP_kinase_N-terminal_domain/Galactokinase/Galactokinase,_conserved_site/Galactokinase_galactose-binding_domain/Mevalonate/galactokinase/Ribosomal_protein_S5_domain_2-type_fold/Ribosomal_protein_S5_domain_2-type_fold,_subgroup/</t>
  </si>
  <si>
    <t>GHMP_kinase_C_dom/GHMP_kinase_C_sf/GHMP_kinase_N_dom/GHMP_knse_ATP-bd_CS/GalKase_gal-bd/Galactokinase/Galactokinase_CS/Mevalonate/galactokinase/Ribosomal_S5_D2-typ_fold/Ribosomal_S5_D2-typ_fold_subgr/</t>
  </si>
  <si>
    <t>note=contains_similarity_to_Pfam_domain_PF08544_GHMP_kinases_C_terminal_contains_similarity_to_Interpro_domain_IPR013750_(GHMP_kinase,_C-terminal_domain)</t>
  </si>
  <si>
    <t>7209.EFO23960.1</t>
  </si>
  <si>
    <t>2.6e-220</t>
  </si>
  <si>
    <t>771.2</t>
  </si>
  <si>
    <t>2.7.1.157</t>
  </si>
  <si>
    <t>ko:K18674</t>
  </si>
  <si>
    <t>1KUWK@119089,38ESX@33154,3BENI@33208,3D0CA@33213,40BG3@6231,COG0153@1,KOG0631@2759</t>
  </si>
  <si>
    <t>Galactokinase galactose-binding signature</t>
  </si>
  <si>
    <t>22,8029/99,5249</t>
  </si>
  <si>
    <t>23,0404/38,0047</t>
  </si>
  <si>
    <t>24,4656/23,753</t>
  </si>
  <si>
    <t>32,304/32,0665/18,5273/35,867/17,5772</t>
  </si>
  <si>
    <t>35,3919/48,2185</t>
  </si>
  <si>
    <t>35,867/35,3919/36,1045</t>
  </si>
  <si>
    <t>38,7173/38,7173</t>
  </si>
  <si>
    <t>34,2043/32,7791</t>
  </si>
  <si>
    <t>WBGene00006461</t>
  </si>
  <si>
    <t>46.0808</t>
  </si>
  <si>
    <t>Bm12054</t>
  </si>
  <si>
    <t>WBGene00232315</t>
  </si>
  <si>
    <t>IPR011989/IPR016024/IPR024395/IPR034085/</t>
  </si>
  <si>
    <t>Armadillo-like_helical/Armadillo-type_fold/CLASP_N-terminal_domain/TOG_domain/</t>
  </si>
  <si>
    <t>ARM-like/ARM-type_fold/CLASP_N_dom/TOG/</t>
  </si>
  <si>
    <t>7209.EJD74993.1</t>
  </si>
  <si>
    <t>1144.0</t>
  </si>
  <si>
    <t>1KXVK@119089,38G28@33154,3BA4M@33208,3CV0X@33213,40FMG@6231,KOG2933@1,KOG2933@2759</t>
  </si>
  <si>
    <t>non-motile cilium assembly</t>
  </si>
  <si>
    <t>13,9752/20,8851</t>
  </si>
  <si>
    <t>3,02795/6,4441</t>
  </si>
  <si>
    <t>20,9627/14,9845</t>
  </si>
  <si>
    <t>21,4286/15,4503</t>
  </si>
  <si>
    <t>WBGene00000491</t>
  </si>
  <si>
    <t>31.7547</t>
  </si>
  <si>
    <t>Bm12265</t>
  </si>
  <si>
    <t>WBGene00232526</t>
  </si>
  <si>
    <t>IPR002542/</t>
  </si>
  <si>
    <t>Domain_of_unknown_function_DUF19/</t>
  </si>
  <si>
    <t>DUF19/</t>
  </si>
  <si>
    <t>7209.EFO24286.2</t>
  </si>
  <si>
    <t>1.8e-44</t>
  </si>
  <si>
    <t>1KW95@119089,2BE07@1,2S13P@2759,3A3UH@33154,3BRYE@33208,3D974@33213,40DRU@6231</t>
  </si>
  <si>
    <t>Domain of unknown function (DUF19)</t>
  </si>
  <si>
    <t>Bm12299</t>
  </si>
  <si>
    <t>WBGene00232560</t>
  </si>
  <si>
    <t>IPR002151/IPR011990/</t>
  </si>
  <si>
    <t>Kinesin_light_chain/Tetratricopeptide-like_helical_domain_superfamily/</t>
  </si>
  <si>
    <t>Kinesin_light/TPR-like_helical_dom_sf/</t>
  </si>
  <si>
    <t>note=contains_similarity_to_Pfam_domain_PF09311_Rabaptin-like_protein_contains_similarity_to_Interpro_domains_IPR002151_(Kinesin_light_chain),_IPR015390_(Rabaptin,_GTPase-Rab5_binding_domain)</t>
  </si>
  <si>
    <t>2e-119</t>
  </si>
  <si>
    <t>435.3</t>
  </si>
  <si>
    <t>55,4264/70,155</t>
  </si>
  <si>
    <t>2,71318/66,2791/0/66,6667</t>
  </si>
  <si>
    <t>62,4031/38,7597/62,7907/62,7907/2,71318</t>
  </si>
  <si>
    <t>61,6279/54,6512</t>
  </si>
  <si>
    <t>72,093/1,55039</t>
  </si>
  <si>
    <t>68,6047/68,6047</t>
  </si>
  <si>
    <t>61,2403/61,6279</t>
  </si>
  <si>
    <t>58.1395</t>
  </si>
  <si>
    <t>Bm12478</t>
  </si>
  <si>
    <t>WBGene00232739</t>
  </si>
  <si>
    <t>GO:0003676/GO:0008270/</t>
  </si>
  <si>
    <t>nucleic_acid_binding/zinc_ion_binding/</t>
  </si>
  <si>
    <t>Interacting_selectively_and_non-covalently_with_any_nucleic_acid._[GOC:jl]/"Interacting_selectively_and_non-covalently_with_zinc_(Zn)_ions."_[GOC:ai]/</t>
  </si>
  <si>
    <t>IPR001878/IPR002999/</t>
  </si>
  <si>
    <t>Tudor_domain/Zinc_finger,_CCHC-type/</t>
  </si>
  <si>
    <t>Tudor/Znf_CCHC/</t>
  </si>
  <si>
    <t>25,9318/26,3283</t>
  </si>
  <si>
    <t>12,5297/14,433</t>
  </si>
  <si>
    <t>Bm12527</t>
  </si>
  <si>
    <t>WBGene00232788</t>
  </si>
  <si>
    <t>/GO:0005085/GO:0005089/GO:0005515/GO:0035023/GO:0035556/</t>
  </si>
  <si>
    <t>/Rho_guanyl-nucleotide_exchange_factor_activity/guanyl-nucleotide_exchange_factor_activity/intracellular_signal_transduction/protein_binding/regulation_of_Rho_protein_signal_transduction/</t>
  </si>
  <si>
    <t>/"Any_process_that_modulates_the_frequency,_rate_or_extent_of_Rho_protein_signal_transduction."_[GOC:bf]/"Interacting_selectively_and_non-covalently_with_any_protein_or_protein_complex_(a_complex_of_two_or_more_proteins_that_may_include_other_nonprotein_molecules)."_[GOC:go_curators]/"Stimulates_the_exchange_of_guanyl_nucleotides_associated_with_a_GTPase._Under_normal_cellular_physiological_conditions,_the_concentration_of_GTP_is_higher_than_that_of_GDP,_favoring_the_replacement_of_GDP_by_GTP_in_association_with_the_GTPase."_[GOC:kd,_GOC:mah]/"Stimulates_the_exchange_of_guanyl_nucleotides_associated_with_a_GTPase_of_the_Rho_family._Under_normal_cellular_physiological_conditions,_the_concentration_of_GTP_is_higher_than_that_of_GDP,_favoring_the_replacement_of_GDP_by_GTP_in_association_with_the_GTPase."_[GOC:mah]/"The_process_in_which_a_signal_is_passed_on_to_downstream_components_within_the_cell,_which_become_activated_themselves_to_further_propagate_the_signal_and_finally_trigger_a_change_in_the_function_or_state_of_the_cell."_[GOC:bf,_GOC:jl,_GOC:signaling,_ISBN:3527303782]/</t>
  </si>
  <si>
    <t>/IPR000219/IPR001331/IPR001452/IPR001849/IPR011993/IPR035899/IPR036028/</t>
  </si>
  <si>
    <t>/Dbl_homology_(DH)_domain/Dbl_homology_(DH)_domain_superfamily/Guanine-nucleotide_dissociation_stimulator,_CDC24,_conserved_site/PH-like_domain_superfamily/Pleckstrin_homology_domain/SH3-like_domain_superfamily/SH3_domain/</t>
  </si>
  <si>
    <t>/DBL_dom_sf/DH-domain/GDS_CDC24_CS/PH-like_dom_sf/PH_domain/SH3-like_dom_sf/SH3_domain/</t>
  </si>
  <si>
    <t>7209.EFO24631.1</t>
  </si>
  <si>
    <t>2.5e-239</t>
  </si>
  <si>
    <t>834.7</t>
  </si>
  <si>
    <t>ko:K05769</t>
  </si>
  <si>
    <t>ko04810,map04810</t>
  </si>
  <si>
    <t>ko00000,ko00001,ko04131</t>
  </si>
  <si>
    <t>1KYCC@119089,38H4U@33154,3BAWQ@33208,3CTCW@33213,40FMP@6231,KOG3519@1,KOG3519@2759</t>
  </si>
  <si>
    <t>Guanine nucleotide exchange factor for Rho/Rac/Cdc42-like GTPases</t>
  </si>
  <si>
    <t>12,3435/13,7746</t>
  </si>
  <si>
    <t>31,6637/31,8426/28,9803</t>
  </si>
  <si>
    <t>28,9803/32,2004</t>
  </si>
  <si>
    <t>29,3381/31,8426</t>
  </si>
  <si>
    <t>Bm12731</t>
  </si>
  <si>
    <t>WBGene00232992</t>
  </si>
  <si>
    <t>GO:0003824/</t>
  </si>
  <si>
    <t>catalytic_activity/</t>
  </si>
  <si>
    <t>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t>
  </si>
  <si>
    <t>IPR000873/</t>
  </si>
  <si>
    <t>AMP-dependent_synthetase/ligase/</t>
  </si>
  <si>
    <t>AMP-dep_Synth/Lig/</t>
  </si>
  <si>
    <t>note=contains_similarity_to_Pfam_domain_PF00501_AMP-binding_enzyme_contains_similarity_to_Interpro_domain_IPR000873_(AMP-dependent_synthetase/ligase)</t>
  </si>
  <si>
    <t>6326.BUX.s00713.915</t>
  </si>
  <si>
    <t>7.4e-161</t>
  </si>
  <si>
    <t>574.3</t>
  </si>
  <si>
    <t>6.2.1.3</t>
  </si>
  <si>
    <t>ko:K01897</t>
  </si>
  <si>
    <t>ko00061,ko00071,ko01100,ko01212,ko02024,ko03320,ko04146,ko04216,ko04714,ko04920,map00061,map00071,map01100,map01212,map02024,map03320,map04146,map04216,map04714,map04920</t>
  </si>
  <si>
    <t>M00086</t>
  </si>
  <si>
    <t>R01280</t>
  </si>
  <si>
    <t>RC00004,RC00014</t>
  </si>
  <si>
    <t>ko00000,ko00001,ko00002,ko01000,ko01004,ko04147</t>
  </si>
  <si>
    <t>4.C.1.1</t>
  </si>
  <si>
    <t>1KYR5@119089,3AH1J@33154,3BYYH@33208,3DE9B@33213,40FZS@6231,COG1022@1,KOG1256@2759</t>
  </si>
  <si>
    <t>AMP-binding enzyme</t>
  </si>
  <si>
    <t>29,646/23,5988</t>
  </si>
  <si>
    <t>15,6342/15,4867/14,8968/14,0118/14,4543/13,5693/14,8968/15,1917/15,1917/13,5693/15,6342/15,4867/13,1268/13,7168/15,0442/13,4218/13,1268</t>
  </si>
  <si>
    <t>13,2743/12,9794/13,1268/13,4218/13,7168/35,1032/30,531/14,0118/13,7168/13,4218/23,7463</t>
  </si>
  <si>
    <t>14,1593/12,3894/15,1917/14,0118/19,469/13,5693/36,4307/13,7168/14,3068/13,2743/22,8614</t>
  </si>
  <si>
    <t>11,5044/14,6018/13,5693/14,0118/13,5693/13,1268/34,6608/33,9233/17,1091/13,4218/13,5693/14,6018/23,5988/23,7463</t>
  </si>
  <si>
    <t>WBGene00020343</t>
  </si>
  <si>
    <t>41.8879</t>
  </si>
  <si>
    <t>Bm12751</t>
  </si>
  <si>
    <t>WBGene00233012</t>
  </si>
  <si>
    <t>IPR016186/IPR016187/</t>
  </si>
  <si>
    <t>C-type_lectin-like/link_domain_superfamily/C-type_lectin_fold/</t>
  </si>
  <si>
    <t>C-type_lectin-like/link_sf/CTDL_fold/</t>
  </si>
  <si>
    <t>Bm12785</t>
  </si>
  <si>
    <t>WBGene00233046</t>
  </si>
  <si>
    <t>29,6928/17,7474</t>
  </si>
  <si>
    <t>45,3925/19,2833</t>
  </si>
  <si>
    <t>Bm12799</t>
  </si>
  <si>
    <t>WBGene00233060</t>
  </si>
  <si>
    <t>GO:0006508/GO:0008234/</t>
  </si>
  <si>
    <t>cysteine-type_peptidase_activity/proteolysis/</t>
  </si>
  <si>
    <t>Catalysis_of_the_hydrolysis_of_peptide_bonds_in_a_polypeptide_chain_by_a_mechanism_in_which_the_sulfhydryl_group_of_a_cysteine_residue_at_the_active_center_acts_as_a_nucleophile._[GOC:mah,_http://merops.sanger.ac.uk/about/glossary.htm#CATTYPE]/"The_hydrolysis_of_proteins_into_smaller_polypeptides_and/or_amino_acids_by_cleavage_of_their_peptide_bonds."_[GOC:bf,_GOC:mah]/</t>
  </si>
  <si>
    <t>IPR000668/IPR013128/IPR013201/IPR038765/IPR039417/</t>
  </si>
  <si>
    <t>Cathepsin_propeptide_inhibitor_domain_(I29)/Papain-like_cysteine_endopeptidase/Papain-like_cysteine_peptidase_superfamily/Peptidase_C1A/Peptidase_C1A,_papain_C-terminal/</t>
  </si>
  <si>
    <t>Papain_like_cys_pep_sf/Peptidase_C1A/Peptidase_C1A_C/Peptidase_C1A_papain-like/Prot_inhib_I29/</t>
  </si>
  <si>
    <t>note=B._malayi_BMA-CPL-7_protein,_contains_similarity_toPfam_domains_PF08246_(Cathepsin_propeptide_inhibitordomain_(I29)),_PF00112_(Papain_family_cysteine_protease)contains_similarity_to_Interpro_domains_IPR013128(Peptidase_C1A),_IPR013201_(Proteinase_inhibitor_I29,cathepsin_propeptide),_IPR000668_(Peptidase_C1A,_papainC-terminal)</t>
  </si>
  <si>
    <t>7209.EJD73933.1</t>
  </si>
  <si>
    <t>3.6e-122</t>
  </si>
  <si>
    <t>444.9</t>
  </si>
  <si>
    <t>38I5R@33154,3BF68@33208,3CWSV@33213,COG4870@1,KOG1543@2759</t>
  </si>
  <si>
    <t>cysteine-type endopeptidase activity</t>
  </si>
  <si>
    <t>23,8095/22,409</t>
  </si>
  <si>
    <t>14,8459/21,8487/25,7703/26,3305/13,4454</t>
  </si>
  <si>
    <t>15,126/21,5686/13,7255</t>
  </si>
  <si>
    <t>Bm12892</t>
  </si>
  <si>
    <t>WBGene00233153</t>
  </si>
  <si>
    <t>GO:0006511/GO:0016579/GO:0036459/</t>
  </si>
  <si>
    <t>protein_deubiquitination/thiol-dependent_ubiquitinyl_hydrolase_activity/ubiquitin-dependent_protein_catabolic_process/</t>
  </si>
  <si>
    <t>Catalysis_of_the_thiol-dependent_hydrolysis_of_an_ester,_thioester,_amide,_peptide_or_isopeptide_bond_formed_by_the_C-terminal_glycine_of_ubiquitin._[EC:3.4.19.12,_GOC:bf,_GOC:ka]/"The_chemical_reactions_and_pathways_resulting_in_the_breakdown_of_a_protein_or_peptide_by_hydrolysis_of_its_peptide_bonds,_initiated_by_the_covalent_attachment_of_a_ubiquitin_group,_or_multiple_ubiquitin_groups,_to_the_protein."_[GOC:go_curators]/"The_removal_of_one_or_more_ubiquitin_groups_from_a_protein."_[GOC:ai]/</t>
  </si>
  <si>
    <t>IPR001394/IPR003323/IPR018200/IPR028889/IPR038765/</t>
  </si>
  <si>
    <t>OTU_domain/Papain-like_cysteine_peptidase_superfamily/Peptidase_C19,_ubiquitin_carboxyl-terminal_hydrolase/Ubiquitin_specific_protease,_conserved_site/Ubiquitin_specific_protease_domain/</t>
  </si>
  <si>
    <t>OTU_dom/Papain_like_cys_pep_sf/Peptidase_C19_UCH/USP_CS/USP_dom/</t>
  </si>
  <si>
    <t>note=contains_similarity_to_Pfam_domains_PF00443_(Ubiquitin_carboxyl-terminal_hydrolase),_PF02338_(OTU-like_cysteine_protease)_contains_similarity_to_Interpro_domains_IPR003323_(Ovarian_tumour,_otubain),_IPR001394_(Peptidase_C19,_ubiquitin_carboxyl-terminal_hydrolase)</t>
  </si>
  <si>
    <t>7209.EFO26035.2</t>
  </si>
  <si>
    <t>1321.6</t>
  </si>
  <si>
    <t>39UU7@33154,3BHK0@33208,3CYFA@33213,40R22@6231,KOG1864@1,KOG1864@2759,KOG1868@1,KOG1868@2759</t>
  </si>
  <si>
    <t>Ubiquitin carboxyl-terminal hydrolase</t>
  </si>
  <si>
    <t>9,03955/5,83804/4,80226</t>
  </si>
  <si>
    <t>4,23729/4,89642</t>
  </si>
  <si>
    <t>5,27307/5,08475</t>
  </si>
  <si>
    <t>WBGene00011980/WBGene00013506/WBGene00007943</t>
  </si>
  <si>
    <t>9.03955/5.83804/4.80226</t>
  </si>
  <si>
    <t>Gender_Neutral/Gender_Neutral/Oogenic</t>
  </si>
  <si>
    <t>Bm12902</t>
  </si>
  <si>
    <t>WBGene00233163</t>
  </si>
  <si>
    <t>Bm12915</t>
  </si>
  <si>
    <t>WBGene00233176</t>
  </si>
  <si>
    <t>IPR000483/IPR003598/IPR003599/IPR007110/IPR013098/IPR013783/IPR032675/IPR036179/</t>
  </si>
  <si>
    <t>Cysteine-rich_flanking_region,_C-terminal/Immunoglobulin-like_domain/Immunoglobulin-like_domain_superfamily/Immunoglobulin-like_fold/Immunoglobulin_I-set/Immunoglobulin_subtype/Immunoglobulin_subtype_2/Leucine-rich_repeat_domain_superfamily/</t>
  </si>
  <si>
    <t>Cys-rich_flank_reg_C/Ig-like_dom/Ig-like_dom_sf/Ig-like_fold/Ig_I-set/Ig_sub/Ig_sub2/LRR_dom_sf/</t>
  </si>
  <si>
    <t>note=contains_similarity_to_Pfam_domain_PF07679_Immunoglobulin_I-set_domain_contains_similarity_to_Interpro_domains_IPR003598_(Immunoglobulin_subtype_2),_IPR013098_(Immunoglobulin_I-set),_IPR013783_(Immunoglobulin-like_fold),_IPR003599_(Immunoglobulin_subtype)</t>
  </si>
  <si>
    <t>6334.EFV52036</t>
  </si>
  <si>
    <t>1.3e-14</t>
  </si>
  <si>
    <t>87.4</t>
  </si>
  <si>
    <t>39JRM@33154,3BAUD@33208,3CZQI@33213,COG4886@1,KOG0619@2759</t>
  </si>
  <si>
    <t>Leucine-rich repeat, immunoglobulin-like and transmembrane domains 2</t>
  </si>
  <si>
    <t>Bm12927</t>
  </si>
  <si>
    <t>WBGene00233188</t>
  </si>
  <si>
    <t>IPR006671/IPR013763/IPR036915/IPR039361/</t>
  </si>
  <si>
    <t>Cyclin/Cyclin,_N-terminal/Cyclin-like/Cyclin-like_superfamily/</t>
  </si>
  <si>
    <t>Cyclin/Cyclin-like/Cyclin-like_sf/Cyclin_N/</t>
  </si>
  <si>
    <t>note=contains_similarity_to_Pfam_domain_PF00134_Cyclin,_N-terminal_domain_contains_similarity_to_Interpro_domains_IPR028858_(Cyclin_E),_IPR013763_(Cyclin-like),_IPR006671_(Cyclin,_N-terminal)</t>
  </si>
  <si>
    <t>7209.EFO25614.1</t>
  </si>
  <si>
    <t>6.6e-253</t>
  </si>
  <si>
    <t>880.2</t>
  </si>
  <si>
    <t>COG5024@1,KOG0655@2759</t>
  </si>
  <si>
    <t>Belongs to the cyclin family</t>
  </si>
  <si>
    <t>Bm12946</t>
  </si>
  <si>
    <t>WBGene00233207</t>
  </si>
  <si>
    <t>IPR001660/IPR013761/</t>
  </si>
  <si>
    <t>Sterile_alpha_motif/pointed_domain_superfamily/Sterile_alpha_motif_domain/</t>
  </si>
  <si>
    <t>SAM/SAM/pointed_sf/</t>
  </si>
  <si>
    <t>note=contains_similarity_to_Pfam_domain_PF07647_SAM_domain_(Sterile_alpha_motif)_contains_similarity_to_Interpro_domains_IPR013761_(Sterile_alpha_motif/pointed_domain),_IPR011510_(Sterile_alpha_motif,_type_2)</t>
  </si>
  <si>
    <t>Bm12977</t>
  </si>
  <si>
    <t>WBGene00233238</t>
  </si>
  <si>
    <t>22,9885/22,9885</t>
  </si>
  <si>
    <t>Bm13031</t>
  </si>
  <si>
    <t>WBGene00233292</t>
  </si>
  <si>
    <t>22,1865/47,2669/45,3376/25,0804/49,8392/49,1961/20,2572</t>
  </si>
  <si>
    <t>Bm13137</t>
  </si>
  <si>
    <t>WBGene00233398</t>
  </si>
  <si>
    <t>Bm13180</t>
  </si>
  <si>
    <t>WBGene00233441</t>
  </si>
  <si>
    <t>Bm13506</t>
  </si>
  <si>
    <t>WBGene00233767</t>
  </si>
  <si>
    <t>7209.EFO26769.1</t>
  </si>
  <si>
    <t>1.7e-14</t>
  </si>
  <si>
    <t>ko:K12616</t>
  </si>
  <si>
    <t>1KVXY@119089,38HMV@33154,3BDGA@33208,3CXEH@33213,40D5U@6231,KOG1916@1,KOG1916@2759</t>
  </si>
  <si>
    <t>WD40 region of Ge1, enhancer of mRNA-decapping protein</t>
  </si>
  <si>
    <t>Bm13510</t>
  </si>
  <si>
    <t>WBGene00233771</t>
  </si>
  <si>
    <t>IPR001810/IPR032675/IPR036047/</t>
  </si>
  <si>
    <t>F-box-like_domain_superfamily/F-box_domain/Leucine-rich_repeat_domain_superfamily/</t>
  </si>
  <si>
    <t>F-box-like_dom_sf/F-box_dom/LRR_dom_sf/</t>
  </si>
  <si>
    <t>note=contains_similarity_to_Pfam_domain_PF12937_F-box-like_contains_similarity_to_Interpro_domain_IPR001810_(F-box_domain)</t>
  </si>
  <si>
    <t>41,8403/43,2292</t>
  </si>
  <si>
    <t>73,9583/67,0139/69,9653/66,1458</t>
  </si>
  <si>
    <t>67,0139/66,3194/7,63889</t>
  </si>
  <si>
    <t>58,8542/14,7569/21,7014/27,4306</t>
  </si>
  <si>
    <t>Bm13584</t>
  </si>
  <si>
    <t>WBGene00233845</t>
  </si>
  <si>
    <t>GO:0001508/GO:0004930/GO:0005887/GO:0007165/GO:0007186/GO:0007213/GO:0014057/GO:0016020/GO:0016021/GO:0016907/GO:0042493/GO:0043051/GO:1902474/</t>
  </si>
  <si>
    <t>G_protein-coupled_acetylcholine_receptor_activity/G_protein-coupled_acetylcholine_receptor_signaling_pathway/G_protein-coupled_receptor_activity/G_protein-coupled_receptor_signaling_pathway/action_potential/integral_component_of_membrane/integral_component_of_plasma_membrane/membrane/positive_regulation_of_acetylcholine_secretion,_neurotransmission/positive_regulation_of_protein_localization_to_synapse/regulation_of_pharyngeal_pumping/response_to_drug/signal_transduction/</t>
  </si>
  <si>
    <t>A_lipid_bilayer_along_with_all_the_proteins_and_protein_complexes_embedded_in_it_an_attached_to_it._[GOC:dos,_GOC:mah,_ISBN:0815316194]/"A_process_in_which_membrane_potential_cycles_through_a_depolarizing_spike,_triggered_in_response_to_depolarization_above_some_threshold,_followed_by_repolarization._This_cycle_is_driven_by_the_flow_of_ions_through_various_voltage_gated_channels_with_different_thresholds_and_ion_specificities."_[GOC:dph,_GOC:go_curators,_GOC:tb,_ISBN:978-0-07-139011-8]/"A_series_of_molecular_signals_that_proceeds_with_an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or_for_basal_GPCR_signaling_the_pathway_begins_with_the_receptor_activating_its_G_protein_in_the_absence_of_an_agonist,_and_ends_with_regulation_of_a_downstream_cellular_process,_e.g._transcription.__The_pathway_can_start_from_the_plasma_membrane,_Golgi_or_nuclear_membrane_(PMID:24568158_and_PMID:16902576)."_[GOC:bf,_GOC:mah,_PMID:16902576,_PMID:24568158,_Wikipedia:G_protein-coupled_receptor]/"Any_process_that_activates_or_increases_the_frequency,_rate_or_extent_of_protein_localization_to_synapse."_[GOC:kmv,_GOC:TermGenie,_PMID:22588719]/"Any_process_that_activates_or_increases_the_frequency,_rate_or_extent_of_the_regulated_release_of_acetylcholine."_[GOC:ef]/"Any_process_that_modulates_the_contraction_and_relaxation_movements_of_the_pharyngeal_muscle_that_mediates_feeding_in_nematodes."_[GOC:cab1,_PMID:2181052]/"Any_process_that_results_in_a_change_in_state_or_activity_of_a_cell_or_an_organism_(in_terms_of_movement,_secretion,_enzyme_production,_gene_expression,_etc.)_as_a_result_of_a_drug_stimulus._A_drug_is_a_substance_used_in_the_diagnosis,_treatment_or_prevention_of_a_disease."_[GOC:jl]/"Any_series_of_molecular_signals_initiated_by_an_acetylcholine_receptor_on_the_surface_of_the_target_cell_binding_to_one_of_its_physiological_ligands,_and_proceeding_with_the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and_ends_with_regulation_of_a_downstream_cellular_process,_e.g._transcription."_[GOC:mah,_ISBN:0815316194]/"Combining_with_acetylcholine_and_transmitting_the_signal_across_the_membrane_by_activating_an_associated_G-protein;_promotes_the_exchange_of_GDP_for_GTP_on_the_alpha_subunit_of_a_heterotrimeric_G-protein_complex."_[GOC:bf,_GOC:fj,_GOC:mah]/"Combining_with_an_extracellular_signal_and_transmitting_the_signal_across_the_membrane_by_activating_an_associated_G-protein;_promotes_the_exchange_of_GDP_for_GTP_on_the_alpha_subunit_of_a_heterotrimeric_G-protein_complex."_[GOC:bf,_http://www.iuphar-db.org,_Wikipedia:GPCR]/"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he_component_of_a_membrane_consisting_of_the_gene_products_and_protein_complexes_having_at_least_some_part_of_their_peptide_sequence_embedded_in_the_hydrophobic_region_of_the_membrane."_[GOC:dos,_GOC:go_curators]/"The_component_of_the_plasma_membrane_consisting_of_the_gene_products_and_protein_complexes_having_at_least_some_part_of_their_peptide_sequence_embedded_in_the_hydrophobic_region_of_the_membrane."_[GOC:dos,_GOC:go_curators]/</t>
  </si>
  <si>
    <t>IPR000276/IPR000995/IPR017452/</t>
  </si>
  <si>
    <t>GPCR,_rhodopsin-like,_7TM/G_protein-coupled_receptor,_rhodopsin-like/Muscarinic_acetylcholine_receptor_family/</t>
  </si>
  <si>
    <t>GPCR_Rhodpsn/GPCR_Rhodpsn_7TM/Musac_Ach_rcpt/</t>
  </si>
  <si>
    <t>6238.CBG04581</t>
  </si>
  <si>
    <t>1.9e-107</t>
  </si>
  <si>
    <t>396.7</t>
  </si>
  <si>
    <t>gar-3</t>
  </si>
  <si>
    <t>GO:0001505,GO:0001508,GO:0001956,GO:0003674,GO:0004888,GO:0004930,GO:0005575,GO:0005623,GO:0005886,GO:0005887,GO:0007154,GO:0007165,GO:0007186,GO:0007213,GO:0008150,GO:0008227,GO:0009719,GO:0009725,GO:0009987,GO:0010033,GO:0010646,GO:0010647,GO:0010817,GO:0014056,GO:0014057,GO:0015464,GO:0016020,GO:0016021,GO:0016907,GO:0023051,GO:0023052,GO:0023056,GO:0030594,GO:0031224,GO:0031226,GO:0032222,GO:0032224,GO:0032870,GO:0032879,GO:0032880,GO:0035690,GO:0038023,GO:0042221,GO:0042391,GO:0042493,GO:0043051,GO:0043269,GO:0043270,GO:0044425,GO:0044459,GO:0044464,GO:0046883,GO:0046887,GO:0046928,GO:0048518,GO:0048522,GO:0048583,GO:0048584,GO:0050789,GO:0050794,GO:0050795,GO:0050804,GO:0050806,GO:0050896,GO:0051046,GO:0051047,GO:0051049,GO:0051050,GO:0051588,GO:0051590,GO:0051716,GO:0051952,GO:0051954,GO:0060089,GO:0060259,GO:0060341,GO:0060359,GO:0065007,GO:0065008,GO:0070887,GO:0071242,GO:0071310,GO:0071495,GO:0071944,GO:0095500,GO:0099177,GO:0099528,GO:1901698,GO:1901699,GO:1901700,GO:1901701,GO:1902473,GO:1902474,GO:1903530,GO:1903532,GO:1903831,GO:1903998,GO:1905144,GO:1905145,GO:2001023,GO:2001025</t>
  </si>
  <si>
    <t>ko:K04131</t>
  </si>
  <si>
    <t>ko04020,ko04080,ko04725,ko04742,ko04810,ko04911,ko04970,ko04971,ko04972,map04020,map04080,map04725,map04742,map04810,map04911,map04970,map04971,map04972</t>
  </si>
  <si>
    <t>1KW1X@119089,38DKH@33154,3BBA2@33208,3CRCK@33213,40DBJ@6231,40RQX@6236,KOG4220@1,KOG4220@2759</t>
  </si>
  <si>
    <t>7 transmembrane receptor (rhodopsin family)</t>
  </si>
  <si>
    <t>8,98503/9,3178</t>
  </si>
  <si>
    <t>15,3078/13,4775/27,2879/13,3111/11,3145/9,81697/13,8103/13,6439/13,3111/10,1498/24,9584/24,2928/12,1464/13,6439/15,9734/24,1265/13,6439/28,1198</t>
  </si>
  <si>
    <t>15,6406/14,3095/27,6206/13,3111/11,98/14,1431/14,975/12,9784/12,4792/9,3178/11,8136/24,792/24,1265/13,4775/13,4775/16,4725/16,3062/16,3062/15,807/24,4592/15,4742/15,4742/15,6406/15,807/15,6406/13,9767/28,4526</t>
  </si>
  <si>
    <t>13,1448/12,6456/23,1281/25,624/23,7937/9,15141/13,9767/13,6439/13,9767/14,1431/12,6456/13,6439/14,6423/12,9784/12,9784/12,9784/13,4775/13,4775/13,3111/13,4775/13,8103/13,3111/13,3111/13,8103/14,4759/14,3095/14,3095/14,3095/13,9767/13,9767/13,8103/13,8103/12,9784/12,9784/13,1448/13,9767/14,1431/13,3111/14,4759/14,8087/14,4759/14,4759/13,3111/14,1431/15,1414/14,975/14,3095/14,3095/13,6439/13,6439/13,8103/14,3095/14,975/13,8103/13,8103/3,66057/13,6439/14,3095/14,3095/14,8087/14,4759/13,8103/13,9767/14,3095/12,9784/13,4775/13,9767/13,3111/12,4792/13,6439/13,4775/13,8103/14,3095/15,1414/13,6439/12,9784/11,8136/11,98/12,1464/11,98/12,1464/12,4792/12,3128/12,9784/14,1431/11,4809/11,1481/11,6473/11,6473/11,6473/10,9817/11,6473/11,1481/11,3145/11,3145/11,6473/13,6439/13,8103/13,6439/8,98503/13,8103/15,807/13,8103/12,6456/13,4775/13,3111/12,6456/12,6456/12,6456/13,6439/12,812/13,1448/13,3111/13,8103/24,792/24,792/24,792/15,3078/14,975/15,4742/14,975/14,6423/14,1431/25,624/23,2945/13,8103/26,6223/25,4576/26,2895</t>
  </si>
  <si>
    <t>WBGene00001519</t>
  </si>
  <si>
    <t>40.599</t>
  </si>
  <si>
    <t>Bm1391</t>
  </si>
  <si>
    <t>WBGene00221652</t>
  </si>
  <si>
    <t>GO:0004842/GO:0005634/GO:0008270/GO:0016567/GO:0036297/</t>
  </si>
  <si>
    <t>interstrand_cross-link_repair/nucleus/protein_ubiquitination/ubiquitin-protein_transferase_activity/zinc_ion_binding/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</si>
  <si>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Catalysis_of_the_transfer_of_ubiquitin_from_one_protein_to_another_via_the_reaction_X-Ub_+_Y_--&gt;_Y-Ub_+_X,_where_both_X-Ub_and_Y-Ub_are_covalent_linkages."_[GOC:BioGRID,_GOC:jh2,_PMID:9635407]/"Interacting_selectively_and_non-covalently_with_zinc_(Zn)_ions."_[GOC:ai]/"Removal_of_a_DNA_interstrand_crosslink_(a_covalent_attachment_of_DNA_bases_on_opposite_strands_of_the_DNA)_and_restoration_of_the_DNA._DNA_interstrand_crosslinks_occur_when_both_strands_of_duplex_DNA_are_covalently_tethered_together_(e.g._by_an_exogenous_or_endogenous_agent),_thus_preventing_the_strand_unwinding_necessary_for_essential_DNA_functions_such_as_transcription_and_replication."_[GOC:vw,_PMID:16464006,_PMID:22064477]/"The_process_in_which_one_or_more_ubiquitin_groups_are_added_to_a_protein."_[GOC:ai]/</t>
  </si>
  <si>
    <t>IPR001841/IPR013083/IPR037381/</t>
  </si>
  <si>
    <t>E3_ubiquitin-protein_ligase_RFWD3/Zinc_finger,_RING-type/Zinc_finger,_RING/FYVE/PHD-type/</t>
  </si>
  <si>
    <t>RFWD3/Znf_RING/Znf_RING/FYVE/PHD/</t>
  </si>
  <si>
    <t>note=contains_similarity_to_Pfam_domain_PF13639_Ring_finger_domain_contains_similarity_to_Interpro_domains_IPR001841_(Zinc_finger,_RING-type),_IPR013083_(Zinc_finger,_RING/FYVE/PHD-type)</t>
  </si>
  <si>
    <t>7209.EFO22820.2</t>
  </si>
  <si>
    <t>2.6e-10</t>
  </si>
  <si>
    <t>72.0</t>
  </si>
  <si>
    <t>2.3.2.27</t>
  </si>
  <si>
    <t>ko:K11985</t>
  </si>
  <si>
    <t>ko00000,ko01000,ko04121</t>
  </si>
  <si>
    <t>1M0EX@119089,39TEM@33154,3BIGW@33208,3CY4W@33213,40EYA@6231,KOG0827@1,KOG0827@2759</t>
  </si>
  <si>
    <t>RING-H2 zinc finger domain</t>
  </si>
  <si>
    <t>Bm14098</t>
  </si>
  <si>
    <t>WBGene00234359</t>
  </si>
  <si>
    <t>GO:0005216/GO:0006811/GO:0016020/GO:0016021/GO:0034220/</t>
  </si>
  <si>
    <t>integral_component_of_membrane/ion_channel_activity/ion_transmembrane_transport/ion_transport/membrane/</t>
  </si>
  <si>
    <t>A_lipid_bilayer_along_with_all_the_proteins_and_protein_complexes_embedded_in_it_an_attached_to_it._[GOC:dos,_GOC:mah,_ISBN:0815316194]/"A_process_in_which_an_ion_is_transported_across_a_membrane."_[GOC:mah]/"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
  </si>
  <si>
    <t>IPR024862/</t>
  </si>
  <si>
    <t>Transient_receptor_potential_cation_channel_subfamily_V/</t>
  </si>
  <si>
    <t>TRPV/</t>
  </si>
  <si>
    <t>6326.BUX.s00896.1</t>
  </si>
  <si>
    <t>1.1e-99</t>
  </si>
  <si>
    <t>370.5</t>
  </si>
  <si>
    <t>GO:0005575,GO:0005623,GO:0005886,GO:0005929,GO:0016020,GO:0042995,GO:0043226,GO:0044464,GO:0071944,GO:0097730,GO:0120025</t>
  </si>
  <si>
    <t>ko:K04974</t>
  </si>
  <si>
    <t>ko04961,map04961</t>
  </si>
  <si>
    <t>ko00000,ko00001,ko04040</t>
  </si>
  <si>
    <t>1.A.4.2.10,1.A.4.2.3</t>
  </si>
  <si>
    <t>1KUPD@119089,38C3C@33154,3BBRN@33208,3CV5B@33213,40BCP@6231,KOG3676@1,KOG3676@2759</t>
  </si>
  <si>
    <t>Belongs to the transient receptor (TC 1.A.4) family</t>
  </si>
  <si>
    <t>41,2946/41,9643</t>
  </si>
  <si>
    <t>0/0/45,9821/38,8393</t>
  </si>
  <si>
    <t>30,8036/0/29,9107/30,8036</t>
  </si>
  <si>
    <t>40,1786/33,7054/37,0536</t>
  </si>
  <si>
    <t>38,8393/39,9554</t>
  </si>
  <si>
    <t>10,0446/0,892857/0/12,2768/16,5179/0,223214</t>
  </si>
  <si>
    <t>0/16,2946/38,6161/4,91071</t>
  </si>
  <si>
    <t>13,6161/14,7321/12,5/11,6071/12,9464/12,9464</t>
  </si>
  <si>
    <t>13,3929/14,5089/12,5/11,8304/12,5/13,1696</t>
  </si>
  <si>
    <t>13,8393/13,3929/12,5</t>
  </si>
  <si>
    <t>WBGene00003839</t>
  </si>
  <si>
    <t>39.5089</t>
  </si>
  <si>
    <t>Bm14313</t>
  </si>
  <si>
    <t>WBGene00234574</t>
  </si>
  <si>
    <t>Bm14670</t>
  </si>
  <si>
    <t>WBGene00235005</t>
  </si>
  <si>
    <t>Bm14705</t>
  </si>
  <si>
    <t>WBGene00235040</t>
  </si>
  <si>
    <t>note=contains_similarity_to_Pfam_domain_PF15481_Chondroitin_proteoglycan_4_contains_similarity_to_Interpro_domain_IPR029153_(Chondroitin_proteoglycan_4)</t>
  </si>
  <si>
    <t>9.4e-46</t>
  </si>
  <si>
    <t>191.0</t>
  </si>
  <si>
    <t>Bm14727</t>
  </si>
  <si>
    <t>WBGene00235062</t>
  </si>
  <si>
    <t>28,7834/28,7834</t>
  </si>
  <si>
    <t>Bm14736</t>
  </si>
  <si>
    <t>WBGene00235071</t>
  </si>
  <si>
    <t>IPR000571/IPR036855/</t>
  </si>
  <si>
    <t>Zinc_finger,_CCCH-type/Zinc_finger,_CCCH-type_superfamily/</t>
  </si>
  <si>
    <t>Znf_CCCH/Znf_CCCH_sf/</t>
  </si>
  <si>
    <t>note=contains_similarity_to_Pfam_domain_PF00642_Zinc_finger_C-x8-C-x5-C-x3-H_type_(and_similar)_contains_similarity_to_Interpro_domain_IPR000571_(Zinc_finger,_CCCH-type)</t>
  </si>
  <si>
    <t>41,2399/12,6685/39,8922</t>
  </si>
  <si>
    <t>11,3208/56,6038/46,6307</t>
  </si>
  <si>
    <t>52,0216/57,6819/71,6981</t>
  </si>
  <si>
    <t>Bm1535</t>
  </si>
  <si>
    <t>WBGene00221796</t>
  </si>
  <si>
    <t>GO:0003824/GO:0004555/GO:0005991/GO:0008152/GO:0016020/GO:0016021/GO:0016787/GO:0016798/</t>
  </si>
  <si>
    <t>alpha,alpha-trehalase_activity/catalytic_activity/hydrolase_activity/hydrolase_activity,_acting_on_glycosyl_bonds/integral_component_of_membrane/membrane/metabolic_process/trehalose_metabolic_process/</t>
  </si>
  <si>
    <t>A_lipid_bilayer_along_with_all_the_proteins_and_protein_complexes_embedded_in_it_an_attached_to_it._[GOC:dos,_GOC:mah,_ISBN:0815316194]/"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Catalysis_of_the_hydrolysis_of_any_glycosyl_bond."_[GOC:jl]/"Catalysis_of_the_hydrolysis_of_various_bonds,_e.g._C-O,_C-N,_C-C,_phosphoric_anhydride_bonds,_etc._Hydrolase_is_the_systematic_name_for_any_enzyme_of_EC_class_3."_[ISBN:0198506732]/"Catalysis_of_the_reaction:_alpha,alpha-trehalose_+_H2O_=_2_D-glucose."_[EC:3.2.1.28]/"The_chemical_reactions_and_pathways,_including_anabolism_and_catabolism,_by_which_living_organisms_transform_chemical_substances._Metabolic_processes_typically_transform_small_molecules,_but_also_include_macromolecular_processes_such_as_DNA_repair_and_replication,_and_protein_synthesis_and_degradation."_[GOC:go_curators,_ISBN:0198547684]/"The_chemical_reactions_and_pathways_involving_trehalose,_a_disaccharide_isomeric_with_sucrose_and_obtained_from_certain_lichens_and_fungi."_[GOC:jl,_ISBN:0028623819]/"The_component_of_a_membrane_consisting_of_the_gene_products_and_protein_complexes_having_at_least_some_part_of_their_peptide_sequence_embedded_in_the_hydrophobic_region_of_the_membrane."_[GOC:dos,_GOC:go_curators]/</t>
  </si>
  <si>
    <t>7209.EFO20256.2</t>
  </si>
  <si>
    <t>3.3e-309</t>
  </si>
  <si>
    <t>1067.0</t>
  </si>
  <si>
    <t>tre-3</t>
  </si>
  <si>
    <t>44,4444/46,0547</t>
  </si>
  <si>
    <t>10,467/23,5105</t>
  </si>
  <si>
    <t>42,5121/42,6731</t>
  </si>
  <si>
    <t>33,4944/35,2657</t>
  </si>
  <si>
    <t>32,8502/27,6973</t>
  </si>
  <si>
    <t>19,9678/20,1288</t>
  </si>
  <si>
    <t>WBGene00006609</t>
  </si>
  <si>
    <t>45.7327</t>
  </si>
  <si>
    <t>Bm1543</t>
  </si>
  <si>
    <t>WBGene00221804</t>
  </si>
  <si>
    <t>note=contains_similarity_to_Interpro_domains_IPR016187_(C-type_lectin_fold),_IPR016186_(C-type_lectin-like)</t>
  </si>
  <si>
    <t>7209.EFO17098.1</t>
  </si>
  <si>
    <t>1.5e-06</t>
  </si>
  <si>
    <t>61.2</t>
  </si>
  <si>
    <t>GO:0000003,GO:0003006,GO:0003674,GO:0005488,GO:0005515,GO:0007275,GO:0007276,GO:0007281,GO:0007530,GO:0008150,GO:0009653,GO:0009790,GO:0009987,GO:0010171,GO:0010172,GO:0018992,GO:0019953,GO:0022412,GO:0022414,GO:0030154,GO:0032501,GO:0032502,GO:0032504,GO:0040007,GO:0040021,GO:0040022,GO:0044703,GO:0048468,GO:0048589,GO:0048598,GO:0048609,GO:0048856,GO:0048869,GO:0051704</t>
  </si>
  <si>
    <t>3.6.4.13</t>
  </si>
  <si>
    <t>ko:K12813</t>
  </si>
  <si>
    <t>ko03040,map03040</t>
  </si>
  <si>
    <t>ko00000,ko00001,ko01000,ko03041</t>
  </si>
  <si>
    <t>1KTPD@119089,3AI4W@33154,3B97J@33208,3CW66@33213,40B2P@6231,COG1643@1,KOG0923@2759</t>
  </si>
  <si>
    <t>Helicase associated domain (HA2)  Add an annotation</t>
  </si>
  <si>
    <t>Bm1596</t>
  </si>
  <si>
    <t>WBGene00221857</t>
  </si>
  <si>
    <t>GO:0016020/GO:0016021/GO:0030001/GO:0046873/GO:0055085/</t>
  </si>
  <si>
    <t>integral_component_of_membrane/membrane/metal_ion_transmembrane_transporter_activity/metal_ion_transport/transmembrane_transport/</t>
  </si>
  <si>
    <t>A_lipid_bilayer_along_with_all_the_proteins_and_protein_complexes_embedded_in_it_an_attached_to_it._[GOC:dos,_GOC:mah,_ISBN:0815316194]/"Enables_the_transfer_of_metal_ions_from_one_side_of_a_membrane_to_the_other."_[GOC:ai]/"The_component_of_a_membrane_consisting_of_the_gene_products_and_protein_complexes_having_at_least_some_part_of_their_peptide_sequence_embedded_in_the_hydrophobic_region_of_the_membrane."_[GOC:dos,_GOC:go_curators]/"The_directed_movement_of_metal_ions,_any_metal_ion_with_an_electric_charge,_into,_out_of_or_within_a_cell,_or_between_cells,_by_means_of_some_agent_such_as_a_transporter_or_pore."_[GOC:ai]/"The_process_in_which_a_solute_is_transported_across_a_lipid_bilayer,_from_one_side_of_a_membrane_to_the_other."_[GOC:dph,_GOC:jid]/</t>
  </si>
  <si>
    <t>IPR003689/</t>
  </si>
  <si>
    <t>Zinc/iron_permease/</t>
  </si>
  <si>
    <t>ZIP/</t>
  </si>
  <si>
    <t>6238.CBG00400</t>
  </si>
  <si>
    <t>8.3e-45</t>
  </si>
  <si>
    <t>187.6</t>
  </si>
  <si>
    <t>tag-141</t>
  </si>
  <si>
    <t>1KZFZ@119089,38C7J@33154,3BBZP@33208,3CXNR@33213,40GKQ@6231,40ZWC@6236,COG0428@1,KOG2693@2759</t>
  </si>
  <si>
    <t>ZIP Zinc transporter</t>
  </si>
  <si>
    <t>80/73,7931</t>
  </si>
  <si>
    <t>34,1379/27,931/33,1034</t>
  </si>
  <si>
    <t>42,069/52,069</t>
  </si>
  <si>
    <t>71,0345/61,7241</t>
  </si>
  <si>
    <t>WBGene00006487</t>
  </si>
  <si>
    <t>37.2414</t>
  </si>
  <si>
    <t>Bm16935</t>
  </si>
  <si>
    <t>WBGene00255556</t>
  </si>
  <si>
    <t>Bm1709</t>
  </si>
  <si>
    <t>WBGene00221970</t>
  </si>
  <si>
    <t>IPR000719/IPR011009/</t>
  </si>
  <si>
    <t>Protein_kinase-like_domain_superfamily/Protein_kinase_domain/</t>
  </si>
  <si>
    <t>Kinase-like_dom_sf/Prot_kinase_dom/</t>
  </si>
  <si>
    <t>6326.BUX.s01513.311</t>
  </si>
  <si>
    <t>1.1e-79</t>
  </si>
  <si>
    <t>303.9</t>
  </si>
  <si>
    <t>38ER3@33154,3B9A4@33208,3CWBQ@33213,KOG1164@1,KOG1164@2759</t>
  </si>
  <si>
    <t>cerebellar granule cell precursor tangential migration</t>
  </si>
  <si>
    <t>WBGene00015030</t>
  </si>
  <si>
    <t>31.6425</t>
  </si>
  <si>
    <t>Bm17094</t>
  </si>
  <si>
    <t>WBGene00268238</t>
  </si>
  <si>
    <t>IPR001841/IPR013083/</t>
  </si>
  <si>
    <t>Zinc_finger,_RING-type/Zinc_finger,_RING/FYVE/PHD-type/</t>
  </si>
  <si>
    <t>Znf_RING/Znf_RING/FYVE/PHD/</t>
  </si>
  <si>
    <t>3.3e-10</t>
  </si>
  <si>
    <t>72.4</t>
  </si>
  <si>
    <t>20,7317/19,5122</t>
  </si>
  <si>
    <t>Bm17144</t>
  </si>
  <si>
    <t>WBGene00268287</t>
  </si>
  <si>
    <t>Bm17145</t>
  </si>
  <si>
    <t>WBGene00268288</t>
  </si>
  <si>
    <t>Bm17176</t>
  </si>
  <si>
    <t>WBGene00268319</t>
  </si>
  <si>
    <t>Bm17177</t>
  </si>
  <si>
    <t>WBGene00268320</t>
  </si>
  <si>
    <t>Bm17178</t>
  </si>
  <si>
    <t>WBGene00268321</t>
  </si>
  <si>
    <t>Bm17211</t>
  </si>
  <si>
    <t>WBGene00268354</t>
  </si>
  <si>
    <t>Bm17277</t>
  </si>
  <si>
    <t>WBGene00268420</t>
  </si>
  <si>
    <t>Bm17283</t>
  </si>
  <si>
    <t>WBGene00268426</t>
  </si>
  <si>
    <t>Bm17291</t>
  </si>
  <si>
    <t>WBGene00268434</t>
  </si>
  <si>
    <t>IPR015928/</t>
  </si>
  <si>
    <t>Aconitase/3-isopropylmalate_dehydratase,_swivel/</t>
  </si>
  <si>
    <t>Aconitase/3IPM_dehydase_swvl/</t>
  </si>
  <si>
    <t>3.8e-24</t>
  </si>
  <si>
    <t>117.9</t>
  </si>
  <si>
    <t>Bm17295</t>
  </si>
  <si>
    <t>WBGene00268438</t>
  </si>
  <si>
    <t>IPR000536/IPR035500/</t>
  </si>
  <si>
    <t>Nuclear_hormone_receptor,_ligand-binding_domain/Nuclear_hormone_receptor-like_domain_superfamily/</t>
  </si>
  <si>
    <t>NHR_like_dom_sf/Nucl_hrmn_rcpt_lig-bd/</t>
  </si>
  <si>
    <t>Bm17321</t>
  </si>
  <si>
    <t>WBGene00268464</t>
  </si>
  <si>
    <t>IPR013087/IPR029794/IPR036236/</t>
  </si>
  <si>
    <t>Transcriptional_repressor_SCRATCH_1/2/Zinc_finger_C2H2-type/Zinc_finger_C2H2_superfamily/</t>
  </si>
  <si>
    <t>SCRATCH1/2/Znf_C2H2_sf/Znf_C2H2_type/</t>
  </si>
  <si>
    <t>12,5/8,33333</t>
  </si>
  <si>
    <t>WBGene00016948</t>
  </si>
  <si>
    <t>29.9242</t>
  </si>
  <si>
    <t>Bm17335</t>
  </si>
  <si>
    <t>WBGene00268478</t>
  </si>
  <si>
    <t>7209.EFO23312.2</t>
  </si>
  <si>
    <t>2.2e-13</t>
  </si>
  <si>
    <t>82.0</t>
  </si>
  <si>
    <t>1KZ2Q@119089,2D2UY@1,2SP4A@2759,3AKXC@33154,3C0IY@33208,3DGKX@33213,40GDK@6231</t>
  </si>
  <si>
    <t>Bm17382</t>
  </si>
  <si>
    <t>WBGene00268525</t>
  </si>
  <si>
    <t>IPR003599/IPR007110/IPR013106/IPR013783/IPR036179/IPR037448/</t>
  </si>
  <si>
    <t>Immunoglobulin-like_domain/Immunoglobulin-like_domain_superfamily/Immunoglobulin-like_fold/Immunoglobulin_V-set_domain/Immunoglobulin_subtype/Zwei_Ig_domain_protein_zig-8/</t>
  </si>
  <si>
    <t>Ig-like_dom/Ig-like_dom_sf/Ig-like_fold/Ig_V-set/Ig_sub/Zig-8/</t>
  </si>
  <si>
    <t>7209.EFO27040.1</t>
  </si>
  <si>
    <t>3.5e-54</t>
  </si>
  <si>
    <t>218.8</t>
  </si>
  <si>
    <t>KOG3510@1,KOG3510@2759</t>
  </si>
  <si>
    <t>cell adhesion</t>
  </si>
  <si>
    <t>19,1419/21,1221</t>
  </si>
  <si>
    <t>WBGene00006985</t>
  </si>
  <si>
    <t>34.6535</t>
  </si>
  <si>
    <t>Bm1751</t>
  </si>
  <si>
    <t>WBGene00222012</t>
  </si>
  <si>
    <t>GO:0004497/GO:0005506/GO:0016020/GO:0016021/GO:0016491/GO:0016705/GO:0020037/GO:0046872/GO:0055114/</t>
  </si>
  <si>
    <t>heme_binding/integral_component_of_membrane/iron_ion_binding/membrane/metal_ion_binding/monooxygenase_activity/oxidation-reduction_process/oxidoreductase_activity/oxidoreductase_activity,_acting_on_paired_donors,_with_incorporation_or_reduction_of_molecular_oxygen/</t>
  </si>
  <si>
    <t>A_lipid_bilayer_along_with_all_the_proteins_and_protein_complexes_embedded_in_it_an_attached_to_it._[GOC:dos,_GOC:mah,_ISBN:0815316194]/"A_metabolic_process_that_results_in_the_removal_or_addition_of_one_or_more_electrons_to_or_from_a_substance,_with_or_without_the_concomitant_removal_or_addition_of_a_proton_or_protons."_[GOC:dhl,_GOC:ecd,_GOC:jh2,_GOC:jid,_GOC:mlg,_GOC:rph]/"Catalysis_of_an_oxidation-reduction_(redox)_reaction,_a_reversible_chemical_reaction_in_which_the_oxidation_state_of_an_atom_or_atoms_within_a_molecule_is_altered._One_substrate_acts_as_a_hydrogen_or_electron_donor_and_becomes_oxidized,_while_the_other_acts_as_hydrogen_or_electron_acceptor_and_becomes_reduced."_[GOC:go_curators]/"Catalysis_of_an_oxidation-reduction_(redox)_reaction_in_which_hydrogen_or_electrons_are_transferred_from_each_of_two_donors,_and_molecular_oxygen_is_reduced_or_incorporated_into_a_donor."_[GOC:mah]/"Catalysis_of_the_incorporation_of_one_atom_from_molecular_oxygen_into_a_compound_and_the_reduction_of_the_other_atom_of_oxygen_to_water."_[http://www.onelook.com/,_ISBN:0198506732]/"Interacting_selectively_and_non-covalently_with_any_metal_ion."_[GOC:ai]/"Interacting_selectively_and_non-covalently_with_heme,_any_compound_of_iron_complexed_in_a_porphyrin_(tetrapyrrole)_ring."_[CHEBI:30413,_GOC:ai]/"Interacting_selectively_and_non-covalently_with_iron_(Fe)_ions."_[GOC:ai]/"The_component_of_a_membrane_consisting_of_the_gene_products_and_protein_complexes_having_at_least_some_part_of_their_peptide_sequence_embedded_in_the_hydrophobic_region_of_the_membrane."_[GOC:dos,_GOC:go_curators]/</t>
  </si>
  <si>
    <t>IPR001128/IPR002401/IPR017972/IPR036396/</t>
  </si>
  <si>
    <t>Cytochrome_P450/Cytochrome_P450,_E-class,_group_I/Cytochrome_P450,_conserved_site/Cytochrome_P450_superfamily/</t>
  </si>
  <si>
    <t>Cyt_P450/Cyt_P450_CS/Cyt_P450_E_grp-I/Cyt_P450_sf/</t>
  </si>
  <si>
    <t>note=B._malayi_BMA-CYP-33B1_protein,_contains_similarityto_Pfam_domain_PF00067_Cytochrome_P450_contains_similarityto_Interpro_domains_IPR001128_(Cytochrome_P450),_IPR002401(Cytochrome_P450,_E-class,_group_I)</t>
  </si>
  <si>
    <t>7209.EFO24453.1</t>
  </si>
  <si>
    <t>2e-291</t>
  </si>
  <si>
    <t>1007.7</t>
  </si>
  <si>
    <t>ko:K17946</t>
  </si>
  <si>
    <t>ko00000,ko00199</t>
  </si>
  <si>
    <t>1KYDW@119089,38BSU@33154,3BC78@33208,3CRSA@33213,40FEW@6231,COG2124@1,KOG0156@2759</t>
  </si>
  <si>
    <t>Q</t>
  </si>
  <si>
    <t>Belongs to the cytochrome P450 family</t>
  </si>
  <si>
    <t>21,4421/27,704/17,4573/7,21063/11,575/26,186/18,2163</t>
  </si>
  <si>
    <t>12,334/10,8159</t>
  </si>
  <si>
    <t>25,8065/17,0778/27,1347/27,1347/26,7552/26,186/30,74/27,704/29,7913/29,7913/30,1708/29,6015/27,5142/26,3757/25,2372/26,5655</t>
  </si>
  <si>
    <t>28,6528/16,3188/27,704/26,945/27,5142/28,0835/27,704/28,0835/27,704/28,6528/25,0474/25,6167/25,6167/25,6167/26,5655/29,0323/29,222/29,6015/27,3245/31,1195/30,9298/29,222/28,8425/28,463/30,3605/29,981/30,3605/29,6015/30,5503/29,4118/27,1347/27,704/26,5655/27,8937/26,945/26,945/27,1347/20,3036/6,45161/27,704/28,463/26,3757/27,5142/26,186</t>
  </si>
  <si>
    <t>25,6167/27,8937/27,8937/27,8937/29,222/28,6528/29,7913/27,5142/27,8937/28,6528/28,8425/28,463/28,0835/26,945/28,2732/22,9602/28,2732/25,4269/28,463/27,704/29,4118/28,8425</t>
  </si>
  <si>
    <t>WBGene00015135</t>
  </si>
  <si>
    <t>48.3871</t>
  </si>
  <si>
    <t>Bm17576</t>
  </si>
  <si>
    <t>WBGene00268719</t>
  </si>
  <si>
    <t>7209.EFO23981.1</t>
  </si>
  <si>
    <t>7.3e-09</t>
  </si>
  <si>
    <t>tag-164</t>
  </si>
  <si>
    <t>1KX23@119089,2E2NE@1,2S9VC@2759,3AA8V@33154,3BUWS@33208,3DBBS@33213,40EFT@6231</t>
  </si>
  <si>
    <t>Bm17581</t>
  </si>
  <si>
    <t>WBGene00268724</t>
  </si>
  <si>
    <t>Bm17612</t>
  </si>
  <si>
    <t>WBGene00268754</t>
  </si>
  <si>
    <t>IPR001304/IPR013087/IPR016186/IPR016187/</t>
  </si>
  <si>
    <t>C-type_lectin-like/C-type_lectin-like/link_domain_superfamily/C-type_lectin_fold/Zinc_finger_C2H2-type/</t>
  </si>
  <si>
    <t>C-type_lectin-like/C-type_lectin-like/link_sf/CTDL_fold/Znf_C2H2_type/</t>
  </si>
  <si>
    <t>1.2e-06</t>
  </si>
  <si>
    <t>16,3683/27,6215</t>
  </si>
  <si>
    <t>Bm17625</t>
  </si>
  <si>
    <t>WBGene00268767</t>
  </si>
  <si>
    <t>IPR001628/IPR013088/IPR035500/</t>
  </si>
  <si>
    <t>Nuclear_hormone_receptor-like_domain_superfamily/Zinc_finger,_NHR/GATA-type/Zinc_finger,_nuclear_hormone_receptor-type/</t>
  </si>
  <si>
    <t>NHR_like_dom_sf/Znf_NHR/GATA/Znf_hrmn_rcpt/</t>
  </si>
  <si>
    <t>7209.EJD75208.1</t>
  </si>
  <si>
    <t>1106.3</t>
  </si>
  <si>
    <t>1KX5R@119089,38QFY@33154,3BEWH@33208,3CS1P@33213,40ES1@6231,KOG3575@1,KOG3575@2759</t>
  </si>
  <si>
    <t>Bm17626</t>
  </si>
  <si>
    <t>WBGene00268768</t>
  </si>
  <si>
    <t>32264.tetur07g04810.1</t>
  </si>
  <si>
    <t>1.8e-20</t>
  </si>
  <si>
    <t>107.5</t>
  </si>
  <si>
    <t>39MB6@33154,3CNY6@33208,3E51H@33213,41WKW@6656,KOG4216@1,KOG4216@2759</t>
  </si>
  <si>
    <t>binding. It is involved in the biological process described with steroid hormone mediated signaling pathway</t>
  </si>
  <si>
    <t>7,09812/8,35073</t>
  </si>
  <si>
    <t>12,7349/13,1524</t>
  </si>
  <si>
    <t>Bm17629</t>
  </si>
  <si>
    <t>WBGene00268771</t>
  </si>
  <si>
    <t>1160.2</t>
  </si>
  <si>
    <t>WBGene00004786</t>
  </si>
  <si>
    <t>11.6253</t>
  </si>
  <si>
    <t>Bm17632</t>
  </si>
  <si>
    <t>WBGene00268774</t>
  </si>
  <si>
    <t>13,7143/34,2857</t>
  </si>
  <si>
    <t>Bm17633</t>
  </si>
  <si>
    <t>WBGene00268775</t>
  </si>
  <si>
    <t>1117.4</t>
  </si>
  <si>
    <t>11.5741</t>
  </si>
  <si>
    <t>Bm17665</t>
  </si>
  <si>
    <t>WBGene00268807</t>
  </si>
  <si>
    <t>GO:0003677/GO:0003700/GO:0004879/GO:0005634/GO:0006355/GO:0008270/GO:0030522/GO:0043565/GO:0046872/</t>
  </si>
  <si>
    <t>DNA-binding_transcription_factor_activity/DNA_binding/intracellular_receptor_signaling_pathway/metal_ion_binding/nuclear_receptor_activity/nucleus/regulation_of_transcription,_DNA-templated/sequence-specific_DNA_binding/zinc_ion_binding/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</si>
  <si>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molecular_function_by_which_a_gene_product_interacts_selectively_and_non-covalently_with_DNA_(deoxyribonucleic_acid)."_[GOC:dph,_GOC:jl,_GOC:tb,_GOC:vw]/"Any_process_that_modulates_the_frequency,_rate_or_extent_of_cellular_DNA-templated_transcription."_[GOC:go_curators,_GOC:txnOH]/"Any_series_of_molecular_signals_initiated_by_a_ligand_binding_to_an_receptor_located_within_a_cell."_[GOC:bf,_GOC:mah]/"Combining_with_a_signal_and_transmitting_the_signal_to_the_transcriptional_machinery_by_interacting_selectively_and_non-covalently_with_a_specific_DNA_sequence_in_order_to_modulate_transcription_by_RNA_polymerase_II."_[GOC:signaling,_GOC:txnOH]/"Interacting_selectively_and_non-covalently_with_DNA_of_a_specific_nucleotide_composition,_e.g._GC-rich_DNA_binding,_or_with_a_specific_sequence_motif_or_type_of_DNA_e.g._promotor_binding_or_rDNA_binding."_[GOC:jl]/"Interacting_selectively_and_non-covalently_with_any_metal_ion."_[GOC:ai]/"Interacting_selectively_and_non-covalently_with_zinc_(Zn)_ions."_[GOC:ai]/</t>
  </si>
  <si>
    <t>IPR000536/IPR001628/IPR001728/IPR013088/IPR035500/</t>
  </si>
  <si>
    <t>Nuclear_hormone_receptor,_ligand-binding_domain/Nuclear_hormone_receptor-like_domain_superfamily/Thyroid_hormone_receptor/Zinc_finger,_NHR/GATA-type/Zinc_finger,_nuclear_hormone_receptor-type/</t>
  </si>
  <si>
    <t>NHR_like_dom_sf/Nucl_hrmn_rcpt_lig-bd/ThyrH_rcpt/Znf_NHR/GATA/Znf_hrmn_rcpt/</t>
  </si>
  <si>
    <t>7668.SPU_018861-tr</t>
  </si>
  <si>
    <t>5.4e-38</t>
  </si>
  <si>
    <t>164.9</t>
  </si>
  <si>
    <t>38CU8@33154,3BAAH@33208,3CXHM@33213,KOG3575@1,KOG3575@2759</t>
  </si>
  <si>
    <t>thyroid hormone receptor activity</t>
  </si>
  <si>
    <t>17,7778/17,7778/18,1481</t>
  </si>
  <si>
    <t>Bm17736</t>
  </si>
  <si>
    <t>WBGene00268878</t>
  </si>
  <si>
    <t>33,1081/45,2703</t>
  </si>
  <si>
    <t>Bm17781</t>
  </si>
  <si>
    <t>WBGene00268923</t>
  </si>
  <si>
    <t>Bm17791</t>
  </si>
  <si>
    <t>WBGene00268933</t>
  </si>
  <si>
    <t>281687.CJA31154</t>
  </si>
  <si>
    <t>4e-14</t>
  </si>
  <si>
    <t>84.0</t>
  </si>
  <si>
    <t>1M4U3@119089,39EF5@33154,3CICN@33208,3DZWV@33213,40MD2@6231,412XN@6236,COG5260@1,KOG2277@2759</t>
  </si>
  <si>
    <t>RNA uridylyltransferase activity</t>
  </si>
  <si>
    <t>WBGene00008263</t>
  </si>
  <si>
    <t>23.3333</t>
  </si>
  <si>
    <t>Bm17805</t>
  </si>
  <si>
    <t>WBGene00268947</t>
  </si>
  <si>
    <t>9.6e-120</t>
  </si>
  <si>
    <t>436.4</t>
  </si>
  <si>
    <t>92,6199/92,6199</t>
  </si>
  <si>
    <t>Bm17834</t>
  </si>
  <si>
    <t>WBGene00268976</t>
  </si>
  <si>
    <t>GO:0004672/GO:0005524/GO:0006468/GO:0016020/GO:0016021/</t>
  </si>
  <si>
    <t>ATP_binding/integral_component_of_membrane/membrane/protein_kinase_activity/protein_phosphorylation/</t>
  </si>
  <si>
    <t>A_lipid_bilayer_along_with_all_the_proteins_and_protein_complexes_embedded_in_it_an_attached_to_it._[GOC:dos,_GOC:mah,_ISBN:0815316194]/"Catalysis_of_the_phosphorylation_of_an_amino_acid_residue_in_a_protein,_usually_according_to_the_reaction:_a_protein_+_ATP_=_a_phosphoprotein_+_ADP."_[MetaCyc:PROTEIN-KINASE-RXN]/"Interacting_selectively_and_non-covalently_with_ATP,_adenosine_5'-triphosphate,_a_universally_important_coenzyme_and_enzyme_regulator."_[ISBN:0198506732]/"The_component_of_a_membrane_consisting_of_the_gene_products_and_protein_complexes_having_at_least_some_part_of_their_peptide_sequence_embedded_in_the_hydrophobic_region_of_the_membrane."_[GOC:dos,_GOC:go_curators]/"The_process_of_introducing_a_phosphate_group_on_to_a_protein."_[GOC:hb]/</t>
  </si>
  <si>
    <t>IPR000719/IPR008271/IPR011009/</t>
  </si>
  <si>
    <t>Protein_kinase-like_domain_superfamily/Protein_kinase_domain/Serine/threonine-protein_kinase,_active_site/</t>
  </si>
  <si>
    <t>Kinase-like_dom_sf/Prot_kinase_dom/Ser/Thr_kinase_AS/</t>
  </si>
  <si>
    <t>7209.EFO16008.1</t>
  </si>
  <si>
    <t>9.1e-133</t>
  </si>
  <si>
    <t>479.9</t>
  </si>
  <si>
    <t>KOG0590@1,KOG0590@2759</t>
  </si>
  <si>
    <t>protein serine/threonine kinase activity</t>
  </si>
  <si>
    <t>16,358/19,1358/18,2099</t>
  </si>
  <si>
    <t>17,284/16,6667/17,9012/17,9012/19,4444/19,4444/16,358/21,2963/16,9753/21,6049/18,8272/18,2099/19,7531/18,2099/17,9012</t>
  </si>
  <si>
    <t>17,284/16,6667/17,9012/18,2099/19,4444/16,9753/21,2963/16,6667/21,6049/18,5185/18,5185/19,7531/18,2099/17,9012</t>
  </si>
  <si>
    <t>15,4321/15,4321/18,5185/18,5185/19,7531/19,4444/21,6049/6,17284/17,284/22,2222/21,6049/18,8272/18,8272/18,2099/19,4444/12,6543/19,7531/17,284/18,8272/18,2099/18,8272/16,6667</t>
  </si>
  <si>
    <t>15,7407/18,8272/19,7531/17,9012/16,6667</t>
  </si>
  <si>
    <t>WBGene00019321</t>
  </si>
  <si>
    <t>11.4198</t>
  </si>
  <si>
    <t>Bm1788</t>
  </si>
  <si>
    <t>WBGene00222049</t>
  </si>
  <si>
    <t>GO:0008374/GO:0016020/GO:0016021/</t>
  </si>
  <si>
    <t>O-acyltransferase_activity/integral_component_of_membrane/membrane/</t>
  </si>
  <si>
    <t>A_lipid_bilayer_along_with_all_the_proteins_and_protein_complexes_embedded_in_it_an_attached_to_it._[GOC:dos,_GOC:mah,_ISBN:0815316194]/"Catalysis_of_the_transfer_of_an_acyl_group_to_an_oxygen_atom_on_the_acceptor_molecule."_[GOC:ai]/"The_component_of_a_membrane_consisting_of_the_gene_products_and_protein_complexes_having_at_least_some_part_of_their_peptide_sequence_embedded_in_the_hydrophobic_region_of_the_membrane."_[GOC:dos,_GOC:go_curators]/</t>
  </si>
  <si>
    <t>IPR004299/IPR014371/</t>
  </si>
  <si>
    <t>Membrane_bound_O-acyl_transferase,_MBOAT/Sterol_O-acyltransferase,_ACAT/DAG/ARE_types/</t>
  </si>
  <si>
    <t>MBOAT_fam/Oat_ACAT_DAG_ARE/</t>
  </si>
  <si>
    <t>note=B._malayi_BMA-MBOA-1_protein,_contains_similarity_to_Pfam_domain_PF03062_MBOAT,_membrane-bound_O-acyltransferase_family_contains_similarity_to_Interpro_domains_IPR014371_(Sterol_O-acyltransferase,_ACAT/DAG/ARE_types),_IPR004299_(Membrane_bound_O-acyl_transferase,_MBOAT)</t>
  </si>
  <si>
    <t>135651.CBN19046</t>
  </si>
  <si>
    <t>6.2e-102</t>
  </si>
  <si>
    <t>377.9</t>
  </si>
  <si>
    <t>2.3.1.26</t>
  </si>
  <si>
    <t>ko:K00637</t>
  </si>
  <si>
    <t>ko00100,ko04979,map00100,map04979</t>
  </si>
  <si>
    <t>R01461</t>
  </si>
  <si>
    <t>RC00004,RC00055</t>
  </si>
  <si>
    <t>1KW8Y@119089,38EBW@33154,3BDG1@33208,3CRIC@33213,40DGH@6231,40VVA@6236,COG5056@1,KOG0380@2759</t>
  </si>
  <si>
    <t>MBOAT, membrane-bound O-acyltransferase family</t>
  </si>
  <si>
    <t>42,1053/42,3246</t>
  </si>
  <si>
    <t>29,386/32,4561</t>
  </si>
  <si>
    <t>31,3596/29,1667</t>
  </si>
  <si>
    <t>32,0175/31,3596</t>
  </si>
  <si>
    <t>16,886/17,7632</t>
  </si>
  <si>
    <t>WBGene00007174</t>
  </si>
  <si>
    <t>43.4211</t>
  </si>
  <si>
    <t>Bm17890</t>
  </si>
  <si>
    <t>WBGene00269032</t>
  </si>
  <si>
    <t>Bm17902</t>
  </si>
  <si>
    <t>WBGene00269044</t>
  </si>
  <si>
    <t>9.6e-18</t>
  </si>
  <si>
    <t>96.3</t>
  </si>
  <si>
    <t>Bm17967</t>
  </si>
  <si>
    <t>WBGene00269109</t>
  </si>
  <si>
    <t>Bm17994</t>
  </si>
  <si>
    <t>WBGene00269136</t>
  </si>
  <si>
    <t>Bm18018</t>
  </si>
  <si>
    <t>WBGene00269160</t>
  </si>
  <si>
    <t>Bm18029</t>
  </si>
  <si>
    <t>WBGene00269170</t>
  </si>
  <si>
    <t>7209.EFO27137.2</t>
  </si>
  <si>
    <t>1.5e-28</t>
  </si>
  <si>
    <t>132.9</t>
  </si>
  <si>
    <t>GO:0000003,GO:0000280,GO:0000910,GO:0001932,GO:0001933,GO:0003006,GO:0003674,GO:0004857,GO:0004860,GO:0005488,GO:0005515,GO:0005575,GO:0005622,GO:0005623,GO:0005634,GO:0005737,GO:0005938,GO:0006469,GO:0006996,GO:0007010,GO:0007049,GO:0007143,GO:0007276,GO:0007281,GO:0007292,GO:0008150,GO:0009653,GO:0009892,GO:0009987,GO:0010563,GO:0010605,GO:0016043,GO:0019207,GO:0019210,GO:0019220,GO:0019222,GO:0019887,GO:0019899,GO:0019900,GO:0019901,GO:0019953,GO:0022402,GO:0022412,GO:0022414,GO:0030029,GO:0030036,GO:0030154,GO:0030234,GO:0030703,GO:0030865,GO:0030866,GO:0031323,GO:0031324,GO:0031399,GO:0031400,GO:0032268,GO:0032269,GO:0032501,GO:0032502,GO:0032504,GO:0032879,GO:0032880,GO:0033206,GO:0033673,GO:0040038,GO:0042325,GO:0042326,GO:0043086,GO:0043226,GO:0043227,GO:0043229,GO:0043231,GO:0043549,GO:0044092,GO:0044424,GO:0044444,GO:0044464,GO:0044703,GO:0045859,GO:0045936,GO:0048285,GO:0048468,GO:0048477,GO:0048518,GO:0048519,GO:0048523,GO:0048609,GO:0048646,GO:0048856,GO:0048869,GO:0050789,GO:0050790,GO:0050794,GO:0051171,GO:0051172,GO:0051174,GO:0051246,GO:0051248,GO:0051301,GO:0051321,GO:0051338,GO:0051348,GO:0051704,GO:0060255,GO:0060341,GO:0061640,GO:0065007,GO:0065009,GO:0071840,GO:0071944,GO:0080090,GO:0098772,GO:0099568,GO:0140013,GO:1903046,GO:1903827,GO:1903829,GO:1904375,GO:1904377,GO:1904776,GO:1904778</t>
  </si>
  <si>
    <t>1KUIG@119089,39ZHC@33154,3BP73@33208,3CZGN@33213,40B3M@6231,COG5599@1,KOG0789@2759</t>
  </si>
  <si>
    <t>positive regulation of protein localization to cell cortex</t>
  </si>
  <si>
    <t>Bm18071</t>
  </si>
  <si>
    <t>WBGene00269211</t>
  </si>
  <si>
    <t>IPR022194/</t>
  </si>
  <si>
    <t>Protein_of_unknown_function_DUF3719/</t>
  </si>
  <si>
    <t>DUF3719/</t>
  </si>
  <si>
    <t>Bm18090</t>
  </si>
  <si>
    <t>WBGene00269230</t>
  </si>
  <si>
    <t>7209.EFO24341.1</t>
  </si>
  <si>
    <t>5.3e-37</t>
  </si>
  <si>
    <t>160.6</t>
  </si>
  <si>
    <t>1KX8Y@119089,2CBH9@1,2SFW0@2759,3ADD5@33154,3BVX4@33208,3DCUE@33213,40F2Y@6231</t>
  </si>
  <si>
    <t>WBGene00015122</t>
  </si>
  <si>
    <t>30.4965</t>
  </si>
  <si>
    <t>Bm18092</t>
  </si>
  <si>
    <t>WBGene00269232</t>
  </si>
  <si>
    <t>IPR019408/</t>
  </si>
  <si>
    <t>7TM_GPCR,_serpentine_receptor_class_ab_(Srab)/</t>
  </si>
  <si>
    <t>7TM_GPCR_serpentine_rcpt_Srab/</t>
  </si>
  <si>
    <t>51,8519/64,8148</t>
  </si>
  <si>
    <t>Bm18105</t>
  </si>
  <si>
    <t>WBGene00269245</t>
  </si>
  <si>
    <t>Bm18128</t>
  </si>
  <si>
    <t>WBGene00269268</t>
  </si>
  <si>
    <t>Bm18130</t>
  </si>
  <si>
    <t>135651.CBN03507</t>
  </si>
  <si>
    <t>9.6e-42</t>
  </si>
  <si>
    <t>GO:0003008,GO:0003674,GO:0005215,GO:0005216,GO:0005230,GO:0005231,GO:0005261,GO:0005575,GO:0006810,GO:0006811,GO:0006812,GO:0006816,GO:0006873,GO:0006874,GO:0006875,GO:0006937,GO:0007154,GO:0007165,GO:0007166,GO:0007204,GO:0007267,GO:0007268,GO:0008150,GO:0008324,GO:0009987,GO:0015075,GO:0015267,GO:0015276,GO:0015318,GO:0019725,GO:0022803,GO:0022824,GO:0022834,GO:0022835,GO:0022836,GO:0022838,GO:0022839,GO:0022848,GO:0022857,GO:0022890,GO:0023052,GO:0030001,GO:0030003,GO:0030594,GO:0032501,GO:0034220,GO:0038023,GO:0042391,GO:0042592,GO:0044057,GO:0045202,GO:0048878,GO:0050789,GO:0050794,GO:0050801,GO:0050877,GO:0050896,GO:0051179,GO:0051234,GO:0051239,GO:0051480,GO:0051641,GO:0051649,GO:0051716,GO:0055065,GO:0055074,GO:0055080,GO:0055082,GO:0055085,GO:0060078,GO:0060079,GO:0060089,GO:0060401,GO:0060402,GO:0065007,GO:0065008,GO:0070509,GO:0070588,GO:0070838,GO:0072503,GO:0072507,GO:0072511,GO:0090257,GO:0097553,GO:0098655,GO:0098657,GO:0098659,GO:0098660,GO:0098662,GO:0098703,GO:0098739,GO:0098771,GO:0098916,GO:0098960,GO:0099094,GO:0099529,GO:0099536,GO:0099537,GO:0099565,GO:0099587,GO:1902656,GO:1904315,GO:1905114</t>
  </si>
  <si>
    <t>ko:K05312</t>
  </si>
  <si>
    <t>1.A.9.1</t>
  </si>
  <si>
    <t>1M0AJ@119089,39A5N@33154,3BNUJ@33208,3D5AB@33213,40BJ8@6231,40W5I@6236,KOG3645@1,KOG3645@2759</t>
  </si>
  <si>
    <t>Neurotransmitter-gated ion-channel transmembrane region</t>
  </si>
  <si>
    <t>Bm1836</t>
  </si>
  <si>
    <t>WBGene00222097</t>
  </si>
  <si>
    <t>GO:0000413/GO:0003755/GO:0005509/GO:0016853/</t>
  </si>
  <si>
    <t>calcium_ion_binding/isomerase_activity/peptidyl-prolyl_cis-trans_isomerase_activity/protein_peptidyl-prolyl_isomerization/</t>
  </si>
  <si>
    <t>Catalysis_of_the_geometric_or_structural_changes_within_one_molecule._Isomerase_is_the_systematic_name_for_any_enzyme_of_EC_class_5._[ISBN:0198506732]/"Catalysis_of_the_reaction:_peptidyl-proline_(omega=180)_=_peptidyl-proline_(omega=0)."_[EC:5.2.1.8]/"Interacting_selectively_and_non-covalently_with_calcium_ions_(Ca2+)."_[GOC:ai]/"The_modification_of_a_protein_by_cis-trans_isomerization_of_a_proline_residue."_[GOC:krc,_PMID:16959570]/</t>
  </si>
  <si>
    <t>IPR001179/IPR002048/IPR011992/IPR018247/IPR023566/</t>
  </si>
  <si>
    <t>EF-Hand_1,_calcium-binding_site/EF-hand_domain/EF-hand_domain_pair/FKBP-type_peptidyl-prolyl_cis-trans_isomerase_domain/Peptidyl-prolyl_cis-trans_isomerase,_FKBP-type/</t>
  </si>
  <si>
    <t>EF-hand-dom_pair/EF_Hand_1_Ca_BS/EF_hand_dom/PPIase_FKBP/PPIase_FKBP_dom/</t>
  </si>
  <si>
    <t>note=B._malayi_BMA-FKB-7_protein,_contains_similarity_toPfam_domains_PF13833_(EF-hand_domain_pair),_PF00254(FKBP-type_peptidyl-prolyl_cis-trans_isomerase)_containssimilarity_to_Interpro_domains_IPR011992_(EF-hand_domainpair),_IPR023566_(Peptidyl-prolyl_cis-trans_isomerase,FKBP-type),_IPR001179_(Peptidyl-prolyl_cis-transisomerase,_FKBP-type,_domain)</t>
  </si>
  <si>
    <t>7209.EFO25828.2</t>
  </si>
  <si>
    <t>1.9e-170</t>
  </si>
  <si>
    <t>605.1</t>
  </si>
  <si>
    <t>1KTWK@119089,39XZ9@33154,3BKVK@33208,3D3JY@33213,40AND@6231,COG0545@1,KOG0549@2759</t>
  </si>
  <si>
    <t>FKBP-type peptidyl-prolyl cis-trans isomerase</t>
  </si>
  <si>
    <t>56,6978/57,0093/45,4829</t>
  </si>
  <si>
    <t>9,65732/11,5265</t>
  </si>
  <si>
    <t>11,838/14,6417/4,36137/15,5763/4,6729/11,215/10,5919/12,7726/9,65732/13,0841/14,0187/3,42679/11,215</t>
  </si>
  <si>
    <t>11,838/13,3956/4,04984/15,8879/4,6729/11,215/13,0841/12,7726/9,34579/14,3302/14,0187/3,42679/10,5919</t>
  </si>
  <si>
    <t>11,838/13,3956/3,73832/15,8879/4,04984/9,96885/14,0187/9,96885/14,3302/14,0187/13,3956/11,5265/3,42679/9,34579/9,34579/8,09969</t>
  </si>
  <si>
    <t>9,65732/10,2804</t>
  </si>
  <si>
    <t>WBGene00001432</t>
  </si>
  <si>
    <t>53.5826</t>
  </si>
  <si>
    <t>Bm1896</t>
  </si>
  <si>
    <t>WBGene00222157</t>
  </si>
  <si>
    <t>GO:0000977/GO:0003677/GO:0003700/GO:0003707/GO:0004879/GO:0005634/GO:0006355/GO:0008270/GO:0018996/GO:0030522/GO:0043401/GO:0043565/GO:0045944/GO:0046872/</t>
  </si>
  <si>
    <t>DNA-binding_transcription_factor_activity/DNA_binding/RNA_polymerase_II_regulatory_region_sequence-specific_DNA_binding/intracellular_receptor_signaling_pathway/metal_ion_binding/molting_cycle,_collagen_and_cuticulin-based_cuticle/nuclear_receptor_activity/nucleus/positive_regulation_of_transcription_by_RNA_polymerase_II/regulation_of_transcription,_DNA-templated/sequence-specific_DNA_binding/steroid_hormone_mediated_signaling_pathway/steroid_hormone_receptor_activity/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</si>
  <si>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_series_of_molecular_signals_mediated_by_a_steroid_hormone_binding_to_a_receptor."_[PMID:12606724]/"Any_molecular_function_by_which_a_gene_product_interacts_selectively_and_non-covalently_with_DNA_(deoxyribonucleic_acid)."_[GOC:dph,_GOC:jl,_GOC:tb,_GOC:vw]/"Any_process_that_activates_or_increases_the_frequency,_rate_or_extent_of_transcription_from_an_RNA_polymerase_II_promoter."_[GOC:go_curators,_GOC:txnOH]/"Any_process_that_modulates_the_frequency,_rate_or_extent_of_cellular_DNA-templated_transcription."_[GOC:go_curators,_GOC:txnOH]/"Any_series_of_molecular_signals_initiated_by_a_ligand_binding_to_an_receptor_located_within_a_cell."_[GOC:bf,_GOC:mah]/"Combining_with_a_signal_and_transmitting_the_signal_to_the_transcriptional_machinery_by_interacting_selectively_and_non-covalently_with_a_specific_DNA_sequence_in_order_to_modulate_transcription_by_RNA_polymerase_II."_[GOC:signaling,_GOC:txnOH]/"Combining_with_a_steroid_hormone_and_transmitting_the_signal_within_the_cell_to_initiate_a_change_in_cell_activity_or_function."_[GOC:signaling,_PMID:14708019]/"Interacting_selectively_and_non-covalently_with_DNA_of_a_specific_nucleotide_composition,_e.g._GC-rich_DNA_binding,_or_with_a_specific_sequence_motif_or_type_of_DNA_e.g._promotor_binding_or_rDNA_binding."_[GOC:jl]/"Interacting_selectively_and_non-covalently_with_a_specific_sequence_of_DNA_that_is_part_of_a_regulatory_region_that_controls_the_transcription_of_a_gene_or_cistron_by_RNA_polymerase_II."_[GOC:txnOH]/"Interacting_selectively_and_non-covalently_with_any_metal_ion."_[GOC:ai]/"Interacting_selectively_and_non-covalently_with_zinc_(Zn)_ions."_[GOC:ai]/"The_periodic_shedding_of_part_or_all_of_a_collagen_and_cuticulin-based_cuticle,_which_is_then_replaced_by_a_new_collagen_and_cuticulin-based_cuticle._An_example_of_this_is_found_in_the_Nematode_worm,_Caenorhabditis_elegans."_[GOC:jl,_GOC:mtg_sensu]/</t>
  </si>
  <si>
    <t>IPR000536/IPR001628/IPR001723/IPR001728/IPR013088/IPR035500/</t>
  </si>
  <si>
    <t>Nuclear_hormone_receptor/Nuclear_hormone_receptor,_ligand-binding_domain/Nuclear_hormone_receptor-like_domain_superfamily/Thyroid_hormone_receptor/Zinc_finger,_NHR/GATA-type/Zinc_finger,_nuclear_hormone_receptor-type/</t>
  </si>
  <si>
    <t>NHR_like_dom_sf/Nucl_hrmn_rcpt_lig-bd/Nuclear_hrmn_rcpt/ThyrH_rcpt/Znf_NHR/GATA/Znf_hrmn_rcpt/</t>
  </si>
  <si>
    <t>note=B._malayi_BMA-NHR-23_protein,_contains_similarity_to_Pfam_domain_PF00105_Zinc_finger,_C4_type_(two_domains)_contains_similarity_to_Interpro_domains_IPR013088_(Zinc_finger,_NHR/GATA-type),_IPR008946_(Nuclear_hormone_receptor,_ligand-binding),_IPR001628_(Zinc_finger,_nuclear_hormone_receptor-type)</t>
  </si>
  <si>
    <t>7209.EJD75059.1</t>
  </si>
  <si>
    <t>3e-115</t>
  </si>
  <si>
    <t>422.2</t>
  </si>
  <si>
    <t>GO:0000976,GO:0000977,GO:0001012,GO:0001067,GO:0003674,GO:0003676,GO:0003677,GO:0003690,GO:0005488,GO:0005575,GO:0005622,GO:0005623,GO:0005634,GO:0006355,GO:0006357,GO:0008150,GO:0009889,GO:0009891,GO:0009893,GO:0010468,GO:0010556,GO:0010557,GO:0010604,GO:0010628,GO:0018996,GO:0019219,GO:0019222,GO:0031323,GO:0031325,GO:0031326,GO:0031328,GO:0032501,GO:0042303,GO:0043226,GO:0043227,GO:0043229,GO:0043231,GO:0043565,GO:0044212,GO:0044424,GO:0044464,GO:0045893,GO:0045935,GO:0045944,GO:0048518,GO:0048522,GO:0050789,GO:0050794,GO:0051171,GO:0051173,GO:0051252,GO:0051254,GO:0060255,GO:0065007,GO:0080090,GO:0097159,GO:1901363,GO:1902680,GO:1903506,GO:1903508,GO:1990837,GO:2000112,GO:2001141</t>
  </si>
  <si>
    <t>ko:K08701,ko:K14033</t>
  </si>
  <si>
    <t>1KW3B@119089,38C0E@33154,3BE0B@33208,3CUND@33213,40D7E@6231,KOG4216@1,KOG4216@2759</t>
  </si>
  <si>
    <t>steroid hormone receptor activity</t>
  </si>
  <si>
    <t>38,0734/50,2294</t>
  </si>
  <si>
    <t>42,2018/41,7431/41,9725</t>
  </si>
  <si>
    <t>27,2936/36,6972</t>
  </si>
  <si>
    <t>38,5321/40,5963</t>
  </si>
  <si>
    <t>WBGene00003622</t>
  </si>
  <si>
    <t>41.9725</t>
  </si>
  <si>
    <t>Bm1940</t>
  </si>
  <si>
    <t>WBGene00222201</t>
  </si>
  <si>
    <t>IPR000210/IPR011333/</t>
  </si>
  <si>
    <t>BTB/POZ_domain/SKP1/BTB/POZ_domain_superfamily/</t>
  </si>
  <si>
    <t>BTB/POZ_dom/SKP1/BTB/POZ_sf/</t>
  </si>
  <si>
    <t>note=contains_similarity_to_Pfam_domain_PF00651_BTB/POZ_domain_contains_similarity_to_Interpro_domains_IPR011333_(BTB/POZ_fold),_IPR013069_(BTB/POZ),_IPR000210_(BTB/POZ-like)</t>
  </si>
  <si>
    <t>7209.EFO23380.1</t>
  </si>
  <si>
    <t>5.2e-232</t>
  </si>
  <si>
    <t>810.1</t>
  </si>
  <si>
    <t>1KTV5@119089,2CISQ@1,2RBU6@2759,39X1B@33154,3BP0B@33208,3D41I@33213,40B27@6231</t>
  </si>
  <si>
    <t>60,4966/60,4966</t>
  </si>
  <si>
    <t>WBGene00015408</t>
  </si>
  <si>
    <t>53.2731</t>
  </si>
  <si>
    <t>Bm2150</t>
  </si>
  <si>
    <t>WBGene00222411</t>
  </si>
  <si>
    <t>GO:0005089/GO:0005515/GO:0035023/</t>
  </si>
  <si>
    <t>Rho_guanyl-nucleotide_exchange_factor_activity/protein_binding/regulation_of_Rho_protein_signal_transduction/</t>
  </si>
  <si>
    <t>Any_process_that_modulates_the_frequency,_rate_or_extent_of_Rho_protein_signal_transduction._[GOC:bf]/"Interacting_selectively_and_non-covalently_with_any_protein_or_protein_complex_(a_complex_of_two_or_more_proteins_that_may_include_other_nonprotein_molecules)."_[GOC:go_curators]/"Stimulates_the_exchange_of_guanyl_nucleotides_associated_with_a_GTPase_of_the_Rho_family._Under_normal_cellular_physiological_conditions,_the_concentration_of_GTP_is_higher_than_that_of_GDP,_favoring_the_replacement_of_GDP_by_GTP_in_association_with_the_GTPase."_[GOC:mah]/</t>
  </si>
  <si>
    <t>IPR000219/IPR011993/IPR035899/IPR036034/</t>
  </si>
  <si>
    <t>Dbl_homology_(DH)_domain/Dbl_homology_(DH)_domain_superfamily/PDZ_superfamily/PH-like_domain_superfamily/</t>
  </si>
  <si>
    <t>DBL_dom_sf/DH-domain/PDZ_sf/PH-like_dom_sf/</t>
  </si>
  <si>
    <t>note=B._malayi_BMA-CGEF-2_protein,_contains_similarity_to_Pfam_domain_PF00621_RhoGEF_domain_contains_similarity_to_Interpro_domains_IPR001478_(PDZ_domain),_IPR000219_(Dbl_homology_(DH)_domain),_IPR011993_(Pleckstrin_homology-like_domain)</t>
  </si>
  <si>
    <t>7209.EFO16404.2</t>
  </si>
  <si>
    <t>2.5e-235</t>
  </si>
  <si>
    <t>821.6</t>
  </si>
  <si>
    <t>GO:0003674,GO:0005085,GO:0005088,GO:0005089,GO:0005488,GO:0005515,GO:0005575,GO:0005623,GO:0008150,GO:0017016,GO:0017048,GO:0019899,GO:0030424,GO:0030426,GO:0030427,GO:0030676,GO:0031267,GO:0033267,GO:0042995,GO:0043005,GO:0043085,GO:0043087,GO:0043547,GO:0044093,GO:0044463,GO:0044464,GO:0048365,GO:0050790,GO:0051020,GO:0051336,GO:0051345,GO:0065007,GO:0065009,GO:0071944,GO:0097458,GO:0098772,GO:0120025,GO:0120038,GO:0150034</t>
  </si>
  <si>
    <t>1KZ13@119089,38FI5@33154,3BAXA@33208,3CT9X@33213,40G6T@6231,KOG3519@1,KOG3519@2759</t>
  </si>
  <si>
    <t>regulation of Schwann cell chemotaxis</t>
  </si>
  <si>
    <t>9,19176/14,897/2,85261/9,82567/14,2631/10,4596/10,6181/8,55785/6,81458/3,80349/11,5689/9,03328/9,03328/9,82567/6,02219/10,3011/10,3011/8,8748</t>
  </si>
  <si>
    <t>9,03328/14,4216/2,85261/9,6672/14,7385/11,7274/10,6181/8,8748/7,29002/3,80349/11,0935/8,8748/9,82567/9,03328/9,98415/8,8748</t>
  </si>
  <si>
    <t>8,8748/14,1046/12,8368/10,935/8,08241/15,2139/15,0555/8,8748/10,3011/10,1426/9,03328/0,316957/9,50872/7,29002/3,48653/10,3011/11,4105/4,59588/9,82567/9,03328/9,19176/9,19176/9,82567</t>
  </si>
  <si>
    <t>WBGene00015704</t>
  </si>
  <si>
    <t>29.0016</t>
  </si>
  <si>
    <t>Bm2162</t>
  </si>
  <si>
    <t>WBGene00222423</t>
  </si>
  <si>
    <t>IPR008858/IPR036465/IPR037214/IPR040322/</t>
  </si>
  <si>
    <t>60kDa_SS-A/Ro_ribonucleoprotein/TROVE_domain/TROVE_domain_superfamily/von_Willebrand_factor_A-like_domain_superfamily/</t>
  </si>
  <si>
    <t>TROVE2/TROVE_dom/TROVE_dom_sf/vWFA_dom_sf/</t>
  </si>
  <si>
    <t>note=B._malayi_BMA-ROP-1_protein,_contains_similarity_toPfam_domain_PF05731_TROVE_domain_contains_similarity_toInterpro_domains_IPR008858_(TROVE),_IPR002035_(vonWillebrand_factor,_type_A)</t>
  </si>
  <si>
    <t>7209.EFO24685.1</t>
  </si>
  <si>
    <t>7.1e-167</t>
  </si>
  <si>
    <t>594.3</t>
  </si>
  <si>
    <t>1KYB2@119089,38CCX@33154,3BEKD@33208,3D0XH@33213,40B5V@6231,KOG4465@1,KOG4465@2759</t>
  </si>
  <si>
    <t>TROVE domain</t>
  </si>
  <si>
    <t>54,6763/22,7338</t>
  </si>
  <si>
    <t>16,8345/21,5827</t>
  </si>
  <si>
    <t>26,9065/26,7626/26,9065</t>
  </si>
  <si>
    <t>26,7626/25,6115</t>
  </si>
  <si>
    <t>11,7986/23,8849</t>
  </si>
  <si>
    <t>WBGene00004405</t>
  </si>
  <si>
    <t>25.8993</t>
  </si>
  <si>
    <t>Bm2209</t>
  </si>
  <si>
    <t>WBGene00222470</t>
  </si>
  <si>
    <t>7209.EFO25081.2</t>
  </si>
  <si>
    <t>6.1e-212</t>
  </si>
  <si>
    <t>744.2</t>
  </si>
  <si>
    <t>1KWD0@119089,2CR83@1,2S46U@2759,3A60I@33154,3BTUU@33208,3DA4P@33213,40E0U@6231</t>
  </si>
  <si>
    <t>WBGene00007592</t>
  </si>
  <si>
    <t>29.2208</t>
  </si>
  <si>
    <t>Bm2264</t>
  </si>
  <si>
    <t>WBGene00222525</t>
  </si>
  <si>
    <t>GO:0008270/GO:0016020/GO:0016021/GO:0046872/</t>
  </si>
  <si>
    <t>integral_component_of_membrane/membrane/metal_ion_binding/zinc_ion_binding/</t>
  </si>
  <si>
    <t>A_lipid_bilayer_along_with_all_the_proteins_and_protein_complexes_embedded_in_it_an_attached_to_it._[GOC:dos,_GOC:mah,_ISBN:0815316194]/"Interacting_selectively_and_non-covalently_with_any_metal_ion."_[GOC:ai]/"Interacting_selectively_and_non-covalently_with_zinc_(Zn)_ions."_[GOC:ai]/"The_component_of_a_membrane_consisting_of_the_gene_products_and_protein_complexes_having_at_least_some_part_of_their_peptide_sequence_embedded_in_the_hydrophobic_region_of_the_membrane."_[GOC:dos,_GOC:go_curators]/</t>
  </si>
  <si>
    <t>IPR011016/IPR013083/IPR033275/</t>
  </si>
  <si>
    <t>E3_ubiquitin-protein_ligase_MARCH-like/Zinc_finger,_RING-CH-type/Zinc_finger,_RING/FYVE/PHD-type/</t>
  </si>
  <si>
    <t>MARCH-like/Znf_RING-CH/Znf_RING/FYVE/PHD/</t>
  </si>
  <si>
    <t>6334.EFV52844</t>
  </si>
  <si>
    <t>1.3e-22</t>
  </si>
  <si>
    <t>114.0</t>
  </si>
  <si>
    <t>39V0P@33154,3BEN8@33208,3D2DI@33213,40E0Z@6231,COG5183@1,KOG1609@2759</t>
  </si>
  <si>
    <t>The RING-variant domain is a C4HC3 zinc-finger like motif found in a number of cellular and viral proteins. Some of these proteins have been shown both in vivo and in vitro to have ubiquitin E3 ligase activity.</t>
  </si>
  <si>
    <t>21,9048/21,9048</t>
  </si>
  <si>
    <t>WBGene00007643</t>
  </si>
  <si>
    <t>22.8571</t>
  </si>
  <si>
    <t>Bm2369</t>
  </si>
  <si>
    <t>WBGene00222630</t>
  </si>
  <si>
    <t>note=B._malayi_BMA-RAP-2_protein</t>
  </si>
  <si>
    <t>Bm2445</t>
  </si>
  <si>
    <t>WBGene00222706</t>
  </si>
  <si>
    <t>note=B._malayi_BMA-CEH-43_protein,_contains_similarity_to_Pfam_domain_PF00046_Homeobox_domain_contains_similarity_to_Interpro_domains_IPR001356_(Homeobox_domain),_IPR009057_(Homeodomain-like)</t>
  </si>
  <si>
    <t>7209.EJD75240.1</t>
  </si>
  <si>
    <t>9.9e-72</t>
  </si>
  <si>
    <t>277.7</t>
  </si>
  <si>
    <t>GO:0003674,GO:0003700,GO:0006355,GO:0007155,GO:0007275,GO:0008150,GO:0009790,GO:0009792,GO:0009889,GO:0010468,GO:0010556,GO:0019219,GO:0019222,GO:0022610,GO:0031323,GO:0031326,GO:0032501,GO:0032502,GO:0048856,GO:0050789,GO:0050794,GO:0051171,GO:0051252,GO:0060255,GO:0065007,GO:0080090,GO:0140110,GO:1903506,GO:2000112,GO:2001141</t>
  </si>
  <si>
    <t>ko:K09314,ko:K18489</t>
  </si>
  <si>
    <t>ko04550,map04550</t>
  </si>
  <si>
    <t>1KX4T@119089,38EXM@33154,3BGAP@33208,3CZ0P@33213,40ERR@6231,KOG0850@1,KOG0850@2759</t>
  </si>
  <si>
    <t>17,9487/19,2308</t>
  </si>
  <si>
    <t>19,4444/19,4444</t>
  </si>
  <si>
    <t>Bm2455</t>
  </si>
  <si>
    <t>WBGene00222716</t>
  </si>
  <si>
    <t>IPR003582/IPR012674/IPR014878/</t>
  </si>
  <si>
    <t>Calycin/Domain_of_unknown_function_DUF1794/ShKT_domain/</t>
  </si>
  <si>
    <t>Calycin/DUF1794/ShKT_dom/</t>
  </si>
  <si>
    <t>note=contains_similarity_to_Pfam_domain_PF08768_Domain_of_unknown_function_(DUF1794)_contains_similarity_to_Interpro_domains_IPR011038_(Calycin-like),_IPR014878_(Domain_of_unknown_function_DUF1794)</t>
  </si>
  <si>
    <t>7209.EFO20397.2</t>
  </si>
  <si>
    <t>4.8e-75</t>
  </si>
  <si>
    <t>1KYZ8@119089,3AKFD@33154,3BZPB@33208,3DG9T@33213,40G84@6231,KOG3371@1,KOG3371@2759</t>
  </si>
  <si>
    <t>Domain of unknown function (DUF1794)</t>
  </si>
  <si>
    <t>39,485/39,9142</t>
  </si>
  <si>
    <t>36,9099/49,3562</t>
  </si>
  <si>
    <t>38,1974/29,6137/23,6052</t>
  </si>
  <si>
    <t>40,3433/40,3433</t>
  </si>
  <si>
    <t>WBGene00016196</t>
  </si>
  <si>
    <t>48.4979</t>
  </si>
  <si>
    <t>Bm2491</t>
  </si>
  <si>
    <t>WBGene00222752</t>
  </si>
  <si>
    <t>note=contains_similarity_to_Pfam_domain_PF00024_PAN_domain_contains_similarity_to_Interpro_domain_IPR003014_(PAN-1_domain)</t>
  </si>
  <si>
    <t>Bm2519</t>
  </si>
  <si>
    <t>WBGene00222780</t>
  </si>
  <si>
    <t>GO:0004114/GO:0005515/GO:0006935/GO:0007165/GO:0007602/GO:0007635/GO:0008081/GO:0008340/GO:0010446/GO:0010628/GO:0010754/GO:0016787/GO:0032528/GO:0042542/GO:0046872/</t>
  </si>
  <si>
    <t>3',5'-cyclic-nucleotide_phosphodiesterase_activity/chemosensory_behavior/chemotaxis/determination_of_adult_lifespan/hydrolase_activity/metal_ion_binding/microvillus_organization/negative_regulation_of_cGMP-mediated_signaling/phosphoric_diester_hydrolase_activity/phototransduction/positive_regulation_of_gene_expression/protein_binding/response_to_alkaline_pH/response_to_hydrogen_peroxide/signal_transduction/</t>
  </si>
  <si>
    <t>A_process_that_is_carried_out_at_the_cellular_level_which_results_in_the_assembly,_arrangement_of_constituent_parts,_or_disassembly_of_a_microvillus,_a_thin_cylindrical_membrane-covered_projection_on_the_surface_of_a_cell._[GOC:mah]/"Any_process_that_decreases_the_rate,_frequency_or_extent_of_cGMP-mediated_signaling._cGMP-mediated_signaling_is_a_series_of_molecular_signals_in_which_a_cell_uses_cyclic_GMP_to_convert_an_extracellular_signal_into_a_response."_[GOC:BHF,_GOC:dph,_GOC:tb]/"Any_process_that_increases_the_frequency,_rate_or_extent_of_gene_expression._Gene_expression_is_the_process_in_which_a_gene's_coding_sequence_is_converted_into_a_mature_gene_product_or_products_(proteins_or_RNA)._This_includes_the_production_of_an_RNA_transcript_as_well_as_any_processing_to_produce_a_mature_RNA_product_or_an_mRNA_or_circRNA_(for_protein-coding_genes)_and_the_translation_of_that_mRNA_or_circRNA_into_protein._Protein_maturation_is_included_when_required_to_form_an_active_form_of_a_product_from_an_inactive_precursor_form."_[GOC:dph,_GOC:tb]/"Any_process_that_results_in_a_change_in_state_or_activity_of_a_cell_or_an_organism_(in_terms_of_movement,_secretion,_enzyme_production,_gene_expression,_etc.)_as_a_result_of_a_hydrogen_peroxide_(H2O2)_stimulus."_[GOC:jl]/"Any_process_that_results_in_a_change_in_state_or_activity_of_a_cell_or_an_organism_(in_terms_of_movement,_secretion,_enzyme_production,_gene_expression,_etc.)_as_a_result_of_a_pH_stimulus_with_pH_&gt;_7._pH_is_a_measure_of_the_acidity_or_basicity_of_an_aqueous_solution."_[GOC:go_curators,_GOC:tb,_http://en.wikipedia.org/wiki/PH]/"Behavior_that_is_dependent_upon_the_sensation_of_chemicals."_[GOC:go_curators]/"Catalysis_of_the_hydrolysis_of_a_phosphodiester_to_give_a_phosphomonoester_and_a_free_hydroxyl_group."_[EC:3.1.4,_GOC:curators]/"Catalysis_of_the_hydrolysis_of_various_bonds,_e.g._C-O,_C-N,_C-C,_phosphoric_anhydride_bonds,_etc._Hydrolase_is_the_systematic_name_for_any_enzyme_of_EC_class_3."_[ISBN:0198506732]/"Catalysis_of_the_reaction:_nucleoside_3',5'-cyclic_phosphate_+_H2O_=_nucleoside_5'-phosphate."_[EC:3.1.4.17]/"Interacting_selectively_and_non-covalently_with_any_metal_ion."_[GOC:ai]/"Interacting_selectively_and_non-covalently_with_any_protein_or_protein_complex_(a_complex_of_two_or_more_proteins_that_may_include_other_nonprotein_molecules)."_[GOC:go_curators]/"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he_control_of_viability_and_duration_in_the_adult_phase_of_the_life-cycle."_[GOC:ems]/"The_directed_movement_of_a_motile_cell_or_organism,_or_the_directed_growth_of_a_cell_guided_by_a_specific_chemical_concentration_gradient._Movement_may_be_towards_a_higher_concentration_(positive_chemotaxis)_or_towards_a_lower_concentration_(negative_chemotaxis)."_[ISBN:0198506732]/"The_sequence_of_reactions_within_a_cell_required_to_convert_absorbed_photons_into_a_molecular_signal."_[GOC:go_curators]/</t>
  </si>
  <si>
    <t>IPR002073/IPR003018/IPR003607/IPR023088/IPR023174/IPR029016/IPR036971/</t>
  </si>
  <si>
    <t>3'5'-cyclic_nucleotide_phosphodiesterase/3'5'-cyclic_nucleotide_phosphodiesterase,_catalytic_domain/3'5'-cyclic_nucleotide_phosphodiesterase,_catalytic_domain_superfamily/3'5'-cyclic_nucleotide_phosphodiesterase,_conserved_site/GAF-like_domain_superfamily/GAF_domain/HD/PDEase_domain/</t>
  </si>
  <si>
    <t>GAF/GAF-like_dom_sf/HD/PDEase_dom/PDEase/PDEase_CS/PDEase_catalytic_dom/PDEase_catalytic_dom_sf/</t>
  </si>
  <si>
    <t>note=B._malayi_BMA-PDE-5_protein,_contains_similarity_toPfam_domains_PF01590_(GAF_domain),_PF00233_(3'5'-cyclicnucleotide_phosphodiesterase)_contains_similarity_toInterpro_domains_IPR002073_(3'5'-cyclic_nucleotidephosphodiesterase,_catalytic_domain),_IPR023088(3'5'-cyclic_nucleotide_phosphodiesterase),_IPR029016_(GAFdomain-like),_IPR003607_(HD/PDEase_domain),_IPR003018_(GAFdomain)</t>
  </si>
  <si>
    <t>7209.EJD76218.1</t>
  </si>
  <si>
    <t>5.2e-239</t>
  </si>
  <si>
    <t>833.9</t>
  </si>
  <si>
    <t>GO:0000302,GO:0003674,GO:0003824,GO:0004112,GO:0004114,GO:0006935,GO:0006950,GO:0006979,GO:0007154,GO:0007165,GO:0007275,GO:0007568,GO:0007602,GO:0007610,GO:0007635,GO:0008081,GO:0008150,GO:0008340,GO:0009268,GO:0009314,GO:0009416,GO:0009581,GO:0009582,GO:0009583,GO:0009605,GO:0009628,GO:0009636,GO:0009893,GO:0009966,GO:0009968,GO:0009987,GO:0010035,GO:0010259,GO:0010446,GO:0010468,GO:0010604,GO:0010628,GO:0010646,GO:0010648,GO:0010752,GO:0010754,GO:0016043,GO:0016787,GO:0016788,GO:0019222,GO:0023051,GO:0023052,GO:0023057,GO:0030030,GO:0032501,GO:0032502,GO:0032528,GO:0040011,GO:0042221,GO:0042330,GO:0042493,GO:0042542,GO:0042578,GO:0046677,GO:0047555,GO:0048518,GO:0048519,GO:0048523,GO:0048583,GO:0048585,GO:0048856,GO:0050789,GO:0050794,GO:0050896,GO:0051606,GO:0051716,GO:0060255,GO:0065007,GO:0071840,GO:0120036,GO:1901700,GO:1902531,GO:1902532</t>
  </si>
  <si>
    <t>3.1.4.17,3.1.4.35</t>
  </si>
  <si>
    <t>ko:K18438</t>
  </si>
  <si>
    <t>ko00230,ko05032,map00230,map05032</t>
  </si>
  <si>
    <t>R00191,R01234</t>
  </si>
  <si>
    <t>RC00296</t>
  </si>
  <si>
    <t>1KXSI@119089,38BQB@33154,3B9XB@33208,3CSEF@33213,40FD9@6231,KOG3689@1,KOG3689@2759</t>
  </si>
  <si>
    <t>Domain present in phytochromes and cGMP-specific phosphodiesterases.</t>
  </si>
  <si>
    <t>28,3824/59,7059</t>
  </si>
  <si>
    <t>17,6471/28,5294</t>
  </si>
  <si>
    <t>20,4412/52,2059</t>
  </si>
  <si>
    <t>16,3235/33,3824</t>
  </si>
  <si>
    <t>55,1471/30,2941/20,2941/51,4706</t>
  </si>
  <si>
    <t>WBGene00016328</t>
  </si>
  <si>
    <t>54.2647</t>
  </si>
  <si>
    <t>Bm2528</t>
  </si>
  <si>
    <t>WBGene00222789</t>
  </si>
  <si>
    <t>IPR000418/IPR003118/IPR013761/IPR036388/IPR036390/</t>
  </si>
  <si>
    <t>Ets_domain/Pointed_domain/Sterile_alpha_motif/pointed_domain_superfamily/Winged_helix-like_DNA-binding_domain_superfamily/Winged_helix_DNA-binding_domain_superfamily/</t>
  </si>
  <si>
    <t>Ets_dom/Pointed_dom/SAM/pointed_sf/WH-like_DNA-bd_sf/WH_DNA-bd_sf/</t>
  </si>
  <si>
    <t>note=B._malayi_BMA-TAG-97_protein,_contains_similarity_to_Pfam_domains_PF02198_(Sterile_alpha_motif_(SAM)/Pointed_domain),_PF00178_(Ets-domain)_contains_similarity_to_Interpro_domains_IPR011991_(Winged_helix-turn-helix_DNA-binding_domain),_IPR003118_(Pointed_domain),_IPR013761_(Sterile_alpha_motif/pointed_domain),_IPR000418_(Ets_domain)</t>
  </si>
  <si>
    <t>7209.EJD76656.1</t>
  </si>
  <si>
    <t>2.6e-164</t>
  </si>
  <si>
    <t>584.7</t>
  </si>
  <si>
    <t>ko:K17102</t>
  </si>
  <si>
    <t>1KVSM@119089,38CVP@33154,3BII4@33208,3CYE8@33213,40D7G@6231,KOG3804@1,KOG3804@2759</t>
  </si>
  <si>
    <t>SAM / Pointed domain</t>
  </si>
  <si>
    <t>52,9968/18,9274/52,9968</t>
  </si>
  <si>
    <t>11,3565/22,082/21,4511/11,3565/11,3565/17,9811/12,9338/13,2492/13,2492/14,511/13,8801/14,8265/18,9274/16,7192/17,0347/12,6183/15,4574/15,4574</t>
  </si>
  <si>
    <t>11,3565/22,082/21,1356/11,9874/11,3565/13,2492/13,2492/13,2492/14,1956/13,8801/14,511/18,612/16,4038/17,0347/12,6183/14,1956</t>
  </si>
  <si>
    <t>11,3565/20,1893/11,6719/12,3028/12,3028/11,9874/20,5047/13,2492/12,3028/13,5647/14,8265/13,5647/12,9338/5,36278/14,511</t>
  </si>
  <si>
    <t>WBGene00006462</t>
  </si>
  <si>
    <t>51.1041</t>
  </si>
  <si>
    <t>Bm2542</t>
  </si>
  <si>
    <t>WBGene00222803</t>
  </si>
  <si>
    <t>GO:0004553/GO:0005975/</t>
  </si>
  <si>
    <t>carbohydrate_metabolic_process/hydrolase_activity,_hydrolyzing_O-glycosyl_compounds/</t>
  </si>
  <si>
    <t>Catalysis_of_the_hydrolysis_of_any_O-glycosyl_bond._[GOC:mah]/"The_chemical_reactions_and_pathways_involving_carbohydrates,_any_of_a_group_of_organic_compounds_based_of_the_general_formula_Cx(H2O)y._Includes_the_formation_of_carbohydrate_derivatives_by_the_addition_of_a_carbohydrate_residue_to_another_molecule."_[GOC:mah,_ISBN:0198506732]/</t>
  </si>
  <si>
    <t>IPR006103/IPR008979/IPR013783/IPR017853/IPR036156/IPR041625/</t>
  </si>
  <si>
    <t>Beta-Galactosidase/glucuronidase_domain_superfamily/Beta-mannosidase,_Ig-fold_domain/Galactose-binding-like_domain_superfamily/Glycoside_hydrolase_family_2,_catalytic_domain/Glycoside_hydrolase_superfamily/Immunoglobulin-like_fold/</t>
  </si>
  <si>
    <t>Beta-gal/glucu_dom_sf/Beta-mannosidase_Ig/Galactose-bd-like_sf/Glyco_hydro_2_cat/Glycoside_hydrolase_SF/Ig-like_fold/</t>
  </si>
  <si>
    <t>note=contains_similarity_to_Pfam_domains_PF00703_(Glycosyl_hydrolases_family_2),_PF02836_(Glycosyl_hydrolases_family_2,_TIM_barrel_domain)_contains_similarity_to_Interpro_domains_IPR006102_(Glycoside_hydrolase,_family_2,_immunoglobulin-like_beta-sandwich),_IPR017853_(Glycoside_hydrolase_superfamily),_IPR006103_(Glycoside_hydrolase,_family_2,_TIM_barrel),_IPR028369_(Beta_mannosidase),_IPR013812_(Glycoside_hydrolase,_family_2/20,_immunoglobulin-like_beta-sandwich_domain),_IPR013781_(Glycoside_hydrolase,_catalytic_domain),_IPR008979_(Galactose-binding_domain-like)</t>
  </si>
  <si>
    <t>7209.EFO28156.1</t>
  </si>
  <si>
    <t>1622.8</t>
  </si>
  <si>
    <t>3.2.1.25</t>
  </si>
  <si>
    <t>ko:K01192</t>
  </si>
  <si>
    <t>ko00511,ko04142,map00511,map04142</t>
  </si>
  <si>
    <t>1KTPX@119089,38CZF@33154,3BA6B@33208,3CR54@33213,40AHB@6231,COG3250@1,KOG2230@2759</t>
  </si>
  <si>
    <t>Mannosidase, beta A, lysosomal</t>
  </si>
  <si>
    <t>24,1111/18</t>
  </si>
  <si>
    <t>11,1111/13,1111/36/22,4444/23,5556</t>
  </si>
  <si>
    <t>10,4444/21,4444</t>
  </si>
  <si>
    <t>7,11111/21,7778/5,44444</t>
  </si>
  <si>
    <t>4,77778/24,5556/5,88889</t>
  </si>
  <si>
    <t>5,44444/6,55556/9</t>
  </si>
  <si>
    <t>WBGene00007904</t>
  </si>
  <si>
    <t>Bm2582</t>
  </si>
  <si>
    <t>WBGene00222843</t>
  </si>
  <si>
    <t>GO:0005634/GO:0006355/GO:0007399/GO:0007413/GO:0030182/GO:0045664/GO:0046983/GO:0090128/</t>
  </si>
  <si>
    <t>axonal_fasciculation/nervous_system_development/neuron_differentiation/nucleus/protein_dimerization_activity/regulation_of_neuron_differentiation/regulation_of_synapse_maturation/regulation_of_transcription,_DNA-templated/</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</si>
  <si>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process_that_modulates_the_extent_of_synapse_maturation,_the_process_that_organizes_a_synapse_so_that_it_attains_its_fully_functional_state."_[GOC:ascb_2009,_GOC:dph,_GOC:tb]/"Any_process_that_modulates_the_frequency,_rate_or_extent_of_cellular_DNA-templated_transcription."_[GOC:go_curators,_GOC:txnOH]/"Any_process_that_modulates_the_frequency,_rate_or_extent_of_neuron_differentiation."_[GOC:go_curators]/"The_collection_of_axons_into_a_bundle_of_rods,_known_as_a_fascicle."_[GOC:dgh]/"The_formation_of_a_protein_dimer,_a_macromolecular_structure_consists_of_two_noncovalently_associated_identical_or_nonidentical_subunits."_[ISBN:0198506732]/"The_process_in_which_a_relatively_unspecialized_cell_acquires_specialized_features_of_a_neuron."_[GOC:mah]/"The_process_whose_specific_outcome_is_the_progression_of_nervous_tissue_over_time,_from_its_formation_to_its_mature_state."_[GOC:dgh]/</t>
  </si>
  <si>
    <t>IPR011598/IPR022575/IPR032649/IPR036638/</t>
  </si>
  <si>
    <t>Helix-loop-helix_DNA-binding_domain_superfamily/Myc-type,_basic_helix-loop-helix_(bHLH)_domain/Neurogenic_differentiation_factor,_domain_of_unknown_function/Neurogenic_differentiation_factor_2/</t>
  </si>
  <si>
    <t>HLH_DNA-bd_sf/Neurod2/Neurogenic_DUF/bHLH_dom/</t>
  </si>
  <si>
    <t>7209.EFO14405.2</t>
  </si>
  <si>
    <t>2.3e-25</t>
  </si>
  <si>
    <t>122.9</t>
  </si>
  <si>
    <t>396W1@33154,3BI1A@33208,3CW4U@33213,KOG3898@1,KOG3898@2759</t>
  </si>
  <si>
    <t>Neurogenic differentiation factor</t>
  </si>
  <si>
    <t>29,4118/29,8039</t>
  </si>
  <si>
    <t>28,2353/27,0588</t>
  </si>
  <si>
    <t>30,1961/30,1961</t>
  </si>
  <si>
    <t>14,5098/25,4902/14,5098/18,0392/12,9412/15,2941/29,0196/15,2941/26,2745</t>
  </si>
  <si>
    <t>13,7255/25,098/14,5098/18,4314/13,3333/15,2941/28,6275/13,7255/26,2745</t>
  </si>
  <si>
    <t>14,902/12,1569/27,0588/12,9412/14,5098/15,6863/15,2941/27,451/14,1176/25,8824/23,9216</t>
  </si>
  <si>
    <t>WBGene00000561</t>
  </si>
  <si>
    <t>30.9804</t>
  </si>
  <si>
    <t>Bm2595</t>
  </si>
  <si>
    <t>WBGene00222856</t>
  </si>
  <si>
    <t>GO:0016020/GO:0016021/GO:0018996/</t>
  </si>
  <si>
    <t>integral_component_of_membrane/membrane/molting_cycle,_collagen_and_cuticulin-based_cuticle/</t>
  </si>
  <si>
    <t>A_lipid_bilayer_along_with_all_the_proteins_and_protein_complexes_embedded_in_it_an_attached_to_it._[GOC:dos,_GOC:mah,_ISBN:0815316194]/"The_component_of_a_membrane_consisting_of_the_gene_products_and_protein_complexes_having_at_least_some_part_of_their_peptide_sequence_embedded_in_the_hydrophobic_region_of_the_membrane."_[GOC:dos,_GOC:go_curators]/"The_periodic_shedding_of_part_or_all_of_a_collagen_and_cuticulin-based_cuticle,_which_is_then_replaced_by_a_new_collagen_and_cuticulin-based_cuticle._An_example_of_this_is_found_in_the_Nematode_worm,_Caenorhabditis_elegans."_[GOC:jl,_GOC:mtg_sensu]/</t>
  </si>
  <si>
    <t>IPR001507/IPR003609/</t>
  </si>
  <si>
    <t>PAN/Apple_domain/Zona_pellucida_domain/</t>
  </si>
  <si>
    <t>Pan_app/ZP_dom/</t>
  </si>
  <si>
    <t>note=B._malayi_BMA-NOAH-1_protein,_contains_similarity_to_Pfam_domain_PF00100_Zona_pellucida-like_domain_contains_similarity_to_Interpro_domain_IPR001507_(Zona_pellucida_domain)</t>
  </si>
  <si>
    <t>7209.EFO25782.2</t>
  </si>
  <si>
    <t>1690.6</t>
  </si>
  <si>
    <t>GO:0008150,GO:0018996,GO:0032501,GO:0042303</t>
  </si>
  <si>
    <t>1KUVT@119089,28JEZ@1,2QVBC@2759,39Z4H@33154,3BICZ@33208,3D0HP@33213,40BKV@6231</t>
  </si>
  <si>
    <t>Zona pellucida (ZP) domain</t>
  </si>
  <si>
    <t>96,6973/96,6973</t>
  </si>
  <si>
    <t>29,7248/63,0275</t>
  </si>
  <si>
    <t>23,578/11,5596/12,9358</t>
  </si>
  <si>
    <t>33,3028/17,2477/46,6055/5,59633</t>
  </si>
  <si>
    <t>16,422/7,98165</t>
  </si>
  <si>
    <t>11,4679/11,4679/11,4679/12,3853</t>
  </si>
  <si>
    <t>WBGene00016422</t>
  </si>
  <si>
    <t>52.1101</t>
  </si>
  <si>
    <t>Bm2663</t>
  </si>
  <si>
    <t>WBGene00222924</t>
  </si>
  <si>
    <t>note=B._malayi_BMA-PAL-1_protein,_contains_similarity_toPfam_domain_PF00046_Homeobox_domain_contains_similarity_toInterpro_domains_IPR001356_(Homeobox_domain),_IPR009057(Homeodomain-like)</t>
  </si>
  <si>
    <t>31234.CRE20227</t>
  </si>
  <si>
    <t>4.9e-26</t>
  </si>
  <si>
    <t>125.2</t>
  </si>
  <si>
    <t>GO:0000228,GO:0000793,GO:0000794,GO:0000976,GO:0000977,GO:0000981,GO:0001012,GO:0001067,GO:0001704,GO:0001705,GO:0001712,GO:0003002,GO:0003674,GO:0003676,GO:0003677,GO:0003690,GO:0003700,GO:0003705,GO:0005488,GO:0005515,GO:0005575,GO:0005622,GO:0005623,GO:0005634,GO:0005694,GO:0006355,GO:0006357,GO:0007275,GO:0007369,GO:0007389,GO:0007398,GO:0008150,GO:0009653,GO:0009790,GO:0009792,GO:0009798,GO:0009880,GO:0009887,GO:0009888,GO:0009889,GO:0009891,GO:0009893,GO:0009948,GO:0009952,GO:0009987,GO:0010468,GO:0010556,GO:0010557,GO:0010604,GO:0010628,GO:0010668,GO:0010941,GO:0010942,GO:0019219,GO:0019222,GO:0030154,GO:0031323,GO:0031325,GO:0031326,GO:0031328,GO:0031974,GO:0031981,GO:0032501,GO:0032502,GO:0042692,GO:0042693,GO:0042981,GO:0043065,GO:0043067,GO:0043068,GO:0043226,GO:0043227,GO:0043228,GO:0043229,GO:0043231,GO:0043232,GO:0043233,GO:0043565,GO:0044212,GO:0044422,GO:0044424,GO:0044428,GO:0044446,GO:0044464,GO:0045165,GO:0045893,GO:0045935,GO:0045944,GO:0048513,GO:0048518,GO:0048522,GO:0048598,GO:0048646,GO:0048731,GO:0048856,GO:0048869,GO:0050789,GO:0050794,GO:0051171,GO:0051173,GO:0051252,GO:0051254,GO:0060255,GO:0060795,GO:0061061,GO:0065007,GO:0070013,GO:0080090,GO:0097159,GO:0140110,GO:1901363,GO:1902680,GO:1903506,GO:1903508,GO:1990837,GO:2000112,GO:2001141</t>
  </si>
  <si>
    <t>ko:K09312</t>
  </si>
  <si>
    <t>1KZPH@119089,3AA7T@33154,3BU2J@33208,3DAMB@33213,40EP0@6231,40WP7@6236,KOG0848@2759,KOG0850@1</t>
  </si>
  <si>
    <t>Transcriptional activator. Interacts with promoter regions for tbx-8.9, tbx-9, elt-1, hnd-1, scrt-1, and vab-7 genes. Binds the sequence ATTTATGAC. Binds to the enhancer region of the hlh-1 gene promoter during embryonic body wall muscle development. Activates the gene for mab-5 in embryo development. Necessary for vab-7 expression in C blastomeres in the posterior of embryos. Required for posterior V6 neuroectoblast cell fate specification during postembryonic neurogenesis (patterning) which generates the characteristic ray lineage during male tail development. Binds to ced-3 promoter and activated expression which is crucial for tail- spike cell death. Has a role in E cell specification in endoderm development and body wall muscle development</t>
  </si>
  <si>
    <t>20,1439/19,0647</t>
  </si>
  <si>
    <t>18,705/20,1439</t>
  </si>
  <si>
    <t>WBGene00003912</t>
  </si>
  <si>
    <t>32.3741</t>
  </si>
  <si>
    <t>Bm2680</t>
  </si>
  <si>
    <t>WBGene00222941</t>
  </si>
  <si>
    <t>GO:0004888/GO:0005216/GO:0005230/GO:0005886/GO:0006811/GO:0007268/GO:0016020/GO:0016021/GO:0022848/GO:0030054/GO:0034220/GO:0045202/GO:0045211/GO:0060078/GO:0060079/</t>
  </si>
  <si>
    <t>acetylcholine-gated_cation-selective_channel_activity/cell_junction/chemical_synaptic_transmission/excitatory_postsynaptic_potential/extracellular_ligand-gated_ion_channel_activity/integral_component_of_membrane/ion_channel_activity/ion_transmembrane_transport/ion_transport/membrane/plasma_membrane/postsynaptic_membrane/regulation_of_postsynaptic_membrane_potential/synapse/transmembrane_signaling_receptor_activity/</t>
  </si>
  <si>
    <t>A_cellular_component_that_forms_a_specialized_region_of_connection_between_two_or_more_cells_or_between_a_cell_and_the_extracellular_matrix._At_a_cell_junction,_anchoring_proteins_extend_through_the_plasma_membrane_to_link_cytoskeletal_proteins_in_one_cell_to_cytoskeletal_proteins_in_neighboring_cells_or_to_proteins_in_the_extracellular_matrix._[GOC:mah,_http://www.vivo.colostate.edu/hbooks/cmb/cells/pmemb/junctions_a.html,_ISBN:0198506732]/"A_lipid_bilayer_along_with_all_the_proteins_and_protein_complexes_embedded_in_it_an_attached_to_it."_[GOC:dos,_GOC:mah,_ISBN:0815316194]/"A_process_in_which_an_ion_is_transported_across_a_membrane."_[GOC:mah]/"A_process_that_leads_to_a_temporary_increase_in_postsynaptic_potential_due_to_the_flow_of_positively_charged_ions_into_the_postsynaptic_cell._The_flow_of_ions_that_causes_an_EPSP_is_an_excitatory_postsynaptic_current_(EPSC)_and_makes_it_easier_for_the_neuron_to_fire_an_action_potential."_[GOC:dph,_GOC:ef]/"A_specialized_area_of_membrane_facing_the_presynaptic_membrane_on_the_tip_of_the_nerve_ending_and_separated_from_it_by_a_minute_cleft_(the_synaptic_cleft)._Neurotransmitters_cross_the_synaptic_cleft_and_transmit_the_signal_to_the_postsynaptic_membrane."_[ISBN:0198506732]/"Any_process_that_modulates_the_potential_difference_across_a_post-synaptic_membrane."_[GOC:dph,_GOC:ef]/"Combining_with_an_extracellular_or_intracellular_signal_and_transmitting_the_signal_from_one_side_of_the_membrane_to_the_other_to_initiate_a_change_in_cell_activity_or_state_as_part_of_signal_transduction."_[GOC:go_curators,_Wikipedia:Transmembrane_receptor]/"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Enables_the_transmembrane_transfer_of_an_ion_by_a_channel_that_opens_when_a_specific_extracellular_ligand_has_been_bound_by_the_channel_complex_or_one_of_its_constituent_parts."_[GOC:mtg_transport,_ISBN:0815340729]/"Selectively_enables_the_transmembrane_transfer_of_a_cation_by_a_channel_that_opens_upon_binding_acetylcholine."_[GOC:mah,_PMID:2466967]/"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he_junction_between_a_nerve_fiber_of_one_neuron_and_another_neuron,_muscle_fiber_or_glial_cell._As_the_nerve_fiber_approaches_the_synapse_it_enlarges_into_a_specialized_structure,_the_presynaptic_nerve_ending,_which_contains_mitochondria_and_synaptic_vesicles._At_the_tip_of_the_nerve_ending_is_the_presynaptic_membrane;_facing_it,_and_separated_from_it_by_a_minute_cleft_(the_synaptic_cleft)_is_a_specialized_area_of_membrane_on_the_receiving_cell,_known_as_the_postsynaptic_membrane._In_response_to_the_arrival_of_nerve_impulses,_the_presynaptic_nerve_ending_secretes_molecules_of_neurotransmitters_into_the_synaptic_cleft._These_diffuse_across_the_cleft_and_transmit_the_signal_to_the_postsynaptic_membrane."_[ISBN:0198506732]/"The_membrane_surrounding_a_cell_that_separates_the_cell_from_its_external_environment._It_consists_of_a_phospholipid_bilayer_and_associated_proteins."_[ISBN:0716731363]/"The_vesicular_release_of_classical_neurotransmitter_molecules_from_a_presynapse,_across_a_chemical_synapse,_the_subsequent_activation_of_neurotransmitter_receptors_at_the_postsynapse_of_a_target_cell_(neuron,_muscle,_or_secretory_cell)_and_the_effects_of_this_activation_on_the_postsynaptic_membrane_potential_and_ionic_composition_of_the_postsynaptic_cytosol._This_process_encompasses_both_spontaneous_and_evoked_release_of_neurotransmitter_and_all_parts_of_synaptic_vesicle_exocytosis._Evoked_transmission_starts_with_the_arrival_of_an_action_potential_at_the_presynapse."_[GOC:jl,_MeSH:D009435]/</t>
  </si>
  <si>
    <t>IPR002394/IPR006029/IPR006201/IPR006202/IPR018000/IPR036719/IPR036734/</t>
  </si>
  <si>
    <t>Neurotransmitter-gated_ion-channel/Neurotransmitter-gated_ion-channel,_conserved_site/Neurotransmitter-gated_ion-channel_ligand-binding_domain/Neurotransmitter-gated_ion-channel_ligand-binding_domain_superfamily/Neurotransmitter-gated_ion-channel_transmembrane_domain/Neurotransmitter-gated_ion-channel_transmembrane_domain_superfamily/Nicotinic_acetylcholine_receptor/</t>
  </si>
  <si>
    <t>Neur_chan_lig-bd/Neur_chan_lig-bd_sf/Neur_channel/Neuro-gated_channel_TM_sf/Neurotrans-gated_channel_TM/Neurotransmitter_ion_chnl_CS/Nicotinic_acetylcholine_rcpt/</t>
  </si>
  <si>
    <t>note=B._malayi_BMA-ACR-11_protein,_contains_similarity_to_Pfam_domains_PF02931_(Neurotransmitter-gated_ion-channel_ligand_binding_domain),_PF02932_(Neurotransmitter-gated_ion-channel_transmembrane_region)_contains_similarity_to_Interpro_domains_IPR006201_(Neurotransmitter-gated_ion-channel),_IPR027361_(Nicotinic_acetylcholine-gated_receptor,_transmembrane_domain),_IPR006202_(Neurotransmitter-gated_ion-channel_ligand-binding_domain),_IPR006029_(Neurotransmitter-gated_ion-channel_transmembrane_domain),_IPR002394_(Nicotinic_acetylcholine_receptor)</t>
  </si>
  <si>
    <t>6238.CBG12686</t>
  </si>
  <si>
    <t>6.2e-164</t>
  </si>
  <si>
    <t>583.9</t>
  </si>
  <si>
    <t>GO:0003674,GO:0004888,GO:0005575,GO:0007154,GO:0007165,GO:0007267,GO:0007268,GO:0008150,GO:0009987,GO:0015464,GO:0023052,GO:0030594,GO:0038023,GO:0045202,GO:0050789,GO:0050794,GO:0050896,GO:0051716,GO:0060089,GO:0065007,GO:0098916,GO:0099536,GO:0099537</t>
  </si>
  <si>
    <t>1KVAB@119089,38D2T@33154,3BGXC@33208,3CWAV@33213,40C2E@6231,40YVC@6236,KOG3646@1,KOG3646@2759</t>
  </si>
  <si>
    <t>92,0502/29,4979</t>
  </si>
  <si>
    <t>40,795/18,6192</t>
  </si>
  <si>
    <t>85,3557/33,2636</t>
  </si>
  <si>
    <t>53,9749/55,8577</t>
  </si>
  <si>
    <t>17,7824/15,0628</t>
  </si>
  <si>
    <t>WBGene00000050</t>
  </si>
  <si>
    <t>56.9038</t>
  </si>
  <si>
    <t>Bm2688</t>
  </si>
  <si>
    <t>WBGene00222949</t>
  </si>
  <si>
    <t>GO:0001666/GO:0002119/GO:0004540/GO:0004672/GO:0005515/GO:0005524/GO:0006397/GO:0006468/GO:0006990/GO:0016020/GO:0016021/GO:0030968/GO:0035966/GO:0090501/GO:1902255/GO:1904576/GO:1990440/</t>
  </si>
  <si>
    <t>ATP_binding/RNA_phosphodiester_bond_hydrolysis/endoplasmic_reticulum_unfolded_protein_response/integral_component_of_membrane/mRNA_processing/membrane/nematode_larval_development/positive_regulation_of_intrinsic_apoptotic_signaling_pathway_by_p53_class_mediator/positive_regulation_of_transcription_from_RNA_polymerase_II_promoter_in_response_to_endoplasmic_reticulum_stress/positive_regulation_of_transcription_from_RNA_polymerase_II_promoter_involved_in_unfolded_protein_response/protein_binding/protein_kinase_activity/protein_phosphorylation/response_to_hypoxia/response_to_topologically_incorrect_protein/response_to_tunicamycin/ribonuclease_activity/</t>
  </si>
  <si>
    <t>A_lipid_bilayer_along_with_all_the_proteins_and_protein_complexes_embedded_in_it_an_attached_to_it._[GOC:dos,_GOC:mah,_ISBN:0815316194]/"Any_process_involved_in_the_conversion_of_a_primary_mRNA_transcript_into_one_or_more_mature_mRNA(s)_prior_to_translation_into_polypeptide."_[GOC:mah]/"Any_process_that_activates_or_increases_the_frequency,_rate_or_extent_of_intrinsic_apoptotic_signaling_pathway_by_p53_class_mediator."_[GOC:BHF,_GOC:mtg_apoptosis,_GOC:rl,_GOC:TermGenie,_PMID:15705871]/"Any_process_that_activates_or_increases_the_frequency,_rate_or_extent_of_transcription_from_an_RNA_polymerase_II_promoter_as_a_result_of_an_endoplasmic_reticulum_stress."_[GOC:bf,_GOC:PARL,_PMID:21113145]/"Any_process_that_results_in_a_change_in_state_or_activity_of_a_cell_or_an_organism_(in_terms_of_movement,_secretion,_enzyme_production,_gene_expression,_etc.)_as_a_result_of_a_protein_that_is_not_folded_in_its_correct_three-dimensional_structure."_[GOC:bf]/"Any_process_that_results_in_a_change_in_state_or_activity_of_a_cell_or_an_organism_(in_terms_of_movement,_secretion,_enzyme_production,_gene_expression,_etc.)_as_a_result_of_a_stimulus_indicating_lowered_oxygen_tension._Hypoxia,_defined_as_a_decline_in_O2_levels_below_normoxic_levels_of_20.8_-_20.95%,_results_in_metabolic_adaptation_at_both_the_cellular_and_organismal_level."_[GOC:hjd]/"Any_process_that_results_in_a_change_in_state_or_activity_of_a_cell_or_an_organism_(in_terms_of_movement,_secretion,_enzyme_production,_gene_expression,_etc.)_as_a_result_of_a_tunicamycin_stimulus."_[GO_REF:0000071,_GOC:TermGenie,_PMID:23106379]/"Catalysis_of_the_hydrolysis_of_phosphodiester_bonds_in_chains_of_RNA."_[GOC:mah,_ISBN:0198547684]/"Catalysis_of_the_phosphorylation_of_an_amino_acid_residue_in_a_protein,_usually_according_to_the_reaction:_a_protein_+_ATP_=_a_phosphoprotein_+_ADP."_[MetaCyc:PROTEIN-KINASE-RXN]/"Interacting_selectively_and_non-covalently_with_ATP,_adenosine_5'-triphosphate,_a_universally_important_coenzyme_and_enzyme_regulator."_[ISBN:0198506732]/"Interacting_selectively_and_non-covalently_with_any_protein_or_protein_complex_(a_complex_of_two_or_more_proteins_that_may_include_other_nonprotein_molecules)."_[GOC:go_curators]/"The_RNA_metabolic_process_in_which_the_phosphodiester_bonds_between_ribonucleotides_are_cleaved_by_hydrolysis."_[GOC:dph,_GOC:tb]/"The_activation_of_genes_whose_promoters_contain_a_specific_sequence_elements_such_as_the_unfolded_protein_response_element_(UPRE;_consensus_CAGCGTG)_or_the_ER_stress-response_element_(ERSE;_CCAAN(N)9CCACG),_as_a_result_of_signaling_via_the_unfolded_protein_response."_[GOC:dph,_GOC:mah,_GOC:tb,_GOC:txnOH,_PMID:12042763]/"The_component_of_a_membrane_consisting_of_the_gene_products_and_protein_complexes_having_at_least_some_part_of_their_peptide_sequence_embedded_in_the_hydrophobic_region_of_the_membrane."_[GOC:dos,_GOC:go_curators]/"The_process_of_introducing_a_phosphate_group_on_to_a_protein."_[GOC:hb]/"The_process_whose_specific_outcome_is_the_progression_of_the_nematode_larva_over_time,_from_its_formation_to_the_mature_structure._Nematode_larval_development_begins_with_the_newly_hatched_first-stage_larva_(L1)_and_ends_with_the_end_of_the_last_larval_stage_(for_example_the_fourth_larval_stage_(L4)_in_C._elegans)._Each_stage_of_nematode_larval_development_is_characterized_by_proliferation_of_specific_cell_lineages_and_an_increase_in_body_size_without_alteration_of_the_basic_body_plan._Nematode_larval_stages_are_separated_by_molts_in_which_each_stage-specific_exoskeleton,_or_cuticle,_is_shed_and_replaced_anew."_[GOC:ems,_GOC:kmv]/"The_series_of_molecular_signals_generated_as_a_consequence_of_the_presence_of_unfolded_proteins_in_the_endoplasmic_reticulum_(ER)_or_other_ER-related_stress;_results_in_changes_in_the_regulation_of_transcription_and_translation."_[GOC:mah,_PMID:12042763]/</t>
  </si>
  <si>
    <t>IPR000719/IPR008271/IPR010513/IPR011009/IPR011047/IPR015943/IPR018391/IPR018997/IPR033523/IPR038357/</t>
  </si>
  <si>
    <t>KEN_domain/KEN_domain_superfamily/PUB_domain/Protein_kinase-like_domain_superfamily/Protein_kinase_domain/Pyrrolo-quinoline_quinone_beta-propeller_repeat/Quinoprotein_alcohol_dehydrogenase-like_superfamily/Serine/threonine-protein_kinase,_active_site/Serine/threonine-protein_kinase/endoribonuclease_IRE2/WD40/YVTN_repeat-like-containing_domain_superfamily/</t>
  </si>
  <si>
    <t>IRE2/KEN_dom/KEN_sf/Kinase-like_dom_sf/PQQ_beta_propeller_repeat/PUB_domain/Prot_kinase_dom/Quinoprotein_ADH-like_supfam/Ser/Thr_kinase_AS/WD40/YVTN_repeat-like_dom_sf/</t>
  </si>
  <si>
    <t>note=B._malayi_BMA-IRE-1_protein,_contains_similarity_toPfam_domains_PF06479_(Ribonuclease_2-5A),_PF00069_(Proteinkinase_domain)_contains_similarity_to_Interpro_domainsIPR002290_(Serine/threonine/dual_specificity_proteinkinase,_catalytic_domain),_IPR011009_(Protein_kinase-likedomain),_IPR000719_(Protein_kinase_domain),_IPR010513_(KENdomain),_IPR006567_(PUG_domain)</t>
  </si>
  <si>
    <t>7209.EFO27881.2</t>
  </si>
  <si>
    <t>1.1e-263</t>
  </si>
  <si>
    <t>916.4</t>
  </si>
  <si>
    <t>GO:0001666,GO:0002119,GO:0002164,GO:0003674,GO:0003824,GO:0004518,GO:0004519,GO:0004521,GO:0004540,GO:0004672,GO:0004674,GO:0005575,GO:0005622,GO:0005623,GO:0005737,GO:0005783,GO:0005789,GO:0006139,GO:0006355,GO:0006357,GO:0006464,GO:0006468,GO:0006725,GO:0006793,GO:0006796,GO:0006807,GO:0006950,GO:0006986,GO:0006990,GO:0007154,GO:0007165,GO:0007275,GO:0008150,GO:0008152,GO:0009628,GO:0009791,GO:0009889,GO:0009891,GO:0009893,GO:0009966,GO:0009967,GO:0009987,GO:0010033,GO:0010468,GO:0010556,GO:0010557,GO:0010604,GO:0010628,GO:0010646,GO:0010647,GO:0010941,GO:0010942,GO:0012505,GO:0016020,GO:0016021,GO:0016070,GO:0016301,GO:0016310,GO:0016740,GO:0016772,GO:0016773,GO:0016787,GO:0016788,GO:0019219,GO:0019222,GO:0019538,GO:0023051,GO:0023052,GO:0023056,GO:0030176,GO:0030968,GO:0031224,GO:0031227,GO:0031323,GO:0031325,GO:0031326,GO:0031328,GO:0031984,GO:0032501,GO:0032502,GO:0033554,GO:0034620,GO:0034641,GO:0034976,GO:0035966,GO:0035967,GO:0036211,GO:0036293,GO:0042175,GO:0042221,GO:0042981,GO:0043065,GO:0043067,GO:0043068,GO:0043170,GO:0043226,GO:0043227,GO:0043229,GO:0043231,GO:0043412,GO:0044237,GO:0044238,GO:0044260,GO:0044267,GO:0044422,GO:0044424,GO:0044425,GO:0044432,GO:0044444,GO:0044446,GO:0044464,GO:0045893,GO:0045935,GO:0045944,GO:0046483,GO:0046677,GO:0048518,GO:0048522,GO:0048583,GO:0048584,GO:0048856,GO:0050789,GO:0050794,GO:0050896,GO:0051171,GO:0051173,GO:0051252,GO:0051254,GO:0051716,GO:0060255,GO:0065007,GO:0070482,GO:0070887,GO:0071310,GO:0071704,GO:0080090,GO:0090304,GO:0090305,GO:0090501,GO:0090502,GO:0098827,GO:0140096,GO:0140098,GO:1901360,GO:1901522,GO:1901564,GO:1901796,GO:1901798,GO:1902253,GO:1902255,GO:1902531,GO:1902533,GO:1902680,GO:1903506,GO:1903508,GO:1904576,GO:2000112,GO:2001141,GO:2001233,GO:2001235,GO:2001242,GO:2001244</t>
  </si>
  <si>
    <t>ko:K08852</t>
  </si>
  <si>
    <t>ko04140,ko04141,ko04210,ko04932,ko05010,map04140,map04141,map04210,map04932,map05010</t>
  </si>
  <si>
    <t>ko00000,ko00001,ko01000,ko01001</t>
  </si>
  <si>
    <t>1KY5Z@119089,38FA9@33154,3B9Q4@33208,3CT33@33213,40CAT@6231,COG0515@1,KOG1027@2759</t>
  </si>
  <si>
    <t>domain in protein kinases, N-glycanases and other nuclear proteins</t>
  </si>
  <si>
    <t>19,2872/49,6855</t>
  </si>
  <si>
    <t>11,3208/14,4654</t>
  </si>
  <si>
    <t>8,49057/27,044</t>
  </si>
  <si>
    <t>11,1111/11,9497</t>
  </si>
  <si>
    <t>16,2474/11,74/11,5304/9,01468</t>
  </si>
  <si>
    <t>9,74843/32,7044</t>
  </si>
  <si>
    <t>33,3333/33,3333</t>
  </si>
  <si>
    <t>8,1761/20,7547</t>
  </si>
  <si>
    <t>12,0545/16,3522/36,7925</t>
  </si>
  <si>
    <t>WBGene00002147</t>
  </si>
  <si>
    <t>43.8155</t>
  </si>
  <si>
    <t>Bm271</t>
  </si>
  <si>
    <t>WBGene00220532</t>
  </si>
  <si>
    <t>IPR005047/</t>
  </si>
  <si>
    <t>7TM_GPCR,_serpentine_receptor_class_xa_(Srxa)/</t>
  </si>
  <si>
    <t>7TM_GPCR_serpentine_rcpt_Srxa/</t>
  </si>
  <si>
    <t>note=contains_similarity_to_Pfam_domain_PF03383_Caenorhabditis_serpentine_receptor-like_protein,_class_xa_contains_similarity_to_Interpro_domain_IPR005047_(7TM_GPCR,_serpentine_receptor_class_xa_(Srxa))</t>
  </si>
  <si>
    <t>7209.EFO27809.1</t>
  </si>
  <si>
    <t>6.3e-91</t>
  </si>
  <si>
    <t>340.9</t>
  </si>
  <si>
    <t>1M0EZ@119089,2D50P@1,2SWXB@2759,3ATAJ@33154,3C3AA@33208,3DK8N@33213,40H6G@6231</t>
  </si>
  <si>
    <t>Bm278</t>
  </si>
  <si>
    <t>WBGene00220539</t>
  </si>
  <si>
    <t>3.3e-16</t>
  </si>
  <si>
    <t>90.5</t>
  </si>
  <si>
    <t>Bm2821</t>
  </si>
  <si>
    <t>WBGene00223082</t>
  </si>
  <si>
    <t>note=contains_similarity_to_Pfam_domain_PF00100_Zona_pellucida-like_domain_contains_similarity_to_Interpro_domain_IPR001507_(Zona_pellucida_domain)</t>
  </si>
  <si>
    <t>7209.EFO15825.1</t>
  </si>
  <si>
    <t>8.6e-170</t>
  </si>
  <si>
    <t>603.2</t>
  </si>
  <si>
    <t>GO:0005575,GO:0005576,GO:0031012,GO:0044421,GO:0060102,GO:0062023</t>
  </si>
  <si>
    <t>1KY4S@119089,28NIE@1,2QV41@2759,38UX3@33154,3BF2G@33208,3CSF6@33213,40FB1@6231</t>
  </si>
  <si>
    <t>Bm283</t>
  </si>
  <si>
    <t>WBGene00220544</t>
  </si>
  <si>
    <t>/GO:0004842/GO:0005634/GO:0016567/GO:0036297/</t>
  </si>
  <si>
    <t>/interstrand_cross-link_repair/nucleus/protein_ubiquitination/ubiquitin-protein_transferase_activity/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</si>
  <si>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Catalysis_of_the_transfer_of_ubiquitin_from_one_protein_to_another_via_the_reaction_X-Ub_+_Y_--&gt;_Y-Ub_+_X,_where_both_X-Ub_and_Y-Ub_are_covalent_linkages."_[GOC:BioGRID,_GOC:jh2,_PMID:9635407]/"Removal_of_a_DNA_interstrand_crosslink_(a_covalent_attachment_of_DNA_bases_on_opposite_strands_of_the_DNA)_and_restoration_of_the_DNA._DNA_interstrand_crosslinks_occur_when_both_strands_of_duplex_DNA_are_covalently_tethered_together_(e.g._by_an_exogenous_or_endogenous_agent),_thus_preventing_the_strand_unwinding_necessary_for_essential_DNA_functions_such_as_transcription_and_replication."_[GOC:vw,_PMID:16464006,_PMID:22064477]/"The_process_in_which_one_or_more_ubiquitin_groups_are_added_to_a_protein."_[GOC:ai]/</t>
  </si>
  <si>
    <t>/IPR001841/IPR013083/IPR037381/</t>
  </si>
  <si>
    <t>/E3_ubiquitin-protein_ligase_RFWD3/Zinc_finger,_RING-type/Zinc_finger,_RING/FYVE/PHD-type/</t>
  </si>
  <si>
    <t>/RFWD3/Znf_RING/Znf_RING/FYVE/PHD/</t>
  </si>
  <si>
    <t>Bm2834</t>
  </si>
  <si>
    <t>WBGene00223095</t>
  </si>
  <si>
    <t>GO:0008021/GO:0015220/GO:0015871/GO:0016020/GO:0016021/GO:0022857/GO:0030424/GO:0043005/GO:0043025/GO:0045202/GO:0055085/</t>
  </si>
  <si>
    <t>axon/choline_transmembrane_transporter_activity/choline_transport/integral_component_of_membrane/membrane/neuron_projection/neuronal_cell_body/synapse/synaptic_vesicle/transmembrane_transport/transmembrane_transporter_activity/</t>
  </si>
  <si>
    <t>A_lipid_bilayer_along_with_all_the_proteins_and_protein_complexes_embedded_in_it_an_attached_to_it._[GOC:dos,_GOC:mah,_ISBN:0815316194]/"A_prolongation_or_process_extending_from_a_nerve_cell,_e.g._an_axon_or_dendrite."_[GOC:jl,_http://www.cogsci.princeton.edu/~wn/]/"A_secretory_organelle,_typically_50_nm_in_diameter,_of_presynaptic_nerve_terminals;_accumulates_in_high_concentrations_of_neurotransmitters_and_secretes_these_into_the_synaptic_cleft_by_fusion_with_the_'active_zone'_of_the_presynaptic_plasma_membrane."_[PMID:10099709,_PMID:12563290]/"Enables_the_transfer_of_a_substance,_usually_a_specific_substance_or_a_group_of_related_substances,_from_one_side_of_a_membrane_to_the_other."_[GOC:jid,_GOC:mtg_transport,_ISBN:0815340729]/"Enables_the_transfer_of_choline_from_one_side_of_a_membrane_to_the_other._Choline_(2-hydroxyethyltrimethylammonium)_is_an_amino_alcohol_that_occurs_widely_in_living_organisms_as_a_constituent_of_certain_types_of_phospholipids_and_in_the_neurotransmitter_acetylcholine."_[GOC:ai]/"The_component_of_a_membrane_consisting_of_the_gene_products_and_protein_complexes_having_at_least_some_part_of_their_peptide_sequence_embedded_in_the_hydrophobic_region_of_the_membrane."_[GOC:dos,_GOC:go_curators]/"The_directed_movement_of_choline_into,_out_of_or_within_a_cell,_or_between_cells,_by_means_of_some_agent_such_as_a_transporter_or_pore._Choline_(2-hydroxyethyltrimethylammonium)_is_an_amino_alcohol_that_occurs_widely_in_living_organisms_as_a_constituent_of_certain_types_of_phospholipids_and_in_the_neurotransmitter_acetylcholine."_[GOC:ai]/"The_junction_between_a_nerve_fiber_of_one_neuron_and_another_neuron,_muscle_fiber_or_glial_cell._As_the_nerve_fiber_approaches_the_synapse_it_enlarges_into_a_specialized_structure,_the_presynaptic_nerve_ending,_which_contains_mitochondria_and_synaptic_vesicles._At_the_tip_of_the_nerve_ending_is_the_presynaptic_membrane;_facing_it,_and_separated_from_it_by_a_minute_cleft_(the_synaptic_cleft)_is_a_specialized_area_of_membrane_on_the_receiving_cell,_known_as_the_postsynaptic_membrane._In_response_to_the_arrival_of_nerve_impulses,_the_presynaptic_nerve_ending_secretes_molecules_of_neurotransmitters_into_the_synaptic_cleft._These_diffuse_across_the_cleft_and_transmit_the_signal_to_the_postsynaptic_membrane."_[ISBN:0198506732]/"The_long_process_of_a_neuron_that_conducts_nerve_impulses,_usually_away_from_the_cell_body_to_the_terminals_and_varicosities,_which_are_sites_of_storage_and_release_of_neurotransmitter."_[GOC:nln,_ISBN:0198506732]/"The_portion_of_a_neuron_that_includes_the_nucleus,_but_excludes_cell_projections_such_as_axons_and_dendrites."_[GOC:go_curators]/"The_process_in_which_a_solute_is_transported_across_a_lipid_bilayer,_from_one_side_of_a_membrane_to_the_other."_[GOC:dph,_GOC:jid]/</t>
  </si>
  <si>
    <t>IPR001734/IPR038377/</t>
  </si>
  <si>
    <t>Sodium/glucose_symporter_superfamily/Sodium/solute_symporter/</t>
  </si>
  <si>
    <t>Na/Glc_symporter_sf/Na/solute_symporter/</t>
  </si>
  <si>
    <t>note=B._malayi_BMA-CHO-1_protein,_contains_similarity_toPfam_domain_PF00474_Sodium:solute_symporter_familycontains_similarity_to_Interpro_domain_IPR001734(Sodium/solute_symporter)</t>
  </si>
  <si>
    <t>7209.EJD75725.1</t>
  </si>
  <si>
    <t>7.9e-292</t>
  </si>
  <si>
    <t>1009.2</t>
  </si>
  <si>
    <t>GO:0001505,GO:0003674,GO:0005215,GO:0005326,GO:0005575,GO:0005622,GO:0005623,GO:0005737,GO:0006807,GO:0006810,GO:0006811,GO:0006812,GO:0006836,GO:0008021,GO:0008150,GO:0008152,GO:0008291,GO:0008292,GO:0008324,GO:0008519,GO:0009058,GO:0009987,GO:0010817,GO:0012505,GO:0015075,GO:0015101,GO:0015220,GO:0015695,GO:0015696,GO:0015871,GO:0017144,GO:0022857,GO:0030133,GO:0030424,GO:0031410,GO:0031982,GO:0034220,GO:0036477,GO:0042133,GO:0042136,GO:0042445,GO:0042446,GO:0042995,GO:0043005,GO:0043025,GO:0043226,GO:0043227,GO:0043229,GO:0044237,GO:0044249,GO:0044297,GO:0044424,GO:0044444,GO:0044456,GO:0044464,GO:0045202,GO:0051179,GO:0051234,GO:0055085,GO:0065007,GO:0065008,GO:0070382,GO:0071702,GO:0071704,GO:0071705,GO:0072488,GO:0097164,GO:0097458,GO:0097708,GO:0098655,GO:0098793,GO:0099503,GO:0120025,GO:1900619,GO:1900620,GO:1901576</t>
  </si>
  <si>
    <t>ko:K14387</t>
  </si>
  <si>
    <t>ko04725,ko05231,map04725,map05231</t>
  </si>
  <si>
    <t>ko00000,ko00001,ko02000</t>
  </si>
  <si>
    <t>2.A.21.8</t>
  </si>
  <si>
    <t>1KV74@119089,39RBN@33154,3BCRC@33208,3CUSZ@33213,40B6R@6231,COG0591@1,KOG3761@2759</t>
  </si>
  <si>
    <t>Belongs to the sodium solute symporter (SSF) (TC 2.A.21) family</t>
  </si>
  <si>
    <t>69,9324/60,6419</t>
  </si>
  <si>
    <t>70,1013/47,1284</t>
  </si>
  <si>
    <t>70,6081/68,5811/21,1149/61,1486</t>
  </si>
  <si>
    <t>54,223/54,223</t>
  </si>
  <si>
    <t>17,0608/16,8919/17,9054/16,8919/18,2432</t>
  </si>
  <si>
    <t>17,2297/17,7365/17,0608/16,723/17,3986/18,2432/15,7095</t>
  </si>
  <si>
    <t>17,9054/17,0608/15,5405/18,9189</t>
  </si>
  <si>
    <t>WBGene00000501</t>
  </si>
  <si>
    <t>71.9595</t>
  </si>
  <si>
    <t>Bm295</t>
  </si>
  <si>
    <t>WBGene00220556</t>
  </si>
  <si>
    <t>IPR013083/</t>
  </si>
  <si>
    <t>Zinc_finger,_RING/FYVE/PHD-type/</t>
  </si>
  <si>
    <t>Znf_RING/FYVE/PHD/</t>
  </si>
  <si>
    <t>note=contains_similarity_to_Interpro_domain_IPR013083_(Zinc_finger,_RING/FYVE/PHD-type)</t>
  </si>
  <si>
    <t>Bm2981</t>
  </si>
  <si>
    <t>WBGene00223242</t>
  </si>
  <si>
    <t>GO:0003677/GO:0003700/GO:0003707/GO:0005634/GO:0006355/GO:0008270/GO:0043401/GO:0043565/GO:0046872/</t>
  </si>
  <si>
    <t>DNA-binding_transcription_factor_activity/DNA_binding/metal_ion_binding/nucleus/regulation_of_transcription,_DNA-templated/sequence-specific_DNA_binding/steroid_hormone_mediated_signaling_pathway/steroid_hormone_receptor_activity/zinc_ion_binding/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</si>
  <si>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_series_of_molecular_signals_mediated_by_a_steroid_hormone_binding_to_a_receptor."_[PMID:12606724]/"Any_molecular_function_by_which_a_gene_product_interacts_selectively_and_non-covalently_with_DNA_(deoxyribonucleic_acid)."_[GOC:dph,_GOC:jl,_GOC:tb,_GOC:vw]/"Any_process_that_modulates_the_frequency,_rate_or_extent_of_cellular_DNA-templated_transcription."_[GOC:go_curators,_GOC:txnOH]/"Combining_with_a_steroid_hormone_and_transmitting_the_signal_within_the_cell_to_initiate_a_change_in_cell_activity_or_function."_[GOC:signaling,_PMID:14708019]/"Interacting_selectively_and_non-covalently_with_DNA_of_a_specific_nucleotide_composition,_e.g._GC-rich_DNA_binding,_or_with_a_specific_sequence_motif_or_type_of_DNA_e.g._promotor_binding_or_rDNA_binding."_[GOC:jl]/"Interacting_selectively_and_non-covalently_with_any_metal_ion."_[GOC:ai]/"Interacting_selectively_and_non-covalently_with_zinc_(Zn)_ions."_[GOC:ai]/</t>
  </si>
  <si>
    <t>IPR000536/IPR001628/IPR001723/IPR013088/IPR035500/</t>
  </si>
  <si>
    <t>Nuclear_hormone_receptor/Nuclear_hormone_receptor,_ligand-binding_domain/Nuclear_hormone_receptor-like_domain_superfamily/Zinc_finger,_NHR/GATA-type/Zinc_finger,_nuclear_hormone_receptor-type/</t>
  </si>
  <si>
    <t>NHR_like_dom_sf/Nucl_hrmn_rcpt_lig-bd/Nuclear_hrmn_rcpt/Znf_NHR/GATA/Znf_hrmn_rcpt/</t>
  </si>
  <si>
    <t>note=contains_similarity_to_Pfam_domains_PF00104_(Ligand-binding_domain_of_nuclear_hormone_receptor),_PF00105_(Zinc_finger,_C4_type_(two_domains))_contains_similarity_to_Interpro_domains_IPR008946_(Nuclear_hormone_receptor,_ligand-binding),_IPR001628_(Zinc_finger,_nuclear_hormone_receptor-type),_IPR000536_(Nuclear_hormone_receptor,_ligand-binding,_core),_IPR001723_(Steroid_hormone_receptor)</t>
  </si>
  <si>
    <t>7209.EJD75201.1</t>
  </si>
  <si>
    <t>1.9e-268</t>
  </si>
  <si>
    <t>931.4</t>
  </si>
  <si>
    <t>39MN7@33154,3CP8G@33208,3E5D0@33213,40RGK@6231,KOG3575@1,KOG3575@2759</t>
  </si>
  <si>
    <t>54,4144/42,1622</t>
  </si>
  <si>
    <t>Bm3012</t>
  </si>
  <si>
    <t>WBGene00223273</t>
  </si>
  <si>
    <t>GO:0005509/GO:0007160/GO:0016020/GO:0016021/</t>
  </si>
  <si>
    <t>calcium_ion_binding/cell-matrix_adhesion/integral_component_of_membrane/membrane/</t>
  </si>
  <si>
    <t>A_lipid_bilayer_along_with_all_the_proteins_and_protein_complexes_embedded_in_it_an_attached_to_it._[GOC:dos,_GOC:mah,_ISBN:0815316194]/"Interacting_selectively_and_non-covalently_with_calcium_ions_(Ca2+)."_[GOC:ai]/"The_binding_of_a_cell_to_the_extracellular_matrix_via_adhesion_molecules."_[GOC:hb]/"The_component_of_a_membrane_consisting_of_the_gene_products_and_protein_complexes_having_at_least_some_part_of_their_peptide_sequence_embedded_in_the_hydrophobic_region_of_the_membrane."_[GOC:dos,_GOC:go_curators]/</t>
  </si>
  <si>
    <t>IPR000152/IPR000742/IPR001881/IPR003886/IPR013032/IPR018097/IPR024731/</t>
  </si>
  <si>
    <t>EGF-like,_conserved_site/EGF-like_calcium-binding,_conserved_site/EGF-like_calcium-binding_domain/EGF-like_domain/EGF-type_aspartate/asparagine_hydroxylation_site/EGF_domain/NIDO_domain/</t>
  </si>
  <si>
    <t>EGF-like_CS/EGF-like_Ca-bd_dom/EGF-like_dom/EGF-type_Asp/Asn_hydroxyl_site/EGF_Ca-bd_CS/EGF_dom/NIDO_dom/</t>
  </si>
  <si>
    <t>note=B._malayi_BMA-DEX-1_protein,_contains_similarity_toPfam_domains_PF06119_(Nidogen-like),_PF12947_(EGF_domain)contains_similarity_to_Interpro_domains_IPR003886(Nidogen,_extracellular_domain),_IPR001881_(EGF-likecalcium-binding_domain),_IPR000742_(Epidermal_growthfactor-like_domain),_IPR024731_(EGF_domain,_merozoitesurface_protein_1-like),_IPR023413_(Green_fluorescentprotein-like)</t>
  </si>
  <si>
    <t>7209.EJD75008.1</t>
  </si>
  <si>
    <t>1700.6</t>
  </si>
  <si>
    <t>GO:0003386,GO:0003387,GO:0003388,GO:0003389,GO:0003390,GO:0003391,GO:0005575,GO:0005623,GO:0005886,GO:0007275,GO:0007399,GO:0007423,GO:0008150,GO:0009987,GO:0016020,GO:0016043,GO:0016358,GO:0022008,GO:0030030,GO:0030154,GO:0030182,GO:0030425,GO:0031175,GO:0031252,GO:0031253,GO:0031256,GO:0032501,GO:0032502,GO:0032589,GO:0032590,GO:0036477,GO:0042995,GO:0043005,GO:0044425,GO:0044459,GO:0044463,GO:0044464,GO:0048468,GO:0048513,GO:0048666,GO:0048699,GO:0048731,GO:0048856,GO:0048869,GO:0071840,GO:0071944,GO:0097447,GO:0097458,GO:0098590,GO:0120025,GO:0120036,GO:0120038</t>
  </si>
  <si>
    <t>1KTXP@119089,39WUE@33154,3BNSS@33208,3D4HS@33213,40BUQ@6231,KOG4291@1,KOG4291@2759</t>
  </si>
  <si>
    <t>Extracellular domain of unknown function in nidogen (entactin) and hypothetical proteins.</t>
  </si>
  <si>
    <t>83,4969/90,901</t>
  </si>
  <si>
    <t>25,3345/69,4023</t>
  </si>
  <si>
    <t>32,3818/38,537/29,884</t>
  </si>
  <si>
    <t>27,3863/14,719</t>
  </si>
  <si>
    <t>WBGene00017028</t>
  </si>
  <si>
    <t>40.5888</t>
  </si>
  <si>
    <t>Bm3016</t>
  </si>
  <si>
    <t>WBGene00223277</t>
  </si>
  <si>
    <t>note=contains_similarity_to_Pfam_domain_PF01064_Activin_types_I_and_II_receptor_domain_contains_similarity_to_Interpro_domain_IPR000472_(TGF-beta_family_type_I/II_receptor,_extracellular_C-terminal_domain)</t>
  </si>
  <si>
    <t>92,9688/72,6562</t>
  </si>
  <si>
    <t>Bm3018</t>
  </si>
  <si>
    <t>WBGene00223279</t>
  </si>
  <si>
    <t>IPR007052/IPR007699/IPR008978/</t>
  </si>
  <si>
    <t>CS_domain/HSP20-like_chaperone/SGS_domain/</t>
  </si>
  <si>
    <t>CS_dom/HSP20-like_chaperone/SGS_dom/</t>
  </si>
  <si>
    <t>note=contains_similarity_to_Pfam_domains_PF04969_(CS_domain),_PF05002_(SGS_domain)_contains_similarity_to_Interpro_domains_IPR007699_(SGS),_IPR008978_(HSP20-like_chaperone),_IPR007052_(CS_domain)</t>
  </si>
  <si>
    <t>7209.EFO20248.2</t>
  </si>
  <si>
    <t>1.2e-66</t>
  </si>
  <si>
    <t>259.6</t>
  </si>
  <si>
    <t>ko:K12795</t>
  </si>
  <si>
    <t>ko04621,ko04626,map04621,map04626</t>
  </si>
  <si>
    <t>1KWJA@119089,38TPS@33154,3BJXA@33208,3CZTP@33213,40E04@6231,COG5091@1,KOG1309@2759</t>
  </si>
  <si>
    <t>SGS domain</t>
  </si>
  <si>
    <t>WBGene00008371</t>
  </si>
  <si>
    <t>37.7551</t>
  </si>
  <si>
    <t>Bm3084</t>
  </si>
  <si>
    <t>WBGene00223345</t>
  </si>
  <si>
    <t>GO:0004114/GO:0007165/GO:0008081/GO:0016787/GO:0046872/</t>
  </si>
  <si>
    <t>3',5'-cyclic-nucleotide_phosphodiesterase_activity/hydrolase_activity/metal_ion_binding/phosphoric_diester_hydrolase_activity/signal_transduction/</t>
  </si>
  <si>
    <t>Catalysis_of_the_hydrolysis_of_a_phosphodiester_to_give_a_phosphomonoester_and_a_free_hydroxyl_group._[EC:3.1.4,_GOC:curators]/"Catalysis_of_the_hydrolysis_of_various_bonds,_e.g._C-O,_C-N,_C-C,_phosphoric_anhydride_bonds,_etc._Hydrolase_is_the_systematic_name_for_any_enzyme_of_EC_class_3."_[ISBN:0198506732]/"Catalysis_of_the_reaction:_nucleoside_3',5'-cyclic_phosphate_+_H2O_=_nucleoside_5'-phosphate."_[EC:3.1.4.17]/"Interacting_selectively_and_non-covalently_with_any_metal_ion."_[GOC:ai]/"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
  </si>
  <si>
    <t>IPR002073/IPR003607/IPR023088/IPR023174/IPR036971/</t>
  </si>
  <si>
    <t>3'5'-cyclic_nucleotide_phosphodiesterase/3'5'-cyclic_nucleotide_phosphodiesterase,_catalytic_domain/3'5'-cyclic_nucleotide_phosphodiesterase,_catalytic_domain_superfamily/3'5'-cyclic_nucleotide_phosphodiesterase,_conserved_site/HD/PDEase_domain/</t>
  </si>
  <si>
    <t>HD/PDEase_dom/PDEase/PDEase_CS/PDEase_catalytic_dom/PDEase_catalytic_dom_sf/</t>
  </si>
  <si>
    <t>note=B._malayi_BMA-PDE-3_protein</t>
  </si>
  <si>
    <t>7209.EJD76431.1</t>
  </si>
  <si>
    <t>3.7e-263</t>
  </si>
  <si>
    <t>914.1</t>
  </si>
  <si>
    <t>GO:0000302,GO:0006935,GO:0006950,GO:0006979,GO:0007154,GO:0007165,GO:0007275,GO:0007568,GO:0007602,GO:0007610,GO:0007635,GO:0008150,GO:0008340,GO:0009268,GO:0009314,GO:0009416,GO:0009581,GO:0009582,GO:0009583,GO:0009605,GO:0009628,GO:0009636,GO:0009893,GO:0009966,GO:0009968,GO:0009987,GO:0010035,GO:0010259,GO:0010446,GO:0010468,GO:0010604,GO:0010628,GO:0010646,GO:0010648,GO:0010752,GO:0010754,GO:0019222,GO:0023051,GO:0023052,GO:0023057,GO:0032501,GO:0032502,GO:0040011,GO:0042221,GO:0042330,GO:0042493,GO:0042542,GO:0046677,GO:0048518,GO:0048519,GO:0048523,GO:0048583,GO:0048585,GO:0048856,GO:0050789,GO:0050794,GO:0050896,GO:0051606,GO:0051716,GO:0060255,GO:0065007,GO:1901700,GO:1902531,GO:1902532</t>
  </si>
  <si>
    <t>3.1.4.17</t>
  </si>
  <si>
    <t>ko:K19021</t>
  </si>
  <si>
    <t>ko00230,ko04022,ko04024,ko04924,ko05032,map00230,map04022,map04024,map04924,map05032</t>
  </si>
  <si>
    <t>1KTJE@119089,39MIK@33154,3CP59@33208,3E59F@33213,40CA6@6231,KOG3688@1,KOG3688@2759</t>
  </si>
  <si>
    <t>Metal dependent phosphohydrolases with conserved 'HD' motif.</t>
  </si>
  <si>
    <t>34,3799/28,7284</t>
  </si>
  <si>
    <t>46,4678/48,1947</t>
  </si>
  <si>
    <t>32,3391/11,146</t>
  </si>
  <si>
    <t>31,0832/13,5008/13,9717/17,4254/13,3438/33,281/17,2684/17,8964/13,9717/15,8556</t>
  </si>
  <si>
    <t>30,9262/13,3438/13,5008/16,7975/13,3438/33,595/16,4835/17,5824/13,0298/15,8556</t>
  </si>
  <si>
    <t>31,5542/14,4427/13,9717/17,2684/13,8148/14,9137/33,438/10,5181/17,7394/13,9717</t>
  </si>
  <si>
    <t>WBGene00008443</t>
  </si>
  <si>
    <t>43.1711</t>
  </si>
  <si>
    <t>Bm3148</t>
  </si>
  <si>
    <t>WBGene00223409</t>
  </si>
  <si>
    <t>GO:0005509/GO:0005515/GO:0007219/GO:0007275/GO:0016021/GO:0030154/GO:0050793/</t>
  </si>
  <si>
    <t>Notch_signaling_pathway/calcium_ion_binding/cell_differentiation/integral_component_of_membrane/multicellular_organism_development/protein_binding/regulation_of_developmental_process/</t>
  </si>
  <si>
    <t>A_series_of_molecular_signals_initiated_by_the_binding_of_an_extracellular_ligand_to_the_receptor_Notch_on_the_surface_of_a_target_cell,_and_ending_with_regulation_of_a_downstream_cellular_process,_e.g._transcription._[GOC:go_curators,_GOC:signaling]/"Any_process_that_modulates_the_frequency,_rate_or_extent_of_development,_the_biological_process_whose_specific_outcome_is_the_progression_of_a_multicellular_organism_over_time_from_an_initial_condition_(e.g._a_zygote,_or_a_young_adult)_to_a_later_condition_(e.g._a_multicellular_animal_or_an_aged_adult)."_[GOC:go_curators]/"Interacting_selectively_and_non-covalently_with_any_protein_or_protein_complex_(a_complex_of_two_or_more_proteins_that_may_include_other_nonprotein_molecules)."_[GOC:go_curators]/"Interacting_selectively_and_non-covalently_with_calcium_ions_(Ca2+)."_[GOC:ai]/"The_biological_process_whose_specific_outcome_is_the_progression_of_a_multicellular_organism_over_time_from_an_initial_condition_(e.g._a_zygote_or_a_young_adult)_to_a_later_condition_(e.g._a_multicellular_animal_or_an_aged_adult)."_[GOC:dph,_GOC:ems,_GOC:isa_complete,_GOC:tb]/"The_component_of_a_membrane_consisting_of_the_gene_products_and_protein_complexes_having_at_least_some_part_of_their_peptide_sequence_embedded_in_the_hydrophobic_region_of_the_membrane."_[GOC:dos,_GOC:go_curators]/"The_process_in_which_relatively_unspecialized_cells,_e.g._embryonic_or_regenerative_cells,_acquire_specialized_structural_and/or_functional_features_that_characterize_the_cells,_tissues,_or_organs_of_the_mature_organism_or_some_other_relatively_stable_phase_of_the_organism's_life_history._Differentiation_includes_the_processes_involved_in_commitment_of_a_cell_to_a_specific_fate_and_its_subsequent_development_to_the_mature_state."_[ISBN:0198506732]/</t>
  </si>
  <si>
    <t>IPR000152/IPR000742/IPR000800/IPR001881/IPR002110/IPR008297/IPR009030/IPR010660/IPR011656/IPR013032/IPR018097/IPR020683/IPR035993/IPR036770/</t>
  </si>
  <si>
    <t>Ankyrin_repeat/Ankyrin_repeat-containing_domain/Ankyrin_repeat-containing_domain_superfamily/EGF-like,_conserved_site/EGF-like_calcium-binding,_conserved_site/EGF-like_calcium-binding_domain/EGF-like_domain/EGF-type_aspartate/asparagine_hydroxylation_site/Growth_factor_receptor_cysteine-rich_domain_superfamily/Notch/Notch,_NODP_domain/Notch,_NOD_domain/Notch-like_domain_superfamily/Notch_domain/</t>
  </si>
  <si>
    <t>Ankyrin_rpt/Ankyrin_rpt-contain_dom/Ankyrin_rpt-contain_sf/EGF-like_CS/EGF-like_Ca-bd_dom/EGF-like_dom/EGF-type_Asp/Asn_hydroxyl_site/EGF_Ca-bd_CS/Growth_fac_rcpt_cys_sf/Notch/Notch-like_dom_sf/Notch_NODP_dom/Notch_NOD_dom/Notch_dom/</t>
  </si>
  <si>
    <t>note=contains_similarity_to_Pfam_domains_PF00008_(EGF-like_domain),_PF00066_(LNR_domain),_PF06816_(NOTCH_protein),_PF07645_(Calcium-binding_EGF_domain),_PF12661_(Human_growth_factor-like_EGF),_PF12796_(Ankyrin_repeats_(3_copies)),_PF07684_(NOTCH_protein),_PF00023_(Ankyrin_repeat)_contains_similarity_to_Interpro_domains_IPR010660_(Notch,_NOD_domain),_IPR001881_(EGF-like_calcium-binding_domain),_IPR000742_(Epidermal_growth_factor-like_domain),_IPR009030_(Insulin-like_growth_factor_binding_protein,_N-terminal),_IPR000800_(Notch_domain),_IPR013032_(EGF-like,_conserved_site),_IPR020683_(Ankyrin_repeat-containing_domain),_IPR011656_(Notch,_NODP_domain),_IPR002110_(Ankyrin_repeat)</t>
  </si>
  <si>
    <t>39,9763/11,0585</t>
  </si>
  <si>
    <t>26,7297/20,1656</t>
  </si>
  <si>
    <t>20,5204/8,04258/12,4187</t>
  </si>
  <si>
    <t>16,4991/16,2034/20,4021</t>
  </si>
  <si>
    <t>15,7303/35,3637</t>
  </si>
  <si>
    <t>22,945/8,98876/7,15553</t>
  </si>
  <si>
    <t>26,0792/33,2348/26,0792</t>
  </si>
  <si>
    <t>2,66115/2,77942</t>
  </si>
  <si>
    <t>WBGene00003001</t>
  </si>
  <si>
    <t>23.2407</t>
  </si>
  <si>
    <t>Bm3152</t>
  </si>
  <si>
    <t>WBGene00223413</t>
  </si>
  <si>
    <t>GO:0001708/GO:0003676/GO:0003729/GO:0003730/GO:0005634/GO:0005737/GO:0007549/GO:0008270/GO:0019899/GO:0031054/GO:0040034/GO:0042659/GO:0070878/GO:0070883/GO:1990715/GO:2000635/</t>
  </si>
  <si>
    <t>cell_fate_specification/cytoplasm/dosage_compensation/enzyme_binding/mRNA_3'-UTR_binding/mRNA_CDS_binding/mRNA_binding/negative_regulation_of_primary_miRNA_processing/nucleic_acid_binding/nucleus/pre-miRNA_binding/pre-miRNA_processing/primary_miRNA_binding/regulation_of_cell_fate_specification/regulation_of_development,_heterochronic/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</si>
  <si>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ll_of_the_contents_of_a_cell_excluding_the_plasma_membrane_and_nucleus,_but_including_other_subcellular_structures."_[ISBN:0198547684]/"Any_process_involved_in_the_conversion_of_a_pre-microRNA_transcript_into_a_mature_microRNA_molecule."_[GOC:sl,_PMID:15211354]/"Any_process_that_mediates_the_adoption_of_a_specific_fate_by_a_cell."_[GOC:go_curators]/"Any_process_that_modulates_the_consistent_predetermined_time_point_at_which_an_integrated_living_unit_or_organism_progresses_from_an_initial_condition_to_a_later_condition_and_the_rate_at_which_this_time_point_is_reached."_[PMID:9442909]/"Any_process_that_stops,_prevents_or_reduces_the_frequency,_rate_or_extent_of_primary_microRNA_processing."_[GOC:dph,_GOC:sl]/"Compensating_for_the_variation_in_the_unpaired_sex_chromosome:autosome_chromosome_ratios_between_sexes_by_activation_or_inactivation_of_genes_on_one_or_both_of_the_sex_chromosomes."_[GOC:ems,_ISBN:0140512888,_PMID:11498577]/"Interacting_selectively_and_non-covalently_with_a_precursor_microRNA_(pre-miRNA)_transcript,_a_stem-loop-containing_precursor_of_microRNA."_[PMID:18951094]/"Interacting_selectively_and_non-covalently_with_a_primary_microRNA_(pri-miRNA)_transcript,_an_RNA_molecule_that_is_processed_into_a_short_hairpin-shaped_structure_called_a_pre-miRNA_and_finally_into_a_functional_miRNA._Both_double-stranded_and_single-stranded_regions_of_a_pri-miRNA_are_required_for_binding."_[GOC:sl,_PMID:15531877,_PMID:15574589]/"Interacting_selectively_and_non-covalently_with_any_enzyme."_[GOC:jl]/"Interacting_selectively_and_non-covalently_with_any_nucleic_acid."_[GOC:jl]/"Interacting_selectively_and_non-covalently_with_messenger_RNA_(mRNA),_an_intermediate_molecule_between_DNA_and_protein._mRNA_includes_UTR_and_coding_sequences,_but_does_not_contain_introns."_[GOC:kmv,_GOC:pr,_SO:0000234]/"Interacting_selectively_and_non-covalently_with_the_3'_untranslated_region_of_an_mRNA_molecule."_[GOC:mah]/"Interacting_selectively_and_non-covalently_with_the_coding_sequence_(CDS)_of_an_mRNA_molecule."_[GOC:kmv,_PMID:25805859,_SO:0000316]/"Interacting_selectively_and_non-covalently_with_zinc_(Zn)_ions."_[GOC:ai]/"The_process_involved_in_the_specification_of_cell_identity._Once_specification_has_taken_place,_a_cell_will_be_committed_to_differentiate_down_a_specific_pathway_if_left_in_its_normal_environment."_[GOC:go_curators]/</t>
  </si>
  <si>
    <t>IPR001878/IPR002059/IPR011129/IPR012340/IPR019844/IPR036875/</t>
  </si>
  <si>
    <t>Cold-shock_conserved_site/Cold-shock_protein,_DNA-binding/Cold_shock_domain/Nucleic_acid-binding,_OB-fold/Zinc_finger,_CCHC-type/Zinc_finger,_CCHC-type_superfamily/</t>
  </si>
  <si>
    <t>CSD/CSP_DNA-bd/Cold-shock_CS/NA-bd_OB-fold/Znf_CCHC/Znf_CCHC_sf/</t>
  </si>
  <si>
    <t>note=B._malayi_BMA-LIN-28_protein,_contains_similarity_to_Pfam_domain_PF00313_'Cold-shock'_DNA-binding_domain_contains_similarity_to_Interpro_domains_IPR012340_(Nucleic_acid-binding,_OB-fold),_IPR011129_(Cold_shock_protein),_IPR001878_(Zinc_finger,_CCHC-type),_IPR002059_(Cold-shock_protein,_DNA-binding)</t>
  </si>
  <si>
    <t>7209.EFO22450.2</t>
  </si>
  <si>
    <t>2.3e-75</t>
  </si>
  <si>
    <t>288.5</t>
  </si>
  <si>
    <t>GO:0001708,GO:0003674,GO:0003676,GO:0003723,GO:0003729,GO:0003730,GO:0005488,GO:0005515,GO:0005575,GO:0005622,GO:0005623,GO:0005634,GO:0005737,GO:0006139,GO:0006396,GO:0006725,GO:0006807,GO:0007549,GO:0008150,GO:0008152,GO:0009892,GO:0009893,GO:0009987,GO:0010033,GO:0010453,GO:0010467,GO:0010468,GO:0010604,GO:0010605,GO:0010608,GO:0010628,GO:0010629,GO:0014070,GO:0016070,GO:0016441,GO:0016458,GO:0019219,GO:0019222,GO:0019899,GO:0030154,GO:0031047,GO:0031050,GO:0031054,GO:0031323,GO:0031324,GO:0032502,GO:0034470,GO:0034641,GO:0034660,GO:0035194,GO:0035195,GO:0035196,GO:0040029,GO:0040034,GO:0042221,GO:0042659,GO:0043170,GO:0043226,GO:0043227,GO:0043229,GO:0043231,GO:0043331,GO:0044237,GO:0044238,GO:0044424,GO:0044464,GO:0045165,GO:0045595,GO:0045934,GO:0046483,GO:0048518,GO:0048519,GO:0048523,GO:0048583,GO:0048585,GO:0048869,GO:0050789,GO:0050793,GO:0050794,GO:0050896,GO:0051171,GO:0051172,GO:0051252,GO:0051253,GO:0051716,GO:0060147,GO:0060149,GO:0060255,GO:0060964,GO:0060965,GO:0060966,GO:0060967,GO:0060968,GO:0060969,GO:0065007,GO:0070878,GO:0070883,GO:0070887,GO:0070918,GO:0070920,GO:0071310,GO:0071359,GO:0071407,GO:0071704,GO:0080090,GO:0090304,GO:0097159,GO:1901360,GO:1901363,GO:1901698,GO:1901699,GO:1903798,GO:1903799,GO:1990715,GO:2000634,GO:2000635</t>
  </si>
  <si>
    <t>ko:K18754</t>
  </si>
  <si>
    <t>ko00000,ko03019</t>
  </si>
  <si>
    <t>1KZDC@119089,39U6A@33154,3BFME@33208,3CYMM@33213,40GGX@6231,COG1278@1,KOG3070@2759</t>
  </si>
  <si>
    <t>Heterochronic protein which controls the choice of stage specific cell fates. Regulates the timing of the second larval stage events (L2 events) in the hypodermis</t>
  </si>
  <si>
    <t>38,0711/38,0711/37,0558</t>
  </si>
  <si>
    <t>38,5787/38,5787</t>
  </si>
  <si>
    <t>29,9492/30,9645</t>
  </si>
  <si>
    <t>29,4416/31,4721</t>
  </si>
  <si>
    <t>28,934/29,9492/21,8274</t>
  </si>
  <si>
    <t>WBGene00003014</t>
  </si>
  <si>
    <t>35.0254</t>
  </si>
  <si>
    <t>Bm3199</t>
  </si>
  <si>
    <t>WBGene00223460</t>
  </si>
  <si>
    <t>GO:0008519/GO:0015696/GO:0016020/GO:0016021/GO:0072488/</t>
  </si>
  <si>
    <t>ammonium_transmembrane_transport/ammonium_transmembrane_transporter_activity/ammonium_transport/integral_component_of_membrane/membrane/</t>
  </si>
  <si>
    <t>A_lipid_bilayer_along_with_all_the_proteins_and_protein_complexes_embedded_in_it_an_attached_to_it._[GOC:dos,_GOC:mah,_ISBN:0815316194]/"Enables_the_transfer_of_ammonium_from_one_side_of_a_membrane_to_the_other._Ammonium_is_the_cation_NH4+_which_is_formed_from_N2_by_root-nodule_bacteria_in_leguminous_plants_and_is_an_excretory_product_in_ammonotelic_animals."_[GOC:go_curators,_ISBN:0198506732]/"The_component_of_a_membrane_consisting_of_the_gene_products_and_protein_complexes_having_at_least_some_part_of_their_peptide_sequence_embedded_in_the_hydrophobic_region_of_the_membrane."_[GOC:dos,_GOC:go_curators]/"The_directed_movement_of_ammonium_into,_out_of_or_within_a_cell,_or_between_cells,_by_means_of_some_agent_such_as_a_transporter_or_pore._Ammonium_is_the_cation_NH4+_which_is_formed_from_N2_by_root-nodule_bacteria_in_leguminous_plants_and_is_an_excretory_product_in_ammonotelic_animals."_[ISBN:0198506732]/"The_process_in_which_ammonium_is_transported_across_a_membrane._Ammonium_is_the_cation_NH4+."_[GOC:mah]/</t>
  </si>
  <si>
    <t>IPR002229/IPR024041/IPR029020/</t>
  </si>
  <si>
    <t>Ammonium/urea_transporter/Ammonium_transporter_AmtB-like_domain/Blood_group_Rhesus_C/E/D_polypeptide/</t>
  </si>
  <si>
    <t>Ammonium/urea_transptr/NH4_transpt_AmtB-like_dom/RhesusRHD/</t>
  </si>
  <si>
    <t>note=B._malayi_BMA-RHR-1_protein,_contains_similarity_toPfam_domain_PF00909_Ammonium_Transporter_Family_containssimilarity_to_Interpro_domains_IPR002229_(Blood_groupRhesus_C/E/D_polypeptide),_IPR024041_(Ammonium_transporterAmtB-like_domain),_IPR029020_(Ammonium/urea_transporter)</t>
  </si>
  <si>
    <t>7209.EFO17665.2</t>
  </si>
  <si>
    <t>1.2e-221</t>
  </si>
  <si>
    <t>775.8</t>
  </si>
  <si>
    <t>ko:K06580</t>
  </si>
  <si>
    <t>ko00000,ko02000,ko04090</t>
  </si>
  <si>
    <t>1.A.11.4</t>
  </si>
  <si>
    <t>1KUVN@119089,38DUR@33154,3BBEQ@33208,3CT14@33213,40AK7@6231,KOG3796@1,KOG3796@2759</t>
  </si>
  <si>
    <t>Belongs to the ammonium transporter (TC 2.A.49) family. Rh subfamily</t>
  </si>
  <si>
    <t>39,1039/40,3259</t>
  </si>
  <si>
    <t>38,0855/38,9002/38,9002</t>
  </si>
  <si>
    <t>36,0489/27,6986/37,4745/39,7149</t>
  </si>
  <si>
    <t>17,5153/16,7006</t>
  </si>
  <si>
    <t>32,7902/33,1976/33,4012</t>
  </si>
  <si>
    <t>32,3829/33,8086/31,9756/31,9756</t>
  </si>
  <si>
    <t>34,2159/32,1792/33,8086/31,3646/33,1976/32,3829</t>
  </si>
  <si>
    <t>WBGene00004358</t>
  </si>
  <si>
    <t>43.3809</t>
  </si>
  <si>
    <t>Bm3209</t>
  </si>
  <si>
    <t>WBGene00223470</t>
  </si>
  <si>
    <t>/GO:0005886/GO:0005921/GO:0006811/GO:0016020/GO:0016021/GO:0030054/</t>
  </si>
  <si>
    <t>/cell_junction/gap_junction/integral_component_of_membrane/ion_transport/membrane/plasma_membrane/</t>
  </si>
  <si>
    <t>/"A_cell-cell_junction_composed_of_pannexins_or_innexins_and_connexins,_two_different_families_of_channel-forming_proteins."_[GOC:mah,_GOC:mtg_muscle,_http://en.wikipedia.org/wiki/Gap_junction,_http://www.vivo.colostate.edu/hbooks/cmb/cells/pmemb/junctions_g.html,_ISBN:0815332181,_PMID:22366062]/"A_cellular_component_that_forms_a_specialized_region_of_connection_between_two_or_more_cells_or_between_a_cell_and_the_extracellular_matrix._At_a_cell_junction,_anchoring_proteins_extend_through_the_plasma_membrane_to_link_cytoskeletal_proteins_in_one_cell_to_cytoskeletal_proteins_in_neighboring_cells_or_to_proteins_in_the_extracellular_matrix."_[GOC:mah,_http://www.vivo.colostate.edu/hbooks/cmb/cells/pmemb/junctions_a.html,_ISBN:0198506732]/"A_lipid_bilayer_along_with_all_the_proteins_and_protein_complexes_embedded_in_it_an_attached_to_it."_[GOC:dos,_GOC:mah,_ISBN:0815316194]/"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he_membrane_surrounding_a_cell_that_separates_the_cell_from_its_external_environment._It_consists_of_a_phospholipid_bilayer_and_associated_proteins."_[ISBN:0716731363]/</t>
  </si>
  <si>
    <t>/biological_process/cellular_component/</t>
  </si>
  <si>
    <t>IPR000990/</t>
  </si>
  <si>
    <t>Innexin/</t>
  </si>
  <si>
    <t>note=B._malayi_BMA-INX-2_protein,_contains_similarity_toPfam_domain_PF00876_Innexin_contains_similarity_toInterpro_domain_IPR000990_(Innexin)</t>
  </si>
  <si>
    <t>7209.EFO27765.1</t>
  </si>
  <si>
    <t>1.4e-262</t>
  </si>
  <si>
    <t>911.8</t>
  </si>
  <si>
    <t>GO:0003674,GO:0005215,GO:0005243,GO:0005575,GO:0005623,GO:0005886,GO:0005911,GO:0005921,GO:0006810,GO:0008150,GO:0015267,GO:0016020,GO:0022803,GO:0022829,GO:0022857,GO:0030054,GO:0044464,GO:0051179,GO:0051234,GO:0055077,GO:0055085,GO:0071944</t>
  </si>
  <si>
    <t>ko:K22037</t>
  </si>
  <si>
    <t>1.A.25.1</t>
  </si>
  <si>
    <t>1KYJZ@119089,2BWHM@1,2S565@2759,3A6SH@33154,3BTPA@33208,3DA61@33213,40FBB@6231</t>
  </si>
  <si>
    <t>Structural component of the gap junctions</t>
  </si>
  <si>
    <t>33,8809/27,3101/14,1684</t>
  </si>
  <si>
    <t>27,3101/46,8172/17,6591</t>
  </si>
  <si>
    <t>16,8378/15,1951/14,7844/14,5791/14,7844/16,0164</t>
  </si>
  <si>
    <t>Bm3230</t>
  </si>
  <si>
    <t>WBGene00223491</t>
  </si>
  <si>
    <t>GO:0004222/GO:0006508/GO:0008233/GO:0008237/GO:0008270/GO:0016787/GO:0046872/</t>
  </si>
  <si>
    <t>hydrolase_activity/metal_ion_binding/metalloendopeptidase_activity/metallopeptidase_activity/peptidase_activity/proteolysis/zinc_ion_binding/</t>
  </si>
  <si>
    <t>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internal,_alpha-peptide_bonds_in_a_polypeptide_chain_by_a_mechanism_in_which_water_acts_as_a_nucleophile,_one_or_two_metal_ions_hold_the_water_molecule_in_place,_and_charged_amino_acid_side_chains_are_ligands_for_the_metal_ions."_[GOC:mah,_http://merops.sanger.ac.uk/about/glossary.htm#CATTYPE,_http://merops.sanger.ac.uk/about/glossary.htm#ENDOPEPTIDASE]/"Catalysis_of_the_hydrolysis_of_peptide_bonds_by_a_mechanism_in_which_water_acts_as_a_nucleophile,_one_or_two_metal_ions_hold_the_water_molecule_in_place,_and_charged_amino_acid_side_chains_are_ligands_for_the_metal_ions."_[GOC:mah,_http://merops.sanger.ac.uk/about/glossary.htm#CATTYPE]/"Catalysis_of_the_hydrolysis_of_various_bonds,_e.g._C-O,_C-N,_C-C,_phosphoric_anhydride_bonds,_etc._Hydrolase_is_the_systematic_name_for_any_enzyme_of_EC_class_3."_[ISBN:0198506732]/"Interacting_selectively_and_non-covalently_with_any_metal_ion."_[GOC:ai]/"Interacting_selectively_and_non-covalently_with_zinc_(Zn)_ions."_[GOC:ai]/"The_hydrolysis_of_proteins_into_smaller_polypeptides_and/or_amino_acids_by_cleavage_of_their_peptide_bonds."_[GOC:bf,_GOC:mah]/</t>
  </si>
  <si>
    <t>IPR001506/IPR003582/IPR006026/IPR024079/IPR034035/</t>
  </si>
  <si>
    <t>Astacin-like_metallopeptidase_domain/Metallopeptidase,_catalytic_domain_superfamily/Peptidase,_metallopeptidase/Peptidase_M12A/ShKT_domain/</t>
  </si>
  <si>
    <t>Astacin-like_dom/MetalloPept_cat_dom_sf/Peptidase_M12A/Peptidase_Metallo/ShKT_dom/</t>
  </si>
  <si>
    <t>note=B._malayi_BMA-NAS-14_protein,_contains_similarity_to_Pfam_domains_PF01549_(ShK_domain-like),_PF01400_(Astacin_(Peptidase_family_M12A))_contains_similarity_to_Interpro_domains_IPR024079_(Metallopeptidase,_catalytic_domain),_IPR001506_(Peptidase_M12A,_astacin),_IPR003582_(ShKT_domain),_IPR006026_(Peptidase,_metallopeptidase)</t>
  </si>
  <si>
    <t>7209.EFO26669.1</t>
  </si>
  <si>
    <t>7.3e-155</t>
  </si>
  <si>
    <t>1KXW1@119089,38IQJ@33154,3BNNN@33208,3D2J6@33213,40BGE@6231,KOG3714@1,KOG3714@2759</t>
  </si>
  <si>
    <t>Astacin (Peptidase family M12A)</t>
  </si>
  <si>
    <t>18,1628/26,3048/18,5804/39,0397/65,762</t>
  </si>
  <si>
    <t>31,3152/23,1733</t>
  </si>
  <si>
    <t>19,6242/18,7891/16,9102/20,4593</t>
  </si>
  <si>
    <t>19,2067/18,9979/18,3716</t>
  </si>
  <si>
    <t>WBGene00003533</t>
  </si>
  <si>
    <t>49.8956</t>
  </si>
  <si>
    <t>Bm3320</t>
  </si>
  <si>
    <t>WBGene00223581</t>
  </si>
  <si>
    <t>GO:0008344/GO:0016020/GO:0016021/GO:0051968/</t>
  </si>
  <si>
    <t>adult_locomotory_behavior/integral_component_of_membrane/membrane/positive_regulation_of_synaptic_transmission,_glutamatergic/</t>
  </si>
  <si>
    <t>A_lipid_bilayer_along_with_all_the_proteins_and_protein_complexes_embedded_in_it_an_attached_to_it._[GOC:dos,_GOC:mah,_ISBN:0815316194]/"Any_process_that_activates,_maintains_or_increases_the_frequency,_rate_or_extent_of_glutamatergic_synaptic_transmission,_the_process_of_communication_from_a_neuron_to_another_neuron_across_a_synapse_using_the_neurotransmitter_glutamate."_[GOC:ai]/"Locomotory_behavior_in_a_fully_developed_and_mature_organism."_[GOC:ai]/"The_component_of_a_membrane_consisting_of_the_gene_products_and_protein_complexes_having_at_least_some_part_of_their_peptide_sequence_embedded_in_the_hydrophobic_region_of_the_membrane."_[GOC:dos,_GOC:go_curators]/</t>
  </si>
  <si>
    <t>note=B._malayi_BMA-STG-2_protein,_contains_similarity_toPfam_domain_PF13903_PMP-22/EMP/MP20/Claudin_tight_junctioncontains_similarity_to_Interpro_domain_IPR004031(PMP-22/EMP/MP20/Claudin_superfamily)</t>
  </si>
  <si>
    <t>7209.EFO26267.1</t>
  </si>
  <si>
    <t>1.5e-172</t>
  </si>
  <si>
    <t>612.5</t>
  </si>
  <si>
    <t>GO:0007610,GO:0007626,GO:0008150,GO:0008344,GO:0010646,GO:0010647,GO:0023051,GO:0023056,GO:0030534,GO:0032501,GO:0048518,GO:0048522,GO:0050789,GO:0050794,GO:0050804,GO:0050806,GO:0051966,GO:0051968,GO:0065007,GO:0099177</t>
  </si>
  <si>
    <t>ko:K04870</t>
  </si>
  <si>
    <t>ko04010,ko04260,ko04261,ko04921,ko05410,ko05412,ko05414,map04010,map04260,map04261,map04921,map05410,map05412,map05414</t>
  </si>
  <si>
    <t>8.A.16.2.4</t>
  </si>
  <si>
    <t>1KW9D@119089,2BKJ9@1,2S1IT@2759,3A3US@33154,3BS0Z@33208,3D8G8@33213,40DSI@6231</t>
  </si>
  <si>
    <t>Bm3341</t>
  </si>
  <si>
    <t>WBGene00223602</t>
  </si>
  <si>
    <t>IPR029063/</t>
  </si>
  <si>
    <t>S-adenosyl-L-methionine-dependent_methyltransferase/</t>
  </si>
  <si>
    <t>SAM-dependent_MTases/</t>
  </si>
  <si>
    <t>note=contains_similarity_to_Pfam_domain_PF02353_Mycolic_acid_cyclopropane_synthetase_contains_similarity_to_Interpro_domains_IPR003333_(Mycolic_acid_cyclopropane_synthase),_IPR029063_(S-adenosyl-L-methionine-dependent_methyltransferase)</t>
  </si>
  <si>
    <t>6239.F13D12.9.1</t>
  </si>
  <si>
    <t>6.4e-51</t>
  </si>
  <si>
    <t>207.2</t>
  </si>
  <si>
    <t>1M8A5@119089,2QSMW@2759,38F67@33154,3BV5K@33208,3E4DU@33213,40R6J@6231,40X65@6236,COG2230@1</t>
  </si>
  <si>
    <t>M</t>
  </si>
  <si>
    <t>Mycolic acid cyclopropane synthetase</t>
  </si>
  <si>
    <t>14,2857/8,79121/13,1868</t>
  </si>
  <si>
    <t>11,5385/11,5385/8,79121/12,6374/10,989/12,0879</t>
  </si>
  <si>
    <t>12,0879/12,0879/11,5385/10,4396/12,6374/14,2857/11,5385</t>
  </si>
  <si>
    <t>15,9341/15,3846/13,7363/13,7363</t>
  </si>
  <si>
    <t>Bm3343</t>
  </si>
  <si>
    <t>WBGene00223604</t>
  </si>
  <si>
    <t>GO:0005524/GO:0006139/GO:0016301/GO:0016310/GO:0016740/GO:0019205/</t>
  </si>
  <si>
    <t>ATP_binding/kinase_activity/nucleobase-containing_compound_kinase_activity/nucleobase-containing_compound_metabolic_process/phosphorylation/transferase_activity/</t>
  </si>
  <si>
    <t>Any_cellular_metabolic_process_involving_nucleobases,_nucleosides,_nucleotides_and_nucleic_acids._[GOC:ai]/"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_phosphate_group,_usually_from_ATP,_to_a_substrate_molecule."_[ISBN:0198506732]/"Catalysis_of_the_transfer_of_a_phosphate_group,_usually_from_ATP_or_GTP,_to_a_nucleobase,_nucleoside,_nucleotide_or_polynucleotide_substrate."_[GOC:jl]/"Interacting_selectively_and_non-covalently_with_ATP,_adenosine_5'-triphosphate,_a_universally_important_coenzyme_and_enzyme_regulator."_[ISBN:0198506732]/"The_process_of_introducing_a_phosphate_group_into_a_molecule,_usually_with_the_formation_of_a_phosphoric_ester,_a_phosphoric_anhydride_or_a_phosphoric_amide."_[ISBN:0198506732]/</t>
  </si>
  <si>
    <t>IPR000850/IPR027417/</t>
  </si>
  <si>
    <t>Adenylate_kinase/UMP-CMP_kinase/P-loop_containing_nucleoside_triphosphate_hydrolase/</t>
  </si>
  <si>
    <t>Adenylat/UMP-CMP_kin/P-loop_NTPase/</t>
  </si>
  <si>
    <t>note=contains_similarity_to_Pfam_domain_PF00406_Adenylate_kinase_contains_similarity_to_Interpro_domains_IPR003117_(Dimerization-anchoring_domain_of_cAMP-dependent_protein_kinase,_regulatory_subunit),_IPR027417_(P-loop_containing_nucleoside_triphosphate_hydrolase),_IPR000850_(Adenylate_kinase/UMP-CMP_kinase)</t>
  </si>
  <si>
    <t>7209.EFO27764.1</t>
  </si>
  <si>
    <t>3.4e-274</t>
  </si>
  <si>
    <t>951.0</t>
  </si>
  <si>
    <t>1KU6T@119089,396BB@33154,3BKXW@33208,3D5HE@33213,40AKX@6231,COG0563@1,KOG3079@2759</t>
  </si>
  <si>
    <t>Adenylate kinase</t>
  </si>
  <si>
    <t>34,6633/34,6633</t>
  </si>
  <si>
    <t>5,61097/9,35162</t>
  </si>
  <si>
    <t>5,61097/10,4738</t>
  </si>
  <si>
    <t>WBGene00008746</t>
  </si>
  <si>
    <t>33.6658</t>
  </si>
  <si>
    <t>Bm3375</t>
  </si>
  <si>
    <t>WBGene00223636</t>
  </si>
  <si>
    <t>GO:0005216/GO:0005244/GO:0005249/GO:0005267/GO:0005515/GO:0006811/GO:0006813/GO:0008076/GO:0016020/GO:0016021/GO:0034765/GO:0051260/GO:0055085/GO:0071805/</t>
  </si>
  <si>
    <t>integral_component_of_membrane/ion_channel_activity/ion_transport/membrane/potassium_channel_activity/potassium_ion_transmembrane_transport/potassium_ion_transport/protein_binding/protein_homooligomerization/regulation_of_ion_transmembrane_transport/transmembrane_transport/voltage-gated_ion_channel_activity/voltage-gated_potassium_channel_activity/voltage-gated_potassium_channel_complex/</t>
  </si>
  <si>
    <t>A_lipid_bilayer_along_with_all_the_proteins_and_protein_complexes_embedded_in_it_an_attached_to_it._[GOC:dos,_GOC:mah,_ISBN:0815316194]/"A_process_in_which_a_potassium_ion_is_transported_from_one_side_of_a_membrane_to_the_other."_[GOC:mah]/"A_protein_complex_that_forms_a_transmembrane_channel_through_which_potassium_ions_may_cross_a_cell_membrane_in_response_to_changes_in_membrane_potential."_[GOC:mah]/"Any_process_that_modulates_the_frequency,_rate_or_extent_of_the_directed_movement_of_ions_from_one_side_of_a_membrane_to_the_other."_[GOC:mah]/"Enables_the_facilitated_diffusion_of_a_potassium_ion_(by_an_energy-independent_process)_involving_passage_through_a_transmembrane_aqueous_pore_or_channel_without_evidence_for_a_carrier-mediated_mechanism."_[GOC:BHF,_GOC:mtg_transport,_GOC:pr,_ISBN:0815340729]/"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Enables_the_transmembrane_transfer_of_a_potassium_ion_by_a_voltage-gated_channel._A_voltage-gated_channel_is_a_channel_whose_open_state_is_dependent_on_the_voltage_across_the_membrane_in_which_it_is_embedded."_[GOC:mtg_transport,_ISBN:0815340729]/"Enables_the_transmembrane_transfer_of_an_ion_by_a_voltage-gated_channel._An_ion_is_an_atom_or_group_of_atoms_carrying_an_electric_charge_by_virtue_of_having_gained_or_lost_one_or_more_electrons._A_voltage-gated_channel_is_a_channel_whose_open_state_is_dependent_on_the_voltage_across_the_membrane_in_which_it_is_embedded."_[GOC:mtg_transport,_ISBN:0198506732,_ISBN:0815340729]/"Interacting_selectively_and_non-covalently_with_any_protein_or_protein_complex_(a_complex_of_two_or_more_proteins_that_may_include_other_nonprotein_molecules)."_[GOC:go_curators]/"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he_directed_movement_of_potassium_ions_(K+)_into,_out_of_or_within_a_cell,_or_between_cells,_by_means_of_some_agent_such_as_a_transporter_or_pore."_[GOC:ai]/"The_process_in_which_a_solute_is_transported_across_a_lipid_bilayer,_from_one_side_of_a_membrane_to_the_other."_[GOC:dph,_GOC:jid]/"The_process_of_creating_protein_oligomers,_compounds_composed_of_a_small_number,_usually_between_three_and_ten,_of_identical_component_monomers._Oligomers_may_be_formed_by_the_polymerization_of_a_number_of_monomers_or_the_depolymerization_of_a_large_protein_polymer."_[GOC:ai]/</t>
  </si>
  <si>
    <t>IPR000210/IPR003131/IPR003968/IPR003974/IPR005821/IPR011333/IPR027359/IPR028325/</t>
  </si>
  <si>
    <t>BTB/POZ_domain/Ion_transport_domain/Potassium_channel,_voltage_dependent,_Kv/Potassium_channel,_voltage_dependent,_Kv3/Potassium_channel_tetramerisation-type_BTB_domain/SKP1/BTB/POZ_domain_superfamily/Voltage-dependent_channel_domain_superfamily/Voltage-gated_potassium_channel/</t>
  </si>
  <si>
    <t>BTB/POZ_dom/Ion_trans_dom/K_chnl_volt-dep_Kv/K_chnl_volt-dep_Kv3/SKP1/BTB/POZ_sf/T1-type_BTB/VG_K_chnl/Volt_channel_dom_sf/</t>
  </si>
  <si>
    <t>note=contains_similarity_to_Pfam_domains_PF02214_(BTB/POZ_domain),_PF00520_(Ion_transport_protein)_contains_similarity_to_Interpro_domains_IPR011333_(BTB/POZ_fold),_IPR027359_(Voltage-dependent_channel,_four_helix_bundle_domain),_IPR028325_(Voltage-gated_potassium_channel),_IPR005821_(Ion_transport_domain),_IPR003968_(Potassium_channel,_voltage_dependent,_Kv),_IPR003131_(Potassium_channel_tetramerisation-type_BTB_domain),_IPR003091_(Potassium_channel),_IPR000210_(BTB/POZ-like),_IPR003974_(Potassium_channel,_voltage_dependent,_Kv3)</t>
  </si>
  <si>
    <t>7209.EFO27392.2</t>
  </si>
  <si>
    <t>9.5e-202</t>
  </si>
  <si>
    <t>709.5</t>
  </si>
  <si>
    <t>ko:K04887</t>
  </si>
  <si>
    <t>1.A.1.2.2</t>
  </si>
  <si>
    <t>1KYPA@119089,38D0S@33154,3BAS8@33208,3CR98@33213,40AVQ@6231,COG2126@1,KOG3713@2759</t>
  </si>
  <si>
    <t>Belongs to the potassium channel family</t>
  </si>
  <si>
    <t>18,9498/17,5799</t>
  </si>
  <si>
    <t>12,7854/19,1781</t>
  </si>
  <si>
    <t>31,0502/58,6758</t>
  </si>
  <si>
    <t>54,5662/60,5023</t>
  </si>
  <si>
    <t>14,1553/23,9726/42,0091/26,0274/15,0685/25,5708/28,9954/25,5708/23,2877/24,8858/31,7352/24,8858/42,0091/42,9224/16,895/23,9726/24,4292/25,5708/16,4384</t>
  </si>
  <si>
    <t>14,1553/24,8858/41,7808/26,2557/15,0685/25,5708/29,4521/25,3425/23,2877/25,3425/24,2009/42,2374/42,9224/16,895/23,9726/24,2009/25,3425/16,6667</t>
  </si>
  <si>
    <t>15,5251/23,516/24,6575/42,0091/40,6393/24,8858/24,8858/15,7534/15,7534/25,5708/21,9178/42,6941/22,8311/25,1142/26,2557/31,0502/31,2785/23,0594/42,0091/31,9635/44,5205/16,21/16,21/23,7443/24,2009/22,8311/11,6438/6,84932</t>
  </si>
  <si>
    <t>Bm3441</t>
  </si>
  <si>
    <t>WBGene00223702</t>
  </si>
  <si>
    <t>7209.EJD74416.1</t>
  </si>
  <si>
    <t>8.7e-117</t>
  </si>
  <si>
    <t>427.6</t>
  </si>
  <si>
    <t>1KWIY@119089,3A76U@33154,3BSXJ@33208,3DA5F@33213,40E3P@6231,KOG4735@1,KOG4735@2759</t>
  </si>
  <si>
    <t>22,3062/27,2212</t>
  </si>
  <si>
    <t>21,3611/19,2817/19,2817</t>
  </si>
  <si>
    <t>29,1115/27,5992/26,6541</t>
  </si>
  <si>
    <t>20,794/20,4159</t>
  </si>
  <si>
    <t>WBGene00017577/WBGene00011657</t>
  </si>
  <si>
    <t>20.794/20.4159</t>
  </si>
  <si>
    <t>Bm3448</t>
  </si>
  <si>
    <t>WBGene00223709</t>
  </si>
  <si>
    <t>GO:0006508/GO:0008236/</t>
  </si>
  <si>
    <t>proteolysis/serine-type_peptidase_activity/</t>
  </si>
  <si>
    <t>Catalysis_of_the_hydrolysis_of_peptide_bonds_in_a_polypeptide_chain_by_a_catalytic_mechanism_that_involves_a_catalytic_triad_consisting_of_a_serine_nucleophile_that_is_activated_by_a_proton_relay_involving_an_acidic_residue_(e.g._aspartate_or_glutamate)_and_a_basic_residue_(usually_histidine)._[http://merops.sanger.ac.uk/about/glossary.htm#CATTYPE,_ISBN:0716720094]/"The_hydrolysis_of_proteins_into_smaller_polypeptides_and/or_amino_acids_by_cleavage_of_their_peptide_bonds."_[GOC:bf,_GOC:mah]/</t>
  </si>
  <si>
    <t>IPR008758/IPR029058/</t>
  </si>
  <si>
    <t>Alpha/Beta_hydrolase_fold/Peptidase_S28/</t>
  </si>
  <si>
    <t>AB_hydrolase/Peptidase_S28/</t>
  </si>
  <si>
    <t>note=contains_similarity_to_Pfam_domain_PF05577_Serine_carboxypeptidase_S28_contains_similarity_to_Interpro_domains_IPR029058_(Alpha/Beta_hydrolase_fold),_IPR008758_(Peptidase_S28)</t>
  </si>
  <si>
    <t>7209.EFO27691.1</t>
  </si>
  <si>
    <t>3.2e-257</t>
  </si>
  <si>
    <t>894.0</t>
  </si>
  <si>
    <t>1KXY4@119089,38H6D@33154,3BBCG@33208,3CS02@33213,40CY9@6231,KOG2182@1,KOG2182@2759</t>
  </si>
  <si>
    <t>Serine carboxypeptidase S28</t>
  </si>
  <si>
    <t>36,7906/29,3542</t>
  </si>
  <si>
    <t>26,0274/29,9413/26,4188</t>
  </si>
  <si>
    <t>30,137/28,9628/28,7671/27,9843/5,67515/26,4188/8,80626/25,4403/26,2231/27,7887</t>
  </si>
  <si>
    <t>25,2446/20,5479/10,9589/20,5479/15,0685/18,591/20,1566</t>
  </si>
  <si>
    <t>26,0274/26,4188/22,8963</t>
  </si>
  <si>
    <t>WBGene00018984</t>
  </si>
  <si>
    <t>27.0059</t>
  </si>
  <si>
    <t>Bm3465</t>
  </si>
  <si>
    <t>WBGene00223726</t>
  </si>
  <si>
    <t>7209.EJD73768.1</t>
  </si>
  <si>
    <t>1.9e-177</t>
  </si>
  <si>
    <t>Bm3679</t>
  </si>
  <si>
    <t>WBGene00223940</t>
  </si>
  <si>
    <t>GO:0005515/GO:0046872/</t>
  </si>
  <si>
    <t>metal_ion_binding/protein_binding/</t>
  </si>
  <si>
    <t>Interacting_selectively_and_non-covalently_with_any_metal_ion._[GOC:ai]/"Interacting_selectively_and_non-covalently_with_any_protein_or_protein_complex_(a_complex_of_two_or_more_proteins_that_may_include_other_nonprotein_molecules)."_[GOC:go_curators]/</t>
  </si>
  <si>
    <t>IPR001478/IPR001781/IPR036034/IPR036872/IPR041489/</t>
  </si>
  <si>
    <t>CH_domain_superfamily/PDZ_domain/PDZ_domain_6/PDZ_superfamily/Zinc_finger,_LIM-type/</t>
  </si>
  <si>
    <t>CH_dom_sf/PDZ/PDZ_6/PDZ_sf/Znf_LIM/</t>
  </si>
  <si>
    <t>note=B._malayi_BMA-LIM-8_protein,_contains_similarity_toPfam_domains_PF00595_(PDZ_domain_(Also_known_as_DHR_orGLGF)),_PF00412_(LIM_domain)_contains_similarity_toInterpro_domains_IPR001478_(PDZ_domain),_IPR001781_(Zincfinger,_LIM-type)</t>
  </si>
  <si>
    <t>7209.EJD74422.1</t>
  </si>
  <si>
    <t>1083.2</t>
  </si>
  <si>
    <t>KOG1704@1,KOG1704@2759</t>
  </si>
  <si>
    <t>zinc ion binding</t>
  </si>
  <si>
    <t>10,8244/7,31183</t>
  </si>
  <si>
    <t>8,3871/10,5376</t>
  </si>
  <si>
    <t>8,10036/8,96057/11,3978/7,24014</t>
  </si>
  <si>
    <t>WBGene00017904</t>
  </si>
  <si>
    <t>11.3262</t>
  </si>
  <si>
    <t>Bm3684</t>
  </si>
  <si>
    <t>WBGene00223945</t>
  </si>
  <si>
    <t>IPR029204/</t>
  </si>
  <si>
    <t>CB1_cannabinoid_receptor-interacting_protein_1/</t>
  </si>
  <si>
    <t>CNRIP1/</t>
  </si>
  <si>
    <t>note=contains_similarity_to_Pfam_domain_PF15043_CB1_cannabinoid_receptor-interacting_protein_1_contains_similarity_to_Interpro_domain_IPR029204_(CB1_cannabinoid_receptor-interacting_protein_1)</t>
  </si>
  <si>
    <t>7209.EFO18918.2</t>
  </si>
  <si>
    <t>2.2e-83</t>
  </si>
  <si>
    <t>315.1</t>
  </si>
  <si>
    <t>1KWW1@119089,2E31S@1,2SA6Z@2759,3A9FM@33154,3BV5U@33208,3DB45@33213,40EUI@6231</t>
  </si>
  <si>
    <t>CB1 cannabinoid receptor-interacting protein 1</t>
  </si>
  <si>
    <t>40,9836/32,2404</t>
  </si>
  <si>
    <t>35,5191/37,1585/30,6011</t>
  </si>
  <si>
    <t>20,2186/19,6721</t>
  </si>
  <si>
    <t>WBGene00017914</t>
  </si>
  <si>
    <t>29.5082</t>
  </si>
  <si>
    <t>Bm3755</t>
  </si>
  <si>
    <t>WBGene00224016</t>
  </si>
  <si>
    <t>7209.EFO12439.1</t>
  </si>
  <si>
    <t>114.8</t>
  </si>
  <si>
    <t>KOG4846@1,KOG4846@2759</t>
  </si>
  <si>
    <t>circadian temperature homeostasis</t>
  </si>
  <si>
    <t>6,75944/9,14513</t>
  </si>
  <si>
    <t>12,7237/12,1272</t>
  </si>
  <si>
    <t>Bm3834</t>
  </si>
  <si>
    <t>WBGene00224095</t>
  </si>
  <si>
    <t>GO:0005096/GO:0005515/GO:0007165/GO:0008088/GO:0017048/GO:0030030/GO:0034613/GO:0040011/GO:0042734/GO:0043005/GO:0045202/GO:0090630/</t>
  </si>
  <si>
    <t>GTPase_activator_activity/Rho_GTPase_binding/activation_of_GTPase_activity/axo-dendritic_transport/cell_projection_organization/cellular_protein_localization/locomotion/neuron_projection/presynaptic_membrane/protein_binding/signal_transduction/synapse/</t>
  </si>
  <si>
    <t>A_process_that_is_carried_out_at_the_cellular_level_which_results_in_the_assembly,_arrangement_of_constituent_parts,_or_disassembly_of_a_prolongation_or_process_extending_from_a_cell,_e.g._a_flagellum_or_axon._[GOC:jl,_GOC:mah,_http://www.cogsci.princeton.edu/~wn/]/"A_prolongation_or_process_extending_from_a_nerve_cell,_e.g._an_axon_or_dendrite."_[GOC:jl,_http://www.cogsci.princeton.edu/~wn/]/"A_specialized_area_of_membrane_of_the_axon_terminal_that_faces_the_plasma_membrane_of_the_neuron_or_muscle_fiber_with_which_the_axon_terminal_establishes_a_synaptic_junction;_many_synaptic_junctions_exhibit_structural_presynaptic_characteristics,_such_as_conical,_electron-dense_internal_protrusions,_that_distinguish_it_from_the_remainder_of_the_axon_plasma_membrane."_[GOC:jl,_ISBN:0815316194]/"Any_process_in_which_a_protein_is_transported_to,_and/or_maintained_in,_a_specific_location_at_the_level_of_a_cell._Localization_at_the_cellular_level_encompasses_movement_within_the_cell,_from_within_the_cell_to_the_cell_surface,_or_from_one_location_to_another_at_the_surface_of_a_cell."_[GOC:mah]/"Any_process_that_initiates_the_activity_of_an_inactive_GTPase_through_the_replacement_of_GDP_by_GTP."_[GOC:dph,_GOC:mah,_GOC:tb]/"Binds_to_and_increases_the_activity_of_a_GTPase,_an_enzyme_that_catalyzes_the_hydrolysis_of_GTP."_[GOC:mah]/"Interacting_selectively_and_non-covalently_with_Rho_protein,_any_member_of_the_Rho_subfamily_of_the_Ras_superfamily_of_monomeric_GTPases._Proteins_in_the_Rho_subfamily_are_involved_in_relaying_signals_from_cell-surface_receptors_to_the_actin_cytoskeleton."_[ISBN:0198547684,_PMID:12581856]/"Interacting_selectively_and_non-covalently_with_any_protein_or_protein_complex_(a_complex_of_two_or_more_proteins_that_may_include_other_nonprotein_molecules)."_[GOC:go_curators]/"Self-propelled_movement_of_a_cell_or_organism_from_one_location_to_another."_[GOC:dgh]/"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he_directed_movement_of_organelles_or_molecules_along_microtubules_in_neuron_projections."_[ISBN:0815316194]/"The_junction_between_a_nerve_fiber_of_one_neuron_and_another_neuron,_muscle_fiber_or_glial_cell._As_the_nerve_fiber_approaches_the_synapse_it_enlarges_into_a_specialized_structure,_the_presynaptic_nerve_ending,_which_contains_mitochondria_and_synaptic_vesicles._At_the_tip_of_the_nerve_ending_is_the_presynaptic_membrane;_facing_it,_and_separated_from_it_by_a_minute_cleft_(the_synaptic_cleft)_is_a_specialized_area_of_membrane_on_the_receiving_cell,_known_as_the_postsynaptic_membrane._In_response_to_the_arrival_of_nerve_impulses,_the_presynaptic_nerve_ending_secretes_molecules_of_neurotransmitters_into_the_synaptic_cleft._These_diffuse_across_the_cleft_and_transmit_the_signal_to_the_postsynaptic_membrane."_[ISBN:0198506732]/</t>
  </si>
  <si>
    <t>IPR000008/IPR000198/IPR001478/IPR008936/IPR017932/IPR035892/IPR036034/</t>
  </si>
  <si>
    <t>C2_domain/C2_domain_superfamily/Glutamine_amidotransferase_type_2_domain/PDZ_domain/PDZ_superfamily/Rho_GTPase-activating_protein_domain/Rho_GTPase_activation_protein/</t>
  </si>
  <si>
    <t>C2_dom/C2_domain_sf/GATase_2_dom/PDZ/PDZ_sf/RhoGAP_dom/Rho_GTPase_activation_prot/</t>
  </si>
  <si>
    <t>note=B._malayi_BMA-SYD-1_protein,_contains_similarity_toPfam_domains_PF00620_(RhoGAP_domain),_PF00168_(C2_domain),PF00595_(PDZ_domain_(Also_known_as_DHR_or_GLGF))_containssimilarity_to_Interpro_domains_IPR008936_(Rho_GTPaseactivation_protein),_IPR001478_(PDZ_domain),_IPR000008_(C2domain),_IPR000198_(Rho_GTPase-activating_protein_domain)</t>
  </si>
  <si>
    <t>7209.EJD73645.1</t>
  </si>
  <si>
    <t>1281.5</t>
  </si>
  <si>
    <t>syd-1</t>
  </si>
  <si>
    <t>GO:0003674,GO:0005096,GO:0005102,GO:0005488,GO:0005515,GO:0005575,GO:0005622,GO:0005623,GO:0005737,GO:0005886,GO:0006810,GO:0006928,GO:0007017,GO:0007018,GO:0008047,GO:0008088,GO:0008104,GO:0008150,GO:0009987,GO:0010970,GO:0016020,GO:0016043,GO:0017016,GO:0017048,GO:0019899,GO:0030030,GO:0030234,GO:0030695,GO:0030705,GO:0031267,GO:0033036,GO:0034613,GO:0040011,GO:0042734,GO:0043085,GO:0043087,GO:0043547,GO:0044093,GO:0044424,GO:0044425,GO:0044456,GO:0044459,GO:0044464,GO:0045202,GO:0046907,GO:0048495,GO:0050790,GO:0051020,GO:0051179,GO:0051234,GO:0051336,GO:0051345,GO:0051641,GO:0051649,GO:0060589,GO:0065007,GO:0065009,GO:0070727,GO:0071840,GO:0071944,GO:0090630,GO:0097060,GO:0097458,GO:0098590,GO:0098772,GO:0098793,GO:0099111</t>
  </si>
  <si>
    <t>ko:K20655</t>
  </si>
  <si>
    <t>1KV88@119089,38IYE@33154,3BEB1@33208,3D369@33213,40BJ1@6231,KOG1452@1,KOG1452@2759,KOG3528@1,KOG3528@2759</t>
  </si>
  <si>
    <t>GTPase activator for the Rho-type GTPases by converting them to an inactive GDP-bound state. Regulates the localization and assembly of presynaptic components during presynaptic development and is required for specifying the identity of axons during initial polarity acquisition. In these roles it is thought to act cell autonomously downstream of syg-1 and syg-2 and upstream of syd-2, possibly as a positive regulator of the latter. Required for the control of movement, egg-laying and the correct localization of elks-1</t>
  </si>
  <si>
    <t>39,0071/15,4002</t>
  </si>
  <si>
    <t>20,77/23,1003</t>
  </si>
  <si>
    <t>12,8673/14,5897</t>
  </si>
  <si>
    <t>16,1094/12,8673</t>
  </si>
  <si>
    <t>10,7396/12,462</t>
  </si>
  <si>
    <t>WBGene00006363</t>
  </si>
  <si>
    <t>49.6454</t>
  </si>
  <si>
    <t>Bm384</t>
  </si>
  <si>
    <t>WBGene00220645</t>
  </si>
  <si>
    <t>Bm3873</t>
  </si>
  <si>
    <t>WBGene00224134</t>
  </si>
  <si>
    <t>GO:0005223/GO:0006935/GO:0007199/GO:0009454/GO:0010628/GO:0010754/GO:0016020/GO:0016021/GO:0030516/GO:0034703/GO:0040040/GO:0045664/GO:0045944/GO:0048812/GO:0055093/GO:0070482/GO:0098655/</t>
  </si>
  <si>
    <t>G_protein-coupled_receptor_signaling_pathway_coupled_to_cGMP_nucleotide_second_messenger/aerotaxis/cation_channel_complex/cation_transmembrane_transport/chemotaxis/integral_component_of_membrane/intracellular_cGMP-activated_cation_channel_activity/membrane/negative_regulation_of_cGMP-mediated_signaling/neuron_projection_morphogenesis/positive_regulation_of_gene_expression/positive_regulation_of_transcription_by_RNA_polymerase_II/regulation_of_axon_extension/regulation_of_neuron_differentiation/response_to_hyperoxia/response_to_oxygen_levels/thermosensory_behavior/</t>
  </si>
  <si>
    <t>A_lipid_bilayer_along_with_all_the_proteins_and_protein_complexes_embedded_in_it_an_attached_to_it._[GOC:dos,_GOC:mah,_ISBN:0815316194]/"An_ion_channel_complex_through_which_cations_pass."_[GOC:mah]/"Any_process_that_activates_or_increases_the_frequency,_rate_or_extent_of_transcription_from_an_RNA_polymerase_II_promoter."_[GOC:go_curators,_GOC:txnOH]/"Any_process_that_decreases_the_rate,_frequency_or_extent_of_cGMP-mediated_signaling._cGMP-mediated_signaling_is_a_series_of_molecular_signals_in_which_a_cell_uses_cyclic_GMP_to_convert_an_extracellular_signal_into_a_response."_[GOC:BHF,_GOC:dph,_GOC:tb]/"Any_process_that_increases_the_frequency,_rate_or_extent_of_gene_expression._Gene_expression_is_the_process_in_which_a_gene's_coding_sequence_is_converted_into_a_mature_gene_product_or_products_(proteins_or_RNA)._This_includes_the_production_of_an_RNA_transcript_as_well_as_any_processing_to_produce_a_mature_RNA_product_or_an_mRNA_or_circRNA_(for_protein-coding_genes)_and_the_translation_of_that_mRNA_or_circRNA_into_protein._Protein_maturation_is_included_when_required_to_form_an_active_form_of_a_product_from_an_inactive_precursor_form."_[GOC:dph,_GOC:tb]/"Any_process_that_modulates_the_frequency,_rate_or_extent_of_neuron_differentiation."_[GOC:go_curators]/"Any_process_that_modulates_the_rate,_direction_or_extent_of_axon_extension."_[GOC:go_curators]/"Any_process_that_results_in_a_change_in_state_or_activity_of_a_cell_or_an_organism_(in_terms_of_movement,_secretion,_enzyme_production,_gene_expression,_etc.)_as_a_result_of_a_stimulus_indicating_increased_oxygen_tension."_[GOC:kmv]/"Any_process_that_results_in_a_change_in_state_or_activity_of_a_cell_or_an_organism_(in_terms_of_movement,_secretion,_enzyme_production,_gene_expression,_etc.)_as_a_result_of_a_stimulus_reflecting_the_presence,_absence,_or_concentration_of_oxygen."_[GOC:BHF,_GOC:mah]/"Behavior_that_is_dependent_upon_the_sensation_of_temperature."_[GOC:ems]/"Enables_the_transmembrane_transfer_of_a_cation_by_a_channel_that_opens_when_intracellular_cGMP_has_been_bound_by_the_channel_complex_or_one_of_its_constituent_parts."_[GOC:mtg_transport]/"The_component_of_a_membrane_consisting_of_the_gene_products_and_protein_complexes_having_at_least_some_part_of_their_peptide_sequence_embedded_in_the_hydrophobic_region_of_the_membrane."_[GOC:dos,_GOC:go_curators]/"The_directed_movement_of_a_motile_cell_or_organism,_or_the_directed_growth_of_a_cell_guided_by_a_specific_chemical_concentration_gradient._Movement_may_be_towards_a_higher_concentration_(positive_chemotaxis)_or_towards_a_lower_concentration_(negative_chemotaxis)."_[ISBN:0198506732]/"The_directed_movement_of_a_motile_cell_or_organism_in_response_to_environmental_oxygen."_[GOC:jl,_ISBN:0192801023]/"The_process_in_which_a_cation_is_transported_across_a_membrane."_[GOC:dos,_GOC:vw]/"The_process_in_which_the_anatomical_structures_of_a_neuron_projection_are_generated_and_organized._A_neuron_projection_is_any_process_extending_from_a_neural_cell,_such_as_axons_or_dendrites."_[GOC:mah]/"The_series_of_molecular_signals_generated_as_a_consequence_of_a_G_protein-coupled_receptor_binding_to_its_physiological_ligand,_followed_by_activation_of_guanylyl_cyclase_(GC)_activity_and_a_subsequent_increase_in_the_concentration_of_cyclic_GMP_(cGMP)."_[GOC:mah,_GOC:signaling,_ISBN:0815316194]/</t>
  </si>
  <si>
    <t>IPR000595/IPR014710/IPR018488/IPR018490/</t>
  </si>
  <si>
    <t>Cyclic_nucleotide-binding,_conserved_site/Cyclic_nucleotide-binding-like/Cyclic_nucleotide-binding_domain/RmlC-like_jelly_roll_fold/</t>
  </si>
  <si>
    <t>RmlC-like_jellyroll/cNMP-bd-like/cNMP-bd_CS/cNMP-bd_dom/</t>
  </si>
  <si>
    <t>note=contains_similarity_to_Interpro_domain_IPR018490_(Cyclic_nucleotide-binding-like)</t>
  </si>
  <si>
    <t>7209.EFO24950.2</t>
  </si>
  <si>
    <t>9.4e-267</t>
  </si>
  <si>
    <t>926.0</t>
  </si>
  <si>
    <t>GO:0000902,GO:0001558,GO:0005575,GO:0005623,GO:0005929,GO:0006355,GO:0006357,GO:0006810,GO:0006811,GO:0006812,GO:0006935,GO:0006950,GO:0007154,GO:0007165,GO:0007186,GO:0007187,GO:0007199,GO:0007275,GO:0007399,GO:0007602,GO:0007610,GO:0007631,GO:0008150,GO:0008361,GO:0009266,GO:0009314,GO:0009416,GO:0009453,GO:0009454,GO:0009581,GO:0009582,GO:0009583,GO:0009605,GO:0009628,GO:0009653,GO:0009889,GO:0009891,GO:0009893,GO:0009966,GO:0009968,GO:0009987,GO:0010468,GO:0010556,GO:0010557,GO:0010604,GO:0010628,GO:0010646,GO:0010648,GO:0010752,GO:0010754,GO:0010769,GO:0010975,GO:0016020,GO:0016021,GO:0016043,GO:0019219,GO:0019222,GO:0022008,GO:0022603,GO:0022604,GO:0023051,GO:0023052,GO:0023057,GO:0030030,GO:0030154,GO:0030182,GO:0030516,GO:0030536,GO:0030537,GO:0031175,GO:0031224,GO:0031323,GO:0031325,GO:0031326,GO:0031328,GO:0031344,GO:0032501,GO:0032502,GO:0032535,GO:0032989,GO:0032990,GO:0032991,GO:0034220,GO:0034702,GO:0034703,GO:0036296,GO:0040008,GO:0040011,GO:0040040,GO:0042221,GO:0042330,GO:0042995,GO:0043226,GO:0044425,GO:0044464,GO:0045595,GO:0045664,GO:0045893,GO:0045935,GO:0045944,GO:0048468,GO:0048518,GO:0048519,GO:0048522,GO:0048523,GO:0048583,GO:0048585,GO:0048638,GO:0048666,GO:0048699,GO:0048731,GO:0048812,GO:0048856,GO:0048858,GO:0048869,GO:0050767,GO:0050770,GO:0050789,GO:0050793,GO:0050794,GO:0050795,GO:0050896,GO:0051128,GO:0051171,GO:0051173,GO:0051179,GO:0051234,GO:0051239,GO:0051252,GO:0051254,GO:0051606,GO:0051716,GO:0051960,GO:0055085,GO:0055093,GO:0060255,GO:0060259,GO:0060284,GO:0061387,GO:0065007,GO:0065008,GO:0070482,GO:0071840,GO:0080090,GO:0090066,GO:0097730,GO:0098655,GO:0098796,GO:0120025,GO:0120035,GO:0120036,GO:0120039,GO:1902495,GO:1902531,GO:1902532,GO:1902680,GO:1903506,GO:1903508,GO:1903998,GO:1990351,GO:2000026,GO:2000112,GO:2001141</t>
  </si>
  <si>
    <t>ko:K04952</t>
  </si>
  <si>
    <t>ko04022,ko04024,ko04740,ko04744,map04022,map04024,map04740,map04744</t>
  </si>
  <si>
    <t>M00694</t>
  </si>
  <si>
    <t>ko00000,ko00001,ko00002,ko04040</t>
  </si>
  <si>
    <t>1.A.1.5.19,1.A.1.5.3,1.A.1.5.4</t>
  </si>
  <si>
    <t>1KU29@119089,38G0T@33154,3B9GA@33208,3CUIJ@33213,40APN@6231,KOG0499@1,KOG0499@2759</t>
  </si>
  <si>
    <t>53,605/32,1317/53,9185</t>
  </si>
  <si>
    <t>21,0031/12,069</t>
  </si>
  <si>
    <t>25,7053/22,7273/30,2508/31,348/14,8903/13,9498/13,4796/15,5172/15,8307/14,5768/15,674/13,7931/15,3605</t>
  </si>
  <si>
    <t>25,5486/22,5705/27,8997/29,9373/14,7335/13,9498/13,4796/15,3605/15,8307/14,5768/15,674/13,6364/15,047</t>
  </si>
  <si>
    <t>23,511/24,6082/29,9373/31,348/23,3542/16,6144/26,489/13,4796/13,0094/14,2633/14,1066/15,9875/16,3009/14,2633/14,2633/16,6144/8,62069/14,1066/15,5172</t>
  </si>
  <si>
    <t>WBGene00006525</t>
  </si>
  <si>
    <t>50.3135</t>
  </si>
  <si>
    <t>Bm3874</t>
  </si>
  <si>
    <t>WBGene00224135</t>
  </si>
  <si>
    <t>GO:0004721/GO:0005634/GO:0008420/GO:0070940/</t>
  </si>
  <si>
    <t>RNA_polymerase_II_CTD_heptapeptide_repeat_phosphatase_activity/dephosphorylation_of_RNA_polymerase_II_C-terminal_domain/nucleus/phosphoprotein_phosphatase_activity/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</si>
  <si>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Catalysis_of_the_reaction:_a_phosphoprotein_+_H2O_=_a_protein_+_phosphate._Together_with_protein_kinases,_these_enzymes_control_the_state_of_phosphorylation_of_cell_proteins_and_thereby_provide_an_important_mechanism_for_regulating_cellular_activity."_[EC:3.1.3.16,_ISBN:0198547684]/"Catalysis_of_the_reaction:_phospho-(DNA-directed_RNA_polymerase_II)_+_H2O_=_(DNA-directed_RNA_polymerase_II)_+_phosphate."_[PMID:22622228]/"The_process_of_removing_a_phosphate_group_from_an_amino_acid_residue_in_the_C-terminal_domain_of_RNA_polymerase_II._Some_dephosphorylation_occurs_during_transcription_while_some_may_occur_after_the_enzyme_is_released_from_the_template_in_order_to_prepare_it_for_the_beginning_of_the_transcription_cycle_again._RNA_polymerase_II_with_little_or_no_phosphorylation_is_referred_to_as_the_hypophosphorylated_or_II(A)_form."_[GOC:krc,_GOC:mah,_PMID:17079683]/</t>
  </si>
  <si>
    <t>IPR001357/IPR004274/IPR011947/IPR036412/IPR036420/IPR039189/</t>
  </si>
  <si>
    <t>BRCT_domain/BRCT_domain_superfamily/CTD_phosphatase_Fcp1/FCP1-like_phosphatase,_phosphatase_domain/FCP1_homology_domain/HAD-like_superfamily/</t>
  </si>
  <si>
    <t>BRCT_dom/BRCT_dom_sf/FCP1_dom/FCP1_euk/Fcp1/HAD-like_sf/</t>
  </si>
  <si>
    <t>note=B._malayi_BMA-FCP-1_protein,_contains_similarity_toPfam_domains_PF12738_(twin_BRCT_domain),_PF03031_(NLIinteracting_factor-like_phosphatase)_contains_similarityto_Interpro_domains_IPR011947_(FCP1-like_phosphatase,phosphatase_domain),_IPR023214_(HAD-like_domain),IPR004274_(NLI_interacting_factor),_IPR001357_(BRCTdomain)</t>
  </si>
  <si>
    <t>7209.EFO27947.2</t>
  </si>
  <si>
    <t>2e-228</t>
  </si>
  <si>
    <t>798.5</t>
  </si>
  <si>
    <t>ko:K15732</t>
  </si>
  <si>
    <t>ko00000,ko01000,ko01009,ko03021</t>
  </si>
  <si>
    <t>1KVEX@119089,38IPM@33154,3BB6D@33208,3CTTC@33213,40AJH@6231,COG5190@1,KOG0323@2759</t>
  </si>
  <si>
    <t>catalytic domain of ctd-like phosphatases</t>
  </si>
  <si>
    <t>24,3056/30,9028/17,5347/35,7639</t>
  </si>
  <si>
    <t>WBGene00009479</t>
  </si>
  <si>
    <t>43.2292</t>
  </si>
  <si>
    <t>Bm3914</t>
  </si>
  <si>
    <t>WBGene00224175</t>
  </si>
  <si>
    <t>GO:0000132/GO:0001714/GO:0001764/GO:0005102/GO:0005576/GO:0005623/GO:0007275/GO:0016055/GO:0030010/GO:0030971/GO:0045167/GO:0048557/GO:0048598/GO:0060070/GO:0070986/GO:0097402/GO:0097475/GO:1904936/GO:1905485/</t>
  </si>
  <si>
    <t>Wnt_signaling_pathway/asymmetric_protein_localization_involved_in_cell_fate_determination/canonical_Wnt_signaling_pathway/cell/embryonic_digestive_tract_morphogenesis/embryonic_morphogenesis/endodermal_cell_fate_specification/establishment_of_cell_polarity/establishment_of_mitotic_spindle_orientation/extracellular_region/interneuron_migration/left/right_axis_specification/motor_neuron_migration/multicellular_organism_development/neuroblast_migration/neuron_migration/positive_regulation_of_motor_neuron_migration/receptor_tyrosine_kinase_binding/signaling_receptor_binding/</t>
  </si>
  <si>
    <t>A_cell_cycle_process_that_sets_the_alignment_of_mitotic_spindle_relative_to_other_cellular_structures._[GOC:ems]/"Any_process_in_which_a_protein_is_transported_to,_or_maintained_in,_a_specific_asymmetric_distribution,_resulting_in_the_formation_of_daughter_cells_of_different_types."_[GOC:ai]/"Any_process_that_activates_or_increases_the_frequency,_rate_or_extent_of_motor_neuron_migration."_[GO_REF:0000058,_GOC:TermGenie,_PMID:16516839]/"Interacting_selectively_and_non-covalently_with_a_receptor_that_possesses_protein_tyrosine_kinase_activity."_[GOC:mah]/"Interacting_selectively_and_non-covalently_with_one_or_more_specific_sites_on_a_receptor_molecule,_a_macromolecule_that_undergoes_combination_with_a_hormone,_neurotransmitter,_drug_or_intracellular_messenger_to_initiate_a_change_in_cell_function."_[GOC:bf,_GOC:ceb,_ISBN:0198506732]/"The_basic_structural_and_functional_unit_of_all_organisms._Includes_the_plasma_membrane_and_any_external_encapsulating_structures_such_as_the_cell_wall_and_cell_envelope."_[GOC:go_curators]/"The_biological_process_whose_specific_outcome_is_the_progression_of_a_multicellular_organism_over_time_from_an_initial_condition_(e.g._a_zygote_or_a_young_adult)_to_a_later_condition_(e.g._a_multicellular_animal_or_an_aged_adult)."_[GOC:dph,_GOC:ems,_GOC:isa_complete,_GOC:tb]/"The_cell_fate_determination_process_that_results_in_a_cell_becoming_capable_of_differentiating_autonomously_into_an_endoderm_cell_in_an_environment_that_is_neutral_with_respect_to_the_developmental_pathway;_upon_specification,_the_cell_fate_can_be_reversed."_[GOC:go_curators]/"The_characteristic_movement_of_an_immature_neuron_from_germinal_zones_to_specific_positions_where_they_will_reside_as_they_mature."_[CL:0000540,_GOC:go_curators]/"The_establishment,_maintenance_and_elaboration_of_the_left/right_axis._The_left/right_axis_is_defined_by_a_line_that_runs_orthogonal_to_both_the_anterior/posterior_and_dorsal/ventral_axes._Each_side_is_defined_from_the_viewpoint_of_the_organism_rather_of_the_observer_(as_per_anatomical_axes)."_[GOC:dph,_GOC:gvg,_GOC:mah]/"The_orderly_movement_of_a_motor_neuron_from_one_site_to_another._A_motor_neuron_is_an_efferent_neuron_that_passes_from_the_central_nervous_system_or_a_ganglion_toward_or_to_a_muscle_and_conducts_an_impulse_that_causes_movement."_[CL:0000100,_GOC:yaf,_PMID:20711475]/"The_orderly_movement_of_a_neuroblast_from_one_site_to_another,_often_during_the_development_of_a_multicellular_organism_or_multicellular_structure._A_neuroblast_is_any_cell_that_will_divide_and_give_rise_to_a_neuron."_[CL:0000031,_GOC:jc,_PMID:15543145]/"The_orderly_movement_of_an_interneuron_from_one_site_to_another."_[GO_REF:0000091,_GOC:ah,_GOC:TermGenie,_PMID:18622031]/"The_process_in_which_anatomical_structures_are_generated_and_organized_during_the_embryonic_phase._The_embryonic_phase_begins_with_zygote_formation._The_end_of_the_embryonic_phase_is_organism-specific._For_example,_it_would_be_at_birth_for_mammals,_larval_hatching_for_insects_and_seed_dormancy_in_plants."_[GOC:jid,_GOC:mtg_sensu]/"The_process_in_which_the_anatomical_structures_of_the_digestive_tract_are_generated_and_organized_during_embryonic_development._The_digestive_tract_is_the_anatomical_structure_through_which_food_passes_and_is_processed."_[GOC:go_curators]/"The_series_of_molecular_signals_initiated_by_binding_of_a_Wnt_protein_to_a_frizzled_family_receptor_on_the_surface_of_the_target_cell,_followed_by_propagation_of_the_signal_via_beta-catenin,_and_ending_with_a_change_in_transcription_of_target_genes._In_this_pathway,_the_activated_receptor_signals_via_downstream_effectors_that_result_in_the_inhibition_of_beta-catenin_phosphorylation,_thereby_preventing_degradation_of_beta-catenin._Stabilized_beta-catenin_can_then_accumulate_and_travel_to_the_nucleus_to_trigger_changes_in_transcription_of_target_genes."_[GOC:bf,_GOC:dph,_PMID:11532397,_PMID:19619488]/"The_series_of_molecular_signals_initiated_by_binding_of_a_Wnt_protein_to_a_frizzled_family_receptor_on_the_surface_of_the_target_cell_and_ending_with_a_change_in_cell_state."_[GOC:dph,_GOC:go_curators,_PMID:11532397]/"The_space_external_to_the_outermost_structure_of_a_cell._For_cells_without_external_protective_or_external_encapsulating_structures_this_refers_to_space_outside_of_the_plasma_membrane._This_term_covers_the_host_cell_environment_outside_an_intracellular_parasite."_[GOC:go_curators]/"The_specification_and_formation_of_anisotropic_intracellular_organization_or_cell_growth_patterns."_[GOC:mah]/</t>
  </si>
  <si>
    <t>IPR005817/IPR018161/</t>
  </si>
  <si>
    <t>Wnt/Wnt_protein,_conserved_site/</t>
  </si>
  <si>
    <t>Wnt/Wnt_CS/</t>
  </si>
  <si>
    <t>note=B._malayi_BMA-MOM-2_protein,_contains_similarity_toPfam_domain_PF00110_wnt_family_contains_similarity_toInterpro_domain_IPR005817_(Wnt)</t>
  </si>
  <si>
    <t>7209.EFO17239.1</t>
  </si>
  <si>
    <t>4.8e-95</t>
  </si>
  <si>
    <t>354.8</t>
  </si>
  <si>
    <t>GO:0000132,GO:0000226,GO:0000278,GO:0001664,GO:0001704,GO:0001706,GO:0001708,GO:0001709,GO:0001711,GO:0001714,GO:0003002,GO:0003674,GO:0005102,GO:0005109,GO:0005488,GO:0005515,GO:0005575,GO:0005576,GO:0006996,GO:0007010,GO:0007017,GO:0007049,GO:0007154,GO:0007163,GO:0007165,GO:0007166,GO:0007267,GO:0007275,GO:0007369,GO:0007389,GO:0007399,GO:0007492,GO:0008104,GO:0008150,GO:0009653,GO:0009790,GO:0009798,GO:0009887,GO:0009888,GO:0009987,GO:0010720,GO:0016043,GO:0016055,GO:0019899,GO:0019900,GO:0019901,GO:0022008,GO:0022402,GO:0023052,GO:0030010,GO:0030154,GO:0030334,GO:0030335,GO:0030971,GO:0032501,GO:0032502,GO:0032879,GO:0033036,GO:0035239,GO:0035295,GO:0035987,GO:0040001,GO:0040012,GO:0040017,GO:0044333,GO:0045165,GO:0045167,GO:0045595,GO:0045597,GO:0048513,GO:0048518,GO:0048522,GO:0048546,GO:0048557,GO:0048562,GO:0048565,GO:0048566,GO:0048568,GO:0048598,GO:0048646,GO:0048699,GO:0048731,GO:0048856,GO:0048869,GO:0050767,GO:0050769,GO:0050789,GO:0050793,GO:0050794,GO:0050896,GO:0051094,GO:0051179,GO:0051234,GO:0051239,GO:0051240,GO:0051270,GO:0051272,GO:0051293,GO:0051294,GO:0051640,GO:0051641,GO:0051649,GO:0051653,GO:0051656,GO:0051716,GO:0051960,GO:0051962,GO:0055123,GO:0060284,GO:0060795,GO:0060972,GO:0065007,GO:0070986,GO:0071840,GO:0198738,GO:1902850,GO:1903047,GO:1905114,GO:1905483,GO:1905485,GO:1990782,GO:2000026,GO:2000145,GO:2000147,GO:2001222,GO:2001224</t>
  </si>
  <si>
    <t>ko:K00408</t>
  </si>
  <si>
    <t>ko04150,ko04310,ko04360,ko04390,ko04550,ko04916,ko04919,ko04934,ko05165,ko05166,ko05200,ko05205,ko05217,ko05224,ko05225,ko05226,map04150,map04310,map04360,map04390,map04550,map04916,map04919,map04934,map05165,map05166,map05200,map05205,map05217,map05224,map05225,map05226</t>
  </si>
  <si>
    <t>M00677</t>
  </si>
  <si>
    <t>ko00000,ko00001,ko00002,ko00536</t>
  </si>
  <si>
    <t>1KYP5@119089,3AI2D@33154,3BYK7@33208,3DFMD@33213,40FVN@6231,KOG3913@1,KOG3913@2759</t>
  </si>
  <si>
    <t>Ligand for members of the frizzled family of seven transmembrane receptors</t>
  </si>
  <si>
    <t>29,9145/32,1937/29,6296/31,0541/34,4729/27,6353/31,339/32,4786/29,6296/32,7635/32,4786</t>
  </si>
  <si>
    <t>29,6296/32,1937/29,9145/30,7692/34,4729/26,2108/31,0541/32,1937/29,6296/32,7635/32,4786</t>
  </si>
  <si>
    <t>29,3447/31,9088/28,2051/30,7692/34,188/34,7578/26,4957/27,0655/31,0541/32,4786/29,3447/31,6239/32,4786</t>
  </si>
  <si>
    <t>Bm3939</t>
  </si>
  <si>
    <t>WBGene00224200</t>
  </si>
  <si>
    <t>IPR029034/</t>
  </si>
  <si>
    <t>Cystine-knot_cytokine/</t>
  </si>
  <si>
    <t>note=contains_similarity_to_Interpro_domain_IPR029034_(Cystine-knot_cytokine)</t>
  </si>
  <si>
    <t>7209.EJD75784.1</t>
  </si>
  <si>
    <t>8.3e-214</t>
  </si>
  <si>
    <t>749.6</t>
  </si>
  <si>
    <t>1KUXK@119089,2ENQ6@1,2RGN8@2759,39STU@33154,3BH3C@33208,3D65Y@33213,40C4H@6231</t>
  </si>
  <si>
    <t>36,6133/36,3844/25,6293</t>
  </si>
  <si>
    <t>WBGene00009561</t>
  </si>
  <si>
    <t>42.3341</t>
  </si>
  <si>
    <t>Bm3979</t>
  </si>
  <si>
    <t>WBGene00224240</t>
  </si>
  <si>
    <t>note=contains_similarity_to_Pfam_domain_PF00651_BTB/POZ_domain_contains_similarity_to_Interpro_domains_IPR000210_(BTB/POZ-like),_IPR011333_(BTB/POZ_fold),_IPR013069_(BTB/POZ)</t>
  </si>
  <si>
    <t>7209.EFO22759.2</t>
  </si>
  <si>
    <t>1.7e-132</t>
  </si>
  <si>
    <t>478.8</t>
  </si>
  <si>
    <t>1KVZ8@119089,2AZ3W@1,2S04Y@2759,3A1XG@33154,3BRA0@33208,3D7Y7@33213,40D6D@6231</t>
  </si>
  <si>
    <t>95,6044/95,6044</t>
  </si>
  <si>
    <t>WBGene00018249</t>
  </si>
  <si>
    <t>41.0256</t>
  </si>
  <si>
    <t>Bm3989</t>
  </si>
  <si>
    <t>WBGene00224250</t>
  </si>
  <si>
    <t>IPR000003/IPR000536/IPR001628/IPR001723/IPR013088/IPR035500/</t>
  </si>
  <si>
    <t>Nuclear_hormone_receptor/Nuclear_hormone_receptor,_ligand-binding_domain/Nuclear_hormone_receptor-like_domain_superfamily/Retinoid_X_receptor/HNF4/Zinc_finger,_NHR/GATA-type/Zinc_finger,_nuclear_hormone_receptor-type/</t>
  </si>
  <si>
    <t>NHR_like_dom_sf/Nucl_hrmn_rcpt_lig-bd/Nuclear_hrmn_rcpt/Retinoid-X_rcpt/HNF4/Znf_NHR/GATA/Znf_hrmn_rcpt/</t>
  </si>
  <si>
    <t>7209.EFO18883.2</t>
  </si>
  <si>
    <t>9.7e-96</t>
  </si>
  <si>
    <t>357.5</t>
  </si>
  <si>
    <t>38I2G@33154,3BA8J@33208,3CTM5@33213,40GG6@6231,KOG3575@1,KOG3575@2759</t>
  </si>
  <si>
    <t>Ligand binding domain of hormone receptors</t>
  </si>
  <si>
    <t>15,0538/16,7742/14,1935/15,4839/14,4086/14,4086/14,8387/12,9032/13,7634/12,9032/12,043/13,1183/11,1828/14,6237/15,4839/14,8387/15,0538/13,7634/12,9032/14,4086/15,2688</t>
  </si>
  <si>
    <t>35,2688/35,2688</t>
  </si>
  <si>
    <t>23,871/23,6559/35,914/25,3763/23,0108/22,5806</t>
  </si>
  <si>
    <t>23,6559/23,6559/36,3441/25,8065/22,7957/22,1505</t>
  </si>
  <si>
    <t>24,3011/6,02151/24,7312/25,5914/19,7849/22,3656/21,7204/20,6452</t>
  </si>
  <si>
    <t>WBGene00003727/WBGene00007547/WBGene00003726/WBGene00011100/WBGene00011099/WBGene00011097/WBGene00011098/WBGene00003683/WBGene00020748/WBGene00015705/WBGene00015395/WBGene00015396/WBGene00015397/WBGene00003719/WBGene00003650/WBGene00003706/WBGene00008221/WBGene00017787/WBGene00019816/WBGene00007546/WBGene00003690</t>
  </si>
  <si>
    <t>15.0538/16.7742/14.1935/15.4839/14.4086/14.4086/14.8387/12.9032/13.7634/12.9032/12.043/13.1183/11.1828/14.6237/15.4839/14.8387/15.0538/13.7634/12.9032/14.4086/15.2688</t>
  </si>
  <si>
    <t>Oogenic/Oogenic/Oogenic</t>
  </si>
  <si>
    <t>Bm4003</t>
  </si>
  <si>
    <t>WBGene00224264</t>
  </si>
  <si>
    <t>GO:0000922/GO:0005813/GO:0005874/GO:0032467/</t>
  </si>
  <si>
    <t>centrosome/microtubule/positive_regulation_of_cytokinesis/spindle_pole/</t>
  </si>
  <si>
    <t>A_structure_comprised_of_a_core_structure_(in_most_organisms,_a_pair_of_centrioles)_and_peripheral_material_from_which_a_microtubule-based_structure,_such_as_a_spindle_apparatus,_is_organized._Centrosomes_occur_close_to_the_nucleus_during_interphase_in_many_eukaryotic_cells,_though_in_animal_cells_it_changes_continually_during_the_cell-division_cycle._[GOC:mah,_ISBN:0198547684]/"Any_of_the_long,_generally_straight,_hollow_tubes_of_internal_diameter_12-15_nm_and_external_diameter_24_nm_found_in_a_wide_variety_of_eukaryotic_cells;_each_consists_(usually)_of_13_protofilaments_of_polymeric_tubulin,_staggered_in_such_a_manner_that_the_tubulin_monomers_are_arranged_in_a_helical_pattern_on_the_microtubular_surface,_and_with_the_alpha/beta_axes_of_the_tubulin_subunits_parallel_to_the_long_axis_of_the_tubule;_exist_in_equilibrium_with_pool_of_tubulin_monomers_and_can_be_rapidly_assembled_or_disassembled_in_response_to_physiological_stimuli;_concerned_with_force_generation,_e.g._in_the_spindle."_[ISBN:0879693568]/"Any_process_that_activates_or_increases_the_frequency,_rate_or_extent_of_the_division_of_the_cytoplasm_of_a_cell,_and_its_separation_into_two_daughter_cells."_[GOC:mah]/"Either_of_the_ends_of_a_spindle,_where_spindle_microtubules_are_organized;_usually_contains_a_microtubule_organizing_center_and_accessory_molecules,_spindle_microtubules_and_astral_microtubules."_[GOC:clt]/</t>
  </si>
  <si>
    <t>IPR026708/</t>
  </si>
  <si>
    <t>Centrosome_and_spindle_pole_associated_protein_1/</t>
  </si>
  <si>
    <t>CSPP1/</t>
  </si>
  <si>
    <t>7209.EFO24275.2</t>
  </si>
  <si>
    <t>3.6e-153</t>
  </si>
  <si>
    <t>548.5</t>
  </si>
  <si>
    <t>1M0AQ@119089,2FEIX@1,2TFVM@2759,3ATYF@33154,3C3TK@33208,3DKFK@33213,40H58@6231</t>
  </si>
  <si>
    <t>Bm4050</t>
  </si>
  <si>
    <t>WBGene00224311</t>
  </si>
  <si>
    <t>GO:0005515/GO:0005886/GO:0016020/GO:0016021/GO:0030335/GO:0030424/GO:0043025/</t>
  </si>
  <si>
    <t>axon/integral_component_of_membrane/membrane/neuronal_cell_body/plasma_membrane/positive_regulation_of_cell_migration/protein_binding/</t>
  </si>
  <si>
    <t>A_lipid_bilayer_along_with_all_the_proteins_and_protein_complexes_embedded_in_it_an_attached_to_it._[GOC:dos,_GOC:mah,_ISBN:0815316194]/"Any_process_that_activates_or_increases_the_frequency,_rate_or_extent_of_cell_migration."_[GOC:go_curators]/"Interacting_selectively_and_non-covalently_with_any_protein_or_protein_complex_(a_complex_of_two_or_more_proteins_that_may_include_other_nonprotein_molecules)."_[GOC:go_curators]/"The_component_of_a_membrane_consisting_of_the_gene_products_and_protein_complexes_having_at_least_some_part_of_their_peptide_sequence_embedded_in_the_hydrophobic_region_of_the_membrane."_[GOC:dos,_GOC:go_curators]/"The_long_process_of_a_neuron_that_conducts_nerve_impulses,_usually_away_from_the_cell_body_to_the_terminals_and_varicosities,_which_are_sites_of_storage_and_release_of_neurotransmitter."_[GOC:nln,_ISBN:0198506732]/"The_membrane_surrounding_a_cell_that_separates_the_cell_from_its_external_environment._It_consists_of_a_phospholipid_bilayer_and_associated_proteins."_[ISBN:0716731363]/"The_portion_of_a_neuron_that_includes_the_nucleus,_but_excludes_cell_projections_such_as_axons_and_dendrites."_[GOC:go_curators]/</t>
  </si>
  <si>
    <t>IPR000859/IPR002172/IPR035914/IPR036055/IPR040093/</t>
  </si>
  <si>
    <t>CUB_domain/LDL_receptor-like_superfamily/Low-density_lipoprotein_(LDL)_receptor_class_A_repeat/Low-density_lipoprotein_receptor_class_A_domain-containing_protein_1/Spermadhesin,_CUB_domain_superfamily/</t>
  </si>
  <si>
    <t>CUB_dom/LDL_receptor-like_sf/LDrepeatLR_classA_rpt/LRAD1/Sperma_CUB_dom_sf/</t>
  </si>
  <si>
    <t>note=B._malayi_BMA-MIG-13_protein,_contains_similarity_to_Pfam_domains_PF00431_(CUB_domain),_PF00057_(Low-density_lipoprotein_receptor_domain_class_A)_contains_similarity_to_Interpro_domains_IPR002172_(Low-density_lipoprotein_(LDL)_receptor_class_A_repeat),_IPR000859_(CUB_domain)</t>
  </si>
  <si>
    <t>7209.EFO26848.2</t>
  </si>
  <si>
    <t>7.9e-161</t>
  </si>
  <si>
    <t>573.5</t>
  </si>
  <si>
    <t>GO:0005575,GO:0005623,GO:0005886,GO:0008150,GO:0016020,GO:0030334,GO:0030335,GO:0030424,GO:0032879,GO:0036477,GO:0040012,GO:0040017,GO:0042995,GO:0043005,GO:0043025,GO:0044297,GO:0044464,GO:0048518,GO:0048522,GO:0050789,GO:0050794,GO:0051270,GO:0051272,GO:0065007,GO:0071944,GO:0097458,GO:0120025,GO:2000145,GO:2000147</t>
  </si>
  <si>
    <t>1KYYA@119089,2E59J@1,2SC3N@2759,3AJT1@33154,3C01G@33208,3DG7S@33213,40G6V@6231</t>
  </si>
  <si>
    <t>Domain first found in C1r, C1s, uEGF, and bone morphogenetic protein.</t>
  </si>
  <si>
    <t>30/29,7826</t>
  </si>
  <si>
    <t>8,47826/9,13043</t>
  </si>
  <si>
    <t>WBGene00003245</t>
  </si>
  <si>
    <t>28.6957</t>
  </si>
  <si>
    <t>Bm411</t>
  </si>
  <si>
    <t>Bm4155</t>
  </si>
  <si>
    <t>WBGene00224416</t>
  </si>
  <si>
    <t>IPR002059/IPR011129/IPR012340/</t>
  </si>
  <si>
    <t>Cold-shock_protein,_DNA-binding/Cold_shock_domain/Nucleic_acid-binding,_OB-fold/</t>
  </si>
  <si>
    <t>CSD/CSP_DNA-bd/NA-bd_OB-fold/</t>
  </si>
  <si>
    <t>note=contains_similarity_to_Pfam_domain_PF00313_'Cold-shock'_DNA-binding_domain_contains_similarity_to_Interpro_domains_IPR012340_(Nucleic_acid-binding,_OB-fold),_IPR011129_(Cold_shock_protein),_IPR002059_(Cold-shock_protein,_DNA-binding)</t>
  </si>
  <si>
    <t>7209.EFO20254.1</t>
  </si>
  <si>
    <t>3.3e-90</t>
  </si>
  <si>
    <t>338.6</t>
  </si>
  <si>
    <t>3A677@33154,3BR1Q@33208,3DHF1@33213,COG1278@1,KOG3070@2759</t>
  </si>
  <si>
    <t>DNA binding</t>
  </si>
  <si>
    <t>66,4634/66,4634</t>
  </si>
  <si>
    <t>32,0122/21,9512</t>
  </si>
  <si>
    <t>23,4756/20,4268</t>
  </si>
  <si>
    <t>26,5244/24,3902/26,2195</t>
  </si>
  <si>
    <t>10,6707/10,9756</t>
  </si>
  <si>
    <t>10,6707/10,6707</t>
  </si>
  <si>
    <t>9,14634/10,3659/8,84146</t>
  </si>
  <si>
    <t>WBGene00000473/WBGene00000475/WBGene00000474</t>
  </si>
  <si>
    <t>26.5244/24.3902/26.2195</t>
  </si>
  <si>
    <t>Bm42</t>
  </si>
  <si>
    <t>WBGene00220303</t>
  </si>
  <si>
    <t>43,2099/59,2593</t>
  </si>
  <si>
    <t>Bm422</t>
  </si>
  <si>
    <t>WBGene00220683</t>
  </si>
  <si>
    <t>Bm4234</t>
  </si>
  <si>
    <t>WBGene00224495</t>
  </si>
  <si>
    <t>GO:0003677/GO:0003700/GO:0005634/GO:0005667/GO:0006355/</t>
  </si>
  <si>
    <t>DNA-binding_transcription_factor_activity/DNA_binding/nucleus/regulation_of_transcription,_DNA-templated/transcription_factor_complex/</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</si>
  <si>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complex_that_is_capable_of_associating_with_DNA_by_direct_binding,_or_via_other_DNA-binding_proteins_or_complexes,_and_regulating_transcription."_[GOC:jl]/"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molecular_function_by_which_a_gene_product_interacts_selectively_and_non-covalently_with_DNA_(deoxyribonucleic_acid)."_[GOC:dph,_GOC:jl,_GOC:tb,_GOC:vw]/"Any_process_that_modulates_the_frequency,_rate_or_extent_of_cellular_DNA-templated_transcription."_[GOC:go_curators,_GOC:txnOH]/</t>
  </si>
  <si>
    <t>IPR003316/IPR015633/IPR036388/IPR036390/</t>
  </si>
  <si>
    <t>E2F/DP_family,_winged-helix_DNA-binding_domain/E2F_Family/Winged_helix-like_DNA-binding_domain_superfamily/Winged_helix_DNA-binding_domain_superfamily/</t>
  </si>
  <si>
    <t>E2F/E2F_WHTH_DNA-bd_dom/WH-like_DNA-bd_sf/WH_DNA-bd_sf/</t>
  </si>
  <si>
    <t>note=B._malayi_BMA-EFL-3_protein,_contains_similarity_toPfam_domain_PF02319_E2F/DP_family_winged-helix_DNA-bindingdomain_contains_similarity_to_Interpro_domains_IPR011991(Winged_helix-turn-helix_DNA-binding_domain),_IPR003316(E2F/DP_family,_winged-helix_DNA-binding_domain),IPR015633_(E2F_Family)</t>
  </si>
  <si>
    <t>7209.EFO21341.1</t>
  </si>
  <si>
    <t>5.4e-167</t>
  </si>
  <si>
    <t>595.1</t>
  </si>
  <si>
    <t>ko:K09391</t>
  </si>
  <si>
    <t>1KWCA@119089,39SUF@33154,3BFPZ@33208,3D0UH@33213,40DRI@6231,KOG2577@1,KOG2578@2759</t>
  </si>
  <si>
    <t>E2F/DP family winged-helix DNA-binding domain</t>
  </si>
  <si>
    <t>14,5833/15,1316/14,5833</t>
  </si>
  <si>
    <t>5,15351/5,8114/14,364/13,3772/5,92105/5,8114</t>
  </si>
  <si>
    <t>5,48246/5,92105/13,8158/13,3772/6,0307/6,0307</t>
  </si>
  <si>
    <t>4,60526/5,59211/13,5965/12,5/5,92105/6,14035</t>
  </si>
  <si>
    <t>WBGene00009899</t>
  </si>
  <si>
    <t>16.3377</t>
  </si>
  <si>
    <t>Bm4374</t>
  </si>
  <si>
    <t>WBGene00224635</t>
  </si>
  <si>
    <t>GO:0005794/GO:0016020/GO:0016021/GO:0030173/GO:0046963/GO:0046964/GO:0055085/GO:1902559/</t>
  </si>
  <si>
    <t>3'-phospho-5'-adenylyl_sulfate_transmembrane_transport/3'-phosphoadenosine_5'-phosphosulfate_transmembrane_transporter_activity/3'-phosphoadenosine_5'-phosphosulfate_transport/Golgi_apparatus/integral_component_of_Golgi_membrane/integral_component_of_membrane/membrane/transmembrane_transport/</t>
  </si>
  <si>
    <t>A_compound_membranous_cytoplasmic_organelle_of_eukaryotic_cells,_consisting_of_flattened,_ribosome-free_vesicles_arranged_in_a_more_or_less_regular_stack._The_Golgi_apparatus_differs_from_the_endoplasmic_reticulum_in_often_having_slightly_thicker_membranes,_appearing_in_sections_as_a_characteristic_shallow_semicircle_so_that_the_convex_side_(cis_or_entry_face)_abuts_the_endoplasmic_reticulum,_secretory_vesicles_emerging_from_the_concave_side_(trans_or_exit_face)._In_vertebrate_cells_there_is_usually_one_such_organelle,_while_in_invertebrates_and_plants,_where_they_are_known_usually_as_dictyosomes,_there_may_be_several_scattered_in_the_cytoplasm._The_Golgi_apparatus_processes_proteins_produced_on_the_ribosomes_of_the_rough_endoplasmic_reticulum;_such_processing_includes_modification_of_the_core_oligosaccharides_of_glycoproteins,_and_the_sorting_and_packaging_of_proteins_for_transport_to_a_variety_of_cellular_locations._Three_different_regions_of_the_Golgi_are_now_recognized_both_in_terms_of_structure_and_function:_cis,_in_the_vicinity_of_the_cis_face,_trans,_in_the_vicinity_of_the_trans_face,_and_medial,_lying_between_the_cis_and_trans_regions._[ISBN:0198506732]/"A_lipid_bilayer_along_with_all_the_proteins_and_protein_complexes_embedded_in_it_an_attached_to_it."_[GOC:dos,_GOC:mah,_ISBN:0815316194]/"Enables_the_transfer_of_3'-phosphoadenosine_5'-phosphosulfate,_a_naturally_occurring_mixed_anhydride_synthesized_from_adenosine_5'-phosphosulfate,_from_one_side_of_a_membrane_to_the_other."_[ISBN:0198506732]/"The_component_of_a_membrane_consisting_of_the_gene_products_and_protein_complexes_having_at_least_some_part_of_their_peptide_sequence_embedded_in_the_hydrophobic_region_of_the_membrane."_[GOC:dos,_GOC:go_curators]/"The_component_of_the_Golgi_membrane_consisting_of_the_gene_products_and_protein_complexes_having_at_least_some_part_of_their_peptide_sequence_embedded_in_the_hydrophobic_region_of_the_membrane."_[GOC:go_curators]/"The_directed_movement_of_3'-phosphoadenosine_5'-phosphosulfate,_a_naturally_occurring_mixed_anhydride_synthesized_from_adenosine_5'-phosphosulfate,_into,_out_of_or_within_a_cell,_or_between_cells,_by_means_of_some_agent_such_as_a_transporter_or_pore."_[ISBN:0198506732]/"The_process_in_which_3'-phospho-5'-adenylyl_sulfate_is_transported_across_a_membrane."_[GOC:TermGenie,_PMID:24296033]/"The_process_in_which_a_solute_is_transported_across_a_lipid_bilayer,_from_one_side_of_a_membrane_to_the_other."_[GOC:dph,_GOC:jid]/</t>
  </si>
  <si>
    <t>IPR013657/</t>
  </si>
  <si>
    <t>UAA_transporter/</t>
  </si>
  <si>
    <t>UAA/</t>
  </si>
  <si>
    <t>note=B._malayi_BMA-PST-2_protein,_contains_similarity_toPfam_domain_PF08449_UAA_transporter_family_containssimilarity_to_Interpro_domain_IPR013657_(UAA_transporter)</t>
  </si>
  <si>
    <t>7209.EFO22826.2</t>
  </si>
  <si>
    <t>4.5e-152</t>
  </si>
  <si>
    <t>544.3</t>
  </si>
  <si>
    <t>GO:0000139,GO:0000295,GO:0003674,GO:0005215,GO:0005346,GO:0005575,GO:0005622,GO:0005623,GO:0005737,GO:0005783,GO:0005789,GO:0005794,GO:0006810,GO:0006811,GO:0006820,GO:0006862,GO:0008150,GO:0008509,GO:0008514,GO:0012505,GO:0015075,GO:0015215,GO:0015216,GO:0015605,GO:0015711,GO:0015748,GO:0015865,GO:0015868,GO:0015931,GO:0015932,GO:0016020,GO:0016021,GO:0022857,GO:0030173,GO:0030176,GO:0031090,GO:0031224,GO:0031227,GO:0031228,GO:0031300,GO:0031301,GO:0031984,GO:0034220,GO:0042175,GO:0043226,GO:0043227,GO:0043229,GO:0043231,GO:0044422,GO:0044424,GO:0044425,GO:0044431,GO:0044432,GO:0044444,GO:0044446,GO:0044464,GO:0046963,GO:0046964,GO:0051179,GO:0051234,GO:0051503,GO:0055085,GO:0071702,GO:0071705,GO:0072348,GO:0072530,GO:0098588,GO:0098656,GO:0098791,GO:0098827,GO:1901264,GO:1901505,GO:1901679,GO:1901682,GO:1902559</t>
  </si>
  <si>
    <t>ko:K15277</t>
  </si>
  <si>
    <t>2.A.7.11.5</t>
  </si>
  <si>
    <t>1KUR3@119089,38CNR@33154,3BA71@33208,3CY50@33213,40APJ@6231,COG0697@1,KOG1582@2759</t>
  </si>
  <si>
    <t>Mediates the transport of adenosine 3'-phospho 5'- phosphosulfate (PAPS), from cytosol into Golgi. PAPS is a universal sulfuryl donor for sulfation events that take place in the Golgi (By similarity)</t>
  </si>
  <si>
    <t>41,4634/41,7344</t>
  </si>
  <si>
    <t>WBGene00018827</t>
  </si>
  <si>
    <t>47.9675</t>
  </si>
  <si>
    <t>Bm4375</t>
  </si>
  <si>
    <t>WBGene00224636</t>
  </si>
  <si>
    <t>IPR001478/IPR021922/IPR036034/</t>
  </si>
  <si>
    <t>PDZ_domain/PDZ_superfamily/Par3/HAL,_N-terminal/</t>
  </si>
  <si>
    <t>PDZ/PDZ_sf/Par3/HAL_N/</t>
  </si>
  <si>
    <t>12,938/8,62534</t>
  </si>
  <si>
    <t>10,1078/9,56873</t>
  </si>
  <si>
    <t>9,56873/10,4447</t>
  </si>
  <si>
    <t>10,0404/10,9164/8,69272</t>
  </si>
  <si>
    <t>WBGene00003918</t>
  </si>
  <si>
    <t>17.5876</t>
  </si>
  <si>
    <t>Bm4464</t>
  </si>
  <si>
    <t>WBGene00224725</t>
  </si>
  <si>
    <t>GO:0005344/GO:0015671/GO:0019825/GO:0020037/</t>
  </si>
  <si>
    <t>heme_binding/oxygen_binding/oxygen_carrier_activity/oxygen_transport/</t>
  </si>
  <si>
    <t>Enables_the_directed_movement_of_oxygen_into,_out_of_or_within_a_cell,_or_between_cells._[GOC:ai]/"Interacting_selectively_and_non-covalently_with_heme,_any_compound_of_iron_complexed_in_a_porphyrin_(tetrapyrrole)_ring."_[CHEBI:30413,_GOC:ai]/"Interacting_selectively_and_non-covalently_with_oxygen_(O2)."_[GOC:jl]/"The_directed_movement_of_oxygen_(O2)_into,_out_of_or_within_a_cell,_or_between_cells,_by_means_of_some_agent_such_as_a_transporter_or_pore."_[GOC:ai]/</t>
  </si>
  <si>
    <t>IPR000971/IPR009050/IPR012292/</t>
  </si>
  <si>
    <t>Globin/Globin-like_superfamily/Globin/Protoglobin/</t>
  </si>
  <si>
    <t>Globin/Globin-like_sf/Globin/Proto/</t>
  </si>
  <si>
    <t>note=B._malayi_BMA-GLB-19_protein,_contains_similarity_to_Interpro_domains_IPR012292_(Globin,_structural_domain),_IPR009050_(Globin-like)</t>
  </si>
  <si>
    <t>1561998.Csp11.Scaffold630.g17763.t1</t>
  </si>
  <si>
    <t>4.8e-33</t>
  </si>
  <si>
    <t>147.9</t>
  </si>
  <si>
    <t>1KZKF@119089,3907R@33154,3BMJY@33208,3D5YN@33213,40GN9@6231,40SV9@6236,KOG3378@1,KOG3378@2759</t>
  </si>
  <si>
    <t>Belongs to the globin family</t>
  </si>
  <si>
    <t>WBGene00010146</t>
  </si>
  <si>
    <t>39.1534</t>
  </si>
  <si>
    <t>Bm4466</t>
  </si>
  <si>
    <t>WBGene00224727</t>
  </si>
  <si>
    <t>GO:0004601/GO:0005509/GO:0006979/GO:0016020/GO:0016021/GO:0016174/GO:0016491/GO:0020037/GO:0050665/GO:0055114/GO:0098869/</t>
  </si>
  <si>
    <t>NAD(P)H_oxidase_activity/calcium_ion_binding/cellular_oxidant_detoxification/heme_binding/hydrogen_peroxide_biosynthetic_process/integral_component_of_membrane/membrane/oxidation-reduction_process/oxidoreductase_activity/peroxidase_activity/response_to_oxidative_stress/</t>
  </si>
  <si>
    <t>A_lipid_bilayer_along_with_all_the_proteins_and_protein_complexes_embedded_in_it_an_attached_to_it._[GOC:dos,_GOC:mah,_ISBN:0815316194]/"A_metabolic_process_that_results_in_the_removal_or_addition_of_one_or_more_electrons_to_or_from_a_substance,_with_or_without_the_concomitant_removal_or_addition_of_a_proton_or_protons."_[GOC:dhl,_GOC:ecd,_GOC:jh2,_GOC:jid,_GOC:mlg,_GOC:rph]/"Any_process_carried_out_at_the_cellular_level_that_reduces_or_removes_the_toxicity_superoxide_radicals_or_hydrogen_peroxide."_[GOC:dos,_GOC:vw]/"Any_process_that_results_in_a_change_in_state_or_activity_of_a_cell_or_an_organism_(in_terms_of_movement,_secretion,_enzyme_production,_gene_expression,_etc.)_as_a_result_of_oxidative_stress,_a_state_often_resulting_from_exposure_to_high_levels_of_reactive_oxygen_species,_e.g._superoxide_anions,_hydrogen_peroxide_(H2O2),_and_hydroxyl_radicals."_[GOC:jl,_PMID:12115731]/"Catalysis_of_an_oxidation-reduction_(redox)_reaction,_a_reversible_chemical_reaction_in_which_the_oxidation_state_of_an_atom_or_atoms_within_a_molecule_is_altered._One_substrate_acts_as_a_hydrogen_or_electron_donor_and_becomes_oxidized,_while_the_other_acts_as_hydrogen_or_electron_acceptor_and_becomes_reduced."_[GOC:go_curators]/"Catalysis_of_the_reaction:_NAD(P)H_+_H+_+_O2_=_NAD(P)+_+_hydrogen_peroxide."_[EC:1.6.3.1]/"Catalysis_of_the_reaction:_donor_+_hydrogen_peroxide_=_oxidized_donor_+_2_H2O."_[EC:1.11.1.7]/"Interacting_selectively_and_non-covalently_with_calcium_ions_(Ca2+)."_[GOC:ai]/"Interacting_selectively_and_non-covalently_with_heme,_any_compound_of_iron_complexed_in_a_porphyrin_(tetrapyrrole)_ring."_[CHEBI:30413,_GOC:ai]/"The_chemical_reactions_and_pathways_resulting_in_the_formation_of_hydrogen_peroxide_(H2O2),_a_potentially_harmful_byproduct_of_aerobic_cellular_respiration_which_can_cause_damage_to_DNA."_[GOC:ai]/"The_component_of_a_membrane_consisting_of_the_gene_products_and_protein_complexes_having_at_least_some_part_of_their_peptide_sequence_embedded_in_the_hydrophobic_region_of_the_membrane."_[GOC:dos,_GOC:go_curators]/</t>
  </si>
  <si>
    <t>IPR002048/IPR010255/IPR011992/IPR013112/IPR013121/IPR013130/IPR017927/IPR017938/IPR019791/IPR029595/IPR034821/IPR037120/IPR039261/</t>
  </si>
  <si>
    <t>Dual_oxidase,_peroxidase_domain/Dual_oxidase_1/Duox/EF-hand_domain/EF-hand_domain_pair/FAD-binding_8/FAD-binding_domain,_ferredoxin_reductase-type/Ferredoxin-NADP_reductase_(FNR),_nucleotide-binding_domain/Ferric_reductase,_NAD_binding_domain/Ferric_reductase_transmembrane_component-like_domain/Haem_peroxidase,_animal_type/Haem_peroxidase_domain_superfamily,_animal_type/Haem_peroxidase_superfamily/Riboflavin_synthase-like_beta-barrel/</t>
  </si>
  <si>
    <t>DUOX1/Duox/DUOX_peroxidase/EF-hand-dom_pair/EF_hand_dom/FAD-bd_8/FAD-bd_FR_type/FNR_nucleotide-bd/Fe3_Rdtase_TM_dom/Fe_red_NAD-bd_6/Haem_peroxidase_animal/Haem_peroxidase_sf/Haem_peroxidase_sf_animal/Riboflavin_synthase-like_b-brl/</t>
  </si>
  <si>
    <t>note=contains_similarity_to_Pfam_domains_PF08022_(FAD-binding_domain),_PF08030_(Ferric_reductase_NAD_binding_domain),_PF01794_(Ferric_reductase_like_transmembrane_component),_PF03098_(Animal_haem_peroxidase)_contains_similarity_to_Interpro_domains_IPR011992_(EF-hand_domain_pair),_IPR010255_(Haem_peroxidase),_IPR019791_(Haem_peroxidase,_animal),_IPR013121_(Ferric_reductase,_NAD_binding),_IPR013130_(Ferric_reductase_transmembrane_component-like_domain),_IPR013112_(FAD-binding_8),_IPR017938_(Riboflavin_synthase-like_beta-barrel)</t>
  </si>
  <si>
    <t>7209.EJD74478.1</t>
  </si>
  <si>
    <t>2817.0</t>
  </si>
  <si>
    <t>GO:0002119,GO:0002164,GO:0003674,GO:0003824,GO:0004601,GO:0005488,GO:0005575,GO:0005623,GO:0005886,GO:0006464,GO:0006807,GO:0006950,GO:0006952,GO:0006979,GO:0007275,GO:0008150,GO:0008152,GO:0009605,GO:0009607,GO:0009617,GO:0009620,GO:0009636,GO:0009653,GO:0009791,GO:0009886,GO:0009987,GO:0010171,GO:0016020,GO:0016174,GO:0016209,GO:0016491,GO:0016651,GO:0016684,GO:0018149,GO:0018996,GO:0019538,GO:0020037,GO:0032501,GO:0032502,GO:0036211,GO:0040002,GO:0040032,GO:0042221,GO:0042303,GO:0042335,GO:0042338,GO:0042742,GO:0043170,GO:0043207,GO:0043412,GO:0044237,GO:0044238,GO:0044260,GO:0044267,GO:0044464,GO:0046906,GO:0048037,GO:0048856,GO:0050664,GO:0050830,GO:0050832,GO:0050896,GO:0051704,GO:0051707,GO:0051716,GO:0055114,GO:0070887,GO:0071704,GO:0071944,GO:0097159,GO:0097237,GO:0098542,GO:0098754,GO:0098869,GO:1901363,GO:1901564,GO:1990748</t>
  </si>
  <si>
    <t>1.6.3.1</t>
  </si>
  <si>
    <t>ko:K13411</t>
  </si>
  <si>
    <t>ko04013,ko04624,map04013,map04624</t>
  </si>
  <si>
    <t>ko00000,ko00001,ko01000,ko04131</t>
  </si>
  <si>
    <t>5.B.1.2</t>
  </si>
  <si>
    <t>1KTU7@119089,38CEX@33154,3BDMU@33208,3CTQ7@33213,40B67@6231,KOG0039@1,KOG0039@2759</t>
  </si>
  <si>
    <t>PQ</t>
  </si>
  <si>
    <t>hydrogen peroxide biosynthetic process</t>
  </si>
  <si>
    <t>16,4894/39,7606/9,30851</t>
  </si>
  <si>
    <t>24,5346/22,2074</t>
  </si>
  <si>
    <t>60,9707/21,2766</t>
  </si>
  <si>
    <t>56,117/54,4548</t>
  </si>
  <si>
    <t>35,9707/9,44149/35,2394/8,90957/9,57447</t>
  </si>
  <si>
    <t>35,9043/9,70745/34,9734/9,04255/9,44149</t>
  </si>
  <si>
    <t>6,11702/8,04521</t>
  </si>
  <si>
    <t>WBGene00000253/WBGene00018771</t>
  </si>
  <si>
    <t>56.117/54.4548</t>
  </si>
  <si>
    <t>Bm4467</t>
  </si>
  <si>
    <t>WBGene00224728</t>
  </si>
  <si>
    <t>note=B._malayi_BMA-PTR-11_protein,_contains_similarity_to_Pfam_domain_PF02460_Patched_family_contains_similarity_to_Interpro_domain_IPR003392_(Patched)</t>
  </si>
  <si>
    <t>7209.EFO20694.2</t>
  </si>
  <si>
    <t>2.3e-277</t>
  </si>
  <si>
    <t>961.1</t>
  </si>
  <si>
    <t>ptr-11</t>
  </si>
  <si>
    <t>1KTQN@119089,39S9D@33154,3BGWP@33208,3D5U3@33213,40AU5@6231,KOG1934@1,KOG1934@2759</t>
  </si>
  <si>
    <t>molting cycle, collagen and cuticulin-based cuticle</t>
  </si>
  <si>
    <t>23,8434/38,968</t>
  </si>
  <si>
    <t>35,5872/45,7295/8,18505/50/8,00712</t>
  </si>
  <si>
    <t>WBGene00004225</t>
  </si>
  <si>
    <t>43.9502</t>
  </si>
  <si>
    <t>Bm4473</t>
  </si>
  <si>
    <t>WBGene00224734</t>
  </si>
  <si>
    <t>GO:0003676/GO:0003723/GO:0003729/GO:0007281/</t>
  </si>
  <si>
    <t>RNA_binding/germ_cell_development/mRNA_binding/nucleic_acid_binding/</t>
  </si>
  <si>
    <t>Interacting_selectively_and_non-covalently_with_an_RNA_molecule_or_a_portion_thereof._[GOC:jl,_GOC:mah]/"Interacting_selectively_and_non-covalently_with_any_nucleic_acid."_[GOC:jl]/"Interacting_selectively_and_non-covalently_with_messenger_RNA_(mRNA),_an_intermediate_molecule_between_DNA_and_protein._mRNA_includes_UTR_and_coding_sequences,_but_does_not_contain_introns."_[GOC:kmv,_GOC:pr,_SO:0000234]/"The_process_whose_specific_outcome_is_the_progression_of_an_immature_germ_cell_over_time,_from_its_formation_to_the_mature_structure_(gamete)._A_germ_cell_is_any_reproductive_cell_in_a_multicellular_organism."_[GOC:go_curators]/</t>
  </si>
  <si>
    <t>IPR000504/IPR012677/IPR035979/IPR037366/</t>
  </si>
  <si>
    <t>BOULE/DAZ_family/Nucleotide-binding_alpha-beta_plait_domain_superfamily/RNA-binding_domain_superfamily/RNA_recognition_motif_domain/</t>
  </si>
  <si>
    <t>BOULE/DAZ/Nucleotide-bd_a/b_plait_sf/RBD_domain_sf/RRM_dom/</t>
  </si>
  <si>
    <t>7209.EFO26975.1</t>
  </si>
  <si>
    <t>1.2e-204</t>
  </si>
  <si>
    <t>719.2</t>
  </si>
  <si>
    <t>GO:0005575,GO:0005622,GO:0005623,GO:0005737,GO:0044424,GO:0044464</t>
  </si>
  <si>
    <t>1KZM6@119089,39UM8@33154,3BEMJ@33208,3CZ6F@33213,40GZ2@6231,KOG0118@1,KOG0118@2759</t>
  </si>
  <si>
    <t>RNA recognition motif</t>
  </si>
  <si>
    <t>WBGene00000935</t>
  </si>
  <si>
    <t>21.2471</t>
  </si>
  <si>
    <t>meiosis_meioticprogresion</t>
  </si>
  <si>
    <t>Bm4515</t>
  </si>
  <si>
    <t>WBGene00224776</t>
  </si>
  <si>
    <t>note=B._malayi_BMA-ABU-13_protein</t>
  </si>
  <si>
    <t>6326.BUX.s00351.158</t>
  </si>
  <si>
    <t>1.5e-32</t>
  </si>
  <si>
    <t>146.7</t>
  </si>
  <si>
    <t>1KZIG@119089,2EN7N@1,2SRQF@2759,3ANK1@33154,3C1TU@33208,3DHK1@33213,40GGF@6231</t>
  </si>
  <si>
    <t>WBGene00004133</t>
  </si>
  <si>
    <t>28.1481</t>
  </si>
  <si>
    <t>Bm4559</t>
  </si>
  <si>
    <t>WBGene00224820</t>
  </si>
  <si>
    <t>IPR002918/IPR029058/</t>
  </si>
  <si>
    <t>Alpha/Beta_hydrolase_fold/Lipase_EstA/Esterase_EstB/</t>
  </si>
  <si>
    <t>AB_hydrolase/Lipase_EstA/Esterase_EstB/</t>
  </si>
  <si>
    <t>note=B._malayi_BMA-LIPS-9_protein,_contains_similarity_to_Pfam_domain_PF01674_Lipase_(class_2)_contains_similarity_to_Interpro_domains_IPR002918_(Lipase_EstA/Esterase_EstB),_IPR029058_(Alpha/Beta_hydrolase_fold)</t>
  </si>
  <si>
    <t>7209.EFO24697.1</t>
  </si>
  <si>
    <t>7e-148</t>
  </si>
  <si>
    <t>530.0</t>
  </si>
  <si>
    <t>1KUHJ@119089,28KCV@1,2QSCX@2759,39ZPG@33154,3BJYY@33208,3CZCN@33213,40CHI@6231</t>
  </si>
  <si>
    <t>hydrolase activity</t>
  </si>
  <si>
    <t>20,8054/55,0336</t>
  </si>
  <si>
    <t>55,7047/55,7047</t>
  </si>
  <si>
    <t>WBGene00010267</t>
  </si>
  <si>
    <t>52.349</t>
  </si>
  <si>
    <t>Bm4660</t>
  </si>
  <si>
    <t>WBGene00224921</t>
  </si>
  <si>
    <t>note=B._malayi_BMA-MBOA-2_protein</t>
  </si>
  <si>
    <t>45,4545/27,2727</t>
  </si>
  <si>
    <t>Bm4670</t>
  </si>
  <si>
    <t>WBGene00224931</t>
  </si>
  <si>
    <t>GO:0005509/GO:0016012/GO:0016020/GO:0016021/GO:0055120/</t>
  </si>
  <si>
    <t>calcium_ion_binding/integral_component_of_membrane/membrane/sarcoglycan_complex/striated_muscle_dense_body/</t>
  </si>
  <si>
    <t>A_lipid_bilayer_along_with_all_the_proteins_and_protein_complexes_embedded_in_it_an_attached_to_it._[GOC:dos,_GOC:mah,_ISBN:0815316194]/"A_protein_complex_formed_of_four_sarcoglycans_plus_sarcospan;_there_are_six_known_sarcoglycans:_alpha-,_beta-,_gamma-,_delta-,_epsilon-_and_zeta-sarcoglycan;_all_are_N-glycosylated_single-pass_transmembrane_proteins._The_sarcoglycan-sarcospan_complex_is_a_subcomplex_of_the_dystrophin_glycoprotein_complex,_and_is_fixed_to_the_dystrophin_axis_by_a_lateral_association_with_the_dystroglycan_complex."_[PMID:15117830,_PMID:16710609]/"A_vinculin-containing_myofibril_attachment_structure_of_striated_muscle_that_connects_sarcomeres_to_the_extracellular_matrix._In_nematode_body_wall_muscle,_the_dense_body_performs_the_dual_role_of_Z-disk_and_costamere."_[GOC:kmv,_PMID:17492481]/"Interacting_selectively_and_non-covalently_with_calcium_ions_(Ca2+)."_[GOC:ai]/"The_component_of_a_membrane_consisting_of_the_gene_products_and_protein_complexes_having_at_least_some_part_of_their_peptide_sequence_embedded_in_the_hydrophobic_region_of_the_membrane."_[GOC:dos,_GOC:go_curators]/</t>
  </si>
  <si>
    <t>IPR006644/IPR008908/IPR015919/</t>
  </si>
  <si>
    <t>Cadherin-like_superfamily/Dystroglycan-type_cadherin-like/Sarcoglycan_alpha/epsilon/</t>
  </si>
  <si>
    <t>Cadg/Cadherin-like_sf/Sarcoglycan_alpha/epsilon/</t>
  </si>
  <si>
    <t>note=B._malayi_BMA-SGCA-1_protein,_contains_similarity_to_Pfam_domain_PF05510_Sarcoglycan_alpha/epsilon_contains_similarity_to_Interpro_domains_IPR015919_(Cadherin-like),_IPR006644_(Dystroglycan-type_cadherin-like),_IPR008908_(Sarcoglycan_alphaepsilon)</t>
  </si>
  <si>
    <t>7209.EFO19771.2</t>
  </si>
  <si>
    <t>3.6e-250</t>
  </si>
  <si>
    <t>870.5</t>
  </si>
  <si>
    <t>GO:0005575,GO:0005622,GO:0005623,GO:0005737,GO:0043226,GO:0043228,GO:0043229,GO:0043232,GO:0043292,GO:0044422,GO:0044424,GO:0044444,GO:0044449,GO:0044464,GO:0055120,GO:0099080,GO:0099081,GO:0099512</t>
  </si>
  <si>
    <t>ko:K12565</t>
  </si>
  <si>
    <t>ko05410,ko05412,ko05414,ko05416,map05410,map05412,map05414,map05416</t>
  </si>
  <si>
    <t>1KTJF@119089,39S55@33154,3BMJG@33208,3CZ0J@33213,40BVJ@6231,KOG4482@1,KOG4482@2759</t>
  </si>
  <si>
    <t>Sarcoglycan alpha/epsilon</t>
  </si>
  <si>
    <t>16,5289/16,5289</t>
  </si>
  <si>
    <t>17,1488/16,9421</t>
  </si>
  <si>
    <t>14,6694/16,7355</t>
  </si>
  <si>
    <t>WBGene00019227</t>
  </si>
  <si>
    <t>33.8843</t>
  </si>
  <si>
    <t>Bm475</t>
  </si>
  <si>
    <t>WBGene00220736</t>
  </si>
  <si>
    <t>Bm4787</t>
  </si>
  <si>
    <t>WBGene00225048</t>
  </si>
  <si>
    <t>7209.EFO23945.2</t>
  </si>
  <si>
    <t>3.7e-116</t>
  </si>
  <si>
    <t>424.9</t>
  </si>
  <si>
    <t>33,9181/33,9181</t>
  </si>
  <si>
    <t>35,9649/36,2573</t>
  </si>
  <si>
    <t>26,3158/29,5322/30,117</t>
  </si>
  <si>
    <t>39.4737</t>
  </si>
  <si>
    <t>Bm4839</t>
  </si>
  <si>
    <t>WBGene00225100</t>
  </si>
  <si>
    <t>GO:0004725/GO:0005622/GO:0006470/GO:0035335/GO:1902751/</t>
  </si>
  <si>
    <t>intracellular/peptidyl-tyrosine_dephosphorylation/positive_regulation_of_cell_cycle_G2/M_phase_transition/protein_dephosphorylation/protein_tyrosine_phosphatase_activity/</t>
  </si>
  <si>
    <t>Any_process_that_activates_or_increases_the_frequency,_rate_or_extent_of_cell_cycle_G2/M_phase_transition._[GO_REF:0000058,_GOC:jl,_GOC:TermGenie]/"Catalysis_of_the_reaction:_protein_tyrosine_phosphate_+_H2O_=_protein_tyrosine_+_phosphate."_[EC:3.1.3.48]/"The_living_contents_of_a_cell;_the_matter_contained_within_(but_not_including)_the_plasma_membrane,_usually_taken_to_exclude_large_vacuoles_and_masses_of_secretory_or_ingested_material._In_eukaryotes_it_includes_the_nucleus_and_cytoplasm."_[ISBN:0198506732]/"The_process_of_removing_one_or_more_phosphoric_residues_from_a_protein."_[GOC:hb]/"The_removal_of_phosphoric_residues_from_peptidyl-O-phospho-tyrosine_to_form_peptidyl-tyrosine."_[GOC:bf]/</t>
  </si>
  <si>
    <t>IPR000751/IPR001763/IPR036873/</t>
  </si>
  <si>
    <t>M-phase_inducer_phosphatase/Rhodanese-like_domain/Rhodanese-like_domain_superfamily/</t>
  </si>
  <si>
    <t>MPI_Phosphatase/Rhodanese-like_dom/Rhodanese-like_dom_sf/</t>
  </si>
  <si>
    <t>note=contains_similarity_to_Pfam_domain_PF00581_Rhodanese-like_domain_contains_similarity_to_Interpro_domains_IPR001763_(Rhodanese-like_domain),_IPR000751_(M-phase_inducer_phosphatase)</t>
  </si>
  <si>
    <t>7209.EJD76492.1</t>
  </si>
  <si>
    <t>4.2e-226</t>
  </si>
  <si>
    <t>790.8</t>
  </si>
  <si>
    <t>GO:0000003,GO:0000212,GO:0000226,GO:0003674,GO:0003824,GO:0004721,GO:0005488,GO:0005515,GO:0005575,GO:0005622,GO:0005623,GO:0005634,GO:0006464,GO:0006470,GO:0006793,GO:0006796,GO:0006807,GO:0006996,GO:0007010,GO:0007017,GO:0007049,GO:0007051,GO:0008150,GO:0008152,GO:0008283,GO:0009987,GO:0016043,GO:0016311,GO:0016787,GO:0016788,GO:0016791,GO:0019538,GO:0022402,GO:0022414,GO:0036211,GO:0042578,GO:0043170,GO:0043226,GO:0043227,GO:0043229,GO:0043231,GO:0043412,GO:0044237,GO:0044238,GO:0044260,GO:0044267,GO:0044424,GO:0044464,GO:0051321,GO:0071704,GO:0071840,GO:0140096,GO:1901564,GO:1903046</t>
  </si>
  <si>
    <t>1KZDR@119089,38GCJ@33154,3BIJY@33208,3CSHR@33213,40GIZ@6231,COG5105@1,KOG3772@2759</t>
  </si>
  <si>
    <t>positive regulation of cell cycle G2/M phase transition</t>
  </si>
  <si>
    <t>42,1517/40,388</t>
  </si>
  <si>
    <t>19,9295/20,6349</t>
  </si>
  <si>
    <t>16,5785/15,873</t>
  </si>
  <si>
    <t>8,64198/13,4039</t>
  </si>
  <si>
    <t>13,4039/18,1658</t>
  </si>
  <si>
    <t>13,0511/12,8748/12,8748</t>
  </si>
  <si>
    <t>13,4039/12,522/13,0511</t>
  </si>
  <si>
    <t>4,58554/5,82011</t>
  </si>
  <si>
    <t>WBGene00000388/WBGene00000387</t>
  </si>
  <si>
    <t>13.4039/18.1658</t>
  </si>
  <si>
    <t>Bm484</t>
  </si>
  <si>
    <t>WBGene00220745</t>
  </si>
  <si>
    <t>39,196/31,9095</t>
  </si>
  <si>
    <t>29,8995/16,5829</t>
  </si>
  <si>
    <t>Bm485</t>
  </si>
  <si>
    <t>WBGene00220746</t>
  </si>
  <si>
    <t>Bm4858</t>
  </si>
  <si>
    <t>WBGene00225119</t>
  </si>
  <si>
    <t>GO:0005515/GO:0016020/GO:0016021/</t>
  </si>
  <si>
    <t>integral_component_of_membrane/membrane/protein_binding/</t>
  </si>
  <si>
    <t>A_lipid_bilayer_along_with_all_the_proteins_and_protein_complexes_embedded_in_it_an_attached_to_it._[GOC:dos,_GOC:mah,_ISBN:0815316194]/"Interacting_selectively_and_non-covalently_with_any_protein_or_protein_complex_(a_complex_of_two_or_more_proteins_that_may_include_other_nonprotein_molecules)."_[GOC:go_curators]/"The_component_of_a_membrane_consisting_of_the_gene_products_and_protein_complexes_having_at_least_some_part_of_their_peptide_sequence_embedded_in_the_hydrophobic_region_of_the_membrane."_[GOC:dos,_GOC:go_curators]/</t>
  </si>
  <si>
    <t>IPR001611/IPR003591/IPR025875/IPR032675/</t>
  </si>
  <si>
    <t>Leucine-rich_repeat/Leucine-rich_repeat,_typical_subtype/Leucine-rich_repeat_domain_superfamily/Leucine_rich_repeat_4/</t>
  </si>
  <si>
    <t>LRR_dom_sf/Leu-rich_rpt/Leu-rich_rpt_4/Leu-rich_rpt_typical-subtyp/</t>
  </si>
  <si>
    <t>note=B._malayi_BMA-EGG-6_protein,_contains_similarity_toPfam_domains_PF13855_(Leucine_rich_repeat),_PF12799(Leucine_Rich_repeats_(2_copies))_contains_similarity_toInterpro_domains_IPR025875_(Leucine_rich_repeat_4),IPR001611_(Leucine-rich_repeat),_IPR003591_(Leucine-richrepeat,_typical_subtype)</t>
  </si>
  <si>
    <t>7209.EFO26857.2</t>
  </si>
  <si>
    <t>1.9e-284</t>
  </si>
  <si>
    <t>985.3</t>
  </si>
  <si>
    <t>1KV13@119089,39UAH@33154,3BISZ@33208,3D3CC@33213,40C1W@6231,COG4886@1,KOG0619@2759</t>
  </si>
  <si>
    <t>Leucine-rich repeats, typical (most populated) subfamily</t>
  </si>
  <si>
    <t>29,8013/29,5806</t>
  </si>
  <si>
    <t>Bm4928</t>
  </si>
  <si>
    <t>WBGene00225189</t>
  </si>
  <si>
    <t>GO:0003700/GO:0006355/</t>
  </si>
  <si>
    <t>DNA-binding_transcription_factor_activity/regulation_of_transcription,_DNA-templated/</t>
  </si>
  <si>
    <t>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process_that_modulates_the_frequency,_rate_or_extent_of_cellular_DNA-templated_transcription."_[GOC:go_curators,_GOC:txnOH]/</t>
  </si>
  <si>
    <t>IPR004827/</t>
  </si>
  <si>
    <t>Basic-leucine_zipper_domain/</t>
  </si>
  <si>
    <t>bZIP/</t>
  </si>
  <si>
    <t>note=B._malayi_BMA-ATF-2_protein,_contains_similarity_toPfam_domain_PF07716_Basic_region_leucine_zipper_containssimilarity_to_Interpro_domain_IPR004827_(Basic-leucinezipper_domain)</t>
  </si>
  <si>
    <t>7209.EFO17148.2</t>
  </si>
  <si>
    <t>1.1e-141</t>
  </si>
  <si>
    <t>510.4</t>
  </si>
  <si>
    <t>GO:0000122,GO:0001012,GO:0001067,GO:0003674,GO:0003676,GO:0003677,GO:0005488,GO:0005515,GO:0006355,GO:0006357,GO:0008150,GO:0009889,GO:0009890,GO:0009892,GO:0010468,GO:0010556,GO:0010558,GO:0010605,GO:0010629,GO:0019219,GO:0019222,GO:0031323,GO:0031324,GO:0031326,GO:0031327,GO:0044212,GO:0045892,GO:0045934,GO:0048519,GO:0048523,GO:0050789,GO:0050794,GO:0051171,GO:0051172,GO:0051252,GO:0051253,GO:0060255,GO:0065007,GO:0080090,GO:0097159,GO:1901363,GO:1902679,GO:1903506,GO:1903507,GO:2000112,GO:2000113,GO:2001141</t>
  </si>
  <si>
    <t>1KX3V@119089,3ABX2@33154,3BU9K@33208,3DBC0@33213,40EJU@6231,KOG3119@1,KOG3119@2759</t>
  </si>
  <si>
    <t>basic region leucin zipper</t>
  </si>
  <si>
    <t>8,46024/11,3367/8,46024/11,1675/11,1675/11,6751</t>
  </si>
  <si>
    <t>WBGene00000220</t>
  </si>
  <si>
    <t>24.1963</t>
  </si>
  <si>
    <t>Bm4987</t>
  </si>
  <si>
    <t>WBGene00225248</t>
  </si>
  <si>
    <t>7209.EFO27252.2</t>
  </si>
  <si>
    <t>6.7e-145</t>
  </si>
  <si>
    <t>520.4</t>
  </si>
  <si>
    <t>1KX6W@119089,2E3AR@1,2SAEK@2759,3A8CA@33154,3BUUK@33208,3DBFE@33213,40EHQ@6231</t>
  </si>
  <si>
    <t>WBGene00010744</t>
  </si>
  <si>
    <t>29.8883</t>
  </si>
  <si>
    <t>Bm5119</t>
  </si>
  <si>
    <t>WBGene00225380</t>
  </si>
  <si>
    <t>IPR008795/</t>
  </si>
  <si>
    <t>Prominin/</t>
  </si>
  <si>
    <t>6239.M28.4</t>
  </si>
  <si>
    <t>2e-09</t>
  </si>
  <si>
    <t>70.9</t>
  </si>
  <si>
    <t>1M09Z@119089,2EZHV@1,2T0UG@2759,3AS1R@33154,3C549@33208,3DJBM@33213,40HF3@6231,40ZMX@6236</t>
  </si>
  <si>
    <t>40,0369/26,7528</t>
  </si>
  <si>
    <t>23,4317/43,5424</t>
  </si>
  <si>
    <t>40,0369/17,1587</t>
  </si>
  <si>
    <t>9,5941/33,7638</t>
  </si>
  <si>
    <t>15,6827/38,7454</t>
  </si>
  <si>
    <t>15,6827/34,6863</t>
  </si>
  <si>
    <t>Bm5168</t>
  </si>
  <si>
    <t>WBGene00225429</t>
  </si>
  <si>
    <t>IPR002172/IPR036055/</t>
  </si>
  <si>
    <t>LDL_receptor-like_superfamily/Low-density_lipoprotein_(LDL)_receptor_class_A_repeat/</t>
  </si>
  <si>
    <t>LDL_receptor-like_sf/LDrepeatLR_classA_rpt/</t>
  </si>
  <si>
    <t>note=contains_similarity_to_Pfam_domain_PF00057_Low-density_lipoprotein_receptor_domain_class_A_contains_similarity_to_Interpro_domain_IPR002172_(Low-density_lipoprotein_(LDL)_receptor_class_A_repeat)</t>
  </si>
  <si>
    <t>7209.EFO16641.2</t>
  </si>
  <si>
    <t>1.3e-182</t>
  </si>
  <si>
    <t>GO:0000003,GO:0003006,GO:0005575,GO:0005623,GO:0005886,GO:0007276,GO:0007281,GO:0007292,GO:0007338,GO:0008150,GO:0009566,GO:0009653,GO:0009987,GO:0016020,GO:0019953,GO:0022412,GO:0022414,GO:0030154,GO:0030703,GO:0032501,GO:0032502,GO:0032504,GO:0032879,GO:0032880,GO:0044464,GO:0044703,GO:0048468,GO:0048477,GO:0048518,GO:0048609,GO:0048646,GO:0048856,GO:0048869,GO:0050789,GO:0051704,GO:0060341,GO:0065007,GO:0071944,GO:1903076,GO:1903078,GO:1903827,GO:1903829,GO:1904375,GO:1904377,GO:1904776,GO:1904778,GO:1905475,GO:1905477</t>
  </si>
  <si>
    <t>1KXYB@119089,3A3Z8@33154,3BS0B@33208,3D907@33213,40DUJ@6231,KOG1215@1,KOG1215@2759</t>
  </si>
  <si>
    <t>regulation of protein localization to plasma membrane</t>
  </si>
  <si>
    <t>29,3814/30,9278</t>
  </si>
  <si>
    <t>WBGene00015083/WBGene00019811</t>
  </si>
  <si>
    <t>29.3814/30.9278</t>
  </si>
  <si>
    <t>Bm5190</t>
  </si>
  <si>
    <t>WBGene00225451</t>
  </si>
  <si>
    <t>135651.CBN19262</t>
  </si>
  <si>
    <t>1.8e-40</t>
  </si>
  <si>
    <t>174.1</t>
  </si>
  <si>
    <t>ko:K01090,ko:K06269</t>
  </si>
  <si>
    <t>1KY2M@119089,3AGBN@33154,3BY9A@33208,3DEE2@33213,40FFM@6231,40TA5@6236,COG0639@1,KOG0374@2759</t>
  </si>
  <si>
    <t>6,89655/12,7042</t>
  </si>
  <si>
    <t>WBGene00010992</t>
  </si>
  <si>
    <t>21.4156</t>
  </si>
  <si>
    <t>Bm5213</t>
  </si>
  <si>
    <t>WBGene00225474</t>
  </si>
  <si>
    <t>note=contains_similarity_to_Interpro_domain_IPR015880_(Zinc_finger,_C2H2-like)</t>
  </si>
  <si>
    <t>7209.EFO27388.2</t>
  </si>
  <si>
    <t>7.1e-171</t>
  </si>
  <si>
    <t>607.8</t>
  </si>
  <si>
    <t>1KZV6@119089,2E2BW@1,2S9JU@2759,3A9MR@33154,3BUFD@33208,3DAVS@33213,40EPU@6231</t>
  </si>
  <si>
    <t>Bm5292</t>
  </si>
  <si>
    <t>WBGene00225553</t>
  </si>
  <si>
    <t>/GO:0005515/GO:0005778/GO:0016560/</t>
  </si>
  <si>
    <t>/peroxisomal_membrane/protein_binding/protein_import_into_peroxisome_matrix,_docking/</t>
  </si>
  <si>
    <t>/"Interacting_selectively_and_non-covalently_with_any_protein_or_protein_complex_(a_complex_of_two_or_more_proteins_that_may_include_other_nonprotein_molecules)."_[GOC:go_curators]/"The_lipid_bilayer_surrounding_a_peroxisome."_[GOC:mah]/"The_process_in_which_a_complex_formed_of_a_peroxisome_targeting_sequence_(PTS)_receptor_bound_to_a_PTS-bearing_protein_docks_with_translocation_machinery_in_the_peroxisomal_membrane."_[PMID:11687502,_PMID:11988772,_PMID:14754507]/</t>
  </si>
  <si>
    <t>/IPR025655/IPR036388/</t>
  </si>
  <si>
    <t>/Peroxisomal_membrane_protein_14/Winged_helix-like_DNA-binding_domain_superfamily/</t>
  </si>
  <si>
    <t>/PEX14/WH-like_DNA-bd_sf/</t>
  </si>
  <si>
    <t>note=B._malayi_BMA-PRX-14_protein,_contains_similarity_to_Pfam_domain_PF04695_Peroxisomal_membrane_anchor_protein_(Pex14p)_conserved_region_contains_similarity_to_Interpro_domain_IPR006785_(Peroxisome_membrane_anchor_protein_Pex14p,_N-terminal)</t>
  </si>
  <si>
    <t>7209.EFO18550.2</t>
  </si>
  <si>
    <t>3.3e-89</t>
  </si>
  <si>
    <t>335.1</t>
  </si>
  <si>
    <t>ko:K13343</t>
  </si>
  <si>
    <t>ko04146,map04146</t>
  </si>
  <si>
    <t>3.A.20.1</t>
  </si>
  <si>
    <t>1KX48@119089,39BZV@33154,3CG12@33208,3DXFW@33213,40EHT@6231,KOG2629@1,KOG2629@2759</t>
  </si>
  <si>
    <t>peroxisome transport along microtubule</t>
  </si>
  <si>
    <t>21,9595/35,8108</t>
  </si>
  <si>
    <t>Bm5380</t>
  </si>
  <si>
    <t>WBGene00225641</t>
  </si>
  <si>
    <t>note=contains_similarity_to_Pfam_domain_PF00105_Zinc_finger,_C4_type_(two_domains)_contains_similarity_to_Interpro_domains_IPR008946_(Nuclear_hormone_receptor,_ligand-binding),_IPR013088_(Zinc_finger,_NHR/GATA-type),_IPR001628_(Zinc_finger,_nuclear_hormone_receptor-type)</t>
  </si>
  <si>
    <t>11.6384</t>
  </si>
  <si>
    <t>Bm5398</t>
  </si>
  <si>
    <t>WBGene00225659</t>
  </si>
  <si>
    <t>IPR002110/IPR020683/IPR036770/IPR038907/</t>
  </si>
  <si>
    <t>Ankyrin_repeat/Ankyrin_repeat-containing_domain/Ankyrin_repeat-containing_domain_superfamily/Ankyrin_repeat_and_SOCS_box_protein_8/</t>
  </si>
  <si>
    <t>ASB8/Ankyrin_rpt/Ankyrin_rpt-contain_dom/Ankyrin_rpt-contain_sf/</t>
  </si>
  <si>
    <t>7209.EFO26954.2</t>
  </si>
  <si>
    <t>1.8e-157</t>
  </si>
  <si>
    <t>562.4</t>
  </si>
  <si>
    <t>1KZQN@119089,38HXA@33154,3BC35@33208,3CWAB@33213,40GSH@6231,KOG0307@1,KOG0307@2759</t>
  </si>
  <si>
    <t>ankyrin repeat</t>
  </si>
  <si>
    <t>55,5035/52,2248</t>
  </si>
  <si>
    <t>62,5293/18,7354</t>
  </si>
  <si>
    <t>Bm5504</t>
  </si>
  <si>
    <t>WBGene00225765</t>
  </si>
  <si>
    <t>IPR007284/</t>
  </si>
  <si>
    <t>Ground-like_domain/</t>
  </si>
  <si>
    <t>Ground-like_dom/</t>
  </si>
  <si>
    <t>note=B._malayi_BMA-GRL-14_protein,_contains_similarity_to_Pfam_domain_PF04155_Ground-like_domain_contains_similarity_to_Interpro_domain_IPR007284_(Ground-like_domain)</t>
  </si>
  <si>
    <t>7209.EFO27118.1</t>
  </si>
  <si>
    <t>2.7e-151</t>
  </si>
  <si>
    <t>542.0</t>
  </si>
  <si>
    <t>1KZTR@119089,2ERGG@1,2SU9H@2759,3ARFX@33154,3C2MD@33208,3DIUN@33213,40GT2@6231</t>
  </si>
  <si>
    <t>Ground-like domain</t>
  </si>
  <si>
    <t>Bm5519</t>
  </si>
  <si>
    <t>WBGene00225780</t>
  </si>
  <si>
    <t>7209.EFO17542.2</t>
  </si>
  <si>
    <t>2.2e-164</t>
  </si>
  <si>
    <t>1KWPQ@119089,2DU95@1,2S6FY@2759,3A5ME@33154,3BT1B@33208,3D9R2@33213,40DYI@6231</t>
  </si>
  <si>
    <t>92,1348/92,1348</t>
  </si>
  <si>
    <t>32,8652/32,5843</t>
  </si>
  <si>
    <t>Bm5557</t>
  </si>
  <si>
    <t>WBGene00225818</t>
  </si>
  <si>
    <t>note=B._malayi_BMA-NAS-15_protein,_contains_similarity_to_Pfam_domains_PF01549_(ShK_domain-like),_PF01400_(Astacin_(Peptidase_family_M12A))_contains_similarity_to_Interpro_domains_IPR024079_(Metallopeptidase,_catalytic_domain),_IPR001506_(Peptidase_M12A,_astacin),_IPR006026_(Peptidase,_metallopeptidase),_IPR003582_(ShKT_domain)</t>
  </si>
  <si>
    <t>7209.EFO24247.1</t>
  </si>
  <si>
    <t>2.4e-204</t>
  </si>
  <si>
    <t>718.4</t>
  </si>
  <si>
    <t>nas-15</t>
  </si>
  <si>
    <t>3.4.24.21</t>
  </si>
  <si>
    <t>ko:K08076</t>
  </si>
  <si>
    <t>ko00000,ko01000,ko01002</t>
  </si>
  <si>
    <t>1KUBF@119089,39XYE@33154,3BBQQ@33208,3D36B@33213,40BNT@6231,KOG3714@1,KOG3714@2759</t>
  </si>
  <si>
    <t>33,2039/12,6214/17,4757</t>
  </si>
  <si>
    <t>22,7184/28,1553</t>
  </si>
  <si>
    <t>WBGene00003534</t>
  </si>
  <si>
    <t>41.9417</t>
  </si>
  <si>
    <t>Bm5610</t>
  </si>
  <si>
    <t>WBGene00225871</t>
  </si>
  <si>
    <t>7209.EJD75464.1</t>
  </si>
  <si>
    <t>9.5e-231</t>
  </si>
  <si>
    <t>805.8</t>
  </si>
  <si>
    <t>2.7.10.2</t>
  </si>
  <si>
    <t>ko:K08253</t>
  </si>
  <si>
    <t>1KYEG@119089,3AFS8@33154,3BY38@33208,3DFCY@33213,40FZ7@6231,COG0515@1,KOG0194@2759</t>
  </si>
  <si>
    <t>68,3099/64,554</t>
  </si>
  <si>
    <t>53,0516/57,277</t>
  </si>
  <si>
    <t>Bm5619</t>
  </si>
  <si>
    <t>WBGene00225880</t>
  </si>
  <si>
    <t>GO:0000070/GO:0000079/GO:0000278/GO:0001556/GO:0001934/GO:0005634/GO:0005737/GO:0007098/GO:0010389/GO:0016538/GO:0019901/GO:0035046/GO:0045144/GO:0045842/GO:0051321/GO:0051383/GO:0051445/</t>
  </si>
  <si>
    <t>centrosome_cycle/cyclin-dependent_protein_serine/threonine_kinase_regulator_activity/cytoplasm/kinetochore_organization/meiotic_cell_cycle/meiotic_sister_chromatid_segregation/mitotic_cell_cycle/mitotic_sister_chromatid_segregation/nucleus/oocyte_maturation/positive_regulation_of_mitotic_metaphase/anaphase_transition/positive_regulation_of_protein_phosphorylation/pronuclear_migration/protein_kinase_binding/regulation_of_G2/M_transition_of_mitotic_cell_cycle/regulation_of_cyclin-dependent_protein_serine/threonine_kinase_activity/regulation_of_meiotic_cell_cycle/</t>
  </si>
  <si>
    <t>A_developmental_process,_independent_of_morphogenetic_(shape)_change,_that_is_required_for_an_oocyte_to_attain_its_fully_functional_state._Oocyte_maturation_commences_after_reinitiation_of_meiosis_commonly_starting_with_germinal_vesicle_breakdown,_and_continues_up_to_the_second_meiotic_arrest_prior_to_fertilization._[GOC:devbiol,_http://ovary.stanford.edu]/"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cess_that_is_carried_out_at_the_cellular_level_which_results_in_the_assembly,_arrangement_of_constituent_parts,_or_disassembly_of_the_kinetochore,_a_multisubunit_complex_that_is_located_at_the_centromeric_region_of_DNA_and_provides_an_attachment_point_for_the_spindle_microtubules."_[GOC:ai,_GOC:dph,_GOC:jl,_GOC:mah]/"All_of_the_contents_of_a_cell_excluding_the_plasma_membrane_and_nucleus,_but_including_other_subcellular_structures."_[ISBN:0198547684]/"Any_process_that_activates_or_increases_the_frequency,_rate_or_extent_of_addition_of_phosphate_groups_to_amino_acids_within_a_protein."_[GOC:hjd]/"Any_process_that_activates_or_increases_the_frequency,_rate_or_extent_of_the_cell_cycle_process_in_which_a_cell_progresses_from_metaphase_to_anaphase_during_mitosis,_triggered_by_the_activation_of_the_anaphase_promoting_complex_by_Cdc20/Sleepy_homolog_which_results_in_the_degradation_of_Securin."_[GOC:go_curators]/"Any_process_that_modulates_the_frequency,_rate_or_extent_of_cyclin-dependent_protein_serine/threonine_kinase_activity."_[GOC:go_curators,_GOC:pr]/"Any_process_that_modulates_the_rate_or_extent_of_progression_from_G2_phase_to_M_phase_of_the_mitotic_cell_cycle."_[GOC:mtg_cell_cycle,_PMID:17329565]/"Any_process_that_modulates_the_rate_or_extent_of_progression_through_the_meiotic_cell_cycle."_[GOC:ai,_GOC:dph,_GOC:tb]/"Interacting_selectively_and_non-covalently_with_a_protein_kinase,_any_enzyme_that_catalyzes_the_transfer_of_a_phosphate_group,_usually_from_ATP,_to_a_protein_substrate."_[GOC:jl]/"Modulates_the_activity_of_a_cyclin-dependent_protein_serine/threonine_kinase,_enzymes_of_the_protein_kinase_family_that_are_regulated_through_association_with_cyclins_and_other_proteins."_[GOC:pr,_GOC:rn,_PMID:7877684,_PMID:9442875]/"Progression_through_the_phases_of_the_meiotic_cell_cycle,_in_which_canonically_a_cell_replicates_to_produce_four_offspring_with_half_the_chromosomal_content_of_the_progenitor_cell_via_two_nuclear_divisions."_[GOC:ai]/"Progression_through_the_phases_of_the_mitotic_cell_cycle,_the_most_common_eukaryotic_cell_cycle,_which_canonically_comprises_four_successive_phases_called_G1,_S,_G2,_and_M_and_includes_replication_of_the_genome_and_the_subsequent_segregation_of_chromosomes_into_daughter_cells._In_some_variant_cell_cycles_nuclear_replication_or_nuclear_division_may_not_be_followed_by_cell_division,_or_G1_and_G2_phases_may_be_absent."_[GOC:mah,_ISBN:0815316194,_Reactome:69278]/"The_cell_cycle_process_in_which_centrosome_duplication_and_separation_takes_place._The_centrosome_cycle_can_operate_with_a_considerable_degree_of_independence_from_other_processes_of_the_cell_cycle."_[ISBN:0815316194]/"The_cell_cycle_process_in_which_replicated_homologous_chromosomes_are_organized_and_then_physically_separated_and_apportioned_to_two_sets_during_the_mitotic_cell_cycle._Each_replicated_chromosome,_composed_of_two_sister_chromatids,_aligns_at_the_cell_equator,_paired_with_its_homologous_partner._One_homolog_of_each_morphologic_type_goes_into_each_of_the_resulting_chromosome_sets."_[GOC:ai,_GOC:jl]/"The_cell_cycle_process_in_which_sister_chromatids_are_organized_and_then_physically_separated_and_randomly_apportioned_to_two_sets_during_the_second_division_of_the_meiotic_cell_cycle."_[GOC:ai,_ISBN:0815316194]/"The_directed_movement_of_the_male_and_female_pronuclei_towards_each_other_prior_to_their_fusion."_[GOC:bf,_PMID:9199363]/</t>
  </si>
  <si>
    <t>IPR004367/IPR006671/IPR013763/IPR015452/IPR036915/IPR039361/</t>
  </si>
  <si>
    <t>Cyclin/Cyclin,_C-terminal_domain/Cyclin,_N-terminal/Cyclin-like/Cyclin-like_superfamily/Cyclin_B3,_G2/mitotic-specific/</t>
  </si>
  <si>
    <t>Cyclin/Cyclin-like/Cyclin-like_sf/Cyclin_B3/Cyclin_C-dom/Cyclin_N/</t>
  </si>
  <si>
    <t>note=B._malayi_BMA-CYB-3_protein,_contains_similarity_toPfam_domains_PF00134_(Cyclin,_N-terminal_domain),_PF02984(Cyclin,_C-terminal_domain)_contains_similarity_toInterpro_domains_IPR013763_(Cyclin-like),_IPR006671(Cyclin,_N-terminal),_IPR004367_(Cyclin,_C-terminaldomain),_IPR015452_(Cyclin_B3,_G2/mitotic-specific)</t>
  </si>
  <si>
    <t>7209.EFO24983.1</t>
  </si>
  <si>
    <t>8.9e-205</t>
  </si>
  <si>
    <t>719.5</t>
  </si>
  <si>
    <t>GO:0000003,GO:0000070,GO:0000226,GO:0000278,GO:0000280,GO:0000819,GO:0001556,GO:0001932,GO:0001934,GO:0003006,GO:0003674,GO:0005575,GO:0005622,GO:0005623,GO:0005634,GO:0005737,GO:0006810,GO:0006996,GO:0007010,GO:0007017,GO:0007049,GO:0007059,GO:0007088,GO:0007097,GO:0007098,GO:0007135,GO:0007276,GO:0007281,GO:0007292,GO:0007338,GO:0007346,GO:0008150,GO:0009566,GO:0009893,GO:0009896,GO:0009987,GO:0009994,GO:0010562,GO:0010564,GO:0010604,GO:0010638,GO:0010965,GO:0016043,GO:0016538,GO:0019207,GO:0019220,GO:0019222,GO:0019887,GO:0019953,GO:0021700,GO:0022402,GO:0022412,GO:0022414,GO:0030071,GO:0030154,GO:0030234,GO:0031023,GO:0031323,GO:0031325,GO:0031331,GO:0031399,GO:0031401,GO:0032268,GO:0032270,GO:0032436,GO:0032501,GO:0032502,GO:0032504,GO:0033043,GO:0033044,GO:0033045,GO:0033047,GO:0035046,GO:0042325,GO:0042327,GO:0043226,GO:0043227,GO:0043229,GO:0043231,GO:0043549,GO:0043933,GO:0044424,GO:0044464,GO:0044703,GO:0045132,GO:0045144,GO:0045732,GO:0045787,GO:0045840,GO:0045842,GO:0045859,GO:0045862,GO:0045931,GO:0045937,GO:0046907,GO:0048285,GO:0048468,GO:0048469,GO:0048477,GO:0048518,GO:0048522,GO:0048599,GO:0048609,GO:0048856,GO:0048869,GO:0050789,GO:0050790,GO:0050794,GO:0051128,GO:0051130,GO:0051171,GO:0051173,GO:0051174,GO:0051179,GO:0051234,GO:0051246,GO:0051247,GO:0051276,GO:0051321,GO:0051338,GO:0051383,GO:0051445,GO:0051640,GO:0051641,GO:0051647,GO:0051649,GO:0051656,GO:0051704,GO:0051726,GO:0051781,GO:0051783,GO:0051785,GO:0051983,GO:0051984,GO:0060255,GO:0061983,GO:0062033,GO:0065007,GO:0065009,GO:0070192,GO:0071695,GO:0071840,GO:0080090,GO:0090068,GO:0098772,GO:0098813,GO:0140013,GO:0140014,GO:1901800,GO:1901970,GO:1901987,GO:1901989,GO:1901990,GO:1901992,GO:1902099,GO:1902101,GO:1903046,GO:1903047,GO:1903052,GO:1903364,GO:1905818,GO:1905820,GO:2000241,GO:2001252</t>
  </si>
  <si>
    <t>ko:K21771</t>
  </si>
  <si>
    <t>ko04068,ko04110,ko04218,ko04914,map04068,map04110,map04218,map04914</t>
  </si>
  <si>
    <t>ko00000,ko00001,ko03032,ko03036</t>
  </si>
  <si>
    <t>1KYA7@119089,38DGZ@33154,3BCM9@33208,3CUC2@33213,40D4C@6231,COG5024@1,KOG0653@2759</t>
  </si>
  <si>
    <t>Cyclin_C</t>
  </si>
  <si>
    <t>47,4201/52,5799</t>
  </si>
  <si>
    <t>77,1499/72,4816</t>
  </si>
  <si>
    <t>19,1646/33,4152/28,0098</t>
  </si>
  <si>
    <t>26,2899/30,7125/29,7297</t>
  </si>
  <si>
    <t>28,2555/28,2555/28,2555</t>
  </si>
  <si>
    <t>14,9877/14,9877/31,6953/15,2334/14,4963/14,4963</t>
  </si>
  <si>
    <t>19,1646/14,4963/11,7936/11,3022/19,4103/19,4103</t>
  </si>
  <si>
    <t>WBGene00000868</t>
  </si>
  <si>
    <t>29.9754</t>
  </si>
  <si>
    <t>meiosis/mitosis_chromosome_segregation</t>
  </si>
  <si>
    <t>Bm5656</t>
  </si>
  <si>
    <t>WBGene00225917</t>
  </si>
  <si>
    <t>IPR032816/</t>
  </si>
  <si>
    <t>SNARE_associated_Golgi_protein/</t>
  </si>
  <si>
    <t>SNARE_assoc/</t>
  </si>
  <si>
    <t>135651.CBN02404</t>
  </si>
  <si>
    <t>2.3e-70</t>
  </si>
  <si>
    <t>272.3</t>
  </si>
  <si>
    <t>bus-19</t>
  </si>
  <si>
    <t>1KWQ6@119089,38F73@33154,3B93V@33208,3CU4V@33213,40DYQ@6231,40XH3@6236,COG0398@1,KOG3140@2759</t>
  </si>
  <si>
    <t>SNARE associated Golgi protein</t>
  </si>
  <si>
    <t>52,1073/51,7241/51,7241</t>
  </si>
  <si>
    <t>36,7816/16,4751</t>
  </si>
  <si>
    <t>37,5479/16,092</t>
  </si>
  <si>
    <t>37,5479/35,249/18,3908</t>
  </si>
  <si>
    <t>WBGene00011590</t>
  </si>
  <si>
    <t>49.8084</t>
  </si>
  <si>
    <t>Bm5755</t>
  </si>
  <si>
    <t>WBGene00226016</t>
  </si>
  <si>
    <t>GO:0009058/GO:0016020/GO:0016021/GO:0016844/</t>
  </si>
  <si>
    <t>biosynthetic_process/integral_component_of_membrane/membrane/strictosidine_synthase_activity/</t>
  </si>
  <si>
    <t>A_lipid_bilayer_along_with_all_the_proteins_and_protein_complexes_embedded_in_it_an_attached_to_it._[GOC:dos,_GOC:mah,_ISBN:0815316194]/"Catalysis_of_the_reaction:_3alpha(S)-strictosidine_+_H(2)O_=_secologanin_+_tryptamine."_[EC:4.3.3.2,_RHEA:15013]/"The_chemical_reactions_and_pathways_resulting_in_the_formation_of_substances;_typically_the_energy-requiring_part_of_metabolism_in_which_simpler_substances_are_transformed_into_more_complex_ones."_[GOC:curators,_ISBN:0198547684]/"The_component_of_a_membrane_consisting_of_the_gene_products_and_protein_complexes_having_at_least_some_part_of_their_peptide_sequence_embedded_in_the_hydrophobic_region_of_the_membrane."_[GOC:dos,_GOC:go_curators]/</t>
  </si>
  <si>
    <t>IPR004141/IPR011042/IPR018119/</t>
  </si>
  <si>
    <t>Six-bladed_beta-propeller,_TolB-like/Strictosidine_synthase/Strictosidine_synthase,_conserved_region/</t>
  </si>
  <si>
    <t>6-blade_b-propeller_TolB-like/Strictosidine_synth_cons-reg/Strictosidine_synthase/</t>
  </si>
  <si>
    <t>note=contains_similarity_to_Interpro_domain_IPR011042_(Six-bladed_beta-propeller,_TolB-like)</t>
  </si>
  <si>
    <t>7209.EFO13836.1</t>
  </si>
  <si>
    <t>1.4e-123</t>
  </si>
  <si>
    <t>449.9</t>
  </si>
  <si>
    <t>ko:K21407</t>
  </si>
  <si>
    <t>1KVK5@119089,38F9T@33154,3BFX5@33208,3CWYB@33213,40CZR@6231,COG1185@1,KOG1520@2759</t>
  </si>
  <si>
    <t>amine-lyase activity</t>
  </si>
  <si>
    <t>20,9091/23,6364</t>
  </si>
  <si>
    <t>WBGene00011739</t>
  </si>
  <si>
    <t>35.2273</t>
  </si>
  <si>
    <t>Bm579</t>
  </si>
  <si>
    <t>WBGene00220840</t>
  </si>
  <si>
    <t>Bm5835</t>
  </si>
  <si>
    <t>WBGene00226096</t>
  </si>
  <si>
    <t>GO:0004553/GO:0004565/GO:0005975/GO:0008152/GO:0016787/GO:0016798/</t>
  </si>
  <si>
    <t>beta-galactosidase_activity/carbohydrate_metabolic_process/hydrolase_activity/hydrolase_activity,_acting_on_glycosyl_bonds/hydrolase_activity,_hydrolyzing_O-glycosyl_compounds/metabolic_process/</t>
  </si>
  <si>
    <t>Catalysis_of_the_hydrolysis_of_any_O-glycosyl_bond._[GOC:mah]/"Catalysis_of_the_hydrolysis_of_any_glycosyl_bond."_[GOC:jl]/"Catalysis_of_the_hydrolysis_of_terminal,_non-reducing_beta-D-galactose_residues_in_beta-D-galactosides."_[EC:3.2.1.23]/"Catalysis_of_the_hydrolysis_of_various_bonds,_e.g._C-O,_C-N,_C-C,_phosphoric_anhydride_bonds,_etc._Hydrolase_is_the_systematic_name_for_any_enzyme_of_EC_class_3."_[ISBN:0198506732]/"The_chemical_reactions_and_pathways,_including_anabolism_and_catabolism,_by_which_living_organisms_transform_chemical_substances._Metabolic_processes_typically_transform_small_molecules,_but_also_include_macromolecular_processes_such_as_DNA_repair_and_replication,_and_protein_synthesis_and_degradation."_[GOC:go_curators,_ISBN:0198547684]/"The_chemical_reactions_and_pathways_involving_carbohydrates,_any_of_a_group_of_organic_compounds_based_of_the_general_formula_Cx(H2O)y._Includes_the_formation_of_carbohydrate_derivatives_by_the_addition_of_a_carbohydrate_residue_to_another_molecule."_[GOC:mah,_ISBN:0198506732]/</t>
  </si>
  <si>
    <t>IPR001944/IPR008979/IPR017853/IPR019801/IPR025300/IPR026283/IPR031330/</t>
  </si>
  <si>
    <t>Beta-galactosidase_1-like/Beta-galactosidase_jelly_roll_domain/Galactose-binding-like_domain_superfamily/Glycoside_hydrolase,_family_35/Glycoside_hydrolase,_family_35,_conserved_site/Glycoside_hydrolase_35,_catalytic_domain/Glycoside_hydrolase_superfamily/</t>
  </si>
  <si>
    <t>B-gal_1-like/BetaGal_jelly_roll_dom/Galactose-bd-like_sf/Gly_Hdrlase_35_cat/Glyco_hydro_35_CS/Glycoside_Hdrlase_35/Glycoside_hydrolase_SF/</t>
  </si>
  <si>
    <t>note=contains_similarity_to_Pfam_domains_PF13364_(Beta-galactosidase_jelly_roll_domain),_PF01301_(Glycosyl_hydrolases_family_35)_contains_similarity_to_Interpro_domains_IPR026283_(Beta-galactosidase_1-like),_IPR017853_(Glycoside_hydrolase_superfamily),_IPR013781_(Glycoside_hydrolase,_catalytic_domain),_IPR008979_(Galactose-binding_domain-like),_IPR001944_(Glycoside_hydrolase,_family_35),_IPR025300_(Beta-galactosidase_jelly_roll_domain)</t>
  </si>
  <si>
    <t>7209.EFO17276.1</t>
  </si>
  <si>
    <t>7.3e-296</t>
  </si>
  <si>
    <t>1022.7</t>
  </si>
  <si>
    <t>3.2.1.23</t>
  </si>
  <si>
    <t>ko:K12309</t>
  </si>
  <si>
    <t>ko00052,ko00511,ko00531,ko00600,ko00604,ko01100,ko04142,map00052,map00511,map00531,map00600,map00604,map01100,map04142</t>
  </si>
  <si>
    <t>M00079</t>
  </si>
  <si>
    <t>R01678,R03355,R04633,R06010,R07807</t>
  </si>
  <si>
    <t>ko00000,ko00001,ko00002,ko01000,ko04147</t>
  </si>
  <si>
    <t>1KTNQ@119089,38D50@33154,3B96H@33208,3CREN@33213,40CAR@6231,COG1874@1,KOG0496@2759</t>
  </si>
  <si>
    <t>beta-galactosidase activity</t>
  </si>
  <si>
    <t>29,5419/11,8483/21,643</t>
  </si>
  <si>
    <t>29,0679/48,8152</t>
  </si>
  <si>
    <t>53,3965/52,1327</t>
  </si>
  <si>
    <t>42,654/43,7599</t>
  </si>
  <si>
    <t>34,9131/27,1722</t>
  </si>
  <si>
    <t>10,4265/40,1264/24,1706</t>
  </si>
  <si>
    <t>24,9605/37,5987</t>
  </si>
  <si>
    <t>5,05529/4,42338</t>
  </si>
  <si>
    <t>37,7567/34,9131</t>
  </si>
  <si>
    <t>41,3902/40,1264</t>
  </si>
  <si>
    <t>41,8641/39,8104</t>
  </si>
  <si>
    <t>41,5482/40,2844</t>
  </si>
  <si>
    <t>WBGene00011832</t>
  </si>
  <si>
    <t>46.9194</t>
  </si>
  <si>
    <t>Bm5895</t>
  </si>
  <si>
    <t>WBGene00226156</t>
  </si>
  <si>
    <t>GO:0004721/GO:0004725/GO:0006470/GO:0016311/GO:0016787/GO:0016791/GO:0035335/</t>
  </si>
  <si>
    <t>dephosphorylation/hydrolase_activity/peptidyl-tyrosine_dephosphorylation/phosphatase_activity/phosphoprotein_phosphatase_activity/protein_dephosphorylation/protein_tyrosine_phosphatase_activity/</t>
  </si>
  <si>
    <t>Catalysis_of_the_hydrolysis_of_phosphoric_monoesters,_releasing_inorganic_phosphate._[EC:3.1.3,_EC:3.1.3.41,_GOC:curators,_GOC:pg]/"Catalysis_of_the_hydrolysis_of_various_bonds,_e.g._C-O,_C-N,_C-C,_phosphoric_anhydride_bonds,_etc._Hydrolase_is_the_systematic_name_for_any_enzyme_of_EC_class_3."_[ISBN:0198506732]/"Catalysis_of_the_reaction:_a_phosphoprotein_+_H2O_=_a_protein_+_phosphate._Together_with_protein_kinases,_these_enzymes_control_the_state_of_phosphorylation_of_cell_proteins_and_thereby_provide_an_important_mechanism_for_regulating_cellular_activity."_[EC:3.1.3.16,_ISBN:0198547684]/"Catalysis_of_the_reaction:_protein_tyrosine_phosphate_+_H2O_=_protein_tyrosine_+_phosphate."_[EC:3.1.3.48]/"The_process_of_removing_one_or_more_phosphoric_(ester_or_anhydride)_residues_from_a_molecule."_[ISBN:0198506732]/"The_process_of_removing_one_or_more_phosphoric_residues_from_a_protein."_[GOC:hb]/"The_removal_of_phosphoric_residues_from_peptidyl-O-phospho-tyrosine_to_form_peptidyl-tyrosine."_[GOC:bf]/</t>
  </si>
  <si>
    <t>IPR000242/IPR000387/IPR003595/IPR016130/IPR029021/</t>
  </si>
  <si>
    <t>PTP_type_protein_phosphatase/Protein-tyrosine_phosphatase,_active_site/Protein-tyrosine_phosphatase,_catalytic/Protein-tyrosine_phosphatase-like/Tyrosine_specific_protein_phosphatases_domain/</t>
  </si>
  <si>
    <t>PTPase_domain/Prot-tyrosine_phosphatase-like/TYR_PHOSPHATASE_dom/Tyr_Pase_AS/Tyr_Pase_cat/</t>
  </si>
  <si>
    <t>9.8e-119</t>
  </si>
  <si>
    <t>433.7</t>
  </si>
  <si>
    <t>27,7136/33,9492</t>
  </si>
  <si>
    <t>52,194/52,4249</t>
  </si>
  <si>
    <t>25,8661/18,9376</t>
  </si>
  <si>
    <t>49,6536/50,1155</t>
  </si>
  <si>
    <t>WBGene00020652/WBGene00020035</t>
  </si>
  <si>
    <t>49.6536/50.1155</t>
  </si>
  <si>
    <t>Bm5912</t>
  </si>
  <si>
    <t>WBGene00226173</t>
  </si>
  <si>
    <t>/GO:0003677/GO:0005634/</t>
  </si>
  <si>
    <t>/DNA_binding/nucleus/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</si>
  <si>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t>
  </si>
  <si>
    <t>/cellular_component/molecular_function/</t>
  </si>
  <si>
    <t>note=B._malayi_BMA-EGL-13_protein,_contains_similarity_to_Pfam_domain_PF00505_HMG_(high_mobility_group)_box_contains_similarity_to_Interpro_domain_IPR009071_(High_mobility_group_box_domain)</t>
  </si>
  <si>
    <t>7209.EJD75440.1</t>
  </si>
  <si>
    <t>2.1e-284</t>
  </si>
  <si>
    <t>984.6</t>
  </si>
  <si>
    <t>GO:0000981,GO:0001708,GO:0001709,GO:0002119,GO:0002164,GO:0003674,GO:0003700,GO:0005575,GO:0005622,GO:0005623,GO:0005634,GO:0006355,GO:0006357,GO:0007275,GO:0007399,GO:0007405,GO:0008150,GO:0008283,GO:0008356,GO:0009653,GO:0009791,GO:0009889,GO:0009987,GO:0010468,GO:0010556,GO:0016043,GO:0017145,GO:0019219,GO:0019222,GO:0022008,GO:0030154,GO:0030182,GO:0031323,GO:0031326,GO:0032501,GO:0032502,GO:0036445,GO:0040025,GO:0043226,GO:0043227,GO:0043229,GO:0043231,GO:0044424,GO:0044464,GO:0045026,GO:0045165,GO:0048103,GO:0048513,GO:0048569,GO:0048663,GO:0048664,GO:0048699,GO:0048731,GO:0048856,GO:0048869,GO:0050789,GO:0050794,GO:0051171,GO:0051252,GO:0051301,GO:0055057,GO:0055059,GO:0060255,GO:0061024,GO:0061025,GO:0061351,GO:0065007,GO:0071840,GO:0072089,GO:0080090,GO:0098722,GO:0140110,GO:1903506,GO:2000112,GO:2001141</t>
  </si>
  <si>
    <t>1KVP7@119089,38J4G@33154,3BD9T@33208,3CSUD@33213,40CTJ@6231,KOG0527@1,KOG0528@2759</t>
  </si>
  <si>
    <t>19,5724/18,5855/22,8618</t>
  </si>
  <si>
    <t>29,4408/18,4211</t>
  </si>
  <si>
    <t>18,5855/17,4342/8,38816</t>
  </si>
  <si>
    <t>8,05921/21,5461/23,8487/9,53947/8,88158/10,3618/8,88158/8,38816/24,6711/10,1974/8,88158/5,09868</t>
  </si>
  <si>
    <t>7,56579/22,0395/24,1776/9,53947/8,7171/10,3618/8,88158/8,38816/24,5066/9,53947/9,04605</t>
  </si>
  <si>
    <t>22,6974/25/9,375/9,70395/10,0329/1,31579/9,53947/9,04605/23,6842/8,7171/10,0329/8,7171/8,38816</t>
  </si>
  <si>
    <t>WBGene00001182</t>
  </si>
  <si>
    <t>33.5526</t>
  </si>
  <si>
    <t>Bm5945</t>
  </si>
  <si>
    <t>WBGene00226206</t>
  </si>
  <si>
    <t>GO:0000132/GO:0001714/GO:0001764/GO:0004888/GO:0005515/GO:0005623/GO:0007166/GO:0007275/GO:0007369/GO:0009792/GO:0016020/GO:0016021/GO:0016055/GO:0042813/GO:0043652/GO:0048557/GO:0048598/GO:0060069/GO:0070986/GO:0097402/GO:0097475/GO:1901076/GO:1903356/GO:1904936/GO:1904937/GO:1905485/GO:1905488/GO:1905491/</t>
  </si>
  <si>
    <t>Wnt-activated_receptor_activity/Wnt_signaling_pathway/Wnt_signaling_pathway,_regulating_spindle_positioning/cell/cell_surface_receptor_signaling_pathway/embryo_development_ending_in_birth_or_egg_hatching/embryonic_digestive_tract_morphogenesis/embryonic_morphogenesis/endodermal_cell_fate_specification/engulfment_of_apoptotic_cell/establishment_of_mitotic_spindle_orientation/gastrulation/integral_component_of_membrane/interneuron_migration/left/right_axis_specification/membrane/motor_neuron_migration/multicellular_organism_development/neuroblast_migration/neuron_migration/positive_regulation_of_anterior/posterior_axon_guidance/positive_regulation_of_distal_tip_cell_migration/positive_regulation_of_engulfment_of_apoptotic_cell/positive_regulation_of_motor_neuron_migration/positive_regulation_of_sensory_neuron_axon_guidance/protein_binding/sensory_neuron_migration/transmembrane_signaling_receptor_activity/</t>
  </si>
  <si>
    <t>A_cell_cycle_process_that_sets_the_alignment_of_mitotic_spindle_relative_to_other_cellular_structures._[GOC:ems]/"A_complex_and_coordinated_series_of_cellular_movements_that_occurs_at_the_end_of_cleavage_during_embryonic_development_of_most_animals._The_details_of_gastrulation_vary_from_species_to_species,_but_usually_result_in_the_formation_of_the_three_primary_germ_layers,_ectoderm,_mesoderm_and_endoderm."_[GOC:curators,_ISBN:9780878933846]/"A_lipid_bilayer_along_with_all_the_proteins_and_protein_complexes_embedded_in_it_an_attached_to_it."_[GOC:dos,_GOC:mah,_ISBN:0815316194]/"A_series_of_molecular_signals_initiated_by_activation_of_a_receptor_on_the_surface_of_a_cell._The_pathway_begins_with_binding_of_an_extracellular_ligand_to_a_cell_surface_receptor,_or_for_receptors_that_signal_in_the_absence_of_a_ligand,_by_ligand-withdrawal_or_the_activity_of_a_constitutively_active_receptor._The_pathway_ends_with_regulation_of_a_downstream_cellular_process,_e.g._transcription."_[GOC:bf,_GOC:mah,_GOC:pr,_GOC:signaling]/"Any_process_that_activates_or_increases_the_frequency,_rate_or_extent_of_anterior/posterior_axon_guidance."_[GO_REF:0000058,_GOC:TermGenie,_PMID:16516839]/"Any_process_that_activates_or_increases_the_frequency,_rate_or_extent_of_distal_tip_cell_migration."_[GO_REF:0000058,_GOC:mm2,_GOC:TermGenie,_PMID:24968003]/"Any_process_that_activates_or_increases_the_frequency,_rate_or_extent_of_engulfment_of_apoptotic_cell."_[GO:kmv,_GOC:TermGenie,_PMID:19402756]/"Any_process_that_activates_or_increases_the_frequency,_rate_or_extent_of_motor_neuron_migration."_[GO_REF:0000058,_GOC:TermGenie,_PMID:16516839]/"Any_process_that_activates_or_increases_the_frequency,_rate_or_extent_of_sensory_neuron_axon_guidance."_[GO_REF:0000058,_GOC:TermGenie,_PMID:16516839]/"Combining_with_a_Wnt_protein_and_transmitting_the_signal_across_the_plasma_membrane_to_initiate_a_change_in_cell_activity."_[GOC:go_curators]/"Combining_with_an_extracellular_or_intracellular_signal_and_transmitting_the_signal_from_one_side_of_the_membrane_to_the_other_to_initiate_a_change_in_cell_activity_or_state_as_part_of_signal_transduction."_[GOC:go_curators,_Wikipedia:Transmembrane_receptor]/"Interacting_selectively_and_non-covalently_with_any_protein_or_protein_complex_(a_complex_of_two_or_more_proteins_that_may_include_other_nonprotein_molecules)."_[GOC:go_curators]/"The_basic_structural_and_functional_unit_of_all_organisms._Includes_the_plasma_membrane_and_any_external_encapsulating_structures_such_as_the_cell_wall_and_cell_envelope."_[GOC:go_curators]/"The_biological_process_whose_specific_outcome_is_the_progression_of_a_multicellular_organism_over_time_from_an_initial_condition_(e.g._a_zygote_or_a_young_adult)_to_a_later_condition_(e.g._a_multicellular_animal_or_an_aged_adult)."_[GOC:dph,_GOC:ems,_GOC:isa_complete,_GOC:tb]/"The_cell_fate_determination_process_that_results_in_a_cell_becoming_capable_of_differentiating_autonomously_into_an_endoderm_cell_in_an_environment_that_is_neutral_with_respect_to_the_developmental_pathway;_upon_specification,_the_cell_fate_can_be_reversed."_[GOC:go_curators]/"The_characteristic_movement_of_an_immature_neuron_from_germinal_zones_to_specific_positions_where_they_will_reside_as_they_mature."_[CL:0000540,_GOC:go_curators]/"The_component_of_a_membrane_consisting_of_the_gene_products_and_protein_complexes_having_at_least_some_part_of_their_peptide_sequence_embedded_in_the_hydrophobic_region_of_the_membrane."_[GOC:dos,_GOC:go_curators]/"The_establishment,_maintenance_and_elaboration_of_the_left/right_axis._The_left/right_axis_is_defined_by_a_line_that_runs_orthogonal_to_both_the_anterior/posterior_and_dorsal/ventral_axes._Each_side_is_defined_from_the_viewpoint_of_the_organism_rather_of_the_observer_(as_per_anatomical_axes)."_[GOC:dph,_GOC:gvg,_GOC:mah]/"The_orderly_movement_of_a_motor_neuron_from_one_site_to_another._A_motor_neuron_is_an_efferent_neuron_that_passes_from_the_central_nervous_system_or_a_ganglion_toward_or_to_a_muscle_and_conducts_an_impulse_that_causes_movement."_[CL:0000100,_GOC:yaf,_PMID:20711475]/"The_orderly_movement_of_a_neuroblast_from_one_site_to_another,_often_during_the_development_of_a_multicellular_organism_or_multicellular_structure._A_neuroblast_is_any_cell_that_will_divide_and_give_rise_to_a_neuron."_[CL:0000031,_GOC:jc,_PMID:15543145]/"The_orderly_movement_of_a_sensory_neuron_from_one_site_to_another."_[GO_REF:0000091,_GOC:ah,_GOC:TermGenie,_PMID:18622031]/"The_orderly_movement_of_an_interneuron_from_one_site_to_another."_[GO_REF:0000091,_GOC:ah,_GOC:TermGenie,_PMID:18622031]/"The_process_in_which_anatomical_structures_are_generated_and_organized_during_the_embryonic_phase._The_embryonic_phase_begins_with_zygote_formation._The_end_of_the_embryonic_phase_is_organism-specific._For_example,_it_would_be_at_birth_for_mammals,_larval_hatching_for_insects_and_seed_dormancy_in_plants."_[GOC:jid,_GOC:mtg_sensu]/"The_process_in_which_the_anatomical_structures_of_the_digestive_tract_are_generated_and_organized_during_embryonic_development._The_digestive_tract_is_the_anatomical_structure_through_which_food_passes_and_is_processed."_[GOC:go_curators]/"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he_removal_of_the_apoptotic_cell_by_phagocytosis,_by_a_neighboring_cell_or_by_a_phagocyte."_[GOC:rk,_PMID:15536015]/"The_series_of_molecular_signals_initiated_by_binding_of_Wnt_protein_to_a_frizzled_family_receptor_on_the_surface_of_the_target_cell_and_ending_with_the_positioning_of_the_mitotic_spindle."_[GOC:bf,_GOC:dph,_PMID:11532397]/"The_series_of_molecular_signals_initiated_by_binding_of_a_Wnt_protein_to_a_frizzled_family_receptor_on_the_surface_of_the_target_cell_and_ending_with_a_change_in_cell_state."_[GOC:dph,_GOC:go_curators,_PMID:11532397]/</t>
  </si>
  <si>
    <t>IPR000539/IPR015526/IPR017981/IPR020067/IPR026548/IPR036790/</t>
  </si>
  <si>
    <t>Frizzled-1/Frizzled/Smoothened,_transmembrane_domain/Frizzled/secreted_frizzled-related_protein/Frizzled_cysteine-rich_domain_superfamily/Frizzled_domain/GPCR,_family_2-like/</t>
  </si>
  <si>
    <t>FZD1/Frizzled/SFRP/Frizzled/Smoothened_TM/Frizzled_dom/Frizzled_dom_sf/GPCR_2-like/</t>
  </si>
  <si>
    <t>note=B._malayi_BMA-MOM-5_protein,_contains_similarity_toPfam_domains_PF01534_(Frizzled/Smoothened_family_membraneregion),_PF01392_(Fz_domain)_contains_similarity_toInterpro_domains_IPR000539_(Frizzled_protein),_IPR020067(Frizzled_domain),_IPR015526_(Frizzled/secretedfrizzled-related_protein),_IPR026561_(Frizzled,invertebrates)</t>
  </si>
  <si>
    <t>7209.EFO20561.1</t>
  </si>
  <si>
    <t>1e-293</t>
  </si>
  <si>
    <t>1015.4</t>
  </si>
  <si>
    <t>GO:0000132,GO:0000226,GO:0000278,GO:0001704,GO:0001706,GO:0001708,GO:0001711,GO:0001714,GO:0003002,GO:0003674,GO:0004888,GO:0005575,GO:0005623,GO:0005886,GO:0006810,GO:0006897,GO:0006909,GO:0006911,GO:0006996,GO:0007010,GO:0007017,GO:0007049,GO:0007154,GO:0007163,GO:0007165,GO:0007166,GO:0007267,GO:0007275,GO:0007346,GO:0007369,GO:0007389,GO:0007399,GO:0007492,GO:0008150,GO:0009653,GO:0009790,GO:0009792,GO:0009798,GO:0009887,GO:0009888,GO:0009987,GO:0010324,GO:0010564,GO:0010720,GO:0010769,GO:0010770,GO:0010975,GO:0010976,GO:0016020,GO:0016043,GO:0016055,GO:0016192,GO:0022008,GO:0022402,GO:0022603,GO:0022604,GO:0023052,GO:0030010,GO:0030100,GO:0030154,GO:0030334,GO:0030335,GO:0031344,GO:0031346,GO:0032101,GO:0032103,GO:0032501,GO:0032502,GO:0032879,GO:0032886,GO:0033043,GO:0035239,GO:0035295,GO:0035567,GO:0035987,GO:0038023,GO:0040001,GO:0040012,GO:0040017,GO:0042813,GO:0043277,GO:0043652,GO:0044464,GO:0045165,GO:0045595,GO:0045597,GO:0045664,GO:0045666,GO:0045807,GO:0048513,GO:0048518,GO:0048522,GO:0048546,GO:0048557,GO:0048562,GO:0048565,GO:0048566,GO:0048568,GO:0048583,GO:0048584,GO:0048598,GO:0048646,GO:0048699,GO:0048731,GO:0048856,GO:0048869,GO:0050764,GO:0050766,GO:0050767,GO:0050769,GO:0050770,GO:0050772,GO:0050789,GO:0050793,GO:0050794,GO:0050896,GO:0050920,GO:0050921,GO:0051049,GO:0051050,GO:0051094,GO:0051128,GO:0051130,GO:0051179,GO:0051234,GO:0051239,GO:0051240,GO:0051270,GO:0051272,GO:0051293,GO:0051294,GO:0051493,GO:0051640,GO:0051641,GO:0051649,GO:0051653,GO:0051656,GO:0051716,GO:0051726,GO:0051960,GO:0051962,GO:0055123,GO:0060069,GO:0060089,GO:0060099,GO:0060100,GO:0060284,GO:0060341,GO:0060627,GO:0060795,GO:0060972,GO:0061024,GO:0065007,GO:0070507,GO:0070986,GO:0071840,GO:0071944,GO:0098657,GO:0099024,GO:0120035,GO:0198738,GO:1901074,GO:1901076,GO:1902667,GO:1902669,GO:1902850,GO:1903047,GO:1903354,GO:1903356,GO:1905114,GO:1905153,GO:1905155,GO:1905483,GO:1905485,GO:1905486,GO:1905488,GO:1905489,GO:1905491,GO:2000026,GO:2000145,GO:2000147,GO:2000425,GO:2000427,GO:2001222,GO:2001224</t>
  </si>
  <si>
    <t>ko:K02432</t>
  </si>
  <si>
    <t>ko04150,ko04310,ko04390,ko04550,ko04916,ko04934,ko05165,ko05166,ko05200,ko05205,ko05217,ko05224,ko05225,ko05226,map04150,map04310,map04390,map04550,map04916,map04934,map05165,map05166,map05200,map05205,map05217,map05224,map05225,map05226</t>
  </si>
  <si>
    <t>ko00000,ko00001,ko00002,ko04030</t>
  </si>
  <si>
    <t>1KUWW@119089,38C7N@33154,3BBTS@33208,3CRBX@33213,40CI8@6231,KOG3577@1,KOG3577@2759</t>
  </si>
  <si>
    <t>Belongs to the G-protein coupled receptor Fz Smo family</t>
  </si>
  <si>
    <t>14,955/33,1532</t>
  </si>
  <si>
    <t>41,2613/46,1261/46,3063</t>
  </si>
  <si>
    <t>11,8919/32,7928/37,6577/38,1982/13,3333/10,4505/37,8378/10,6306/35,1351/32,973</t>
  </si>
  <si>
    <t>11,8919/32,7928/37,6577/38,3784/12,973/10,2703/37,8378/10,6306/35,8559/32,7928</t>
  </si>
  <si>
    <t>32,7928/31,8919/36,7568/37,6577/38,7387/11,1712/9,72973/11,1712/11,5315/36,036/32,6126</t>
  </si>
  <si>
    <t>WBGene00003397</t>
  </si>
  <si>
    <t>52.4324</t>
  </si>
  <si>
    <t>Bm5955</t>
  </si>
  <si>
    <t>WBGene00226216</t>
  </si>
  <si>
    <t>Bm5966</t>
  </si>
  <si>
    <t>WBGene00226227</t>
  </si>
  <si>
    <t>GO:0003676/GO:0003723/GO:0003727/GO:0003730/GO:0005737/GO:0005829/GO:0010468/GO:0010629/GO:0017148/GO:0030716/GO:0043186/GO:0048027/GO:0060282/GO:1905936/GO:2000196/GO:2000623/</t>
  </si>
  <si>
    <t>P_granule/RNA_binding/cytoplasm/cytosol/mRNA_3'-UTR_binding/mRNA_5'-UTR_binding/negative_regulation_of_gene_expression/negative_regulation_of_nuclear-transcribed_mRNA_catabolic_process,_nonsense-mediated_decay/negative_regulation_of_translation/nucleic_acid_binding/oocyte_fate_determination/positive_regulation_of_female_gonad_development/positive_regulation_of_oocyte_development/regulation_of_gene_expression/regulation_of_germ_cell_proliferation/single-stranded_RNA_binding/</t>
  </si>
  <si>
    <t>A_small_cytoplasmic,_non-membranous_RNA/protein_complex_aggregates_in_the_primordial_germ_cells_of_many_higher_eukaryotes._[GOC:dph,_GOC:kmv,_PMID:11262230]/"All_of_the_contents_of_a_cell_excluding_the_plasma_membrane_and_nucleus,_but_including_other_subcellular_structures."_[ISBN:0198547684]/"Any_process_that_activates_or_increases_the_frequency,_rate_or_extent_of_female_gonad_development."_[GOC:obol]/"Any_process_that_decreases_the_frequency,_rate_or_extent_of_gene_expression._Gene_expression_is_the_process_in_which_a_gene's_coding_sequence_is_converted_into_a_mature_gene_product_or_products_(proteins_or_RNA)._This_includes_the_production_of_an_RNA_transcript_as_well_as_any_processing_to_produce_a_mature_RNA_product_or_an_mRNA_or_circRNA_(for_protein-coding_genes)_and_the_translation_of_that_mRNA_or_circRNA_into_protein._Protein_maturation_is_included_when_required_to_form_an_active_form_of_a_product_from_an_inactive_precursor_form."_[GOC:dph,_GOC:tb]/"Any_process_that_increases_the_rate_or_extent_of_the_process_whose_specific_outcome_is_the_progression_of_an_oocyte_over_time,_from_initial_commitment_of_the_cell_to_its_specific_fate,_to_the_fully_functional_differentiated_cell."_[GOC:dph,_GOC:tb]/"Any_process_that_modulates_the_frequency,_rate_or_extent_of_gene_expression._Gene_expression_is_the_process_in_which_a_gene's_coding_sequence_is_converted_into_a_mature_gene_product_or_products_(proteins_or_RNA)._This_includes_the_production_of_an_RNA_transcript_as_well_as_any_processing_to_produce_a_mature_RNA_product_or_an_mRNA_or_circRNA_(for_protein-coding_genes)_and_the_translation_of_that_mRNA_or_circRNA_into_protein._Protein_maturation_is_included_when_required_to_form_an_active_form_of_a_product_from_an_inactive_precursor_form."_[GOC:dph,_GOC:tb]/"Any_process_that_modulates_the_frequency,_rate_or_extent_of_germ_cell_proliferation."_[GO_REF:0000058,_GOC:TermGenie,_PMID:15342467]/"Any_process_that_stops,_prevents,_or_reduces_the_frequency,_rate_or_extent_of_the_chemical_reactions_and_pathways_resulting_in_the_formation_of_proteins_by_the_translation_of_mRNA_or_circRNA."_[GOC:isa_complete]/"Any_process_that_stops,_prevents_or_reduces_the_frequency,_rate_or_extent_of_nuclear-transcribed_mRNA_catabolic_process,_nonsense-mediated_decay."_[GOC:obol]/"Interacting_selectively_and_non-covalently_with_an_RNA_molecule_or_a_portion_thereof."_[GOC:jl,_GOC:mah]/"Interacting_selectively_and_non-covalently_with_any_nucleic_acid."_[GOC:jl]/"Interacting_selectively_and_non-covalently_with_single-stranded_RNA."_[GOC:jl]/"Interacting_selectively_and_non-covalently_with_the_3'_untranslated_region_of_an_mRNA_molecule."_[GOC:mah]/"Interacting_selectively_and_non-covalently_with_the_5'_untranslated_region_of_an_mRNA_molecule."_[GOC:jid]/"The_part_of_the_cytoplasm_that_does_not_contain_organelles_but_which_does_contain_other_particulate_matter,_such_as_protein_complexes."_[GOC:hjd,_GOC:jl]/"The_process_in_which_a_cell_becomes_capable_of_differentiating_autonomously_into_an_oocyte_cell_regardless_of_its_environment;_upon_determination,_the_cell_fate_cannot_be_reversed."_[GOC:go_curators]/</t>
  </si>
  <si>
    <t>IPR004087/IPR004088/IPR032377/IPR036612/</t>
  </si>
  <si>
    <t>K_Homology_domain/K_Homology_domain,_type_1/K_Homology_domain,_type_1_superfamily/STAR_protein,_homodimerisation_region/</t>
  </si>
  <si>
    <t>KH_dom/KH_dom_type_1/KH_dom_type_1_sf/STAR_dimer/</t>
  </si>
  <si>
    <t>note=B._malayi_BMA-GLD-1_protein,_contains_similarity_toPfam_domain_PF00013_KH_domain_contains_similarity_toInterpro_domains_IPR004087_(K_Homology_domain),_IPR004088(K_Homology_domain,_type_1)</t>
  </si>
  <si>
    <t>7209.EFO23846.1</t>
  </si>
  <si>
    <t>1.8e-207</t>
  </si>
  <si>
    <t>728.4</t>
  </si>
  <si>
    <t>GO:0001709,GO:0003674,GO:0003676,GO:0003723,GO:0003727,GO:0003729,GO:0003730,GO:0005488,GO:0005515,GO:0005575,GO:0005622,GO:0005623,GO:0005737,GO:0005829,GO:0006417,GO:0008150,GO:0009889,GO:0009890,GO:0009892,GO:0009893,GO:0009894,GO:0009895,GO:0009987,GO:0010468,GO:0010556,GO:0010558,GO:0010604,GO:0010605,GO:0010608,GO:0010628,GO:0010629,GO:0010720,GO:0017148,GO:0019219,GO:0019222,GO:0030154,GO:0030716,GO:0031323,GO:0031324,GO:0031326,GO:0031327,GO:0031329,GO:0031330,GO:0032268,GO:0032269,GO:0032502,GO:0034248,GO:0034249,GO:0042127,GO:0043900,GO:0043902,GO:0044424,GO:0044444,GO:0044464,GO:0045165,GO:0045595,GO:0045597,GO:0045934,GO:0048027,GO:0048518,GO:0048519,GO:0048522,GO:0048523,GO:0048869,GO:0050789,GO:0050793,GO:0050794,GO:0051094,GO:0051171,GO:0051172,GO:0051239,GO:0051240,GO:0051246,GO:0051248,GO:0051252,GO:0051253,GO:0060255,GO:0060281,GO:0060282,GO:0060284,GO:0061013,GO:0065007,GO:0080090,GO:0097159,GO:1901363,GO:1902369,GO:1902373,GO:1903311,GO:1903312,GO:1905879,GO:1905881,GO:1905936,GO:1905939,GO:1905941,GO:2000026,GO:2000112,GO:2000113,GO:2000194,GO:2000196,GO:2000241,GO:2000243,GO:2000622,GO:2000623</t>
  </si>
  <si>
    <t>1KVEI@119089,38VMC@33154,3BDIZ@33208,3CTRK@33213,40CST@6231,COG5176@1,KOG1588@2759</t>
  </si>
  <si>
    <t>Homodimerisation region of STAR domain protein</t>
  </si>
  <si>
    <t>95,1407/98,4655</t>
  </si>
  <si>
    <t>28,3887/66,4962/58,312</t>
  </si>
  <si>
    <t>37,3402/38,1074/38,1074/41,9437</t>
  </si>
  <si>
    <t>34,2711/23,2737/22,5064/34,2711/34,2711</t>
  </si>
  <si>
    <t>32,7366/31,9693</t>
  </si>
  <si>
    <t>WBGene00001595</t>
  </si>
  <si>
    <t>43.9898</t>
  </si>
  <si>
    <t>Bm6001</t>
  </si>
  <si>
    <t>WBGene00226262</t>
  </si>
  <si>
    <t>note=B._malayi_BMA-LIN-14_protein</t>
  </si>
  <si>
    <t>7209.EJD74838.1</t>
  </si>
  <si>
    <t>3.8e-288</t>
  </si>
  <si>
    <t>996.9</t>
  </si>
  <si>
    <t>GO:0000122,GO:0000228,GO:0000793,GO:0000794,GO:0000976,GO:0000977,GO:0001012,GO:0001067,GO:0003674,GO:0003676,GO:0003677,GO:0003690,GO:0003697,GO:0005488,GO:0005575,GO:0005622,GO:0005623,GO:0005634,GO:0005694,GO:0006355,GO:0006357,GO:0007275,GO:0007399,GO:0008150,GO:0009889,GO:0009890,GO:0009892,GO:0009987,GO:0010453,GO:0010468,GO:0010556,GO:0010558,GO:0010605,GO:0010629,GO:0019219,GO:0019222,GO:0022008,GO:0030154,GO:0030182,GO:0031323,GO:0031324,GO:0031326,GO:0031327,GO:0031974,GO:0031981,GO:0032501,GO:0032502,GO:0040034,GO:0042659,GO:0043226,GO:0043227,GO:0043228,GO:0043229,GO:0043231,GO:0043232,GO:0043233,GO:0043565,GO:0044212,GO:0044422,GO:0044424,GO:0044428,GO:0044446,GO:0044464,GO:0045595,GO:0045892,GO:0045934,GO:0048468,GO:0048519,GO:0048523,GO:0048580,GO:0048666,GO:0048699,GO:0048731,GO:0048856,GO:0048869,GO:0050789,GO:0050793,GO:0050794,GO:0051171,GO:0051172,GO:0051239,GO:0051252,GO:0051253,GO:0060255,GO:0061062,GO:0065007,GO:0070013,GO:0080090,GO:0090444,GO:0097159,GO:1901363,GO:1902679,GO:1903506,GO:1903507,GO:1990837,GO:2000026,GO:2000112,GO:2000113,GO:2001141</t>
  </si>
  <si>
    <t>1KW1C@119089,2BGAE@1,2S18Y@2759,3A54X@33154,3BRWU@33208,3D91K@33213,40DVV@6231</t>
  </si>
  <si>
    <t>Heterochronic protein which controls the choice of stage specific cell fates. Involved in the temporal progression of vulval fate patterning, possibly by inhibiting lin-12. Acts as a transcription factor involved in the stage-specific repression of insulin insulin-like growth factor gene ins-33</t>
  </si>
  <si>
    <t>22,5806/20,6093</t>
  </si>
  <si>
    <t>WBGene00003003</t>
  </si>
  <si>
    <t>23.8351</t>
  </si>
  <si>
    <t>Bm6012</t>
  </si>
  <si>
    <t>WBGene00226273</t>
  </si>
  <si>
    <t>GO:0004100/GO:0005886/GO:0005938/GO:0006031/GO:0006038/GO:0016020/GO:0016021/GO:0016740/GO:0016757/GO:0016758/GO:0030703/GO:1904778/</t>
  </si>
  <si>
    <t>cell_cortex/cell_wall_chitin_biosynthetic_process/chitin_biosynthetic_process/chitin_synthase_activity/eggshell_formation/integral_component_of_membrane/membrane/plasma_membrane/positive_regulation_of_protein_localization_to_cell_cortex/transferase_activity/transferase_activity,_transferring_glycosyl_groups/transferase_activity,_transferring_hexosyl_groups/</t>
  </si>
  <si>
    <t>A_lipid_bilayer_along_with_all_the_proteins_and_protein_complexes_embedded_in_it_an_attached_to_it._[GOC:dos,_GOC:mah,_ISBN:0815316194]/"Any_process_that_activates_or_increases_the_frequency,_rate_or_extent_of_protein_localization_to_cell_cortex."_[GO_REF:0000058,_GOC:TermGenie,_PMID:17115027]/"Catalysis_of_the_reaction:_UDP-N-acetyl-D-glucosamine_+_[-&gt;4)-N-acetyl-beta-D-glucosaminyl-(1-](n)_=_UDP_+_[-&gt;4)-N-acetyl-beta-D-glucosaminyl-(1-](n+1)."_[EC:2.4.1.16]/"Catalysis_of_the_transfer_of_a_glycosyl_group_from_one_compound_(donor)_to_another_(acceptor)."_[GOC:jl,_ISBN:0198506732]/"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_hexosyl_group_from_one_compound_(donor)_to_another_(acceptor)."_[GOC:jl]/"Construction_of_the_eggshell,_a_product_of_the_somatic_follicle_cell_epithelium_and_a_structure_that_supports_the_egg_in_a_hostile_environment,_minimizing_water_loss_whilst_allowing_gas_exchanges_essential_for_embryonic_respiration."_[GOC:mtg_sensu,_ISBN:0879694238,_PMID:10822261]/"The_chemical_reactions_and_pathways_resulting_in_the_formation_of_cell_wall_chitin,_a_linear_polysaccharide_consisting_of_beta-(1-&gt;4)-linked_N-acetyl-D-glucosamine_residues,_found_in_the_walls_of_cells."_[GOC:ai]/"The_chemical_reactions_and_pathways_resulting_in_the_formation_of_chitin,_a_linear_polysaccharide_consisting_of_beta-(1-&gt;4)-linked_N-acetyl-D-glucosamine_residues."_[GOC:jl,_ISBN:0198506732]/"The_component_of_a_membrane_consisting_of_the_gene_products_and_protein_complexes_having_at_least_some_part_of_their_peptide_sequence_embedded_in_the_hydrophobic_region_of_the_membrane."_[GOC:dos,_GOC:go_curators]/"The_membrane_surrounding_a_cell_that_separates_the_cell_from_its_external_environment._It_consists_of_a_phospholipid_bilayer_and_associated_proteins."_[ISBN:0716731363]/"The_region_of_a_cell_that_lies_just_beneath_the_plasma_membrane_and_often,_but_not_always,_contains_a_network_of_actin_filaments_and_associated_proteins."_[GOC:mah,_ISBN:0815316194]/</t>
  </si>
  <si>
    <t>IPR004835/IPR029044/</t>
  </si>
  <si>
    <t>Chitin_synthase/Nucleotide-diphospho-sugar_transferases/</t>
  </si>
  <si>
    <t>Chitin_synth/Nucleotide-diphossugar_trans/</t>
  </si>
  <si>
    <t>note=B._malayi_BMA-CHS-1_protein,_contains_similarity_toPfam_domain_PF03142_Chitin_synthase_contains_similarity_toInterpro_domains_IPR004835_(Chitin_synthase),_IPR029044(Nucleotide-diphospho-sugar_transferases)</t>
  </si>
  <si>
    <t>7209.EJD74876.1</t>
  </si>
  <si>
    <t>1574.7</t>
  </si>
  <si>
    <t>GO:0000003,GO:0000271,GO:0003006,GO:0003674,GO:0003824,GO:0004100,GO:0005575,GO:0005622,GO:0005623,GO:0005737,GO:0005886,GO:0005938,GO:0005975,GO:0005976,GO:0006022,GO:0006023,GO:0006030,GO:0006031,GO:0006037,GO:0006038,GO:0006040,GO:0006807,GO:0007276,GO:0007281,GO:0007292,GO:0008150,GO:0008152,GO:0008194,GO:0008375,GO:0009058,GO:0009059,GO:0009653,GO:0009987,GO:0010383,GO:0016020,GO:0016051,GO:0016740,GO:0016757,GO:0016758,GO:0017144,GO:0019953,GO:0022412,GO:0022414,GO:0030154,GO:0030703,GO:0032501,GO:0032502,GO:0032504,GO:0032879,GO:0032880,GO:0033692,GO:0034637,GO:0034645,GO:0042546,GO:0043170,GO:0044036,GO:0044038,GO:0044085,GO:0044237,GO:0044238,GO:0044249,GO:0044260,GO:0044262,GO:0044264,GO:0044424,GO:0044444,GO:0044464,GO:0044703,GO:0046349,GO:0048468,GO:0048477,GO:0048518,GO:0048609,GO:0048646,GO:0048856,GO:0048869,GO:0050789,GO:0051704,GO:0060341,GO:0065007,GO:0070589,GO:0070592,GO:0071554,GO:0071704,GO:0071840,GO:0071944,GO:0099568,GO:1901071,GO:1901073,GO:1901135,GO:1901137,GO:1901564,GO:1901566,GO:1901576,GO:1903827,GO:1903829,GO:1904375,GO:1904377,GO:1904776,GO:1904778</t>
  </si>
  <si>
    <t>2.4.1.16</t>
  </si>
  <si>
    <t>ko:K00698</t>
  </si>
  <si>
    <t>ko00520,map00520</t>
  </si>
  <si>
    <t>R02335</t>
  </si>
  <si>
    <t>RC00005</t>
  </si>
  <si>
    <t>ko00000,ko00001,ko01000,ko01003</t>
  </si>
  <si>
    <t>GT2</t>
  </si>
  <si>
    <t>1KUQT@119089,38HE4@33154,3BD2R@33208,3CT71@33213,40ANB@6231,COG1215@1,KOG2571@2759</t>
  </si>
  <si>
    <t>cell wall polysaccharide biosynthetic process</t>
  </si>
  <si>
    <t>61,2415/17,184</t>
  </si>
  <si>
    <t>41,6351/41,7108/8,17562</t>
  </si>
  <si>
    <t>8,25132/3,93641/4,61771</t>
  </si>
  <si>
    <t>10,598/10,6737</t>
  </si>
  <si>
    <t>WBGene00000496</t>
  </si>
  <si>
    <t>44.7388</t>
  </si>
  <si>
    <t>Bm6032</t>
  </si>
  <si>
    <t>WBGene00226293</t>
  </si>
  <si>
    <t>GO:0001708/GO:0003677/GO:0003700/GO:0005634/GO:0006355/GO:0040011/GO:0045138/GO:0048620/</t>
  </si>
  <si>
    <t>DNA-binding_transcription_factor_activity/DNA_binding/cell_fate_specification/locomotion/nematode_male_tail_tip_morphogenesis/nucleus/post-embryonic_hindgut_morphogenesis/regulation_of_transcription,_DNA-templated/</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</si>
  <si>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molecular_function_by_which_a_gene_product_interacts_selectively_and_non-covalently_with_DNA_(deoxyribonucleic_acid)."_[GOC:dph,_GOC:jl,_GOC:tb,_GOC:vw]/"Any_process_that_modulates_the_frequency,_rate_or_extent_of_cellular_DNA-templated_transcription."_[GOC:go_curators,_GOC:txnOH]/"Self-propelled_movement_of_a_cell_or_organism_from_one_location_to_another."_[GOC:dgh]/"The_process_in_which_the_anatomical_structure_of_the_adult_male_tail_tip_is_generated_and_organized._In_some_species_of_rhabitid_nematodes,_the_male_tail_tip_undergoes_a_morphological_change_such_that_the_most_posterior_hypodermal_cells_in_the_tail_(hyp8-11_in_C._elegans)_fuse_and_retract_anteriorly,_changing_the_shape_of_the_tail_from_a_pointed,_tapered_cone,_or_spike,_to_a_rounded,_blunt_dome."_[GOC:kmv,_PMID:16806150,_PMID:18050419,_PMID:21408209,_PMID:7409314]/"The_process_in_which_the_anatomical_structures_of_the_hindgut_are_generated_and_organized,_during_the_post-embryonic_phase."_[GOC:jid,_GOC:rc]/"The_process_involved_in_the_specification_of_cell_identity._Once_specification_has_taken_place,_a_cell_will_be_committed_to_differentiate_down_a_specific_pathway_if_left_in_its_normal_environment."_[GOC:go_curators]/</t>
  </si>
  <si>
    <t>IPR001699/IPR008967/IPR036960/</t>
  </si>
  <si>
    <t>T-box_superfamily/Transcription_factor,_T-box/p53-like_transcription_factor,_DNA-binding/</t>
  </si>
  <si>
    <t>T-box_sf/TF_T-box/p53-like_TF_DNA-bd/</t>
  </si>
  <si>
    <t>note=B._malayi_BMA-MAB-9_protein,_contains_similarity_toPfam_domain_PF00907_T-box_contains_similarity_to_Interprodomains_IPR008967_(p53-like_transcription_factor,DNA-binding),_IPR001699_(Transcription_factor,_T-box)</t>
  </si>
  <si>
    <t>7209.EJD74063.1</t>
  </si>
  <si>
    <t>1.1e-86</t>
  </si>
  <si>
    <t>327.4</t>
  </si>
  <si>
    <t>GO:0000003,GO:0001708,GO:0003006,GO:0005575,GO:0005622,GO:0005623,GO:0005634,GO:0007275,GO:0007442,GO:0007548,GO:0008150,GO:0009653,GO:0009791,GO:0009886,GO:0009987,GO:0022414,GO:0030154,GO:0032501,GO:0032502,GO:0035239,GO:0035295,GO:0040011,GO:0043226,GO:0043227,GO:0043229,GO:0043231,GO:0044424,GO:0044464,GO:0045138,GO:0045165,GO:0046661,GO:0048546,GO:0048565,GO:0048620,GO:0048731,GO:0048856,GO:0048869,GO:0055123,GO:0061525,GO:0090598</t>
  </si>
  <si>
    <t>ko:K10185</t>
  </si>
  <si>
    <t>1KVY3@119089,38BF8@33154,3BBR1@33208,3CSRV@33213,40D65@6231,KOG3585@1,KOG3586@2759</t>
  </si>
  <si>
    <t>Domain first found  in the mice T locus (Brachyury) protein</t>
  </si>
  <si>
    <t>21,6814/19,469</t>
  </si>
  <si>
    <t>30,9735/30,3097</t>
  </si>
  <si>
    <t>23,2301/21,6814/30,3097/26,3274/25,6637/25,885/23,6726/24,5575</t>
  </si>
  <si>
    <t>23,0089/21,2389/30,3097/26,3274/27,8761/25,4425/24,115/24,5575</t>
  </si>
  <si>
    <t>23,4513/22,3451/30,531/26,3274/23,8938/23,4513/23,8938/22,3451</t>
  </si>
  <si>
    <t>WBGene00003106</t>
  </si>
  <si>
    <t>35.8407</t>
  </si>
  <si>
    <t>Bm6119</t>
  </si>
  <si>
    <t>WBGene00226380</t>
  </si>
  <si>
    <t>GO:0005615/GO:0008544/GO:0016020/GO:0016021/GO:0042338/</t>
  </si>
  <si>
    <t>cuticle_development_involved_in_collagen_and_cuticulin-based_cuticle_molting_cycle/epidermis_development/extracellular_space/integral_component_of_membrane/membrane/</t>
  </si>
  <si>
    <t>A_lipid_bilayer_along_with_all_the_proteins_and_protein_complexes_embedded_in_it_an_attached_to_it._[GOC:dos,_GOC:mah,_ISBN:0815316194]/"Synthesis_and_deposition_of_a_collagen_and_cuticulin-based_noncellular,_hardened,_or_membranous_secretion_from_an_epithelial_sheet,_occurring_as_part_of_the_molting_cycle._An_example_of_this_process_is_found_in_Caenorhabditis_elegans."_[GOC:mtg_sensu]/"That_part_of_a_multicellular_organism_outside_the_cells_proper,_usually_taken_to_be_outside_the_plasma_membranes,_and_occupied_by_fluid."_[ISBN:0198547684]/"The_component_of_a_membrane_consisting_of_the_gene_products_and_protein_complexes_having_at_least_some_part_of_their_peptide_sequence_embedded_in_the_hydrophobic_region_of_the_membrane."_[GOC:dos,_GOC:go_curators]/"The_process_whose_specific_outcome_is_the_progression_of_the_epidermis_over_time,_from_its_formation_to_the_mature_structure._The_epidermis_is_the_outer_epithelial_layer_of_an_animal,_it_may_be_a_single_layer_that_produces_an_extracellular_material_(e.g._the_cuticle_of_arthropods)_or_a_complex_stratified_squamous_epithelium,_as_in_the_case_of_many_vertebrate_species."_[GOC:go_curators,_UBERON:0001003]/</t>
  </si>
  <si>
    <t>IPR006954/</t>
  </si>
  <si>
    <t>Moulting_cycle_MLT-10-like_protein/</t>
  </si>
  <si>
    <t>MLT-10-like/</t>
  </si>
  <si>
    <t>note=B._malayi_BMA-MLT-10_protein,_contains_similarity_to_Pfam_domain_PF04870_Moulting_cycle_contains_similarity_to_Interpro_domain_IPR006954_(Moulting_cycle_MLT-10-like_protein)</t>
  </si>
  <si>
    <t>7209.EFO17029.2</t>
  </si>
  <si>
    <t>2.2e-203</t>
  </si>
  <si>
    <t>715.7</t>
  </si>
  <si>
    <t>GO:0005575,GO:0005576,GO:0005615,GO:0007275,GO:0008150,GO:0008544,GO:0009888,GO:0018996,GO:0032501,GO:0032502,GO:0040002,GO:0042303,GO:0042335,GO:0042338,GO:0044421,GO:0048856</t>
  </si>
  <si>
    <t>1KU28@119089,291TC@1,2R8PH@2759,39V2F@33154,3BJX3@33208,3D5RK@33213,40B2W@6231</t>
  </si>
  <si>
    <t>Moulting cycle</t>
  </si>
  <si>
    <t>17,2996/19,128</t>
  </si>
  <si>
    <t>8,01688/18,706/18,5654/11,3924/17,7215</t>
  </si>
  <si>
    <t>28,692/34,0366</t>
  </si>
  <si>
    <t>32,6301/20,8158</t>
  </si>
  <si>
    <t>25,7384/28,692</t>
  </si>
  <si>
    <t>19,2686/24,1913/25,5977</t>
  </si>
  <si>
    <t>35,0211/34,8805</t>
  </si>
  <si>
    <t>WBGene00015646/WBGene00021449</t>
  </si>
  <si>
    <t>35.0211/34.8805</t>
  </si>
  <si>
    <t>Bm6155</t>
  </si>
  <si>
    <t>WBGene00226416</t>
  </si>
  <si>
    <t>7209.EFO21935.1</t>
  </si>
  <si>
    <t>2e-107</t>
  </si>
  <si>
    <t>GO:0001704,GO:0001708,GO:0003674,GO:0003676,GO:0003723,GO:0005488,GO:0005575,GO:0005622,GO:0005623,GO:0005737,GO:0007163,GO:0007275,GO:0007369,GO:0007389,GO:0008150,GO:0009653,GO:0009790,GO:0009792,GO:0009880,GO:0009987,GO:0030010,GO:0030154,GO:0032501,GO:0032502,GO:0032991,GO:0035770,GO:0036464,GO:0043186,GO:0043226,GO:0043228,GO:0043229,GO:0043232,GO:0044424,GO:0044444,GO:0044464,GO:0045165,GO:0045495,GO:0048598,GO:0048646,GO:0048856,GO:0048869,GO:0060293,GO:0097159,GO:1901363,GO:1990904</t>
  </si>
  <si>
    <t>ko:K15308,ko:K18753</t>
  </si>
  <si>
    <t>ko04218,ko05166,ko05167,map04218,map05166,map05167</t>
  </si>
  <si>
    <t>1KZSM@119089,3A02W@33154,3BQ7Q@33208,3E4V7@33213,40F1B@6231,COG5063@1,KOG1677@2759</t>
  </si>
  <si>
    <t>Zinc finger C-x8-C-x5-C-x3-H type (and similar)</t>
  </si>
  <si>
    <t>95,9569/61,9946</t>
  </si>
  <si>
    <t>19,9461/19,6765</t>
  </si>
  <si>
    <t>15,6334/15,6334</t>
  </si>
  <si>
    <t>12,1294/14,0162</t>
  </si>
  <si>
    <t>11,8598/12,6685</t>
  </si>
  <si>
    <t>WBGene00003228</t>
  </si>
  <si>
    <t>17.7898</t>
  </si>
  <si>
    <t>Bm6176</t>
  </si>
  <si>
    <t>WBGene00226437</t>
  </si>
  <si>
    <t>7209.EFO26772.1</t>
  </si>
  <si>
    <t>1.7e-236</t>
  </si>
  <si>
    <t>825.1</t>
  </si>
  <si>
    <t>1KX9G@119089,2EAKJ@1,2SGU1@2759,3ADUP@33154,3BWE0@33208,3DCPY@33213,40F4Y@6231</t>
  </si>
  <si>
    <t>94,7917/94,7917</t>
  </si>
  <si>
    <t>WBGene00012241</t>
  </si>
  <si>
    <t>24.375</t>
  </si>
  <si>
    <t>Bm6215</t>
  </si>
  <si>
    <t>WBGene00226476</t>
  </si>
  <si>
    <t>GO:0000165/GO:0000166/GO:0001714/GO:0004672/GO:0004674/GO:0004707/GO:0005524/GO:0005634/GO:0005737/GO:0005938/GO:0006468/GO:0007492/GO:0008013/GO:0008356/GO:0009653/GO:0009792/GO:0010085/GO:0016055/GO:0016301/GO:0016310/GO:0016740/GO:0018105/GO:0018107/GO:0042694/GO:0045167/GO:0047485/GO:0060070/GO:1902554/</t>
  </si>
  <si>
    <t>ATP_binding/MAPK_cascade/MAP_kinase_activity/Wnt_signaling_pathway/anatomical_structure_morphogenesis/asymmetric_cell_division/asymmetric_protein_localization_involved_in_cell_fate_determination/beta-catenin_binding/canonical_Wnt_signaling_pathway/cell_cortex/cytoplasm/embryo_development_ending_in_birth_or_egg_hatching/endoderm_development/endodermal_cell_fate_specification/kinase_activity/muscle_cell_fate_specification/nucleotide_binding/nucleus/peptidyl-serine_phosphorylation/peptidyl-threonine_phosphorylation/phosphorylation/polarity_specification_of_proximal/distal_axis/protein_N-terminus_binding/protein_kinase_activity/protein_phosphorylation/protein_serine/threonine_kinase_activity/serine/threonine_protein_kinase_complex/transferase_activit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</si>
  <si>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complex_which_is_capable_of_protein_serine/threonine_kinase_activity."_[GOC:bhm,_GOC:TermGenie,_PMID:18191223]/"All_of_the_contents_of_a_cell_excluding_the_plasma_membrane_and_nucleus,_but_including_other_subcellular_structures."_[ISBN:0198547684]/"An_intracellular_protein_kinase_cascade_containing_at_least_a_MAPK,_a_MAPKK_and_a_MAP3K._The_cascade_can_also_contain_an_additional_tiers:_the_upstream_MAP4K._The_kinases_in_each_tier_phosphorylate_and_activate_the_kinase_in_the_downstream_tier_to_transmit_a_signal_within_a_cell."_[GOC:bf,_GOC:mtg_signaling_feb11,_PMID:20811974,_PMID:9561267]/"Any_process_in_which_a_protein_is_transported_to,_or_maintained_in,_a_specific_asymmetric_distribution,_resulting_in_the_formation_of_daughter_cells_of_different_types."_[GOC:ai]/"Any_process_resulting_in_the_establishment_of_polarity_along_the_proximal/distal_axis."_[GOC:tb]/"Catalysis_of_the_phosphorylation_of_an_amino_acid_residue_in_a_protein,_usually_according_to_the_reaction:_a_protein_+_ATP_=_a_phosphoprotein_+_ADP."_[MetaCyc:PROTEIN-KINASE-RXN]/"Catalysis_of_the_reaction:_protein_+_ATP_=_protein_phosphate_+_ADP._This_reaction_is_the_phosphorylation_of_proteins._Mitogen-activated_protein_kinase;_a_family_of_protein_kinases_that_perform_a_crucial_step_in_relaying_signals_from_the_plasma_membrane_to_the_nucleus._They_are_activated_by_a_wide_range_of_proliferation-_or_differentiation-inducing_signals;_activation_is_strong_with_agonists_such_as_polypeptide_growth_factors_and_tumor-promoting_phorbol_esters,_but_weak_(in_most_cell_backgrounds)_by_stress_stimuli."_[GOC:ma,_ISBN:0198547684]/"Catalysis_of_the_reactions:_ATP_+_protein_serine_=_ADP_+_protein_serine_phosphate,_and_ATP_+_protein_threonine_=_ADP_+_protein_threonine_phosphate."_[GOC:bf]/"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_phosphate_group,_usually_from_ATP,_to_a_substrate_molecule."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_protein_N-terminus,_the_end_of_any_peptide_chain_at_which_the_2-amino_(or_2-imino)_function_of_a_constituent_amino_acid_is_not_attached_in_peptide_linkage_to_another_amino-acid_residue."_[ISBN:0198506732]/"Interacting_selectively_and_non-covalently_with_the_beta_subunit_of_the_catenin_complex."_[GOC:bf]/"The_asymmetric_division_of_cells_to_produce_two_daughter_cells_with_different_developmental_potentials._It_is_of_fundamental_significance_for_the_generation_of_cell_diversity."_[PMID:11672519]/"The_cell_fate_determination_process_that_results_in_a_cell_becoming_capable_of_differentiating_autonomously_into_an_endoderm_cell_in_an_environment_that_is_neutral_with_respect_to_the_developmental_pathway;_upon_specification,_the_cell_fate_can_be_reversed."_[GOC:go_curators]/"The_phosphorylation_of_peptidyl-serine_to_form_peptidyl-O-phospho-L-serine."_[RESID:AA0037]/"The_phosphorylation_of_peptidyl-threonine_to_form_peptidyl-O-phospho-L-threonine."_[RESID:AA0038]/"The_process_in_which_a_cell_becomes_capable_of_differentiating_autonomously_into_a_muscle_cell_in_an_environment_that_is_neutral_with_respect_to_the_developmental_pathway;_upon_specification,_the_cell_fate_can_be_reversed."_[CL:0000187,_GOC:go_curators]/"The_process_in_which_anatomical_structures_are_generated_and_organized._Morphogenesis_pertains_to_the_creation_of_form."_[GOC:go_curators,_ISBN:0521436125]/"The_process_of_introducing_a_phosphate_group_into_a_molecule,_usually_with_the_formation_of_a_phosphoric_ester,_a_phosphoric_anhydride_or_a_phosphoric_amide."_[ISBN:0198506732]/"The_process_of_introducing_a_phosphate_group_on_to_a_protein."_[GOC:hb]/"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he_process_whose_specific_outcome_is_the_progression_of_the_endoderm_over_time,_from_its_formation_to_the_mature_structure._The_endoderm_is_the_innermost_germ_layer_that_develops_into_the_gastrointestinal_tract,_the_lungs_and_associated_tissues."_[GOC:dph,_GOC:tb]/"The_region_of_a_cell_that_lies_just_beneath_the_plasma_membrane_and_often,_but_not_always,_contains_a_network_of_actin_filaments_and_associated_proteins."_[GOC:mah,_ISBN:0815316194]/"The_series_of_molecular_signals_initiated_by_binding_of_a_Wnt_protein_to_a_frizzled_family_receptor_on_the_surface_of_the_target_cell,_followed_by_propagation_of_the_signal_via_beta-catenin,_and_ending_with_a_change_in_transcription_of_target_genes._In_this_pathway,_the_activated_receptor_signals_via_downstream_effectors_that_result_in_the_inhibition_of_beta-catenin_phosphorylation,_thereby_preventing_degradation_of_beta-catenin._Stabilized_beta-catenin_can_then_accumulate_and_travel_to_the_nucleus_to_trigger_changes_in_transcription_of_target_genes."_[GOC:bf,_GOC:dph,_PMID:11532397,_PMID:19619488]/"The_series_of_molecular_signals_initiated_by_binding_of_a_Wnt_protein_to_a_frizzled_family_receptor_on_the_surface_of_the_target_cell_and_ending_with_a_change_in_cell_state."_[GOC:dph,_GOC:go_curators,_PMID:11532397]/</t>
  </si>
  <si>
    <t>IPR000719/IPR003527/IPR008271/IPR011009/IPR017441/</t>
  </si>
  <si>
    <t>Mitogen-activated_protein_(MAP)_kinase,_conserved_site/Protein_kinase,_ATP_binding_site/Protein_kinase-like_domain_superfamily/Protein_kinase_domain/Serine/threonine-protein_kinase,_active_site/</t>
  </si>
  <si>
    <t>Kinase-like_dom_sf/MAP_kinase_CS/Prot_kinase_dom/Protein_kinase_ATP_BS/Ser/Thr_kinase_AS/</t>
  </si>
  <si>
    <t>note=B._malayi_BMA-LIT-1_protein,_contains_similarity_toPfam_domain_PF00069_Protein_kinase_domain_containssimilarity_to_Interpro_domains_IPR002290(Serine/threonine/dual_specificity_protein_kinase,catalytic_domain),_IPR011009_(Protein_kinase-like_domain),IPR000719_(Protein_kinase_domain)</t>
  </si>
  <si>
    <t>7209.EJD73804.1</t>
  </si>
  <si>
    <t>1.2e-233</t>
  </si>
  <si>
    <t>815.8</t>
  </si>
  <si>
    <t>GO:0000165,GO:0001704,GO:0001706,GO:0001708,GO:0001709,GO:0001711,GO:0001714,GO:0003002,GO:0003674,GO:0003824,GO:0004672,GO:0004674,GO:0004707,GO:0005488,GO:0005515,GO:0005575,GO:0005622,GO:0005623,GO:0005634,GO:0005737,GO:0005938,GO:0006464,GO:0006468,GO:0006793,GO:0006796,GO:0006807,GO:0007154,GO:0007165,GO:0007166,GO:0007267,GO:0007275,GO:0007369,GO:0007389,GO:0007492,GO:0008013,GO:0008104,GO:0008150,GO:0008152,GO:0008356,GO:0009653,GO:0009790,GO:0009792,GO:0009798,GO:0009888,GO:0009946,GO:0009954,GO:0009987,GO:0010085,GO:0010468,GO:0016055,GO:0016301,GO:0016310,GO:0016740,GO:0016772,GO:0016773,GO:0018105,GO:0018107,GO:0018193,GO:0018209,GO:0018210,GO:0019222,GO:0019538,GO:0023014,GO:0023052,GO:0030154,GO:0032501,GO:0032502,GO:0032991,GO:0033036,GO:0035239,GO:0035295,GO:0035556,GO:0035987,GO:0036211,GO:0042692,GO:0042693,GO:0042694,GO:0043170,GO:0043226,GO:0043227,GO:0043229,GO:0043231,GO:0043412,GO:0044237,GO:0044238,GO:0044260,GO:0044267,GO:0044333,GO:0044424,GO:0044444,GO:0044464,GO:0045165,GO:0045167,GO:0047485,GO:0048546,GO:0048565,GO:0048598,GO:0048646,GO:0048731,GO:0048856,GO:0048869,GO:0050789,GO:0050794,GO:0050896,GO:0051179,GO:0051301,GO:0051716,GO:0055123,GO:0060255,GO:0060795,GO:0061061,GO:0061695,GO:0065001,GO:0065007,GO:0071704,GO:0071944,GO:0099568,GO:0140096,GO:0198738,GO:1901564,GO:1902494,GO:1902554,GO:1902911,GO:1905114,GO:1990234</t>
  </si>
  <si>
    <t>2.7.11.24</t>
  </si>
  <si>
    <t>ko:K04468</t>
  </si>
  <si>
    <t>ko04010,ko04068,ko04310,ko04520,map04010,map04068,map04310,map04520</t>
  </si>
  <si>
    <t>1KUZE@119089,38HQ5@33154,3BA2J@33208,3CSW6@33213,40AGZ@6231,KOG0664@1,KOG0664@2759</t>
  </si>
  <si>
    <t>Has a role in the Wnt signaling pathway controlling the asymmetry of cell divisions during embryogenesis. Operates in the AB and EMS cell lineages influencing cell specification. Required for body wall muscle development, endoderm development, pop-1 asymmetry and T-cell division asymmetry. Lit-1 wrm-1 complex regulates pop-1 localization and is required for pop-1 par-5 interaction</t>
  </si>
  <si>
    <t>42,6808/52,7337</t>
  </si>
  <si>
    <t>52,5573/38,448</t>
  </si>
  <si>
    <t>34,2152/21,6931/49,2063/49,3827</t>
  </si>
  <si>
    <t>44,6208/33,8624</t>
  </si>
  <si>
    <t>21,5168/21,3404/46,0317</t>
  </si>
  <si>
    <t>21,164/22,2222/46,0317</t>
  </si>
  <si>
    <t>22,7513/21,164/22,3986/46,5608</t>
  </si>
  <si>
    <t>25,5732/22,0459</t>
  </si>
  <si>
    <t>WBGene00003048</t>
  </si>
  <si>
    <t>52.5573</t>
  </si>
  <si>
    <t>Bm6236</t>
  </si>
  <si>
    <t>WBGene00226497</t>
  </si>
  <si>
    <t>GO:0003723/GO:0006397/GO:0035145/</t>
  </si>
  <si>
    <t>RNA_binding/exon-exon_junction_complex/mRNA_processing/</t>
  </si>
  <si>
    <t>A_multi-subunit_complex_deposited_by_the_spliceosome_upstream_of_messenger_RNA_exon-exon_junctions._The_exon-exon_junction_complex_provides_a_binding_platform_for_factors_involved_in_mRNA_export_and_nonsense-mediated_mRNA_decay._[PMID:11532962,_PMID:11743026]/"Any_process_involved_in_the_conversion_of_a_primary_mRNA_transcript_into_one_or_more_mature_mRNA(s)_prior_to_translation_into_polypeptide."_[GOC:mah]/"Interacting_selectively_and_non-covalently_with_an_RNA_molecule_or_a_portion_thereof."_[GOC:jl,_GOC:mah]/</t>
  </si>
  <si>
    <t>IPR018545/IPR028544/</t>
  </si>
  <si>
    <t>Btz_domain/Protein_CASC3/</t>
  </si>
  <si>
    <t>Btz_dom/CASC3/</t>
  </si>
  <si>
    <t>note=contains_similarity_to_Pfam_domain_PF09405_CASC3/Barentsz_eIF4AIII_binding_contains_similarity_to_Interpro_domains_IPR018545_(Btz_domain),_IPR028544_(Protein_CASC3)</t>
  </si>
  <si>
    <t>7209.EFO28446.2</t>
  </si>
  <si>
    <t>9.1e-92</t>
  </si>
  <si>
    <t>343.6</t>
  </si>
  <si>
    <t>KOG4264@1,KOG4264@2759</t>
  </si>
  <si>
    <t>nuclear-transcribed mRNA catabolic process, nonsense-mediated decay</t>
  </si>
  <si>
    <t>Bm6373</t>
  </si>
  <si>
    <t>WBGene00226634</t>
  </si>
  <si>
    <t>7209.EFO25423.1</t>
  </si>
  <si>
    <t>2.9e-60</t>
  </si>
  <si>
    <t>238.0</t>
  </si>
  <si>
    <t>1KX1D@119089,2DZQ3@1,2S771@2759,3ABB5@33154,3BVCY@33208,3DBNB@33213,40EVW@6231</t>
  </si>
  <si>
    <t>39,2405/28,481/38,6076</t>
  </si>
  <si>
    <t>WBGene00012540</t>
  </si>
  <si>
    <t>37.9747</t>
  </si>
  <si>
    <t>Bm6428</t>
  </si>
  <si>
    <t>WBGene00226689</t>
  </si>
  <si>
    <t>note=B._malayi_BMA-CYD-1_protein,_contains_similarity_toPfam_domain_PF00134_Cyclin,_N-terminal_domain_containssimilarity_to_Interpro_domains_IPR013763_(Cyclin-like),IPR006671_(Cyclin,_N-terminal)</t>
  </si>
  <si>
    <t>7209.EJD74551.1</t>
  </si>
  <si>
    <t>8.5e-122</t>
  </si>
  <si>
    <t>GO:0000003,GO:0002119,GO:0002164,GO:0003006,GO:0003674,GO:0005488,GO:0005515,GO:0006275,GO:0007049,GO:0007275,GO:0007530,GO:0007548,GO:0008150,GO:0008356,GO:0008406,GO:0008584,GO:0009791,GO:0009889,GO:0009891,GO:0009893,GO:0009987,GO:0010453,GO:0010455,GO:0010468,GO:0010556,GO:0010557,GO:0010564,GO:0010604,GO:0010628,GO:0019219,GO:0019222,GO:0022402,GO:0022414,GO:0031323,GO:0031325,GO:0031326,GO:0031328,GO:0032501,GO:0032502,GO:0032504,GO:0032875,GO:0032877,GO:0032879,GO:0032880,GO:0040035,GO:0044703,GO:0044706,GO:0044770,GO:0044843,GO:0045137,GO:0045595,GO:0045597,GO:0045740,GO:0045787,GO:0045935,GO:0046546,GO:0046661,GO:0048513,GO:0048518,GO:0048519,GO:0048522,GO:0048523,GO:0048608,GO:0048609,GO:0048731,GO:0048806,GO:0048856,GO:0050789,GO:0050793,GO:0050794,GO:0051052,GO:0051054,GO:0051094,GO:0051171,GO:0051173,GO:0051301,GO:0051302,GO:0051704,GO:0051726,GO:0051781,GO:0051782,GO:0060255,GO:0060378,GO:0061458,GO:0065007,GO:0065008,GO:0080090,GO:0090068,GO:0090329,GO:0090727,GO:1901987,GO:1902806,GO:1904785,GO:1904787,GO:1905933,GO:1905935,GO:2000105,GO:2000112</t>
  </si>
  <si>
    <t>ko:K10151</t>
  </si>
  <si>
    <t>ko04068,ko04110,ko04115,ko04151,ko04218,ko04310,ko04340,ko04390,ko04510,ko04630,ko04917,ko04934,ko05162,ko05165,ko05166,ko05200,ko05202,ko05203,ko05206,map04068,map04110,map04115,map04151,map04218,map04310,map04340,map04390,map04510,map04630,map04917,map04934,map05162,map05165,map05166,map05200,map05202,map05203,map05206</t>
  </si>
  <si>
    <t>M00692</t>
  </si>
  <si>
    <t>ko00000,ko00001,ko00002</t>
  </si>
  <si>
    <t>1KWU6@119089,39VHD@33154,3BD84@33208,3CXCC@33213,40EV4@6231,KOG0656@1,KOG0656@2759</t>
  </si>
  <si>
    <t>24,7423/18,9003/24,3986</t>
  </si>
  <si>
    <t>12,7148/14,7766/14,0893/19,9313/10,6529/11,6838/13,4021/9,96564/13,7457/7,56014/18,9003/15,1203/13,4021/11,3402/15,1203/18,9003</t>
  </si>
  <si>
    <t>12,7148/14,433/19,244/10,9966/12,3711/12,7148/9,96564/13,7457/7,56014/19,5876/14,433/11,3402/15,1203/18,9003</t>
  </si>
  <si>
    <t>11,6838/8,24742/15,1203/21,3058/9,27835/11,6838/12,7148/10,3093/12,7148/9,62199/16,1512/13,7457/11,3402/15,1203/20,2749/21,6495/17,1821</t>
  </si>
  <si>
    <t>14,433/14,7766/9,62199/9,62199/14,433/13,7457</t>
  </si>
  <si>
    <t>WBGene00000870</t>
  </si>
  <si>
    <t>26.4605</t>
  </si>
  <si>
    <t>Bm6462</t>
  </si>
  <si>
    <t>WBGene00226723</t>
  </si>
  <si>
    <t>GO:0016788/</t>
  </si>
  <si>
    <t>hydrolase_activity,_acting_on_ester_bonds/</t>
  </si>
  <si>
    <t>Catalysis_of_the_hydrolysis_of_any_ester_bond._[GOC:jl]/</t>
  </si>
  <si>
    <t>IPR036514/IPR037460/</t>
  </si>
  <si>
    <t>SGNH_hydrolase_superfamily/Streptomyces_scabies_esterase-like/</t>
  </si>
  <si>
    <t>SEST_like/SGNH_hydro_sf/</t>
  </si>
  <si>
    <t>note=contains_similarity_to_Pfam_domain_PF13472_GDSL-like_Lipase/Acylhydrolase_family_contains_similarity_to_Interpro_domain_IPR013830_(SGNH_hydrolase-type_esterase_domain)</t>
  </si>
  <si>
    <t>7209.EFO28429.1</t>
  </si>
  <si>
    <t>4.3e-151</t>
  </si>
  <si>
    <t>541.2</t>
  </si>
  <si>
    <t>1KWND@119089,2C6QK@1,2S4BP@2759,3A6WA@33154,3BTI5@33208,3DAHF@33213,40DZX@6231</t>
  </si>
  <si>
    <t>37,9717/62,2642</t>
  </si>
  <si>
    <t>WBGene00012669</t>
  </si>
  <si>
    <t>31.8396</t>
  </si>
  <si>
    <t>Bm6483</t>
  </si>
  <si>
    <t>WBGene00226744</t>
  </si>
  <si>
    <t>GO:0017137/</t>
  </si>
  <si>
    <t>Rab_GTPase_binding/</t>
  </si>
  <si>
    <t>Interacting_selectively_and_non-covalently_with_Rab_protein,_any_member_of_the_Rab_subfamily_of_the_Ras_superfamily_of_monomeric_GTPases._[GOC:mah]/</t>
  </si>
  <si>
    <t>IPR000008/IPR019018/IPR035892/IPR037245/IPR037789/</t>
  </si>
  <si>
    <t>C2_domain/C2_domain_superfamily/FIP-RBD,_C-terminal_domain_superfamily/Rab-binding_domain_FIP-RBD/Rab11-family_interacting_protein_class_I/</t>
  </si>
  <si>
    <t>C2_dom/C2_domain_sf/FIP-RBD_C_sf/FIP_classI/Rab-bd_FIP-RBD/</t>
  </si>
  <si>
    <t>note=contains_similarity_to_Pfam_domain_PF09457_FIP_domain_contains_similarity_to_Interpro_domain_IPR019018_(Rab-binding_domain_FIP-RBD)</t>
  </si>
  <si>
    <t>7209.EFO18185.2</t>
  </si>
  <si>
    <t>4.9e-42</t>
  </si>
  <si>
    <t>178.7</t>
  </si>
  <si>
    <t>1KXDE@119089,2C8V2@1,2SG4V@2759,3ADK3@33154,3BWPN@33208,3DCIW@33213,40EYV@6231</t>
  </si>
  <si>
    <t>FIP domain</t>
  </si>
  <si>
    <t>75,4098/75,4098</t>
  </si>
  <si>
    <t>Bm6495</t>
  </si>
  <si>
    <t>WBGene00226756</t>
  </si>
  <si>
    <t>7209.EFO21162.1</t>
  </si>
  <si>
    <t>1.2e-208</t>
  </si>
  <si>
    <t>733.4</t>
  </si>
  <si>
    <t>1KUEB@119089,2C4S6@1,2QV23@2759,39UU1@33154,3BMRD@33208,3CW6J@33213,40BYH@6231</t>
  </si>
  <si>
    <t>53,4722/42,7083</t>
  </si>
  <si>
    <t>22,2222/22,6852</t>
  </si>
  <si>
    <t>WBGene00020855</t>
  </si>
  <si>
    <t>29.5139</t>
  </si>
  <si>
    <t>Bm6561</t>
  </si>
  <si>
    <t>WBGene00226822</t>
  </si>
  <si>
    <t>IPR003582/</t>
  </si>
  <si>
    <t>ShKT_domain/</t>
  </si>
  <si>
    <t>ShKT_dom/</t>
  </si>
  <si>
    <t>note=contains_similarity_to_Pfam_domain_PF01549_ShK_domain-like_contains_similarity_to_Interpro_domain_IPR003582_(ShKT_domain)</t>
  </si>
  <si>
    <t>Bm6606</t>
  </si>
  <si>
    <t>WBGene00226867</t>
  </si>
  <si>
    <t>7209.EFO19925.1</t>
  </si>
  <si>
    <t>3.1e-204</t>
  </si>
  <si>
    <t>718.0</t>
  </si>
  <si>
    <t>1KU83@119089,39V97@33154,3BNN1@33208,3D1SS@33213,40BIE@6231,KOG4735@1,KOG4735@2759</t>
  </si>
  <si>
    <t>53,1187/32,3944</t>
  </si>
  <si>
    <t>44,668/34,004</t>
  </si>
  <si>
    <t>WBGene00012939</t>
  </si>
  <si>
    <t>50.503</t>
  </si>
  <si>
    <t>Bm6608</t>
  </si>
  <si>
    <t>WBGene00226869</t>
  </si>
  <si>
    <t>7209.EFO19398.2</t>
  </si>
  <si>
    <t>1.9e-246</t>
  </si>
  <si>
    <t>858.2</t>
  </si>
  <si>
    <t>1KWCI@119089,39W9H@33154,3BKJ2@33208,3CZ1J@33213,40D27@6231,KOG4735@1,KOG4735@2759</t>
  </si>
  <si>
    <t>20,0393/15,9136</t>
  </si>
  <si>
    <t>13,556/29,4695</t>
  </si>
  <si>
    <t>20,0393/20,2358</t>
  </si>
  <si>
    <t>25,1473/19,6464</t>
  </si>
  <si>
    <t>20,0393/25,9332/17,2888</t>
  </si>
  <si>
    <t>WBGene00012941</t>
  </si>
  <si>
    <t>39.4892</t>
  </si>
  <si>
    <t>Bm6719</t>
  </si>
  <si>
    <t>WBGene00226980</t>
  </si>
  <si>
    <t>GO:0005216/GO:0005244/GO:0005249/GO:0005267/GO:0006811/GO:0006813/GO:0008076/GO:0016020/GO:0016021/GO:0034765/GO:0055085/GO:0060072/GO:0071805/</t>
  </si>
  <si>
    <t>integral_component_of_membrane/ion_channel_activity/ion_transport/large_conductance_calcium-activated_potassium_channel_activity/membrane/potassium_channel_activity/potassium_ion_transmembrane_transport/potassium_ion_transport/regulation_of_ion_transmembrane_transport/transmembrane_transport/voltage-gated_ion_channel_activity/voltage-gated_potassium_channel_activity/voltage-gated_potassium_channel_complex/</t>
  </si>
  <si>
    <t>A_lipid_bilayer_along_with_all_the_proteins_and_protein_complexes_embedded_in_it_an_attached_to_it._[GOC:dos,_GOC:mah,_ISBN:0815316194]/"A_process_in_which_a_potassium_ion_is_transported_from_one_side_of_a_membrane_to_the_other."_[GOC:mah]/"A_protein_complex_that_forms_a_transmembrane_channel_through_which_potassium_ions_may_cross_a_cell_membrane_in_response_to_changes_in_membrane_potential."_[GOC:mah]/"Any_process_that_modulates_the_frequency,_rate_or_extent_of_the_directed_movement_of_ions_from_one_side_of_a_membrane_to_the_other."_[GOC:mah]/"Enables_the_facilitated_diffusion_of_a_potassium_ion_(by_an_energy-independent_process)_involving_passage_through_a_transmembrane_aqueous_pore_or_channel_without_evidence_for_a_carrier-mediated_mechanism."_[GOC:BHF,_GOC:mtg_transport,_GOC:pr,_ISBN:0815340729]/"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Enables_the_transmembrane_transfer_of_a_potassium_ion_by_a_voltage-gated_channel._A_voltage-gated_channel_is_a_channel_whose_open_state_is_dependent_on_the_voltage_across_the_membrane_in_which_it_is_embedded."_[GOC:mtg_transport,_ISBN:0815340729]/"Enables_the_transmembrane_transfer_of_an_ion_by_a_voltage-gated_channel._An_ion_is_an_atom_or_group_of_atoms_carrying_an_electric_charge_by_virtue_of_having_gained_or_lost_one_or_more_electrons._A_voltage-gated_channel_is_a_channel_whose_open_state_is_dependent_on_the_voltage_across_the_membrane_in_which_it_is_embedded."_[GOC:mtg_transport,_ISBN:0198506732,_ISBN:0815340729]/"Enables_the_transmembrane_transfer_of_potassium_by_a_channel_with_a_unit_conductance_of_100_to_220_picoSiemens_that_opens_in_response_to_stimulus_by_concerted_actions_of_internal_calcium_ions_and_membrane_potential._Large_conductance_calcium-activated_potassium_channels_are_less_sensitive_to_calcium_than_are_small_or_intermediate_conductance_calcium-activated_potassium_channels._Transport_by_a_channel_involves_catalysis_of_facilitated_diffusion_of_a_solute_(by_an_energy-independent_process)_involving_passage_through_a_transmembrane_aqueous_pore_or_channel,_without_evidence_for_a_carrier-mediated_mechanism."_[GOC:mtg_transport,_ISBN:0815340729,_PMID:17115074]/"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he_directed_movement_of_potassium_ions_(K+)_into,_out_of_or_within_a_cell,_or_between_cells,_by_means_of_some_agent_such_as_a_transporter_or_pore."_[GOC:ai]/"The_process_in_which_a_solute_is_transported_across_a_lipid_bilayer,_from_one_side_of_a_membrane_to_the_other."_[GOC:dph,_GOC:jid]/</t>
  </si>
  <si>
    <t>IPR003929/IPR005821/IPR024939/IPR027359/IPR028325/IPR036291/</t>
  </si>
  <si>
    <t>Calcium-activated_potassium_channel_Slo-1/Ion_transport_domain/NAD(P)-binding_domain_superfamily/Potassium_channel,_BK,_alpha_subunit/Voltage-dependent_channel_domain_superfamily/Voltage-gated_potassium_channel/</t>
  </si>
  <si>
    <t>Ca-act_K_channel_Slo-1/Ion_trans_dom/K_chnl_BK_asu/NAD(P)-bd_dom_sf/VG_K_chnl/Volt_channel_dom_sf/</t>
  </si>
  <si>
    <t>note=B._malayi_BMA-SLO-1_protein,_contains_similarity_toPfam_domains_PF03493_(Calcium-activated_BK_potassiumchannel_alpha_subunit),_PF07885_(Ion_channel)_containssimilarity_to_Interpro_domains_IPR024939(Calcium-activated_potassium_channel_Slo),_IPR016040(NAD(P)-binding_domain),_IPR003091_(Potassium_channel),IPR013099_(Two_pore_domain_potassium_channel_domain),IPR003929_(Potassium_channel,_calcium-activated,_BK,_alphasubunit)</t>
  </si>
  <si>
    <t>6326.BUX.s01145.33</t>
  </si>
  <si>
    <t>3.6e-282</t>
  </si>
  <si>
    <t>978.0</t>
  </si>
  <si>
    <t>GO:0001505,GO:0003674,GO:0005215,GO:0005216,GO:0005227,GO:0005244,GO:0005249,GO:0005261,GO:0005267,GO:0005488,GO:0005515,GO:0005575,GO:0005622,GO:0005623,GO:0005737,GO:0006810,GO:0006811,GO:0006812,GO:0006813,GO:0006996,GO:0007010,GO:0007610,GO:0007631,GO:0008150,GO:0008324,GO:0009636,GO:0009653,GO:0009987,GO:0010033,GO:0010646,GO:0010927,GO:0015075,GO:0015077,GO:0015079,GO:0015267,GO:0015269,GO:0015318,GO:0015672,GO:0016043,GO:0022607,GO:0022803,GO:0022832,GO:0022836,GO:0022838,GO:0022839,GO:0022843,GO:0022857,GO:0022890,GO:0023051,GO:0030001,GO:0030016,GO:0030017,GO:0030029,GO:0030036,GO:0030154,GO:0030239,GO:0030534,GO:0031032,GO:0031430,GO:0031672,GO:0032501,GO:0032502,GO:0032879,GO:0032989,GO:0034220,GO:0040011,GO:0042221,GO:0042493,GO:0042692,GO:0042755,GO:0043050,GO:0043226,GO:0043228,GO:0043229,GO:0043232,GO:0043292,GO:0044085,GO:0044422,GO:0044424,GO:0044444,GO:0044449,GO:0044464,GO:0045202,GO:0045214,GO:0045471,GO:0046677,GO:0046873,GO:0046928,GO:0048149,GO:0048468,GO:0048646,GO:0048856,GO:0048869,GO:0050789,GO:0050794,GO:0050804,GO:0050896,GO:0051046,GO:0051049,GO:0051146,GO:0051179,GO:0051234,GO:0051588,GO:0055001,GO:0055002,GO:0055085,GO:0055120,GO:0060341,GO:0061061,GO:0065007,GO:0065008,GO:0070925,GO:0071804,GO:0071805,GO:0071840,GO:0097305,GO:0097435,GO:0098655,GO:0098660,GO:0098662,GO:0099080,GO:0099081,GO:0099177,GO:0099512,GO:1901700,GO:1903530</t>
  </si>
  <si>
    <t>ko:K04936</t>
  </si>
  <si>
    <t>ko04022,ko04270,ko04911,ko04924,ko04970,ko04972,map04022,map04270,map04911,map04924,map04970,map04972</t>
  </si>
  <si>
    <t>1.A.1.3.1,1.A.1.3.2,1.A.1.3.3</t>
  </si>
  <si>
    <t>1KVA0@119089,38CH0@33154,3BEHD@33208,3CTJ6@33213,40B23@6231,KOG1420@1,KOG1420@2759</t>
  </si>
  <si>
    <t>large conductance calcium-activated potassium channel activity</t>
  </si>
  <si>
    <t>13,1341/83,6957</t>
  </si>
  <si>
    <t>33,8768/7,1558/17,5725</t>
  </si>
  <si>
    <t>35,6884/77,9891</t>
  </si>
  <si>
    <t>12,5906/26,3587/32,1558/48,0978</t>
  </si>
  <si>
    <t>55,5254/37,2283</t>
  </si>
  <si>
    <t>55,5254/37,1377</t>
  </si>
  <si>
    <t>WBGene00004830</t>
  </si>
  <si>
    <t>79.8007</t>
  </si>
  <si>
    <t>Bm674</t>
  </si>
  <si>
    <t>WBGene00220935</t>
  </si>
  <si>
    <t>Bm6770</t>
  </si>
  <si>
    <t>WBGene00227031</t>
  </si>
  <si>
    <t>GO:0005515/GO:0016567/GO:0061630/</t>
  </si>
  <si>
    <t>protein_binding/protein_ubiquitination/ubiquitin_protein_ligase_activity/</t>
  </si>
  <si>
    <t>Catalysis_of_the_transfer_of_ubiquitin_to_a_substrate_protein_via_the_reaction_X-ubiquitin_+_S_-&gt;_X_+_S-ubiquitin,_where_X_is_either_an_E2_or_E3_enzyme,_the_X-ubiquitin_linkage_is_a_thioester_bond,_and_the_S-ubiquitin_linkage_is_an_amide_bond:_an_isopeptide_bond_between_the_C-terminal_glycine_of_ubiquitin_and_the_epsilon-amino_group_of_lysine_residues_in_the_substrate_or,_in_the_linear_extension_of_ubiquitin_chains,_a_peptide_bond_the_between_the_C-terminal_glycine_and_N-terminal_methionine_of_ubiquitin_residues._[GOC:BioGRID,_GOC:dph,_GOC:mah,_GOC:tb,_PMID:22863777]/"Interacting_selectively_and_non-covalently_with_any_protein_or_protein_complex_(a_complex_of_two_or_more_proteins_that_may_include_other_nonprotein_molecules)."_[GOC:go_curators]/"The_process_in_which_one_or_more_ubiquitin_groups_are_added_to_a_protein."_[GOC:ai]/</t>
  </si>
  <si>
    <t>IPR001841/IPR006575/IPR013083/IPR016135/IPR039133/</t>
  </si>
  <si>
    <t>E3_ubiquitin-protein_ligase_RNF25/RWD_domain/Ubiquitin-conjugating_enzyme/RWD-like/Zinc_finger,_RING-type/Zinc_finger,_RING/FYVE/PHD-type/</t>
  </si>
  <si>
    <t>RNF25/RWD-domain/UBQ-conjugating_enzyme/RWD/Znf_RING/Znf_RING/FYVE/PHD/</t>
  </si>
  <si>
    <t>note=contains_similarity_to_Pfam_domains_PF05773_(RWD_domain),_PF13639_(Ring_finger_domain)_contains_similarity_to_Interpro_domains_IPR001841_(Zinc_finger,_RING-type),_IPR013083_(Zinc_finger,_RING/FYVE/PHD-type),_IPR006575_(RWD_domain),_IPR016135_(Ubiquitin-conjugating_enzyme/RWD-like)</t>
  </si>
  <si>
    <t>7209.EFO22202.1</t>
  </si>
  <si>
    <t>3.5e-138</t>
  </si>
  <si>
    <t>498.0</t>
  </si>
  <si>
    <t>ko:K10640</t>
  </si>
  <si>
    <t>1KZNX@119089,39TF9@33154,3BI9K@33208,3CTMM@33213,40GRV@6231,KOG4445@1,KOG4445@2759</t>
  </si>
  <si>
    <t>RWD</t>
  </si>
  <si>
    <t>WBGene00021812</t>
  </si>
  <si>
    <t>24.9284</t>
  </si>
  <si>
    <t>Bm6844</t>
  </si>
  <si>
    <t>WBGene00227105</t>
  </si>
  <si>
    <t>7209.EFO18907.2</t>
  </si>
  <si>
    <t>1.2e-96</t>
  </si>
  <si>
    <t>359.4</t>
  </si>
  <si>
    <t>1KW61@119089,2BRAK@1,2S1W6@2759,3A4A1@33154,3BSDG@33208,3D8BC@33213,40DV7@6231</t>
  </si>
  <si>
    <t>WBGene00021918</t>
  </si>
  <si>
    <t>42.0354</t>
  </si>
  <si>
    <t>Bm6857</t>
  </si>
  <si>
    <t>WBGene00227118</t>
  </si>
  <si>
    <t>GO:0000290/GO:0008047/GO:0043085/</t>
  </si>
  <si>
    <t>deadenylation-dependent_decapping_of_nuclear-transcribed_mRNA/enzyme_activator_activity/positive_regulation_of_catalytic_activity/</t>
  </si>
  <si>
    <t>Any_process_that_activates_or_increases_the_activity_of_an_enzyme._[GOC:ebc,_GOC:jl,_GOC:tb,_GOC:vw]/"Binds_to_and_increases_the_activity_of_an_enzyme."_[GOC:dph,_GOC:mah,_GOC:tb]/"Cleavage_of_the_5'-cap_of_a_nuclear_mRNA_triggered_by_shortening_of_the_poly(A)_tail_to_below_a_minimum_functional_length."_[GOC:krc]/</t>
  </si>
  <si>
    <t>IPR010334/IPR011993/</t>
  </si>
  <si>
    <t>PH-like_domain_superfamily/mRNA-decapping_enzyme_subunit_1/</t>
  </si>
  <si>
    <t>Dcp1/PH-like_dom_sf/</t>
  </si>
  <si>
    <t>note=B._malayi_BMA-DCAP-1_protein,_contains_similarity_to_Pfam_domain_PF06058_Dcp1-like_decapping_family_contains_similarity_to_Interpro_domains_IPR011993_(Pleckstrin_homology-like_domain),_IPR010334_(Dcp1-like_decapping)</t>
  </si>
  <si>
    <t>7209.EFO21105.2</t>
  </si>
  <si>
    <t>2.8e-153</t>
  </si>
  <si>
    <t>548.1</t>
  </si>
  <si>
    <t>GO:0000003,GO:0000932,GO:0002119,GO:0002164,GO:0005575,GO:0005622,GO:0005623,GO:0005737,GO:0006950,GO:0006979,GO:0007275,GO:0007568,GO:0008150,GO:0008340,GO:0009266,GO:0009314,GO:0009408,GO:0009411,GO:0009416,GO:0009628,GO:0009791,GO:0010259,GO:0032501,GO:0032502,GO:0032991,GO:0035770,GO:0036464,GO:0040012,GO:0043186,GO:0043226,GO:0043228,GO:0043229,GO:0043232,GO:0044424,GO:0044444,GO:0044464,GO:0045495,GO:0048856,GO:0050789,GO:0050896,GO:0060293,GO:0065007,GO:1990904</t>
  </si>
  <si>
    <t>ko:K12611</t>
  </si>
  <si>
    <t>M00395</t>
  </si>
  <si>
    <t>ko00000,ko00001,ko00002,ko01000,ko03019</t>
  </si>
  <si>
    <t>1KX37@119089,39W17@33154,3BKDU@33208,3CVZ5@33213,40EW8@6231,KOG2868@1,KOG2868@2759</t>
  </si>
  <si>
    <t>AK</t>
  </si>
  <si>
    <t>Dcp1-like decapping family</t>
  </si>
  <si>
    <t>20,649/20,354/20,649</t>
  </si>
  <si>
    <t>19,174/17,4041</t>
  </si>
  <si>
    <t>18,5841/17,9941</t>
  </si>
  <si>
    <t>20,649/19,469</t>
  </si>
  <si>
    <t>WBGene00021929</t>
  </si>
  <si>
    <t>23.8938</t>
  </si>
  <si>
    <t>Bm6913</t>
  </si>
  <si>
    <t>WBGene00227174</t>
  </si>
  <si>
    <t>IPR005069/</t>
  </si>
  <si>
    <t>Nucleotide-diphospho-sugar_transferase/</t>
  </si>
  <si>
    <t>Nucl-diP-sugar_transferase/</t>
  </si>
  <si>
    <t>note=contains_similarity_to_Pfam_domain_PF03407_Nucleotide-diphospho-sugar_transferase_contains_similarity_to_Interpro_domain_IPR005069_(Nucleotide-diphospho-sugar_transferase)</t>
  </si>
  <si>
    <t>7209.EFO17716.1</t>
  </si>
  <si>
    <t>5.7e-232</t>
  </si>
  <si>
    <t>1KUBJ@119089,29G6G@1,2RPCK@2759,39WT6@33154,3BGSI@33208,3D3PJ@33213,40BAP@6231</t>
  </si>
  <si>
    <t>Nucleotide-diphospho-sugar transferase</t>
  </si>
  <si>
    <t>30,8642/47,3251</t>
  </si>
  <si>
    <t>29,8354/43,0041</t>
  </si>
  <si>
    <t>40,9465/45,2675</t>
  </si>
  <si>
    <t>45,0617/47,9424</t>
  </si>
  <si>
    <t>WBGene00013007/WBGene00013321</t>
  </si>
  <si>
    <t>45.0617/47.9424</t>
  </si>
  <si>
    <t>Bm6956</t>
  </si>
  <si>
    <t>WBGene00227217</t>
  </si>
  <si>
    <t>7209.EFO23557.2</t>
  </si>
  <si>
    <t>9.9e-113</t>
  </si>
  <si>
    <t>412.9</t>
  </si>
  <si>
    <t>1KXBY@119089,2CI2J@1,2SDPP@2759,3ADVH@33154,3BVW9@33208,3DCMW@33213,40F9U@6231</t>
  </si>
  <si>
    <t>Bm6989</t>
  </si>
  <si>
    <t>WBGene00227250</t>
  </si>
  <si>
    <t>GO:0003779/GO:0005515/</t>
  </si>
  <si>
    <t>actin_binding/protein_binding/</t>
  </si>
  <si>
    <t>Interacting_selectively_and_non-covalently_with_any_protein_or_protein_complex_(a_complex_of_two_or_more_proteins_that_may_include_other_nonprotein_molecules)._[GOC:go_curators]/"Interacting_selectively_and_non-covalently_with_monomeric_or_multimeric_forms_of_actin,_including_actin_filaments."_[GOC:clt]/</t>
  </si>
  <si>
    <t>IPR001298/IPR001589/IPR001715/IPR013783/IPR014756/IPR017868/IPR036872/</t>
  </si>
  <si>
    <t>Actinin-type_actin-binding_domain,_conserved_site/CH_domain_superfamily/Calponin_homology_domain/Filamin/ABP280_repeat/Filamin/ABP280_repeat-like/Immunoglobulin-like_fold/Immunoglobulin_E-set/</t>
  </si>
  <si>
    <t>Actinin_actin-bd_CS/CH-domain/CH_dom_sf/Filamin/ABP280_repeat-like/Filamin/ABP280_rpt/Ig-like_fold/Ig_E-set/</t>
  </si>
  <si>
    <t>note=B._malayi_BMA-FLN-1_protein,_contains_similarity_toPfam_domains_PF00630_(Filamin/ABP280_repeat),_PF00307(Calponin_homology_(CH)_domain)_contains_similarity_toInterpro_domains_IPR001298_(Filamin/ABP280_repeat),IPR014756_(Immunoglobulin_E-set),_IPR013783(Immunoglobulin-like_fold),_IPR001715_(Calponin_homologydomain),_IPR017868_(Filamin/ABP280_repeat-like),_IPR028559(Filamin_A/C)</t>
  </si>
  <si>
    <t>7209.EJD75266.1</t>
  </si>
  <si>
    <t>2793.1</t>
  </si>
  <si>
    <t>ko:K04437</t>
  </si>
  <si>
    <t>ko04010,ko04510,ko05132,ko05205,map04010,map04510,map05132,map05205</t>
  </si>
  <si>
    <t>ko00000,ko00001,ko04147,ko04812</t>
  </si>
  <si>
    <t>1KY6Y@119089,38DME@33154,3B9WI@33208,3CS2N@33213,40BJ7@6231,COG5069@1,KOG0518@2759</t>
  </si>
  <si>
    <t>Filamin-type immunoglobulin domains</t>
  </si>
  <si>
    <t>2,43619/3,36427/13,2251/7,42459/35,7309/36,0789/4,52436/10,9629/10,1508/7,36659/6,32251/3,13225/8,17865/10,6729/4,06032</t>
  </si>
  <si>
    <t>2,26218/13,3411/7,01856/35,6729/35,9049/4,35035/4,52436/10,4988/10,1508/7,36659/6,67053/3,82831/8,17865/3,59629</t>
  </si>
  <si>
    <t>2,90023/35,8469/34,8608/36,0209/9,86079/9,86079/7,25058/6,14849/8,93271/6,2645/5,39443/3,7703/9,91879/9,62877/3,48028/0,522042/3,30626/11,2529/3,36427/3,7703</t>
  </si>
  <si>
    <t>Bm7029</t>
  </si>
  <si>
    <t>WBGene00227290</t>
  </si>
  <si>
    <t>note=B._malayi_BMA-LGC-46_protein,_contains_similarity_to_Pfam_domains_PF02931_(Neurotransmitter-gated_ion-channel_ligand_binding_domain),_PF02932_(Neurotransmitter-gated_ion-channel_transmembrane_region)_contains_similarity_to_Interpro_domains_IPR006028_(Gamma-aminobutyric_acid_A_receptor/Glycine_receptor_alpha),_IPR006201_(Neurotransmitter-gated_ion-channel),_IPR006202_(Neurotransmitter-gated_ion-channel_ligand-binding_domain),_IPR006029_(Neurotransmitter-gated_ion-channel_transmembrane_domain)</t>
  </si>
  <si>
    <t>135651.CBN30881</t>
  </si>
  <si>
    <t>1.8e-183</t>
  </si>
  <si>
    <t>649.0</t>
  </si>
  <si>
    <t>1M3CN@119089,39XWV@33154,3BBDD@33208,3D5PI@33213,40BC6@6231,40ZZG@6236,KOG3644@1,KOG3644@2759</t>
  </si>
  <si>
    <t>the ligand-gated ion channel</t>
  </si>
  <si>
    <t>33,8951/30,3371</t>
  </si>
  <si>
    <t>32,9588/47,191</t>
  </si>
  <si>
    <t>WBGene00022106</t>
  </si>
  <si>
    <t>61.6105</t>
  </si>
  <si>
    <t>Bm7147</t>
  </si>
  <si>
    <t>WBGene00227408</t>
  </si>
  <si>
    <t>IPR002159/</t>
  </si>
  <si>
    <t>CD36_family/</t>
  </si>
  <si>
    <t>CD36_fam/</t>
  </si>
  <si>
    <t>note=B._malayi_BMA-SCAV-2_protein,_contains_similarity_to_Pfam_domain_PF01130_CD36_family_contains_similarity_to_Interpro_domain_IPR002159_(CD36_antigen)</t>
  </si>
  <si>
    <t>7209.EJD75031.1</t>
  </si>
  <si>
    <t>9.8e-246</t>
  </si>
  <si>
    <t>855.9</t>
  </si>
  <si>
    <t>ko:K12384</t>
  </si>
  <si>
    <t>ko04142,map04142</t>
  </si>
  <si>
    <t>1KUW2@119089,38CP8@33154,3BAAR@33208,3CTH3@33213,40CIE@6231,KOG3776@1,KOG3776@2759</t>
  </si>
  <si>
    <t>Belongs to the CD36 family</t>
  </si>
  <si>
    <t>33,4608/31,5488/33,2696</t>
  </si>
  <si>
    <t>WBGene00013578</t>
  </si>
  <si>
    <t>32.5048</t>
  </si>
  <si>
    <t>Bm7168</t>
  </si>
  <si>
    <t>WBGene00227429</t>
  </si>
  <si>
    <t>IPR008532/IPR021846/</t>
  </si>
  <si>
    <t>NFACT,_RNA-binding_domain/NFACT_protein,_C-terminal/</t>
  </si>
  <si>
    <t>NFACT-C/NFACT_RNA-bd/</t>
  </si>
  <si>
    <t>note=contains_similarity_to_Pfam_domains_PF05833_(Fibronectin-binding_protein_A_N-terminus_(FbpA)),_PF11923_(Domain_of_unknown_function_(DUF3441)),_PF05670_(Domain_of_unknown_function_(DUF814))_contains_similarity_to_Interpro_domains_IPR008532_(Domain_of_unknown_function_DUF814),_IPR021846_(Protein_of_unknown_function_DUF3441)</t>
  </si>
  <si>
    <t>7209.EJD74501.1</t>
  </si>
  <si>
    <t>1568.9</t>
  </si>
  <si>
    <t>1KV5X@119089,38HSA@33154,3BEMP@33208,3CWJJ@33213,40AZT@6231,COG1293@1,KOG1456@1,KOG1456@2759,KOG2030@2759</t>
  </si>
  <si>
    <t>Domain of unknown function (DUF3441)</t>
  </si>
  <si>
    <t>18,585/58,9229</t>
  </si>
  <si>
    <t>29,8838/30,9398</t>
  </si>
  <si>
    <t>37,8036/32,3126</t>
  </si>
  <si>
    <t>26,0824/11,1932</t>
  </si>
  <si>
    <t>28,2999/8,23654</t>
  </si>
  <si>
    <t>34,2133/36,0084</t>
  </si>
  <si>
    <t>WBGene00022350</t>
  </si>
  <si>
    <t>42.1331</t>
  </si>
  <si>
    <t>Bm7299</t>
  </si>
  <si>
    <t>WBGene00227560</t>
  </si>
  <si>
    <t>GO:0000290/GO:0000340/GO:0004780/GO:0005634/GO:0005737/GO:0006401/GO:0006402/GO:0006790/GO:0009150/GO:0009408/GO:0016787/GO:0047627/GO:0050072/</t>
  </si>
  <si>
    <t>RNA_7-methylguanosine_cap_binding/RNA_catabolic_process/adenylylsulfatase_activity/cytoplasm/deadenylation-dependent_decapping_of_nuclear-transcribed_mRNA/hydrolase_activity/m7G(5')pppN_diphosphatase_activity/mRNA_catabolic_process/nucleus/purine_ribonucleotide_metabolic_process/response_to_heat/sulfate_adenylyltransferase_(ADP)_activity/sulfur_compound_metabolic_proces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</si>
  <si>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ll_of_the_contents_of_a_cell_excluding_the_plasma_membrane_and_nucleus,_but_including_other_subcellular_structures."_[ISBN:0198547684]/"Any_process_that_results_in_a_change_in_state_or_activity_of_a_cell_or_an_organism_(in_terms_of_movement,_secretion,_enzyme_production,_gene_expression,_etc.)_as_a_result_of_a_heat_stimulus,_a_temperature_stimulus_above_the_optimal_temperature_for_that_organism."_[GOC:lr]/"Catalysis_of_the_hydrolysis_of_various_bonds,_e.g._C-O,_C-N,_C-C,_phosphoric_anhydride_bonds,_etc._Hydrolase_is_the_systematic_name_for_any_enzyme_of_EC_class_3."_[ISBN:0198506732]/"Catalysis_of_the_reaction:_5'-adenylyl_sulfate_+_H(2)O_=_AMP_+_2_H(+)_+_sulfate."_[EC:3.6.2.1,_RHEA:17041]/"Catalysis_of_the_reaction:_7-methylguanosine_5'-triphospho-5'-polynucleotide_+_H2O_=_7-methylguanosine_5'-phosphate_+_polynucleotide."_[EC:3.6.1.30,_MetaCyc:M7G5PPPN-PYROPHOSPHATASE-RXN]/"Catalysis_of_the_reaction:_ADP_+_H(+)_+_sulfate_=_5'-adenylyl_sulfate_+_phosphate."_[EC:2.7.7.5,_RHEA:16529]/"Cleavage_of_the_5'-cap_of_a_nuclear_mRNA_triggered_by_shortening_of_the_poly(A)_tail_to_below_a_minimum_functional_length."_[GOC:krc]/"Interacting_selectively_and_non-covalently_with_the_7-methylguanosine_group_added_cotranscriptionally_to_the_5'_end_of_RNA_molecules_transcribed_by_polymerase_II."_[GOC:krc]/"The_chemical_reactions_and_pathways_involving_a_purine_ribonucleotide,_a_compound_consisting_of_ribonucleoside_(a_purine_base_linked_to_a_ribose_sugar)_esterified_with_a_phosphate_group_at_either_the_3'_or_5'-hydroxyl_group_of_the_sugar."_[GOC:go_curators,_ISBN:0198506732]/"The_chemical_reactions_and_pathways_involving_the_nonmetallic_element_sulfur_or_compounds_that_contain_sulfur,_such_as_the_amino_acids_methionine_and_cysteine_or_the_tripeptide_glutathione."_[GOC:ai]/"The_chemical_reactions_and_pathways_resulting_in_the_breakdown_of_RNA,_ribonucleic_acid,_one_of_the_two_main_type_of_nucleic_acid,_consisting_of_a_long,_unbranched_macromolecule_formed_from_ribonucleotides_joined_in_3',5'-phosphodiester_linkage."_[ISBN:0198506732]/"The_chemical_reactions_and_pathways_resulting_in_the_breakdown_of_mRNA,_messenger_RNA,_which_is_responsible_for_carrying_the_coded_genetic_'message',_transcribed_from_DNA,_to_sites_of_protein_assembly_at_the_ribosomes."_[ISBN:0198506732]/</t>
  </si>
  <si>
    <t>IPR008594/IPR011145/IPR036265/</t>
  </si>
  <si>
    <t>HIT-like_superfamily/Scavenger_mRNA_decapping_enzyme,_N-terminal/Scavenger_mRNA_decapping_enzyme_DcpS/DCS2/</t>
  </si>
  <si>
    <t>DcpS/DCS2/HIT-like_sf/Scavenger_mRNA_decap_enz_N/</t>
  </si>
  <si>
    <t>note=B._malayi_BMA-DCS-1_protein,_contains_similarity_toInterpro_domain_IPR011146_(HIT-like_domain)</t>
  </si>
  <si>
    <t>7209.EFO18618.1</t>
  </si>
  <si>
    <t>4.2e-143</t>
  </si>
  <si>
    <t>514.2</t>
  </si>
  <si>
    <t>GO:0000288,GO:0000339,GO:0000340,GO:0000956,GO:0003674,GO:0003676,GO:0003723,GO:0003824,GO:0004779,GO:0004780,GO:0005488,GO:0005575,GO:0005622,GO:0005623,GO:0005634,GO:0005737,GO:0006139,GO:0006163,GO:0006401,GO:0006402,GO:0006725,GO:0006753,GO:0006790,GO:0006793,GO:0006796,GO:0006807,GO:0006950,GO:0008150,GO:0008152,GO:0009056,GO:0009057,GO:0009117,GO:0009150,GO:0009259,GO:0009266,GO:0009408,GO:0009628,GO:0009892,GO:0009987,GO:0010468,GO:0010605,GO:0010629,GO:0016070,GO:0016071,GO:0016462,GO:0016740,GO:0016772,GO:0016779,GO:0016787,GO:0016817,GO:0016818,GO:0016819,GO:0019222,GO:0019439,GO:0019637,GO:0019693,GO:0034641,GO:0034655,GO:0043170,GO:0043226,GO:0043227,GO:0043229,GO:0043231,GO:0044237,GO:0044238,GO:0044248,GO:0044260,GO:0044265,GO:0044270,GO:0044281,GO:0044424,GO:0044464,GO:0046483,GO:0046700,GO:0047627,GO:0048519,GO:0050072,GO:0050789,GO:0050896,GO:0055086,GO:0060255,GO:0065007,GO:0070566,GO:0071704,GO:0072521,GO:0090304,GO:0097159,GO:1901135,GO:1901360,GO:1901361,GO:1901363,GO:1901564,GO:1901575</t>
  </si>
  <si>
    <t>3.6.1.59</t>
  </si>
  <si>
    <t>ko:K12584</t>
  </si>
  <si>
    <t>R04368</t>
  </si>
  <si>
    <t>RC00002</t>
  </si>
  <si>
    <t>ko00000,ko00001,ko01000,ko03019</t>
  </si>
  <si>
    <t>1KYIC@119089,38BBX@33154,3BJYT@33208,3D2TE@33213,40EIT@6231,COG5075@1,KOG3969@2759</t>
  </si>
  <si>
    <t>Scavenger mRNA decapping enzyme (DcpS) N-terminal</t>
  </si>
  <si>
    <t>36,7742/36,129</t>
  </si>
  <si>
    <t>30,9677/30,9677</t>
  </si>
  <si>
    <t>26,4516/25,8065</t>
  </si>
  <si>
    <t>WBGene00000940</t>
  </si>
  <si>
    <t>36.4516</t>
  </si>
  <si>
    <t>Bm7332</t>
  </si>
  <si>
    <t>WBGene00227593</t>
  </si>
  <si>
    <t>GO:0003854/GO:0006694/GO:0016020/GO:0016021/GO:0016491/GO:0016616/GO:0055114/</t>
  </si>
  <si>
    <t>3-beta-hydroxy-delta5-steroid_dehydrogenase_activity/integral_component_of_membrane/membrane/oxidation-reduction_process/oxidoreductase_activity/oxidoreductase_activity,_acting_on_the_CH-OH_group_of_donors,_NAD_or_NADP_as_acceptor/steroid_biosynthetic_process/</t>
  </si>
  <si>
    <t>A_lipid_bilayer_along_with_all_the_proteins_and_protein_complexes_embedded_in_it_an_attached_to_it._[GOC:dos,_GOC:mah,_ISBN:0815316194]/"A_metabolic_process_that_results_in_the_removal_or_addition_of_one_or_more_electrons_to_or_from_a_substance,_with_or_without_the_concomitant_removal_or_addition_of_a_proton_or_protons."_[GOC:dhl,_GOC:ecd,_GOC:jh2,_GOC:jid,_GOC:mlg,_GOC:rph]/"Catalysis_of_an_oxidation-reduction_(redox)_reaction,_a_reversible_chemical_reaction_in_which_the_oxidation_state_of_an_atom_or_atoms_within_a_molecule_is_altered._One_substrate_acts_as_a_hydrogen_or_electron_donor_and_becomes_oxidized,_while_the_other_acts_as_hydrogen_or_electron_acceptor_and_becomes_reduced."_[GOC:go_curators]/"Catalysis_of_an_oxidation-reduction_(redox)_reaction_in_which_a_CH-OH_group_acts_as_a_hydrogen_or_electron_donor_and_reduces_NAD+_or_NADP."_[EC:1.1.1.-,_GOC:ai]/"Catalysis_of_the_reaction:_a_3-beta-hydroxy-delta(5)-steroid_+_NAD+_=_a_3-oxo-delta(5)-steroid_+_NADH_+_H(+)."_[EC:1.1.1.145]/"The_chemical_reactions_and_pathways_resulting_in_the_formation_of_steroids,_compounds_with_a_1,2,cyclopentanoperhydrophenanthrene_nucleus;_includes_de_novo_formation_and_steroid_interconversion_by_modification."_[GOC:go_curators]/"The_component_of_a_membrane_consisting_of_the_gene_products_and_protein_complexes_having_at_least_some_part_of_their_peptide_sequence_embedded_in_the_hydrophobic_region_of_the_membrane."_[GOC:dos,_GOC:go_curators]/</t>
  </si>
  <si>
    <t>IPR002225/IPR036291/</t>
  </si>
  <si>
    <t>3-beta_hydroxysteroid_dehydrogenase/isomerase/NAD(P)-binding_domain_superfamily/</t>
  </si>
  <si>
    <t>3Beta_OHSteriod_DH/Estase/NAD(P)-bd_dom_sf/</t>
  </si>
  <si>
    <t>note=contains_similarity_to_Pfam_domain_PF01073_3-beta_hydroxysteroid_dehydrogenase/isomerase_family_contains_similarity_to_Interpro_domains_IPR002225_(3-beta_hydroxysteroid_dehydrogenase/isomerase),_IPR016040_(NAD(P)-binding_domain)</t>
  </si>
  <si>
    <t>7209.EFO19469.1</t>
  </si>
  <si>
    <t>2e-187</t>
  </si>
  <si>
    <t>661.8</t>
  </si>
  <si>
    <t>1KYX6@119089,399BX@33154,3BHI3@33208,3CWIK@33213,40G5Z@6231,COG0451@1,KOG1430@2759</t>
  </si>
  <si>
    <t>EI</t>
  </si>
  <si>
    <t>Belongs to the 3-beta-HSD family</t>
  </si>
  <si>
    <t>43,5115/41,7303</t>
  </si>
  <si>
    <t>27,9898/42,2392</t>
  </si>
  <si>
    <t>33,0789/30,5344</t>
  </si>
  <si>
    <t>15,2672/11,1959</t>
  </si>
  <si>
    <t>15,2672/15,2672/9,41476</t>
  </si>
  <si>
    <t>14,5038/16,285</t>
  </si>
  <si>
    <t>20,1018/20,3562/18,0662/27,9898</t>
  </si>
  <si>
    <t>20,3562/20,1018/20,1018/20,1018/20,1018/20,1018/12,4682/20,1018/18,0662/28,2443</t>
  </si>
  <si>
    <t>18,3206/17,5573/16,7939/29,0076</t>
  </si>
  <si>
    <t>11,1959/10,687/10,9415/11,7048</t>
  </si>
  <si>
    <t>WBGene00022498/WBGene00022616</t>
  </si>
  <si>
    <t>33.0789/30.5344</t>
  </si>
  <si>
    <t>Bm7343</t>
  </si>
  <si>
    <t>WBGene00227604</t>
  </si>
  <si>
    <t>GO:0003031/GO:0005216/GO:0005222/GO:0005223/GO:0005249/GO:0006811/GO:0006813/GO:0006935/GO:0007199/GO:0007602/GO:0007635/GO:0009454/GO:0010628/GO:0010754/GO:0016020/GO:0016021/GO:0019722/GO:0030425/GO:0030516/GO:0034703/GO:0040010/GO:0040040/GO:0042048/GO:0043052/GO:0045664/GO:0045944/GO:0048609/GO:0048812/GO:0050907/GO:0055085/GO:0055093/GO:0070482/GO:0071805/GO:0097543/GO:0097730/GO:0098655/</t>
  </si>
  <si>
    <t>G_protein-coupled_receptor_signaling_pathway_coupled_to_cGMP_nucleotide_second_messenger/aerotaxis/calcium-mediated_signaling/cation_channel_complex/cation_transmembrane_transport/chemosensory_behavior/chemotaxis/ciliary_inversin_compartment/dendrite/detection_of_carbon_dioxide/detection_of_chemical_stimulus_involved_in_sensory_perception/integral_component_of_membrane/intracellular_cAMP-activated_cation_channel_activity/intracellular_cGMP-activated_cation_channel_activity/ion_channel_activity/ion_transport/membrane/multicellular_organismal_reproductive_process/negative_regulation_of_cGMP-mediated_signaling/neuron_projection_morphogenesis/non-motile_cilium/olfactory_behavior/phototransduction/positive_regulation_of_gene_expression/positive_regulation_of_growth_rate/positive_regulation_of_transcription_by_RNA_polymerase_II/potassium_ion_transmembrane_transport/potassium_ion_transport/regulation_of_axon_extension/regulation_of_neuron_differentiation/response_to_hyperoxia/response_to_oxygen_levels/thermosensory_behavior/thermotaxis/transmembrane_transport/voltage-gated_potassium_channel_activity/</t>
  </si>
  <si>
    <t>A_cilium_which_may_have_a_variable_array_of_axonemal_microtubules_but_does_not_contain_molecular_motors._[GOC:cilia,_GOC:dgh,_GOC:kmv,_PMID:17009929,_PMID:20144998,_PMID:22118931]/"A_lipid_bilayer_along_with_all_the_proteins_and_protein_complexes_embedded_in_it_an_attached_to_it."_[GOC:dos,_GOC:mah,_ISBN:0815316194]/"A_neuron_projection_that_has_a_short,_tapering,_morphology._Dendrites_receive_and_integrate_signals_from_other_neurons_or_from_sensory_stimuli,_and_conduct_nerve_impulses_towards_the_axon_or_the_cell_body._In_most_neurons,_the_impulse_is_conveyed_from_dendrites_to_axon_via_the_cell_body,_but_in_some_types_of_unipolar_neuron,_the_impulse_does_not_travel_via_the_cell_body."_[GOC:aruk,_GOC:bc,_GOC:dos,_GOC:mah,_GOC:nln,_ISBN:0198506732]/"A_process_in_which_a_potassium_ion_is_transported_from_one_side_of_a_membrane_to_the_other."_[GOC:mah]/"An_ion_channel_complex_through_which_cations_pass."_[GOC:mah]/"Any_intracellular_signal_transduction_in_which_the_signal_is_passed_on_within_the_cell_via_calcium_ions."_[GOC:signaling]/"Any_process_that_activates_or_increases_the_frequency,_rate_or_extent_of_transcription_from_an_RNA_polymerase_II_promoter."_[GOC:go_curators,_GOC:txnOH]/"Any_process_that_decreases_the_rate,_frequency_or_extent_of_cGMP-mediated_signaling._cGMP-mediated_signaling_is_a_series_of_molecular_signals_in_which_a_cell_uses_cyclic_GMP_to_convert_an_extracellular_signal_into_a_response."_[GOC:BHF,_GOC:dph,_GOC:tb]/"Any_process_that_increases_the_frequency,_rate_or_extent_of_gene_expression._Gene_expression_is_the_process_in_which_a_gene's_coding_sequence_is_converted_into_a_mature_gene_product_or_products_(proteins_or_RNA)._This_includes_the_production_of_an_RNA_transcript_as_well_as_any_processing_to_produce_a_mature_RNA_product_or_an_mRNA_or_circRNA_(for_protein-coding_genes)_and_the_translation_of_that_mRNA_or_circRNA_into_protein._Protein_maturation_is_included_when_required_to_form_an_active_form_of_a_product_from_an_inactive_precursor_form."_[GOC:dph,_GOC:tb]/"Any_process_that_increases_the_rate_of_growth_of_all_or_part_of_an_organism."_[GOC:mah]/"Any_process_that_modulates_the_frequency,_rate_or_extent_of_neuron_differentiation."_[GOC:go_curators]/"Any_process_that_modulates_the_rate,_direction_or_extent_of_axon_extension."_[GOC:go_curators]/"Any_process_that_results_in_a_change_in_state_or_activity_of_a_cell_or_an_organism_(in_terms_of_movement,_secretion,_enzyme_production,_gene_expression,_etc.)_as_a_result_of_a_stimulus_indicating_increased_oxygen_tension."_[GOC:kmv]/"Any_process_that_results_in_a_change_in_state_or_activity_of_a_cell_or_an_organism_(in_terms_of_movement,_secretion,_enzyme_production,_gene_expression,_etc.)_as_a_result_of_a_stimulus_reflecting_the_presence,_absence,_or_concentration_of_oxygen."_[GOC:BHF,_GOC:mah]/"Behavior_that_is_dependent_upon_the_sensation_of_chemicals."_[GOC:go_curators]/"Behavior_that_is_dependent_upon_the_sensation_of_temperature."_[GOC:ems]/"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Enables_the_transmembrane_transfer_of_a_cation_by_a_channel_that_opens_when_intracellular_cAMP_has_been_bound_by_the_channel_complex_or_one_of_its_constituent_parts."_[GOC:mtg_transport]/"Enables_the_transmembrane_transfer_of_a_cation_by_a_channel_that_opens_when_intracellular_cGMP_has_been_bound_by_the_channel_complex_or_one_of_its_constituent_parts."_[GOC:mtg_transport]/"Enables_the_transmembrane_transfer_of_a_potassium_ion_by_a_voltage-gated_channel._A_voltage-gated_channel_is_a_channel_whose_open_state_is_dependent_on_the_voltage_across_the_membrane_in_which_it_is_embedded."_[GOC:mtg_transport,_ISBN:0815340729]/"Proximal_part_of_the_ciliary_shaft_to_which_the_inversin_protein_(also_called_Inv)_specifically_localizes._The_inversin_compartment_appears_to_have_a_different_protein_composition_than_the_rest_of_the_cilium,_although_there_is_no_structure_that_separates_it_form_the_distal_part_of_the_cilium."_[GOC:cilia,_PMID:19050042]/"The_behavior_of_an_organism_in_response_to_an_odor."_[GOC:jid,_GOC:pr]/"The_component_of_a_membrane_consisting_of_the_gene_products_and_protein_complexes_having_at_least_some_part_of_their_peptide_sequence_embedded_in_the_hydrophobic_region_of_the_membrane."_[GOC:dos,_GOC:go_curators]/"The_directed_movement_of_a_motile_cell_or_organism,_or_the_directed_growth_of_a_cell_guided_by_a_specific_chemical_concentration_gradient._Movement_may_be_towards_a_higher_concentration_(positive_chemotaxis)_or_towards_a_lower_concentration_(negative_chemotaxis)."_[ISBN:0198506732]/"The_directed_movement_of_a_motile_cell_or_organism_in_response_to_a_temperature_gradient._Movement_may_be_towards_either_a_higher_or_lower_temperature."_[GOC:cab1,_WB_REF:cgc467]/"The_directed_movement_of_a_motile_cell_or_organism_in_response_to_environmental_oxygen."_[GOC:jl,_ISBN:0192801023]/"The_directed_movement_of_charged_atoms_or_small_charged_molecules_into,_out_of_or_within_a_cell,_or_between_cells,_by_means_of_some_agent_such_as_a_transporter_or_pore."_[GOC:ai]/"The_directed_movement_of_potassium_ions_(K+)_into,_out_of_or_within_a_cell,_or_between_cells,_by_means_of_some_agent_such_as_a_transporter_or_pore."_[GOC:ai]/"The_process,_occurring_above_the_cellular_level,_that_is_pertinent_to_the_reproductive_function_of_a_multicellular_organism._This_includes_the_integrated_processes_at_the_level_of_tissues_and_organs."_[GOC:dph,_GOC:jid,_GOC:tb]/"The_process_in_which_a_cation_is_transported_across_a_membrane."_[GOC:dos,_GOC:vw]/"The_process_in_which_a_solute_is_transported_across_a_lipid_bilayer,_from_one_side_of_a_membrane_to_the_other."_[GOC:dph,_GOC:jid]/"The_process_in_which_the_anatomical_structures_of_a_neuron_projection_are_generated_and_organized._A_neuron_projection_is_any_process_extending_from_a_neural_cell,_such_as_axons_or_dendrites."_[GOC:mah]/"The_sequence_of_reactions_within_a_cell_required_to_convert_absorbed_photons_into_a_molecular_signal."_[GOC:go_curators]/"The_series_of_events_in_which_a_carbon_dioxide_stimulus_is_received_by_a_cell_and_converted_into_a_molecular_signal."_[GOC:mtg_cardio]/"The_series_of_events_in_which_a_chemical_stimulus_is_received_and_converted_into_a_molecular_signal_as_part_of_sensory_perception."_[GOC:ai,_GOC:dos]/"The_series_of_molecular_signals_generated_as_a_consequence_of_a_G_protein-coupled_receptor_binding_to_its_physiological_ligand,_followed_by_activation_of_guanylyl_cyclase_(GC)_activity_and_a_subsequent_increase_in_the_concentration_of_cyclic_GMP_(cGMP)."_[GOC:mah,_GOC:signaling,_ISBN:0815316194]/</t>
  </si>
  <si>
    <t>IPR000595/IPR003938/IPR005821/IPR014710/IPR018488/IPR018490/IPR032406/</t>
  </si>
  <si>
    <t>Cyclic_nucleotide-binding,_conserved_site/Cyclic_nucleotide-binding-like/Cyclic_nucleotide-binding_domain/Cyclic_nucleotide-gated_channel,_C-terminal_leucine_zipper_domain/Ion_transport_domain/Potassium_channel,_voltage-dependent,_EAG/ELK/ERG/RmlC-like_jelly_roll_fold/</t>
  </si>
  <si>
    <t>CLZ_dom/Ion_trans_dom/K_chnl_volt-dep_EAG/ELK/ERG/RmlC-like_jellyroll/cNMP-bd-like/cNMP-bd_CS/cNMP-bd_dom/</t>
  </si>
  <si>
    <t>note=B._malayi_BMA-TAX-4_protein,_contains_similarity_toPfam_domains_PF00027_(Cyclic_nucleotide-binding_domain),PF00520_(Ion_transport_protein)_contains_similarity_toInterpro_domains_IPR018490_(Cyclicnucleotide-binding-like),_IPR005821_(Ion_transportdomain),_IPR000595_(Cyclic_nucleotide-binding_domain),IPR003938_(Potassium_channel,_voltage-dependent,EAG/ELK/ERG),_IPR014710_(RmlC-like_jelly_roll_fold)</t>
  </si>
  <si>
    <t>7209.EFO25532.1</t>
  </si>
  <si>
    <t>7e-281</t>
  </si>
  <si>
    <t>973.0</t>
  </si>
  <si>
    <t>GO:0000003,GO:0000166,GO:0000902,GO:0001558,GO:0003008,GO:0003031,GO:0003674,GO:0005215,GO:0005216,GO:0005217,GO:0005221,GO:0005222,GO:0005223,GO:0005261,GO:0005488,GO:0005575,GO:0005623,GO:0005929,GO:0006355,GO:0006357,GO:0006810,GO:0006811,GO:0006812,GO:0006935,GO:0006950,GO:0007154,GO:0007165,GO:0007186,GO:0007187,GO:0007199,GO:0007275,GO:0007399,GO:0007600,GO:0007602,GO:0007606,GO:0007610,GO:0007635,GO:0008150,GO:0008324,GO:0008361,GO:0009266,GO:0009314,GO:0009416,GO:0009453,GO:0009454,GO:0009581,GO:0009582,GO:0009583,GO:0009593,GO:0009605,GO:0009628,GO:0009653,GO:0009889,GO:0009891,GO:0009893,GO:0009966,GO:0009968,GO:0009987,GO:0010468,GO:0010556,GO:0010557,GO:0010604,GO:0010628,GO:0010646,GO:0010648,GO:0010752,GO:0010754,GO:0010769,GO:0010975,GO:0015075,GO:0015267,GO:0015276,GO:0015318,GO:0016020,GO:0016021,GO:0016043,GO:0017076,GO:0019001,GO:0019219,GO:0019222,GO:0019722,GO:0019932,GO:0022008,GO:0022414,GO:0022603,GO:0022604,GO:0022803,GO:0022834,GO:0022836,GO:0022838,GO:0022839,GO:0022857,GO:0022890,GO:0023051,GO:0023052,GO:0023057,GO:0030030,GO:0030154,GO:0030182,GO:0030425,GO:0030516,GO:0030551,GO:0030553,GO:0031175,GO:0031224,GO:0031323,GO:0031325,GO:0031326,GO:0031328,GO:0031344,GO:0032501,GO:0032502,GO:0032504,GO:0032535,GO:0032553,GO:0032555,GO:0032561,GO:0032989,GO:0032990,GO:0032991,GO:0034220,GO:0034702,GO:0034703,GO:0035556,GO:0036094,GO:0036296,GO:0036477,GO:0040008,GO:0040009,GO:0040010,GO:0040011,GO:0040040,GO:0042048,GO:0042221,GO:0042330,GO:0042995,GO:0043005,GO:0043052,GO:0043167,GO:0043168,GO:0043226,GO:0043855,GO:0044422,GO:0044425,GO:0044441,GO:0044463,GO:0044464,GO:0045595,GO:0045664,GO:0045893,GO:0045927,GO:0045935,GO:0045944,GO:0048468,GO:0048518,GO:0048519,GO:0048522,GO:0048523,GO:0048583,GO:0048585,GO:0048609,GO:0048638,GO:0048666,GO:0048699,GO:0048731,GO:0048812,GO:0048856,GO:0048858,GO:0048869,GO:0050767,GO:0050770,GO:0050789,GO:0050793,GO:0050794,GO:0050877,GO:0050896,GO:0050906,GO:0050907,GO:0051128,GO:0051171,GO:0051173,GO:0051179,GO:0051234,GO:0051239,GO:0051252,GO:0051254,GO:0051606,GO:0051716,GO:0051960,GO:0055085,GO:0055093,GO:0060255,GO:0060284,GO:0061387,GO:0065007,GO:0065008,GO:0070482,GO:0071840,GO:0080090,GO:0090066,GO:0097159,GO:0097367,GO:0097447,GO:0097458,GO:0097543,GO:0097730,GO:0098655,GO:0098796,GO:0099094,GO:0120025,GO:0120035,GO:0120036,GO:0120038,GO:0120039,GO:1901265,GO:1901363,GO:1902495,GO:1902531,GO:1902532,GO:1902680,GO:1903506,GO:1903508,GO:1990351,GO:2000026,GO:2000112,GO:2001141</t>
  </si>
  <si>
    <t>ko:K04950</t>
  </si>
  <si>
    <t>ko04024,ko04740,map04024,map04740</t>
  </si>
  <si>
    <t>1.A.1.5.12,1.A.1.5.13,1.A.1.5.18,1.A.1.5.20</t>
  </si>
  <si>
    <t>1KU3N@119089,38CC1@33154,3BAEP@33208,3CUYQ@33213,40AZ1@6231,KOG0500@1,KOG0500@2759</t>
  </si>
  <si>
    <t>C-terminal leucine zipper domain of cyclic nucleotide-gated channels</t>
  </si>
  <si>
    <t>39,7882/26,6263</t>
  </si>
  <si>
    <t>27,8366/42,9652</t>
  </si>
  <si>
    <t>35,0983/40,2421</t>
  </si>
  <si>
    <t>47,3525/57,0348</t>
  </si>
  <si>
    <t>54,9168/50,0756</t>
  </si>
  <si>
    <t>44,9319/54,1604</t>
  </si>
  <si>
    <t>42,2088/54,0091</t>
  </si>
  <si>
    <t>52,9501/11,3464/54,9168/14,826/42,9652/28,2905</t>
  </si>
  <si>
    <t>41,9062/37,3676/24,357/24,6596/16,7927/21,3313/19,8185/18,003/17,2466/17,5492/17,7005/17,7005/16,3389</t>
  </si>
  <si>
    <t>42,2088/37,3676/22,5416/24,5083/17,0953/21,4826/19,9697/17,3979/17,2466/17,5492/17,5492/17,7005/16,6415</t>
  </si>
  <si>
    <t>41,4523/40,6959/24,9622/25,2647/36,7625/17,2466/24,357/20,2723/20,4236/18,1543/18,1543/17,7005/18,003/16,6415/17,2466/17,7005/9,98487/15,885/17,2466</t>
  </si>
  <si>
    <t>WBGene00006526</t>
  </si>
  <si>
    <t>55.6732</t>
  </si>
  <si>
    <t>Bm7361</t>
  </si>
  <si>
    <t>WBGene00227622</t>
  </si>
  <si>
    <t>note=contains_similarity_to_Pfam_domain_PF00046_Homeoboxdomain_contains_similarity_to_Interpro_domains_IPR001356(Homeobox_domain),_IPR009057_(Homeodomain-like)</t>
  </si>
  <si>
    <t>7209.EJD74952.1</t>
  </si>
  <si>
    <t>1e-53</t>
  </si>
  <si>
    <t>216.1</t>
  </si>
  <si>
    <t>ko:K09372</t>
  </si>
  <si>
    <t>1KZH2@119089,39EEG@33154,3B9QY@33208,3CRVM@33213,40E08@6231,KOG0490@1,KOG0490@2759</t>
  </si>
  <si>
    <t>No_WB-ID</t>
  </si>
  <si>
    <t>Bm7362</t>
  </si>
  <si>
    <t>WBGene00227623</t>
  </si>
  <si>
    <t>GO:0000413/GO:0003755/</t>
  </si>
  <si>
    <t>peptidyl-prolyl_cis-trans_isomerase_activity/protein_peptidyl-prolyl_isomerization/</t>
  </si>
  <si>
    <t>Catalysis_of_the_reaction:_peptidyl-proline_(omega=180)_=_peptidyl-proline_(omega=0)._[EC:5.2.1.8]/"The_modification_of_a_protein_by_cis-trans_isomerization_of_a_proline_residue."_[GOC:krc,_PMID:16959570]/</t>
  </si>
  <si>
    <t>IPR024936/</t>
  </si>
  <si>
    <t>Cyclophilin-type_peptidyl-prolyl_cis-trans_isomerase/</t>
  </si>
  <si>
    <t>Cyclophilin-type_PPIase/</t>
  </si>
  <si>
    <t>note=B._malayi_BMA-CYN-17_protein</t>
  </si>
  <si>
    <t>31234.CRE30817</t>
  </si>
  <si>
    <t>5.9e-50</t>
  </si>
  <si>
    <t>204.9</t>
  </si>
  <si>
    <t>1KZSY@119089,3ARA3@33154,3C20J@33208,3DIFC@33213,40GPX@6231,40Z46@6236,COG0652@1,KOG0865@2759</t>
  </si>
  <si>
    <t>peptidyl-prolyl cis-trans isomerase activity</t>
  </si>
  <si>
    <t>WBGene00000893</t>
  </si>
  <si>
    <t>31.4706</t>
  </si>
  <si>
    <t>Bm7386</t>
  </si>
  <si>
    <t>WBGene00227647</t>
  </si>
  <si>
    <t>GO:0002119/GO:0005277/GO:0006836/GO:0006855/GO:0006937/GO:0007271/GO:0008021/GO:0015238/GO:0015695/GO:0015893/GO:0016020/GO:0016021/GO:0031090/GO:0040012/GO:0043005/GO:0043051/GO:0045202/GO:0046928/GO:0055085/GO:0060076/GO:0072488/GO:1901374/</t>
  </si>
  <si>
    <t>acetate_ester_transport/acetylcholine_transmembrane_transporter_activity/ammonium_transmembrane_transport/drug_transmembrane_transport/drug_transmembrane_transporter_activity/drug_transport/excitatory_synapse/integral_component_of_membrane/membrane/nematode_larval_development/neuron_projection/neurotransmitter_transport/organelle_membrane/organic_cation_transport/regulation_of_locomotion/regulation_of_muscle_contraction/regulation_of_neurotransmitter_secretion/regulation_of_pharyngeal_pumping/synapse/synaptic_transmission,_cholinergic/synaptic_vesicle/transmembrane_transport/</t>
  </si>
  <si>
    <t>A_lipid_bilayer_along_with_all_the_proteins_and_protein_complexes_embedded_in_it_an_attached_to_it._[GOC:dos,_GOC:mah,_ISBN:0815316194]/"A_membrane_that_is_one_of_the_two_lipid_bilayers_of_an_organelle_envelope_or_the_outermost_membrane_of_single_membrane_bound_organelle."_[GOC:dos,_GOC:mah]/"A_prolongation_or_process_extending_from_a_nerve_cell,_e.g._an_axon_or_dendrite."_[GOC:jl,_http://www.cogsci.princeton.edu/~wn/]/"A_secretory_organelle,_typically_50_nm_in_diameter,_of_presynaptic_nerve_terminals;_accumulates_in_high_concentrations_of_neurotransmitters_and_secretes_these_into_the_synaptic_cleft_by_fusion_with_the_'active_zone'_of_the_presynaptic_plasma_membrane."_[PMID:10099709,_PMID:12563290]/"A_synapse_in_which_an_action_potential_in_the_presynaptic_cell_increases_the_probability_of_an_action_potential_occurring_in_the_postsynaptic_cell."_[GOC:dph,_GOC:ef]/"Any_process_that_modulates_the_contraction_and_relaxation_movements_of_the_pharyngeal_muscle_that_mediates_feeding_in_nematodes."_[GOC:cab1,_PMID:2181052]/"Any_process_that_modulates_the_frequency,_rate_or_extent_of_locomotion_of_a_cell_or_organism."_[GOC:ems]/"Any_process_that_modulates_the_frequency,_rate_or_extent_of_muscle_contraction."_[GOC:go_curators]/"Any_process_that_modulates_the_frequency,_rate_or_extent_of_the_regulated_release_of_a_neurotransmitter_from_a_cell."_[GOC:ai]/"Enables_the_transfer_of_a_drug_from_one_side_of_a_membrane_to_the_other._A_drug_is_any_naturally_occurring_or_synthetic_substance,_other_than_a_nutrient,_that,_when_administered_or_applied_to_an_organism,_affects_the_structure_or_functioning_of_the_organism;_in_particular,_any_such_substance_used_in_the_diagnosis,_prevention,_or_treatment_of_disease."_[ISBN:0198506732]/"Enables_the_transfer_of_acetylcholine_from_one_side_of_a_membrane_to_the_other._Acetylcholine_is_an_acetic_acid_ester_of_the_organic_base_choline_and_functions_as_a_neurotransmitter,_released_at_the_synapses_of_parasympathetic_nerves_and_at_neuromuscular_junctions."_[GOC:ai]/"The_component_of_a_membrane_consisting_of_the_gene_products_and_protein_complexes_having_at_least_some_part_of_their_peptide_sequence_embedded_in_the_hydrophobic_region_of_the_membrane."_[GOC:dos,_GOC:go_curators]/"The_directed_movement_of_a_drug,_a_substance_used_in_the_diagnosis,_treatment_or_prevention_of_a_disease,_into,_out_of_or_within_a_cell,_or_between_cells,_by_means_of_some_agent_such_as_a_transporter_or_pore."_[GOC:ai]/"The_directed_movement_of_a_neurotransmitter_into,_out_of_or_within_a_cell,_or_between_cells,_by_means_of_some_agent_such_as_a_transporter_or_pore._Neurotransmitters_are_any_chemical_substance_that_is_capable_of_transmitting_(or_inhibiting_the_transmission_of)_a_nerve_impulse_from_a_neuron_to_another_cell."_[GOC:ai]/"The_directed_movement_of_an_acetate_ester_into,_out_of_or_within_a_cell,_or_between_cells,_by_means_of_some_agent_such_as_a_transporter_or_pore."_[GOC:TermGenie]/"The_directed_movement_of_organic_cations_into,_out_of_or_within_a_cell,_or_between_cells,_by_means_of_some_agent_such_as_a_transporter_or_pore._Organic_cations_are_atoms_or_small_molecules_with_a_positive_charge_which_contain_carbon_in_covalent_linkage."_[GOC:ai]/"The_junction_between_a_nerve_fiber_of_one_neuron_and_another_neuron,_muscle_fiber_or_glial_cell._As_the_nerve_fiber_approaches_the_synapse_it_enlarges_into_a_specialized_structure,_the_presynaptic_nerve_ending,_which_contains_mitochondria_and_synaptic_vesicles._At_the_tip_of_the_nerve_ending_is_the_presynaptic_membrane;_facing_it,_and_separated_from_it_by_a_minute_cleft_(the_synaptic_cleft)_is_a_specialized_area_of_membrane_on_the_receiving_cell,_known_as_the_postsynaptic_membrane._In_response_to_the_arrival_of_nerve_impulses,_the_presynaptic_nerve_ending_secretes_molecules_of_neurotransmitters_into_the_synaptic_cleft._These_diffuse_across_the_cleft_and_transmit_the_signal_to_the_postsynaptic_membrane."_[ISBN:0198506732]/"The_process_in_which_a_drug_is_transported_across_a_membrane."_[GOC:ai,_GOC:bf]/"The_process_in_which_a_solute_is_transported_across_a_lipid_bilayer,_from_one_side_of_a_membrane_to_the_other."_[GOC:dph,_GOC:jid]/"The_process_in_which_ammonium_is_transported_across_a_membrane._Ammonium_is_the_cation_NH4+."_[GOC:mah]/"The_process_whose_specific_outcome_is_the_progression_of_the_nematode_larva_over_time,_from_its_formation_to_the_mature_structure._Nematode_larval_development_begins_with_the_newly_hatched_first-stage_larva_(L1)_and_ends_with_the_end_of_the_last_larval_stage_(for_example_the_fourth_larval_stage_(L4)_in_C._elegans)._Each_stage_of_nematode_larval_development_is_characterized_by_proliferation_of_specific_cell_lineages_and_an_increase_in_body_size_without_alteration_of_the_basic_body_plan._Nematode_larval_stages_are_separated_by_molts_in_which_each_stage-specific_exoskeleton,_or_cuticle,_is_shed_and_replaced_anew."_[GOC:ems,_GOC:kmv]/"The_vesicular_release_of_acetylcholine_from_a_presynapse,_across_a_chemical_synapse,_the_subsequent_activation_of_dopamine_receptors_at_the_postsynapse_of_a_target_cell_(neuron,_muscle,_or_secretory_cell)_and_the_effects_of_this_activation_on_the_postsynaptic_membrane_potential_and_ionic_composition_of_the_postsynaptic_cytosol._This_process_encompasses_both_spontaneous_and_evoked_release_of_neurotransmitter_and_all_parts_of_synaptic_vesicle_exocytosis._Evoked_transmission_starts_with_the_arrival_of_an_action_potential_at_the_presynapse."_[GOC:dos,_Wikipedia:Cholinergic]/</t>
  </si>
  <si>
    <t>IPR004734/IPR011701/IPR020846/IPR036259/</t>
  </si>
  <si>
    <t>MFS_transporter_superfamily/Major_facilitator_superfamily/Major_facilitator_superfamily_domain/Multidrug_resistance_protein/</t>
  </si>
  <si>
    <t>MFS/MFS_dom/MFS_trans_sf/Multidrug-R/</t>
  </si>
  <si>
    <t>note=contains_similarity_to_Pfam_domain_PF07690_Major_Facilitator_Superfamily_contains_similarity_to_Interpro_domains_IPR004734_(Multidrug_resistance_protein),_IPR011701_(Major_facilitator_superfamily),_IPR020846_(Major_facilitator_superfamily_domain)</t>
  </si>
  <si>
    <t>7209.EFO17829.1</t>
  </si>
  <si>
    <t>7e-276</t>
  </si>
  <si>
    <t>956.1</t>
  </si>
  <si>
    <t>GO:0001505,GO:0002119,GO:0002164,GO:0003674,GO:0005215,GO:0005277,GO:0005326,GO:0005575,GO:0005622,GO:0005623,GO:0005737,GO:0005886,GO:0005887,GO:0006810,GO:0006811,GO:0006812,GO:0006836,GO:0006855,GO:0006937,GO:0007154,GO:0007267,GO:0007268,GO:0007271,GO:0007275,GO:0008021,GO:0008150,GO:0008324,GO:0008519,GO:0009791,GO:0009914,GO:0009987,GO:0010646,GO:0010817,GO:0012505,GO:0012506,GO:0015075,GO:0015101,GO:0015238,GO:0015695,GO:0015696,GO:0015870,GO:0015893,GO:0016020,GO:0016021,GO:0022857,GO:0023051,GO:0023052,GO:0030133,GO:0030285,GO:0030658,GO:0030659,GO:0030672,GO:0031090,GO:0031224,GO:0031226,GO:0031300,GO:0031301,GO:0031410,GO:0031982,GO:0032501,GO:0032502,GO:0032879,GO:0034220,GO:0040012,GO:0042221,GO:0042493,GO:0042995,GO:0043005,GO:0043051,GO:0043226,GO:0043227,GO:0043229,GO:0044057,GO:0044422,GO:0044424,GO:0044425,GO:0044433,GO:0044444,GO:0044446,GO:0044456,GO:0044459,GO:0044464,GO:0045202,GO:0046928,GO:0048856,GO:0050789,GO:0050794,GO:0050795,GO:0050804,GO:0050896,GO:0051046,GO:0051049,GO:0051179,GO:0051234,GO:0051239,GO:0051588,GO:0055085,GO:0060076,GO:0060259,GO:0060341,GO:0065007,GO:0065008,GO:0070382,GO:0071702,GO:0071705,GO:0071944,GO:0072488,GO:0090257,GO:0097458,GO:0097708,GO:0098563,GO:0098588,GO:0098655,GO:0098793,GO:0098805,GO:0098916,GO:0099177,GO:0099501,GO:0099503,GO:0099536,GO:0099537,GO:0120025,GO:1901374,GO:1901375,GO:1903530,GO:1903998</t>
  </si>
  <si>
    <t>ko:K14636</t>
  </si>
  <si>
    <t>ko04721,ko04725,map04721,map04725</t>
  </si>
  <si>
    <t>2.A.1.2.28</t>
  </si>
  <si>
    <t>1KUJ2@119089,39JDB@33154,3B9EU@33208,3CUEV@33213,40B7C@6231,KOG3764@1,KOG3764@2759</t>
  </si>
  <si>
    <t>Major Facilitator Superfamily</t>
  </si>
  <si>
    <t>10,2273/9,09091/9,2803/12,6894/10,4167</t>
  </si>
  <si>
    <t>WBGene00006756</t>
  </si>
  <si>
    <t>64.5833</t>
  </si>
  <si>
    <t>Bm7403</t>
  </si>
  <si>
    <t>WBGene00227664</t>
  </si>
  <si>
    <t>note=B._malayi_BMA-MGL-1_protein,_contains_similarity_toPfam_domains_PF01094_(Receptor_family_ligand_bindingregion),_PF00003_(7_transmembrane_sweet-taste_receptor_of3_GCPR)_contains_similarity_to_Interpro_domains_IPR028082(Periplasmic_binding_protein-like_I),_IPR000337_(GPCR,family_3),_IPR017978_(GPCR,_family_3,_C-terminal),IPR001828_(Extracellular_ligand-binding_receptor),IPR000162_(GPCR,_family_3,_metabotropic_glutamatereceptor)</t>
  </si>
  <si>
    <t>281687.CJA01076a</t>
  </si>
  <si>
    <t>1205.3</t>
  </si>
  <si>
    <t>GO:0008150,GO:0010883,GO:0010884,GO:0032879,GO:0048518,GO:0050789,GO:0065007,GO:0065008,GO:1905952,GO:1905954</t>
  </si>
  <si>
    <t>ko:K04605</t>
  </si>
  <si>
    <t>ko04072,ko04080,ko04724,ko05030,map04072,map04080,map04724,map05030</t>
  </si>
  <si>
    <t>1KYQ1@119089,38C5P@33154,3B9DN@33208,3CU4N@33213,40FHY@6231,40YNP@6236,KOG1056@1,KOG1056@2759</t>
  </si>
  <si>
    <t>Nine Cysteines Domain of family 3 GPCR</t>
  </si>
  <si>
    <t>57,3787/27,451</t>
  </si>
  <si>
    <t>9,28793/8,25593</t>
  </si>
  <si>
    <t>24,5614/46,646</t>
  </si>
  <si>
    <t>46,9556/58,7203/12,0743</t>
  </si>
  <si>
    <t>25,2838/17,8535</t>
  </si>
  <si>
    <t>WBGene00003232</t>
  </si>
  <si>
    <t>62.3323</t>
  </si>
  <si>
    <t>Bm7407</t>
  </si>
  <si>
    <t>WBGene00227668</t>
  </si>
  <si>
    <t>7209.EJD75831.1</t>
  </si>
  <si>
    <t>9e-141</t>
  </si>
  <si>
    <t>506.9</t>
  </si>
  <si>
    <t>GO:0000003,GO:0000900,GO:0000902,GO:0000904,GO:0001555,GO:0001556,GO:0001709,GO:0001932,GO:0001934,GO:0003006,GO:0003674,GO:0003676,GO:0003723,GO:0003729,GO:0003730,GO:0005488,GO:0005515,GO:0005575,GO:0005622,GO:0005623,GO:0005737,GO:0005813,GO:0005815,GO:0005856,GO:0006417,GO:0006996,GO:0006997,GO:0006998,GO:0007049,GO:0007275,GO:0007276,GO:0007281,GO:0007292,GO:0007517,GO:0008104,GO:0008150,GO:0009653,GO:0009889,GO:0009890,GO:0009892,GO:0009893,GO:0009966,GO:0009967,GO:0009987,GO:0009994,GO:0009996,GO:0010256,GO:0010453,GO:0010454,GO:0010468,GO:0010470,GO:0010556,GO:0010558,GO:0010562,GO:0010564,GO:0010604,GO:0010605,GO:0010608,GO:0010629,GO:0010646,GO:0010647,GO:0010720,GO:0010721,GO:0010948,GO:0015630,GO:0016043,GO:0016049,GO:0017091,GO:0017148,GO:0019220,GO:0019222,GO:0019953,GO:0021700,GO:0022402,GO:0022411,GO:0022412,GO:0022414,GO:0022603,GO:0023051,GO:0023056,GO:0030154,GO:0030371,GO:0030397,GO:0031323,GO:0031324,GO:0031325,GO:0031326,GO:0031327,GO:0031399,GO:0031401,GO:0031647,GO:0031648,GO:0032268,GO:0032269,GO:0032270,GO:0032501,GO:0032502,GO:0032504,GO:0032989,GO:0032991,GO:0033036,GO:0033365,GO:0033674,GO:0034248,GO:0034249,GO:0034502,GO:0034613,GO:0035239,GO:0035295,GO:0035770,GO:0035925,GO:0036464,GO:0040007,GO:0040019,GO:0042325,GO:0042327,GO:0042659,GO:0042661,GO:0042662,GO:0042663,GO:0042664,GO:0043085,GO:0043186,GO:0043226,GO:0043228,GO:0043229,GO:0043232,GO:0043282,GO:0043405,GO:0043406,GO:0043408,GO:0043410,GO:0043549,GO:0043900,GO:0043901,GO:0043902,GO:0044093,GO:0044422,GO:0044424,GO:0044430,GO:0044444,GO:0044446,GO:0044464,GO:0044703,GO:0045165,GO:0045167,GO:0045182,GO:0045495,GO:0045595,GO:0045596,GO:0045597,GO:0045786,GO:0045787,GO:0045859,GO:0045860,GO:0045937,GO:0045992,GO:0045995,GO:0048468,GO:0048469,GO:0048477,GO:0048513,GO:0048518,GO:0048519,GO:0048522,GO:0048523,GO:0048546,GO:0048565,GO:0048583,GO:0048584,GO:0048588,GO:0048589,GO:0048599,GO:0048601,GO:0048609,GO:0048731,GO:0048856,GO:0048869,GO:0050000,GO:0050789,GO:0050790,GO:0050793,GO:0050794,GO:0051078,GO:0051081,GO:0051093,GO:0051094,GO:0051147,GO:0051148,GO:0051150,GO:0051151,GO:0051171,GO:0051172,GO:0051173,GO:0051174,GO:0051179,GO:0051234,GO:0051239,GO:0051240,GO:0051241,GO:0051246,GO:0051247,GO:0051248,GO:0051303,GO:0051321,GO:0051338,GO:0051347,GO:0051445,GO:0051446,GO:0051447,GO:0051640,GO:0051641,GO:0051649,GO:0051656,GO:0051704,GO:0051726,GO:0055123,GO:0060255,GO:0060278,GO:0060280,GO:0060281,GO:0060282,GO:0060283,GO:0060284,GO:0060293,GO:0060465,GO:0061024,GO:0061031,GO:0061061,GO:0065007,GO:0065008,GO:0065009,GO:0070727,GO:0071168,GO:0071695,GO:0071840,GO:0071900,GO:0071902,GO:0080090,GO:0080154,GO:0090068,GO:0090079,GO:0097159,GO:1900193,GO:1900194,GO:1900195,GO:1901363,GO:1902531,GO:1902533,GO:1903046,GO:1903224,GO:1903225,GO:1903429,GO:1903430,GO:1903431,GO:1903538,GO:1904145,GO:1904146,GO:1905516,GO:1905770,GO:1905771,GO:1905879,GO:1905880,GO:1905881,GO:1905902,GO:1905903,GO:1990124,GO:1990904,GO:2000026,GO:2000027,GO:2000112,GO:2000113,GO:2000241,GO:2000242,GO:2000243,GO:2000380,GO:2000381,GO:2000542</t>
  </si>
  <si>
    <t>1KWI1@119089,3A9K1@33154,3BTKF@33208,3D9YI@33213,40E56@6231,COG5063@1,KOG1677@2759</t>
  </si>
  <si>
    <t>meiotic nuclear envelope disassembly</t>
  </si>
  <si>
    <t>17,1838/15,5131</t>
  </si>
  <si>
    <t>13,3652/15,7518/14,7971/14,7971/15,0358/18,6158</t>
  </si>
  <si>
    <t>22,673/22,673/24,105</t>
  </si>
  <si>
    <t>14,3198/13,1265</t>
  </si>
  <si>
    <t>13,8425/12,4105</t>
  </si>
  <si>
    <t>WBGene00003865/WBGene00003864/WBGene00003388</t>
  </si>
  <si>
    <t>22.673/22.673/24.105</t>
  </si>
  <si>
    <t>Gender_Neutral/Oogenic/Oogenic</t>
  </si>
  <si>
    <t>Bm7447</t>
  </si>
  <si>
    <t>WBGene00227708</t>
  </si>
  <si>
    <t>IPR015313/IPR036341/</t>
  </si>
  <si>
    <t>Her-1_superfamily/Protein_Her-1/</t>
  </si>
  <si>
    <t>Her-1/Her-1_sf/</t>
  </si>
  <si>
    <t>note=B._malayi_BMA-HER-1_protein,_contains_similarity_toPfam_domain_PF09232_Caenorhabditis_elegans_Her-1_containssimilarity_to_Interpro_domain_IPR015313_(Uncharacterisedprotein_family_Her-1)</t>
  </si>
  <si>
    <t>6238.CBG19345</t>
  </si>
  <si>
    <t>1.1e-15</t>
  </si>
  <si>
    <t>90.1</t>
  </si>
  <si>
    <t>GO:0000003,GO:0003006,GO:0003674,GO:0005102,GO:0005488,GO:0005515,GO:0005575,GO:0005576,GO:0007275,GO:0007530,GO:0008150,GO:0022414,GO:0030238,GO:0032501,GO:0032502,GO:0048856</t>
  </si>
  <si>
    <t>1M0F3@119089,2CJI7@1,2SXJG@2759,3ATKJ@33154,3C45J@33208,3DJF3@33213,40H54@6231,412RS@6236</t>
  </si>
  <si>
    <t>Caenorhabditis elegans Her-1</t>
  </si>
  <si>
    <t>27,8689/27,8689/26,2295/25,1366</t>
  </si>
  <si>
    <t>WBGene00001842</t>
  </si>
  <si>
    <t>25.1366</t>
  </si>
  <si>
    <t>Bm7479</t>
  </si>
  <si>
    <t>WBGene00227740</t>
  </si>
  <si>
    <t>IPR004367/IPR006671/IPR013763/IPR036915/IPR039361/</t>
  </si>
  <si>
    <t>Cyclin/Cyclin,_C-terminal_domain/Cyclin,_N-terminal/Cyclin-like/Cyclin-like_superfamily/</t>
  </si>
  <si>
    <t>Cyclin/Cyclin-like/Cyclin-like_sf/Cyclin_C-dom/Cyclin_N/</t>
  </si>
  <si>
    <t>note=B._malayi_BMA-CYA-1_protein,_contains_similarity_toPfam_domains_PF00134_(Cyclin,_N-terminal_domain),_PF02984(Cyclin,_C-terminal_domain)_contains_similarity_toInterpro_domains_IPR013763_(Cyclin-like),_IPR006671(Cyclin,_N-terminal),_IPR004367_(Cyclin,_C-terminaldomain)</t>
  </si>
  <si>
    <t>7209.EFO20352.1</t>
  </si>
  <si>
    <t>5.6e-225</t>
  </si>
  <si>
    <t>786.9</t>
  </si>
  <si>
    <t>GO:0000003,GO:0003674,GO:0005488,GO:0005515,GO:0007049,GO:0008150,GO:0009987,GO:0022414,GO:0051321</t>
  </si>
  <si>
    <t>ko:K06627</t>
  </si>
  <si>
    <t>ko04110,ko04152,ko04218,ko04914,ko05161,ko05165,ko05169,ko05203,map04110,map04152,map04218,map04914,map05161,map05165,map05169,map05203</t>
  </si>
  <si>
    <t>M00693</t>
  </si>
  <si>
    <t>ko00000,ko00001,ko00002,ko03032,ko03036</t>
  </si>
  <si>
    <t>1KZC9@119089,38E7Y@33154,3BCMY@33208,3CXZH@33213,40GJT@6231,COG5024@1,KOG0654@2759</t>
  </si>
  <si>
    <t>5,88235/7,77989/7,21063/6,64137/16,888</t>
  </si>
  <si>
    <t>13,093/7,96964/6,64137</t>
  </si>
  <si>
    <t>10,2467/8,15939/10,6262/10,4364/11,0057/8,5389/9,48767/8,91841/20,4934/11,9545/7,96964/20,3036</t>
  </si>
  <si>
    <t>8,15939/10,8159/10,0569/11,1954/8,34915/9,29791/8,72865/20,4934/7,77989/19,3548</t>
  </si>
  <si>
    <t>8,5389/8,72865/11,1954/11,3852/11,3852/9,29791/8,72865/20,6831/12,9032/7,40038/18,0266</t>
  </si>
  <si>
    <t>12,9032/12,1442/9,48767/8,72865/13,093/14,611</t>
  </si>
  <si>
    <t>WBGene00000864/WBGene00021040/WBGene00014069/WBGene00017259/WBGene00000863</t>
  </si>
  <si>
    <t>5.88235/7.77989/7.21063/6.64137/16.888</t>
  </si>
  <si>
    <t>Gender_Neutral/Gender_Neutral/Spermatogenic/Spermatogenic</t>
  </si>
  <si>
    <t>Bm7483</t>
  </si>
  <si>
    <t>WBGene00227744</t>
  </si>
  <si>
    <t>GO:0006972/GO:0008344/GO:0009612/GO:0010035/GO:0016020/GO:0016021/GO:0035249/GO:0043051/GO:0055085/GO:0061096/GO:1905852/</t>
  </si>
  <si>
    <t>adult_locomotory_behavior/hyperosmotic_response/integral_component_of_membrane/membrane/negative_regulation_of_turning_behavior_involved_in_mating/positive_regulation_of_backward_locomotion/regulation_of_pharyngeal_pumping/response_to_inorganic_substance/response_to_mechanical_stimulus/synaptic_transmission,_glutamatergic/transmembrane_transport/</t>
  </si>
  <si>
    <t>A_lipid_bilayer_along_with_all_the_proteins_and_protein_complexes_embedded_in_it_an_attached_to_it._[GOC:dos,_GOC:mah,_ISBN:0815316194]/"Any_process_that_activates_or_increases_the_frequency,_rate_or_extent_of_backward_locomotion."_[GO_REF:0000058,_GOC:TermGenie,_PMID:11717360]/"Any_process_that_decreases_the_rate,_frequency_or_extent_of_turning_behavior_involved_in_mating._Turning_behavior_is_the_sharp_ventral_turn_performed_by_the_male_as_he_approaches_either_the_hermaphrodite_head_or_tail,_whilst_trying_to_locate_his_partner's_vulva._Turning_occurs_via_a_sharp_ventral_coil_of_the_male's_tail."_[GOC:dph,_GOC:tb]/"Any_process_that_modulates_the_contraction_and_relaxation_movements_of_the_pharyngeal_muscle_that_mediates_feeding_in_nematodes."_[GOC:cab1,_PMID:2181052]/"Any_process_that_results_in_a_change_in_state_or_activity_of_a_cell_or_an_organism_(in_terms_of_movement,_secretion,_enzyme_production,_gene_expression,_etc.)_as_a_result_of_a_mechanical_stimulus."_[GOC:hb]/"Any_process_that_results_in_a_change_in_state_or_activity_of_a_cell_or_an_organism_(in_terms_of_movement,_secretion,_enzyme_production,_gene_expression,_etc.)_as_a_result_of_an_inorganic_substance_stimulus."_[GOC:sm]/"Any_process_that_results_in_a_change_in_state_or_activity_of_a_cell_or_an_organism_(in_terms_of_movement,_secretion,_enzyme_production,_gene_expression,_etc.)_as_a_result_of_detection_of,_or_exposure_to,_a_hyperosmotic_environment,_i.e._an_environment_with_a_higher_concentration_of_solutes_than_the_organism_or_cell."_[GOC:jl,_PMID:12142009]/"Locomotory_behavior_in_a_fully_developed_and_mature_organism."_[GOC:ai]/"The_component_of_a_membrane_consisting_of_the_gene_products_and_protein_complexes_having_at_least_some_part_of_their_peptide_sequence_embedded_in_the_hydrophobic_region_of_the_membrane."_[GOC:dos,_GOC:go_curators]/"The_process_in_which_a_solute_is_transported_across_a_lipid_bilayer,_from_one_side_of_a_membrane_to_the_other."_[GOC:dph,_GOC:jid]/"The_vesicular_release_of_glutamate_from_a_presynapse,_across_a_chemical_synapse,_the_subsequent_activation_of_glutamate_receptors_at_the_postsynapse_of_a_target_cell_(neuron,_muscle,_or_secretory_cell)_and_the_effects_of_this_activation_on_the_postsynaptic_membrane_potential_and_ionic_composition_of_the_postsynaptic_cytosol._This_process_encompasses_both_spontaneous_and_evoked_release_of_neurotransmitter_and_all_parts_of_synaptic_vesicle_exocytosis._Evoked_transmission_starts_with_the_arrival_of_an_action_potential_at_the_presynapse."_[GOC:dos]/</t>
  </si>
  <si>
    <t>IPR011701/IPR020846/IPR036259/</t>
  </si>
  <si>
    <t>MFS_transporter_superfamily/Major_facilitator_superfamily/Major_facilitator_superfamily_domain/</t>
  </si>
  <si>
    <t>MFS/MFS_dom/MFS_trans_sf/</t>
  </si>
  <si>
    <t>note=B._malayi_BMA-EAT-4_protein,_contains_similarity_toPfam_domain_PF07690_Major_Facilitator_Superfamily_containssimilarity_to_Interpro_domains_IPR011701_(Majorfacilitator_superfamily),_IPR020846_(Major_facilitatorsuperfamily_domain)</t>
  </si>
  <si>
    <t>34506.g3548</t>
  </si>
  <si>
    <t>5.4e-213</t>
  </si>
  <si>
    <t>747.3</t>
  </si>
  <si>
    <t>1KY6F@119089,38CXA@33154,3BBSD@33208,3CRGY@33213,40DAM@6231,40S6Y@6236,KOG2532@1,KOG2532@2759</t>
  </si>
  <si>
    <t>41,2781/19,6891</t>
  </si>
  <si>
    <t>62,0035/62,0035</t>
  </si>
  <si>
    <t>49,5682/45,2504/10,5354/61,4853</t>
  </si>
  <si>
    <t>23,6615/15,1986</t>
  </si>
  <si>
    <t>WBGene00001135</t>
  </si>
  <si>
    <t>62.5216</t>
  </si>
  <si>
    <t>Bm7528</t>
  </si>
  <si>
    <t>WBGene00227789</t>
  </si>
  <si>
    <t>7209.EFO20285.2</t>
  </si>
  <si>
    <t>4.5e-147</t>
  </si>
  <si>
    <t>527.7</t>
  </si>
  <si>
    <t>1KZP1@119089,2EAVQ@1,2SUAS@2759,3AQ4Q@33154,3C26U@33208,3DIKB@33213,40GWZ@6231</t>
  </si>
  <si>
    <t>carbohydrate binding</t>
  </si>
  <si>
    <t>WBGene00014065</t>
  </si>
  <si>
    <t>27.2966</t>
  </si>
  <si>
    <t>Bm7634</t>
  </si>
  <si>
    <t>WBGene00227895</t>
  </si>
  <si>
    <t>GO:0000439/GO:0006289/GO:0006355/</t>
  </si>
  <si>
    <t>nucleotide-excision_repair/regulation_of_transcription,_DNA-templated/transcription_factor_TFIIH_core_complex/</t>
  </si>
  <si>
    <t>A_DNA_repair_process_in_which_a_small_region_of_the_strand_surrounding_the_damage_is_removed_from_the_DNA_helix_as_an_oligonucleotide._The_small_gap_left_in_the_DNA_helix_is_filled_in_by_the_sequential_action_of_DNA_polymerase_and_DNA_ligase._Nucleotide_excision_repair_recognizes_a_wide_range_of_substrates,_including_damage_caused_by_UV_irradiation_(pyrimidine_dimers_and_6-4_photoproducts)_and_chemicals_(intrastrand_cross-links_and_bulky_adducts)._[PMID:10197977]/"Any_process_that_modulates_the_frequency,_rate_or_extent_of_cellular_DNA-templated_transcription."_[GOC:go_curators,_GOC:txnOH]/"The_7_subunit_core_of_TFIIH_that_is_a_part_of_either_the_general_transcription_factor_holo-TFIIH_or_the_nucleotide-excision_repair_factor_3_complex._In_S._cerevisiae/humans_the_complex_is_composed_of:_Ssl2/XPB,_Tfb1/p62,_Tfb2/p52,_Ssl1/p44,_Tfb4/p34,_Tfb5/p8_and_Rad3/XPD."_[GOC:ew,_GOC:krc,_PMID:14500720,_PMID:17215295,_PMID:22308316,_PMID:22572993,_PMID:23028141,_PMID:7813015]/</t>
  </si>
  <si>
    <t>IPR004600/IPR036465/</t>
  </si>
  <si>
    <t>TFIIH_subunit_Tfb4/GTF2H3/von_Willebrand_factor_A-like_domain_superfamily/</t>
  </si>
  <si>
    <t>TFIIH_Tfb4/GTF2H3/vWFA_dom_sf/</t>
  </si>
  <si>
    <t>note=contains_similarity_to_Pfam_domain_PF03850_Transcription_factor_Tfb4_contains_similarity_to_Interpro_domain_IPR004600_(TFIIH_subunit_Tfb4/p34)</t>
  </si>
  <si>
    <t>7209.EFO22116.2</t>
  </si>
  <si>
    <t>8.8e-137</t>
  </si>
  <si>
    <t>493.0</t>
  </si>
  <si>
    <t>ko:K03143</t>
  </si>
  <si>
    <t>ko03022,ko03420,ko05203,map03022,map03420,map05203</t>
  </si>
  <si>
    <t>M00290</t>
  </si>
  <si>
    <t>ko00000,ko00001,ko00002,ko03021,ko03400</t>
  </si>
  <si>
    <t>1KWE8@119089,39Q69@33154,3BCGJ@33208,3CV6A@33213,40E4D@6231,COG5242@1,KOG2487@2759</t>
  </si>
  <si>
    <t>KL</t>
  </si>
  <si>
    <t>Transcription factor Tfb4</t>
  </si>
  <si>
    <t>29,1971/31,0219</t>
  </si>
  <si>
    <t>WBGene00014230</t>
  </si>
  <si>
    <t>37.2263</t>
  </si>
  <si>
    <t>Bm7675</t>
  </si>
  <si>
    <t>WBGene00227936</t>
  </si>
  <si>
    <t>GO:0006508/GO:0008233/GO:0008234/GO:0016787/</t>
  </si>
  <si>
    <t>cysteine-type_peptidase_activity/hydrolase_activity/peptidase_activity/proteolysis/</t>
  </si>
  <si>
    <t>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peptide_bonds_in_a_polypeptide_chain_by_a_mechanism_in_which_the_sulfhydryl_group_of_a_cysteine_residue_at_the_active_center_acts_as_a_nucleophile."_[GOC:mah,_http://merops.sanger.ac.uk/about/glossary.htm#CATTYPE]/"Catalysis_of_the_hydrolysis_of_various_bonds,_e.g._C-O,_C-N,_C-C,_phosphoric_anhydride_bonds,_etc._Hydrolase_is_the_systematic_name_for_any_enzyme_of_EC_class_3."_[ISBN:0198506732]/"The_hydrolysis_of_proteins_into_smaller_polypeptides_and/or_amino_acids_by_cleavage_of_their_peptide_bonds."_[GOC:bf,_GOC:mah]/</t>
  </si>
  <si>
    <t>IPR000169/IPR000668/IPR013128/IPR013201/IPR025660/IPR025661/IPR038765/IPR039417/</t>
  </si>
  <si>
    <t>Cathepsin_propeptide_inhibitor_domain_(I29)/Cysteine_peptidase,_asparagine_active_site/Cysteine_peptidase,_cysteine_active_site/Cysteine_peptidase,_histidine_active_site/Papain-like_cysteine_endopeptidase/Papain-like_cysteine_peptidase_superfamily/Peptidase_C1A/Peptidase_C1A,_papain_C-terminal/</t>
  </si>
  <si>
    <t>Papain_like_cys_pep_sf/Pept_asp_AS/Pept_cys_AS/Pept_his_AS/Peptidase_C1A/Peptidase_C1A_C/Peptidase_C1A_papain-like/Prot_inhib_I29/</t>
  </si>
  <si>
    <t>note=contains_similarity_to_Pfam_domains_PF08246_(Cathepsin_propeptide_inhibitor_domain_(I29)),_PF00112_(Papain_family_cysteine_protease)_contains_similarity_to_Interpro_domains_IPR013128_(Peptidase_C1A),_IPR013201_(Proteinase_inhibitor_I29,_cathepsin_propeptide),_IPR000668_(Peptidase_C1A,_papain_C-terminal)</t>
  </si>
  <si>
    <t>7209.EFO15907.1</t>
  </si>
  <si>
    <t>3.5e-123</t>
  </si>
  <si>
    <t>448.4</t>
  </si>
  <si>
    <t>1M84K@119089,38HQX@33154,3BBDC@33208,3D0R8@33213,40R35@6231,COG4870@1,KOG1543@2759</t>
  </si>
  <si>
    <t>Belongs to the peptidase C1 family</t>
  </si>
  <si>
    <t>17,6923/10,7692/22,8205</t>
  </si>
  <si>
    <t>21,7949/26,9231/26,9231/26,6667</t>
  </si>
  <si>
    <t>22,3077/21,5385/24,8718/24,359/25,641/24,8718/20,5128/21,5385/21,0256/27,4359</t>
  </si>
  <si>
    <t>22,8205/26,4103/28,4615/25,1282/27,1795</t>
  </si>
  <si>
    <t>22,3077/22,3077</t>
  </si>
  <si>
    <t>22,8205/22,5641/22,8205/27,4359/26,9231</t>
  </si>
  <si>
    <t>28,9744/29,4872/22,3077</t>
  </si>
  <si>
    <t>25,1282/26,6667/16,4103</t>
  </si>
  <si>
    <t>22,8205/16,4103</t>
  </si>
  <si>
    <t>23,5897/18,9744/6,15385</t>
  </si>
  <si>
    <t>24,1026/17,4359/22,5641/17,9487/16,6667/17,1795/14,359/16,4103/23,5897/20,5128/11,0256/18,4615/19,7436/20,2564/27,4359/13,5897/27,1795/20,2564/15,641</t>
  </si>
  <si>
    <t>28,4615/26,4103/26,1538</t>
  </si>
  <si>
    <t>WBGene00013076/WBGene00013072/WBGene00013764/WBGene00021072/WBGene00000785/WBGene00000784/WBGene00021070/WBGene00000783/WBGene00019986/WBGene00019314/WBGene00016306/WBGene00016300/WBGene00044760/WBGene00022189/WBGene00012747/WBGene00009347/WBGene00011102/WBGene00008231/WBGene00010204</t>
  </si>
  <si>
    <t>24.1026/17.4359/22.5641/17.9487/16.6667/17.1795/14.359/16.4103/23.5897/20.5128/11.0256/18.4615/19.7436/20.2564/27.4359/13.5897/27.1795/20.2564/15.641</t>
  </si>
  <si>
    <t>Gender_Neutral/Gender_Neutral/Gender_Neutral/Gender_Neutral/Gender_Neutral/Gender_Neutral/Gender_Neutral/Gender_Neutral/Gender_Neutral</t>
  </si>
  <si>
    <t>Bm7689</t>
  </si>
  <si>
    <t>WBGene00227950</t>
  </si>
  <si>
    <t>GO:0003779/GO:0016020/GO:0016021/GO:0016043/</t>
  </si>
  <si>
    <t>actin_binding/cellular_component_organization/integral_component_of_membrane/membrane/</t>
  </si>
  <si>
    <t>A_lipid_bilayer_along_with_all_the_proteins_and_protein_complexes_embedded_in_it_an_attached_to_it._[GOC:dos,_GOC:mah,_ISBN:0815316194]/"A_process_that_results_in_the_assembly,_arrangement_of_constituent_parts,_or_disassembly_of_a_cellular_component."_[GOC:ai,_GOC:jl,_GOC:mah]/"Interacting_selectively_and_non-covalently_with_monomeric_or_multimeric_forms_of_actin,_including_actin_filaments."_[GOC:clt]/"The_component_of_a_membrane_consisting_of_the_gene_products_and_protein_complexes_having_at_least_some_part_of_their_peptide_sequence_embedded_in_the_hydrophobic_region_of_the_membrane."_[GOC:dos,_GOC:go_curators]/</t>
  </si>
  <si>
    <t>IPR010472/IPR011989/IPR015425/IPR016024/</t>
  </si>
  <si>
    <t>Armadillo-like_helical/Armadillo-type_fold/Formin,_FH2_domain/Formin,_FH3_domain/</t>
  </si>
  <si>
    <t>ARM-like/ARM-type_fold/FH2_Formin/FH3_dom/</t>
  </si>
  <si>
    <t>note=B._malayi_BMA-INFT-2_protein,_contains_similarity_to_Pfam_domains_PF02181_(Formin_Homology_2_Domain),_PF06367_(Diaphanous_FH3_Domain)_contains_similarity_to_Interpro_domains_IPR010472_(Formin,_FH3_domain),_IPR015425_(Formin,_FH2_domain),_IPR016024_(Armadillo-type_fold)</t>
  </si>
  <si>
    <t>7209.EFO27065.1</t>
  </si>
  <si>
    <t>1276.5</t>
  </si>
  <si>
    <t>inft-2</t>
  </si>
  <si>
    <t>1KZ7B@119089,38C7D@33154,3BDNK@33208,3E56P@33213,40G9M@6231,KOG1922@1,KOG1922@2759</t>
  </si>
  <si>
    <t>TZ</t>
  </si>
  <si>
    <t>Formin Homology 2 Domain</t>
  </si>
  <si>
    <t>6,21762/7,25389/11,5026/14,5078/10,4663/9,2228/5,69948/13,057</t>
  </si>
  <si>
    <t>11,5026/14,5078/10,8808/10,0518/5,3886/12,9534</t>
  </si>
  <si>
    <t>11,1917/11,9171/8,0829/10,7772/9,01554/7,87565/6,94301/9,2228/4,76684/5,90674/13,3679</t>
  </si>
  <si>
    <t>WBGene00008848</t>
  </si>
  <si>
    <t>14.4041</t>
  </si>
  <si>
    <t>Bm7786</t>
  </si>
  <si>
    <t>WBGene00228047</t>
  </si>
  <si>
    <t>GO:0005216/GO:0005244/GO:0005249/GO:0005267/GO:0006811/GO:0006813/GO:0008076/GO:0016020/GO:0016021/GO:0034765/GO:0055085/GO:0071805/</t>
  </si>
  <si>
    <t>integral_component_of_membrane/ion_channel_activity/ion_transport/membrane/potassium_channel_activity/potassium_ion_transmembrane_transport/potassium_ion_transport/regulation_of_ion_transmembrane_transport/transmembrane_transport/voltage-gated_ion_channel_activity/voltage-gated_potassium_channel_activity/voltage-gated_potassium_channel_complex/</t>
  </si>
  <si>
    <t>A_lipid_bilayer_along_with_all_the_proteins_and_protein_complexes_embedded_in_it_an_attached_to_it._[GOC:dos,_GOC:mah,_ISBN:0815316194]/"A_process_in_which_a_potassium_ion_is_transported_from_one_side_of_a_membrane_to_the_other."_[GOC:mah]/"A_protein_complex_that_forms_a_transmembrane_channel_through_which_potassium_ions_may_cross_a_cell_membrane_in_response_to_changes_in_membrane_potential."_[GOC:mah]/"Any_process_that_modulates_the_frequency,_rate_or_extent_of_the_directed_movement_of_ions_from_one_side_of_a_membrane_to_the_other."_[GOC:mah]/"Enables_the_facilitated_diffusion_of_a_potassium_ion_(by_an_energy-independent_process)_involving_passage_through_a_transmembrane_aqueous_pore_or_channel_without_evidence_for_a_carrier-mediated_mechanism."_[GOC:BHF,_GOC:mtg_transport,_GOC:pr,_ISBN:0815340729]/"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Enables_the_transmembrane_transfer_of_a_potassium_ion_by_a_voltage-gated_channel._A_voltage-gated_channel_is_a_channel_whose_open_state_is_dependent_on_the_voltage_across_the_membrane_in_which_it_is_embedded."_[GOC:mtg_transport,_ISBN:0815340729]/"Enables_the_transmembrane_transfer_of_an_ion_by_a_voltage-gated_channel._An_ion_is_an_atom_or_group_of_atoms_carrying_an_electric_charge_by_virtue_of_having_gained_or_lost_one_or_more_electrons._A_voltage-gated_channel_is_a_channel_whose_open_state_is_dependent_on_the_voltage_across_the_membrane_in_which_it_is_embedded."_[GOC:mtg_transport,_ISBN:0198506732,_ISBN:0815340729]/"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he_directed_movement_of_potassium_ions_(K+)_into,_out_of_or_within_a_cell,_or_between_cells,_by_means_of_some_agent_such_as_a_transporter_or_pore."_[GOC:ai]/"The_process_in_which_a_solute_is_transported_across_a_lipid_bilayer,_from_one_side_of_a_membrane_to_the_other."_[GOC:dph,_GOC:jid]/</t>
  </si>
  <si>
    <t>IPR003968/IPR005821/IPR027359/IPR028325/</t>
  </si>
  <si>
    <t>Ion_transport_domain/Potassium_channel,_voltage_dependent,_Kv/Voltage-dependent_channel_domain_superfamily/Voltage-gated_potassium_channel/</t>
  </si>
  <si>
    <t>Ion_trans_dom/K_chnl_volt-dep_Kv/VG_K_chnl/Volt_channel_dom_sf/</t>
  </si>
  <si>
    <t>note=B._malayi_BMA-SHW-1_protein,_contains_similarity_toPfam_domain_PF00520_Ion_transport_protein_containssimilarity_to_Interpro_domains_IPR005821_(Ion_transportdomain),_IPR028325_(Voltage-gated_potassium_channel),IPR003968_(Potassium_channel,_voltage_dependent,_Kv),IPR003091_(Potassium_channel)</t>
  </si>
  <si>
    <t>7209.EFO27391.1</t>
  </si>
  <si>
    <t>3.8e-145</t>
  </si>
  <si>
    <t>521.2</t>
  </si>
  <si>
    <t>83,2853/0</t>
  </si>
  <si>
    <t>25,6484/23,0548</t>
  </si>
  <si>
    <t>0,864553/27,0893</t>
  </si>
  <si>
    <t>13,8329/37,1758/15,562</t>
  </si>
  <si>
    <t>0,288184/42,6513</t>
  </si>
  <si>
    <t>41,7867/48,7032</t>
  </si>
  <si>
    <t>17,8674/22,1902/36,3112/23,6311/20,1729/23,0548/30,2594/22,7666/21,3256/24,2075/29,3948/21,902/37,464/36,8876/20,1729/19,5965/21,3256/21,6138/19,0202</t>
  </si>
  <si>
    <t>17,8674/22,7666/36,5994/23,6311/20,1729/23,3429/30,5476/22,4784/21,3256/24,2075/21,3256/37,1758/37,1758/20,1729/19,5965/21,3256/21,902/19,3084</t>
  </si>
  <si>
    <t>18,1556/23,0548/21,6138/36,5994/37,464/24,2075/20,7493/19,5965/20,1729/23,0548/34,5821/36,5994/20,7493/25,072/25,3602/29,1066/29,683/20,4611/36,5994/25,6484/36,0231/21,0375/20,7493/19,5965/18,4438/21,902/17,8674/5,4755</t>
  </si>
  <si>
    <t>WBGene00008819</t>
  </si>
  <si>
    <t>64.2651</t>
  </si>
  <si>
    <t>Bm7849</t>
  </si>
  <si>
    <t>WBGene00228110</t>
  </si>
  <si>
    <t>7209.EJD73916.1</t>
  </si>
  <si>
    <t>9e-172</t>
  </si>
  <si>
    <t>610.9</t>
  </si>
  <si>
    <t>nphp-2</t>
  </si>
  <si>
    <t>GO:0005575,GO:0005623,GO:0005929,GO:0008104,GO:0008150,GO:0033036,GO:0033365,GO:0034613,GO:0042995,GO:0043226,GO:0044422,GO:0044441,GO:0044463,GO:0044464,GO:0051179,GO:0051641,GO:0061512,GO:0070727,GO:0097543,GO:0120025,GO:0120038,GO:1904108</t>
  </si>
  <si>
    <t>1KVVK@119089,38FAN@33154,3BHF1@33208,3D2R1@33213,40D8Q@6231,COG0666@1,KOG0504@2759</t>
  </si>
  <si>
    <t>Ankyrin repeats (many copies)</t>
  </si>
  <si>
    <t>32,9453/33,5274</t>
  </si>
  <si>
    <t>Bm7868</t>
  </si>
  <si>
    <t>WBGene00228129</t>
  </si>
  <si>
    <t>GO:0016020/GO:0016021/GO:0035461/GO:0051180/GO:0090482/</t>
  </si>
  <si>
    <t>integral_component_of_membrane/membrane/vitamin_transmembrane_transport/vitamin_transmembrane_transporter_activity/vitamin_transport/</t>
  </si>
  <si>
    <t>A_lipid_bilayer_along_with_all_the_proteins_and_protein_complexes_embedded_in_it_an_attached_to_it._[GOC:dos,_GOC:mah,_ISBN:0815316194]/"Enables_the_transfer_of_a_vitamin_from_one_side_of_a_membrane_to_the_other."_[GOC:tb]/"The_component_of_a_membrane_consisting_of_the_gene_products_and_protein_complexes_having_at_least_some_part_of_their_peptide_sequence_embedded_in_the_hydrophobic_region_of_the_membrane."_[GOC:dos,_GOC:go_curators]/"The_directed_movement_of_vitamins_into,_out_of_or_within_a_cell,_or_between_cells,_by_means_of_some_agent_such_as_a_transporter_or_pore._A_vitamin_is_one_of_a_number_of_unrelated_organic_substances_that_occur_in_many_foods_in_small_amounts_and_that_are_necessary_in_trace_amounts_for_the_normal_metabolic_functioning_of_the_body."_[GOC:ai]/"The_process_in_which_a_vitamin_is_transported_across_a_membrane._A_vitamin_is_one_of_a_number_of_unrelated_organic_substances_that_occur_in_many_foods_in_small_amounts_and_that_are_necessary_in_trace_amounts_for_the_normal_metabolic_functioning_of_the_body."_[GOC:bf]/</t>
  </si>
  <si>
    <t>IPR002666/IPR036259/</t>
  </si>
  <si>
    <t>MFS_transporter_superfamily/Reduced_folate_carrier/</t>
  </si>
  <si>
    <t>Folate_carrier/MFS_trans_sf/</t>
  </si>
  <si>
    <t>note=contains_similarity_to_Pfam_domain_PF01770_Reduced_folate_carrier_contains_similarity_to_Interpro_domains_IPR020846_(Major_facilitator_superfamily_domain),_IPR002666_(Reduced_folate_carrier)</t>
  </si>
  <si>
    <t>7209.EJD76177.1</t>
  </si>
  <si>
    <t>3.8e-86</t>
  </si>
  <si>
    <t>325.5</t>
  </si>
  <si>
    <t>folt-1</t>
  </si>
  <si>
    <t>ko:K14610</t>
  </si>
  <si>
    <t>ko04977,map04977</t>
  </si>
  <si>
    <t>2.A.48.2</t>
  </si>
  <si>
    <t>1KVD3@119089,38IFE@33154,3BCQ4@33208,3CRXH@33213,40CUX@6231,KOG3810@1,KOG3810@2759</t>
  </si>
  <si>
    <t>Reduced folate carrier</t>
  </si>
  <si>
    <t>26,7442/22,7907/38,8372</t>
  </si>
  <si>
    <t>19,7674/24,186</t>
  </si>
  <si>
    <t>25,5814/28,8372/28,1395</t>
  </si>
  <si>
    <t>28,1395/33,0233/31,6279</t>
  </si>
  <si>
    <t>30,9302/29,0698/29,7674/29,7674</t>
  </si>
  <si>
    <t>WBGene00007388</t>
  </si>
  <si>
    <t>44.4186</t>
  </si>
  <si>
    <t>Bm793</t>
  </si>
  <si>
    <t>WBGene00221054</t>
  </si>
  <si>
    <t>IPR041637/</t>
  </si>
  <si>
    <t>Caprin-1_dimerization_domain/</t>
  </si>
  <si>
    <t>Caprin-1_dimer/</t>
  </si>
  <si>
    <t>Bm7938</t>
  </si>
  <si>
    <t>WBGene00228199</t>
  </si>
  <si>
    <t>Bm7942</t>
  </si>
  <si>
    <t>WBGene00228203</t>
  </si>
  <si>
    <t>Bm7951</t>
  </si>
  <si>
    <t>WBGene00228212</t>
  </si>
  <si>
    <t>31234.CRE00807</t>
  </si>
  <si>
    <t>2.6e-17</t>
  </si>
  <si>
    <t>95.5</t>
  </si>
  <si>
    <t>GO:0001709,GO:0003674,GO:0003700,GO:0005575,GO:0005622,GO:0005623,GO:0005634,GO:0006355,GO:0006928,GO:0007275,GO:0007399,GO:0008150,GO:0009889,GO:0009987,GO:0010468,GO:0010556,GO:0016477,GO:0019219,GO:0019222,GO:0022008,GO:0030154,GO:0031323,GO:0031326,GO:0032501,GO:0032502,GO:0040011,GO:0043226,GO:0043227,GO:0043229,GO:0043231,GO:0044424,GO:0044464,GO:0045165,GO:0045595,GO:0045664,GO:0048699,GO:0048731,GO:0048856,GO:0048869,GO:0048870,GO:0050767,GO:0050789,GO:0050793,GO:0050794,GO:0051171,GO:0051179,GO:0051239,GO:0051252,GO:0051674,GO:0051960,GO:0060255,GO:0060284,GO:0065007,GO:0080090,GO:0140110,GO:1903506,GO:2000026,GO:2000112,GO:2001141</t>
  </si>
  <si>
    <t>1KZSH@119089,3AQCW@33154,3C24U@33208,3DI06@33213,40GP8@6231,40TXR@6236,KOG1721@1,KOG1721@2759</t>
  </si>
  <si>
    <t>Bm7990</t>
  </si>
  <si>
    <t>WBGene00228251</t>
  </si>
  <si>
    <t>Bm8002</t>
  </si>
  <si>
    <t>WBGene00228263</t>
  </si>
  <si>
    <t>GO:0002009/GO:0005783/GO:0016020/GO:0016021/GO:0016746/GO:0046488/</t>
  </si>
  <si>
    <t>endoplasmic_reticulum/integral_component_of_membrane/membrane/morphogenesis_of_an_epithelium/phosphatidylinositol_metabolic_process/transferase_activity,_transferring_acyl_groups/</t>
  </si>
  <si>
    <t>A_lipid_bilayer_along_with_all_the_proteins_and_protein_complexes_embedded_in_it_an_attached_to_it._[GOC:dos,_GOC:mah,_ISBN:0815316194]/"Catalysis_of_the_transfer_of_an_acyl_group_from_one_compound_(donor)_to_another_(acceptor)."_[GOC:jl,_ISBN:0198506732]/"The_chemical_reactions_and_pathways_involving_phosphatidylinositol,_any_glycophospholipid_in_which_a_sn-glycerol_3-phosphate_residue_is_esterified_to_the_1-hydroxyl_group_of_1D-myo-inositol."_[CHEBI:28874,_ISBN:0198506732]/"The_component_of_a_membrane_consisting_of_the_gene_products_and_protein_complexes_having_at_least_some_part_of_their_peptide_sequence_embedded_in_the_hydrophobic_region_of_the_membrane."_[GOC:dos,_GOC:go_curators]/"The_irregular_network_of_unit_membranes,_visible_only_by_electron_microscopy,_that_occurs_in_the_cytoplasm_of_many_eukaryotic_cells._The_membranes_form_a_complex_meshwork_of_tubular_channels,_which_are_often_expanded_into_slitlike_cavities_called_cisternae._The_ER_takes_two_forms,_rough_(or_granular),_with_ribosomes_adhering_to_the_outer_surface,_and_smooth_(with_no_ribosomes_attached)."_[ISBN:0198506732]/"The_process_in_which_the_anatomical_structures_of_epithelia_are_generated_and_organized._An_epithelium_consists_of_closely_packed_cells_arranged_in_one_or_more_layers,_that_covers_the_outer_surfaces_of_the_body_or_lines_any_internal_cavity_or_tube."_[GOC:dph,_GOC:jl,_GOC:tb,_ISBN:0198506732]/</t>
  </si>
  <si>
    <t>IPR002123/IPR032098/</t>
  </si>
  <si>
    <t>Acyltransferase,_C-terminal_domain/Phospholipid/glycerol_acyltransferase/</t>
  </si>
  <si>
    <t>Acyltransf_C/Plipid/glycerol_acylTrfase/</t>
  </si>
  <si>
    <t>note=B._malayi_BMA-BUS-18_protein</t>
  </si>
  <si>
    <t>7209.EFO24315.1</t>
  </si>
  <si>
    <t>5.1e-191</t>
  </si>
  <si>
    <t>673.7</t>
  </si>
  <si>
    <t>GO:0002009,GO:0003674,GO:0003824,GO:0005575,GO:0005622,GO:0005623,GO:0005737,GO:0005783,GO:0006629,GO:0006644,GO:0006650,GO:0006793,GO:0006796,GO:0008150,GO:0008152,GO:0009653,GO:0009888,GO:0009987,GO:0012505,GO:0016740,GO:0016746,GO:0019637,GO:0032502,GO:0043226,GO:0043227,GO:0043229,GO:0043231,GO:0044237,GO:0044238,GO:0044255,GO:0044424,GO:0044444,GO:0044464,GO:0046486,GO:0046488,GO:0048729,GO:0048856,GO:0060429,GO:0071704</t>
  </si>
  <si>
    <t>2.3.1.51</t>
  </si>
  <si>
    <t>ko:K13513</t>
  </si>
  <si>
    <t>ko00561,ko00564,ko01100,ko01110,map00561,map00564,map01100,map01110</t>
  </si>
  <si>
    <t>M00089</t>
  </si>
  <si>
    <t>R02241,R09034,R09036,R09037,R09381</t>
  </si>
  <si>
    <t>RC00004,RC00037,RC00039</t>
  </si>
  <si>
    <t>ko00000,ko00001,ko00002,ko01000,ko01004</t>
  </si>
  <si>
    <t>1KU2S@119089,38DTT@33154,3BAKZ@33208,3D19X@33213,40CND@6231,COG0204@1,KOG1505@2759</t>
  </si>
  <si>
    <t>Acyltransferase C-terminus</t>
  </si>
  <si>
    <t>25,8486/32,1149/20,3655</t>
  </si>
  <si>
    <t>20,6266/22,4543</t>
  </si>
  <si>
    <t>21,4099/21,4099</t>
  </si>
  <si>
    <t>WBGene00044631</t>
  </si>
  <si>
    <t>45.953</t>
  </si>
  <si>
    <t>Bm8049</t>
  </si>
  <si>
    <t>WBGene00228310</t>
  </si>
  <si>
    <t>Bm8083</t>
  </si>
  <si>
    <t>WBGene00228344</t>
  </si>
  <si>
    <t>IPR024145/IPR025718/IPR038291/</t>
  </si>
  <si>
    <t>Histone_deacetylase_complex_subunit_SAP30,_Sin3_binding_domain/Histone_deacetylase_complex_subunit_SAP30/SAP30-like/SAP30,_C-terminal_domain_superfamily/</t>
  </si>
  <si>
    <t>His_deAcase_SAP30/SAP30L/SAP30_C_sf/SAP30_Sin3-bd/</t>
  </si>
  <si>
    <t>note=contains_similarity_to_Pfam_domains_PF13866_(SAP30_zinc-finger),_PF13867_(Sin3_binding_region_of_histone_deacetylase_complex_subunit_SAP30)_contains_similarity_to_Interpro_domains_IPR025717_(Histone_deacetylase_complex_subunit_SAP30_zinc-finger),_IPR025718_(Histone_deacetylase_complex_subunit_SAP30,_Sin3_binding_domain)</t>
  </si>
  <si>
    <t>Bm8086</t>
  </si>
  <si>
    <t>WBGene00228347</t>
  </si>
  <si>
    <t>Bm8100</t>
  </si>
  <si>
    <t>WBGene00228361</t>
  </si>
  <si>
    <t>1561998.Csp11.Scaffold630.g21179.t1</t>
  </si>
  <si>
    <t>5.8e-30</t>
  </si>
  <si>
    <t>138.3</t>
  </si>
  <si>
    <t>1M37W@119089,29DTY@1,2TGZE@2759,39D1K@33154,3CH1E@33208,3DYI0@33213,40JVV@6231,40ZHT@6236</t>
  </si>
  <si>
    <t>G-protein coupled receptor activity</t>
  </si>
  <si>
    <t>97,2318/97,2318</t>
  </si>
  <si>
    <t>WBGene00021497</t>
  </si>
  <si>
    <t>27.3356</t>
  </si>
  <si>
    <t>Bm8152</t>
  </si>
  <si>
    <t>WBGene00228413</t>
  </si>
  <si>
    <t>IPR027417/</t>
  </si>
  <si>
    <t>P-loop_containing_nucleoside_triphosphate_hydrolase/</t>
  </si>
  <si>
    <t>P-loop_NTPase/</t>
  </si>
  <si>
    <t>note=contains_similarity_to_Interpro_domain_IPR027417_(P-loop_containing_nucleoside_triphosphate_hydrolase)</t>
  </si>
  <si>
    <t>7159.AAEL013359-PB</t>
  </si>
  <si>
    <t>1.3e-11</t>
  </si>
  <si>
    <t>77.4</t>
  </si>
  <si>
    <t>Nematocera</t>
  </si>
  <si>
    <t>38CTS@33154,3BC8P@33208,3CVNR@33213,3SFKF@50557,41V2N@6656,450KJ@7147,45FCX@7148,COG0513@1,KOG0327@2759</t>
  </si>
  <si>
    <t>Belongs to the DEAD box helicase family</t>
  </si>
  <si>
    <t>37,7778/21,2698</t>
  </si>
  <si>
    <t>Bm817</t>
  </si>
  <si>
    <t>WBGene00221078</t>
  </si>
  <si>
    <t>IPR011989/</t>
  </si>
  <si>
    <t>Armadillo-like_helical/</t>
  </si>
  <si>
    <t>ARM-like/</t>
  </si>
  <si>
    <t>7209.EFO25742.2</t>
  </si>
  <si>
    <t>3.4e-283</t>
  </si>
  <si>
    <t>981.5</t>
  </si>
  <si>
    <t>1KV32@119089,394Z0@33154,3BA16@33208,3CVJY@33213,40BUE@6231,KOG4541@1,KOG4541@2759</t>
  </si>
  <si>
    <t>UY</t>
  </si>
  <si>
    <t>nuclear export signal receptor activity</t>
  </si>
  <si>
    <t>21,0069/4,34028</t>
  </si>
  <si>
    <t>22,309/20,3993/22,309</t>
  </si>
  <si>
    <t>WBGene00022087</t>
  </si>
  <si>
    <t>22.4826</t>
  </si>
  <si>
    <t>Bm818</t>
  </si>
  <si>
    <t>WBGene00221079</t>
  </si>
  <si>
    <t>GO:0016567/GO:0061630/GO:0071596/</t>
  </si>
  <si>
    <t>protein_ubiquitination/ubiquitin-dependent_protein_catabolic_process_via_the_N-end_rule_pathway/ubiquitin_protein_ligase_activity/</t>
  </si>
  <si>
    <t>Catalysis_of_the_transfer_of_ubiquitin_to_a_substrate_protein_via_the_reaction_X-ubiquitin_+_S_-&gt;_X_+_S-ubiquitin,_where_X_is_either_an_E2_or_E3_enzyme,_the_X-ubiquitin_linkage_is_a_thioester_bond,_and_the_S-ubiquitin_linkage_is_an_amide_bond:_an_isopeptide_bond_between_the_C-terminal_glycine_of_ubiquitin_and_the_epsilon-amino_group_of_lysine_residues_in_the_substrate_or,_in_the_linear_extension_of_ubiquitin_chains,_a_peptide_bond_the_between_the_C-terminal_glycine_and_N-terminal_methionine_of_ubiquitin_residues._[GOC:BioGRID,_GOC:dph,_GOC:mah,_GOC:tb,_PMID:22863777]/"The_chemical_reactions_and_pathways_resulting_in_the_breakdown_of_a_protein_or_peptide_covalently_tagged_with_ubiquitin,_via_the_N-end_rule_pathway._In_the_N-end_rule_pathway,_destabilizing_N-terminal_residues_(N-degrons)_in_substrates_are_recognized_by_E3_ligases_(N-recognins),_whereupon_the_substrates_are_linked_to_ubiquitin_and_then_delivered_to_the_proteasome_for_degradation."_[GOC:mah,_GOC:rb,_PMID:19246002,_PMID:9112437]/"The_process_in_which_one_or_more_ubiquitin_groups_are_added_to_a_protein."_[GOC:ai]/</t>
  </si>
  <si>
    <t>IPR039164/</t>
  </si>
  <si>
    <t>E3_ubiquitin-protein_ligase_UBR1-like/</t>
  </si>
  <si>
    <t>UBR1-like/</t>
  </si>
  <si>
    <t>7209.EFO23388.1</t>
  </si>
  <si>
    <t>3e-99</t>
  </si>
  <si>
    <t>ko:K11978</t>
  </si>
  <si>
    <t>1KUZR@119089,38I1K@33154,3BC0C@33208,3CUPK@33213,40AWR@6231,KOG1139@1,KOG1139@2759</t>
  </si>
  <si>
    <t>ubiquitin-dependent protein catabolic process via the N-end rule pathway</t>
  </si>
  <si>
    <t>10,9439/10,9439</t>
  </si>
  <si>
    <t>Bm819</t>
  </si>
  <si>
    <t>WBGene00221080</t>
  </si>
  <si>
    <t>Bm8269</t>
  </si>
  <si>
    <t>WBGene00228530</t>
  </si>
  <si>
    <t>IPR002151/IPR011990/IPR013026/IPR015792/IPR019734/</t>
  </si>
  <si>
    <t>Kinesin_light_chain/Kinesin_light_chain_repeat/Tetratricopeptide-like_helical_domain_superfamily/Tetratricopeptide_repeat/Tetratricopeptide_repeat-containing_domain/</t>
  </si>
  <si>
    <t>Kinesin_light/Kinesin_light_repeat/TPR-contain_dom/TPR-like_helical_dom_sf/TPR_repeat/</t>
  </si>
  <si>
    <t>1.2e-119</t>
  </si>
  <si>
    <t>47,3373/61,2426</t>
  </si>
  <si>
    <t>3,25444/57,3965/3,25444/58,8757</t>
  </si>
  <si>
    <t>54,7337/29,8817/55,0296/55,0296/3,25444</t>
  </si>
  <si>
    <t>55,6213/49,4083</t>
  </si>
  <si>
    <t>55,0296/8,57988</t>
  </si>
  <si>
    <t>52,9586/60,0592</t>
  </si>
  <si>
    <t>54,4379/54,7337</t>
  </si>
  <si>
    <t>52.6627</t>
  </si>
  <si>
    <t>Bm8291</t>
  </si>
  <si>
    <t>WBGene00228552</t>
  </si>
  <si>
    <t>note=contains_similarity_to_Pfam_domain_PF00104_Ligand-binding_domain_of_nuclear_hormone_receptor_contains_similarity_to_Interpro_domains_IPR008946_(Nuclear_hormone_receptor,_ligand-binding),_IPR000536_(Nuclear_hormone_receptor,_ligand-binding,_core)</t>
  </si>
  <si>
    <t>Bm8306</t>
  </si>
  <si>
    <t>WBGene00228567</t>
  </si>
  <si>
    <t>7209.EJD73593.1</t>
  </si>
  <si>
    <t>3.8e-238</t>
  </si>
  <si>
    <t>830.5</t>
  </si>
  <si>
    <t>GO:0000132,GO:0000226,GO:0000278,GO:0005575,GO:0005622,GO:0005623,GO:0005819,GO:0005856,GO:0006996,GO:0007010,GO:0007017,GO:0007049,GO:0007163,GO:0007275,GO:0008104,GO:0008150,GO:0009790,GO:0009792,GO:0009987,GO:0010564,GO:0015630,GO:0016043,GO:0022402,GO:0030010,GO:0030424,GO:0030425,GO:0032465,GO:0032501,GO:0032502,GO:0033036,GO:0036477,GO:0040001,GO:0042995,GO:0043005,GO:0043025,GO:0043226,GO:0043228,GO:0043229,GO:0043232,GO:0044297,GO:0044422,GO:0044424,GO:0044430,GO:0044446,GO:0044463,GO:0044464,GO:0048856,GO:0050789,GO:0050794,GO:0051179,GO:0051234,GO:0051293,GO:0051294,GO:0051302,GO:0051640,GO:0051641,GO:0051642,GO:0051649,GO:0051653,GO:0051656,GO:0051726,GO:0061842,GO:0065007,GO:0071840,GO:0072686,GO:0072687,GO:0097447,GO:0097458,GO:0120025,GO:0120038,GO:1902850,GO:1903047</t>
  </si>
  <si>
    <t>1KVBP@119089,38E06@33154,3BAUV@33208,3CRFN@33213,40BBI@6231,COG5023@1,KOG1376@2759</t>
  </si>
  <si>
    <t>79,3258/80</t>
  </si>
  <si>
    <t>11,6854/14,6067</t>
  </si>
  <si>
    <t>75,0562/80,2247</t>
  </si>
  <si>
    <t>7,86517/84,4944/84,0449/82,9213</t>
  </si>
  <si>
    <t>11,0112/12,1348/12,1348</t>
  </si>
  <si>
    <t>40/36,4045/36,1798</t>
  </si>
  <si>
    <t>51,236/40,8989</t>
  </si>
  <si>
    <t>40,4494/39,7753/70,1124/38,6517/40,2247/30,5618/39,5506</t>
  </si>
  <si>
    <t>40,4494/70,7865/40,2247/30,3371/40</t>
  </si>
  <si>
    <t>WBGene00012489/WBGene00006529/WBGene00006528/WBGene00006530</t>
  </si>
  <si>
    <t>7.86517/84.4944/84.0449/82.9213</t>
  </si>
  <si>
    <t>Gender_Neutral/Gender_Neutral/Spermatogenic</t>
  </si>
  <si>
    <t>Bm8378</t>
  </si>
  <si>
    <t>WBGene00228639</t>
  </si>
  <si>
    <t>GO:0005634/GO:0006355/GO:0030015/</t>
  </si>
  <si>
    <t>CCR4-NOT_core_complex/nucleus/regulation_of_transcription,_DNA-templated/</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</si>
  <si>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process_that_modulates_the_frequency,_rate_or_extent_of_cellular_DNA-templated_transcription."_[GOC:go_curators,_GOC:txnOH]/"The_core_of_the_CCR4-NOT_complex._In_Saccharomyces_the_CCR4-NOT_core_complex_comprises_Ccr4p,_Caf1p,_Caf40p,_Caf130p,_Not1p,_Not2p,_Not3p,_Not4p,_and_Not5p."_[GOC:sart,_PMID:11113136]/</t>
  </si>
  <si>
    <t>IPR007282/IPR038635/IPR040168/</t>
  </si>
  <si>
    <t>CCR4-NOT_complex_subunit_2/3/5,_N-terminal_domain_superfamily/NOT2/NOT3/NOT5,_C-terminal/Not2/Not3/Not5/</t>
  </si>
  <si>
    <t>CCR4-NOT_su2/3/5_N_sf/NOT2/3/5_C/Not2/3/5/</t>
  </si>
  <si>
    <t>7209.EJD76047.1</t>
  </si>
  <si>
    <t>1.6e-51</t>
  </si>
  <si>
    <t>210.3</t>
  </si>
  <si>
    <t>ko:K12605</t>
  </si>
  <si>
    <t>1KV94@119089,38FUX@33154,3BC74@33208,3CS2R@33213,40C8U@6231,COG5601@1,KOG2151@2759</t>
  </si>
  <si>
    <t>DK</t>
  </si>
  <si>
    <t>NOT2 / NOT3 / NOT5 family</t>
  </si>
  <si>
    <t>40,3599/42,9306</t>
  </si>
  <si>
    <t>41,9023/23,6504</t>
  </si>
  <si>
    <t>41,9023/41,1311</t>
  </si>
  <si>
    <t>16,1954/20,3085/8,74036/11,5681/13,8817/18,2519/15,9383</t>
  </si>
  <si>
    <t>24,4216/16,1954</t>
  </si>
  <si>
    <t>Bm8394</t>
  </si>
  <si>
    <t>WBGene00228655</t>
  </si>
  <si>
    <t>IPR000008/IPR010734/IPR035892/IPR037768/</t>
  </si>
  <si>
    <t>C2_domain/C2_domain_superfamily/Copine/Copine,_C2B_domain/</t>
  </si>
  <si>
    <t>C2B_Copine/C2_dom/C2_domain_sf/Copine/</t>
  </si>
  <si>
    <t>note=B._malayi_BMA-CPNA-5_protein,_contains_similarity_to_Pfam_domain_PF07002_Copine_contains_similarity_to_Interpro_domain_IPR010734_(Copine)</t>
  </si>
  <si>
    <t>7209.EFO19691.1</t>
  </si>
  <si>
    <t>5.8e-251</t>
  </si>
  <si>
    <t>873.6</t>
  </si>
  <si>
    <t>cpna-5</t>
  </si>
  <si>
    <t>1KY1S@119089,3AI40@33154,3BXXN@33208,3DE9K@33213,40FBX@6231,KOG1327@1,KOG1327@2759</t>
  </si>
  <si>
    <t>Copine</t>
  </si>
  <si>
    <t>34,375/27,381</t>
  </si>
  <si>
    <t>20,2381/9,52381</t>
  </si>
  <si>
    <t>4,16667/2,97619</t>
  </si>
  <si>
    <t>19,9405/22,9167/19,3452/21,5774/20,0893/20,0893/21,7262</t>
  </si>
  <si>
    <t>19,9405/23,0655/19,7917/21,5774/20,6845/19,9405/21,5774</t>
  </si>
  <si>
    <t>22,3214/3,72024/23,9583/23,6607/20,0893/20,8333/19,7917/20,9821/19,7917/21,5774</t>
  </si>
  <si>
    <t>WBGene00007044</t>
  </si>
  <si>
    <t>37.7976</t>
  </si>
  <si>
    <t>Bm8402</t>
  </si>
  <si>
    <t>WBGene00228663</t>
  </si>
  <si>
    <t>GO:0004181/GO:0006508/GO:0006937/GO:0008270/</t>
  </si>
  <si>
    <t>metallocarboxypeptidase_activity/proteolysis/regulation_of_muscle_contraction/zinc_ion_binding/</t>
  </si>
  <si>
    <t>Any_process_that_modulates_the_frequency,_rate_or_extent_of_muscle_contraction._[GOC:go_curators]/"Catalysis_of_the_hydrolysis_of_C-terminal_amino_acid_residues_from_a_polypeptide_chain_by_a_mechanism_in_which_water_acts_as_a_nucleophile,_one_or_two_metal_ions_hold_the_water_molecule_in_place,_and_charged_amino_acid_side_chains_are_ligands_for_the_metal_ions."_[http://merops.sanger.ac.uk/about/glossary.htm#CARBOXYPEPTIDASE,_http://merops.sanger.ac.uk/about/glossary.htm#CATTYPE,_ISBN:0198506732]/"Interacting_selectively_and_non-covalently_with_zinc_(Zn)_ions."_[GOC:ai]/"The_hydrolysis_of_proteins_into_smaller_polypeptides_and/or_amino_acids_by_cleavage_of_their_peptide_bonds."_[GOC:bf,_GOC:mah]/</t>
  </si>
  <si>
    <t>IPR000834/IPR008969/</t>
  </si>
  <si>
    <t>Carboxypeptidase-like,_regulatory_domain_superfamily/Peptidase_M14,_carboxypeptidase_A/</t>
  </si>
  <si>
    <t>CarboxyPept-like_regulatory/Peptidase_M14/</t>
  </si>
  <si>
    <t>note=B._malayi_BMA-CPD-2_protein,_contains_similarity_toPfam_domain_PF00246_Zinc_carboxypeptidase_containssimilarity_to_Interpro_domains_IPR000834_(Peptidase_M14,carboxypeptidase_A),_IPR015567_(Peptidase_M14B,caboxypeptidase_D)</t>
  </si>
  <si>
    <t>7209.EFO23528.2</t>
  </si>
  <si>
    <t>8.5e-191</t>
  </si>
  <si>
    <t>672.9</t>
  </si>
  <si>
    <t>GO:0006937,GO:0008150,GO:0044057,GO:0050789,GO:0051239,GO:0065007,GO:0090257</t>
  </si>
  <si>
    <t>3.4.17.22</t>
  </si>
  <si>
    <t>ko:K07752</t>
  </si>
  <si>
    <t>1KUWF@119089,38DE0@33154,3B9RU@33208,3CZBB@33213,40AHD@6231,KOG2649@1,KOG2649@2759</t>
  </si>
  <si>
    <t>metallocarboxypeptidase activity</t>
  </si>
  <si>
    <t>32,0276/32,9493/32,0276/34,7926/29,7235</t>
  </si>
  <si>
    <t>32,0276/32,2581/31,5668/35,7143/29,9539</t>
  </si>
  <si>
    <t>9,90783/33,1797/32,7189/32,0276/35,9447/35,9447/29,0323/28,5714</t>
  </si>
  <si>
    <t>WBGene00012073</t>
  </si>
  <si>
    <t>41.2442</t>
  </si>
  <si>
    <t>Bm8431</t>
  </si>
  <si>
    <t>WBGene00228692</t>
  </si>
  <si>
    <t>note=contains_similarity_to_Pfam_domain_PF13964_Kelch_motif_contains_similarity_to_Interpro_domain_IPR015915_(Kelch-type_beta_propeller)</t>
  </si>
  <si>
    <t>7209.EFO22539.1</t>
  </si>
  <si>
    <t>2e-128</t>
  </si>
  <si>
    <t>465.7</t>
  </si>
  <si>
    <t>19,6481/32,8446</t>
  </si>
  <si>
    <t>15,2493/19,0616/12,9032/21,7009</t>
  </si>
  <si>
    <t>15,5425/19,0616/12,3167/21,7009</t>
  </si>
  <si>
    <t>14,956/14,6628/11,7302/13,4897</t>
  </si>
  <si>
    <t>31.6716</t>
  </si>
  <si>
    <t>Bm8446</t>
  </si>
  <si>
    <t>WBGene00228707</t>
  </si>
  <si>
    <t>GO:0005615/</t>
  </si>
  <si>
    <t>extracellular_space/</t>
  </si>
  <si>
    <t>That_part_of_a_multicellular_organism_outside_the_cells_proper,_usually_taken_to_be_outside_the_plasma_membranes,_and_occupied_by_fluid._[ISBN:0198547684]/</t>
  </si>
  <si>
    <t>note=contains_similarity_to_Pfam_domain_PF00079_Serpin_(serine_protease_inhibitor)_contains_similarity_to_Interpro_domains_IPR000215_(Serpin_family),_IPR023796_(Serpin_domain)</t>
  </si>
  <si>
    <t>5.7e-113</t>
  </si>
  <si>
    <t>414.5</t>
  </si>
  <si>
    <t>54,2199/49,8721/48,5933/43,4783/53,7084/45,5243</t>
  </si>
  <si>
    <t>26,087/29,6675/27,11</t>
  </si>
  <si>
    <t>10,4859/31,4578/28,133/28,6445/29,9233/28,3887/29,6675</t>
  </si>
  <si>
    <t>23,2737/28,133/25,0639/27,6215/22,7621/22,7621/29,6675/7,92839/25,8312/21,2276/13,0435/23,7852/23,2737/23,7852/23,7852/22,7621/26,3427/21,2276/28,6445/25,0639/25,3197/16,8798/23,5294/22,5064/25,0639/25,3197/24,5524/27,8772/23,2737/24,5524/25,5754</t>
  </si>
  <si>
    <t>20,2046/27,11/25,3197/26,8542/22,7621/18,6701/22,7621/27,8772/29,156/30,179/29,4118/30,6905/26,5985/21,9949/18,1586/24,2967/24,5524/25,0639/24,0409/24,2967/23,7852/25,0639/25,3197/21,2276/25,3197/25,8312/28,9003/29,156/29,156/29,9233/29,4118/28,6445/29,156/29,6675/20,4604/21,4834/22,5064/23,5294/23,7852/25,0639/24,5524/25,3197/25,0639/16,3683/26,087/18,4143/24,0409/21,2276/24,5524/24,2967/22,5064/27,8772/22,7621/25,5754</t>
  </si>
  <si>
    <t>20,7161/26,3427/23,0179/22,5064/19,1816/28,133/20,7161/23,5294/23,7852/23,0179/20,2046/23,7852/18,4143/24,5524/25,3197/24,8082/25,5754/24,2967/25,5754/25,3197/24,8082</t>
  </si>
  <si>
    <t>Bm8560</t>
  </si>
  <si>
    <t>WBGene00228821</t>
  </si>
  <si>
    <t>/GO:0004672/GO:0005524/GO:0006468/</t>
  </si>
  <si>
    <t>/ATP_binding/protein_kinase_activity/protein_phosphorylation/</t>
  </si>
  <si>
    <t>/"Catalysis_of_the_phosphorylation_of_an_amino_acid_residue_in_a_protein,_usually_according_to_the_reaction:_a_protein_+_ATP_=_a_phosphoprotein_+_ADP."_[MetaCyc:PROTEIN-KINASE-RXN]/"Interacting_selectively_and_non-covalently_with_ATP,_adenosine_5'-triphosphate,_a_universally_important_coenzyme_and_enzyme_regulator."_[ISBN:0198506732]/"The_process_of_introducing_a_phosphate_group_on_to_a_protein."_[GOC:hb]/</t>
  </si>
  <si>
    <t>/IPR000719/IPR011009/</t>
  </si>
  <si>
    <t>/Protein_kinase-like_domain_superfamily/Protein_kinase_domain/</t>
  </si>
  <si>
    <t>/Kinase-like_dom_sf/Prot_kinase_dom/</t>
  </si>
  <si>
    <t>7209.EFO21206.1</t>
  </si>
  <si>
    <t>9.1e-290</t>
  </si>
  <si>
    <t>1002.3</t>
  </si>
  <si>
    <t>KOG0589@1,KOG0589@2759</t>
  </si>
  <si>
    <t>Bm8636</t>
  </si>
  <si>
    <t>WBGene00228897</t>
  </si>
  <si>
    <t>IPR001810/</t>
  </si>
  <si>
    <t>F-box_domain/</t>
  </si>
  <si>
    <t>F-box_dom/</t>
  </si>
  <si>
    <t>Bm8669</t>
  </si>
  <si>
    <t>WBGene00228930</t>
  </si>
  <si>
    <t>61,0561/61,0561/61,0561</t>
  </si>
  <si>
    <t>57,4257/10,5611</t>
  </si>
  <si>
    <t>Bm8670</t>
  </si>
  <si>
    <t>WBGene00228931</t>
  </si>
  <si>
    <t>GO:0006811/GO:0015078/GO:0015991/GO:0033180/</t>
  </si>
  <si>
    <t>ATP_hydrolysis_coupled_proton_transport/ion_transport/proton-transporting_V-type_ATPase,_V1_domain/proton_transmembrane_transporter_activity/</t>
  </si>
  <si>
    <t>A_protein_complex_that_forms_part_of_a_proton-transporting_V-type_ATPase_and_catalyzes_ATP_hydrolysis._The_V1_complex_consists_of:_(1)_a_globular_headpiece_with_three_alternating_copies_of_subunits_A_and_B_that_form_a_ring,_(2)_a_central_rotational_stalk_composed_of_single_copies_of_subunits_D_and_F,_and_(3)_a_peripheral_stalk_made_of_subunits_C,_E,_G_and_H._Subunits_A_and_B_mediate_the_hydrolysis_of_ATP_at_three_reaction_sites_associated_with_subunit_A._[GOC:mah,_ISBN:0716743663,_PMID:16449553]/"Enables_the_transfer_of_a_proton_from_one_side_of_a_membrane_to_the_other."_[GOC:ai]/"The_directed_movement_of_charged_atoms_or_small_charged_molecules_into,_out_of_or_within_a_cell,_or_between_cells,_by_means_of_some_agent_such_as_a_transporter_or_pore."_[GOC:ai]/"The_transport_of_protons_against_an_electrochemical_gradient,_using_energy_from_ATP_hydrolysis."_[GOC:mah,_GOC:vw]/</t>
  </si>
  <si>
    <t>IPR004907/IPR036132/</t>
  </si>
  <si>
    <t>ATPase,_V1_complex,_subunit_C/Vacuolar_ATP_synthase_subunit_C_superfamily/</t>
  </si>
  <si>
    <t>ATPase_V1-cplx_csu/Vac_ATP_synth_c_sf/</t>
  </si>
  <si>
    <t>note=contains_similarity_to_Pfam_domain_PF03223_V-ATPasesubunit_C_contains_similarity_to_Interpro_domain_IPR004907(ATPase,_V1_complex,_subunit_C)</t>
  </si>
  <si>
    <t>7209.EFO23227.1</t>
  </si>
  <si>
    <t>1.2e-152</t>
  </si>
  <si>
    <t>546.2</t>
  </si>
  <si>
    <t>1KUBX@119089,38C54@33154,3BBW4@33208,3CTY9@33213,40AZ3@6231,COG5127@1,KOG2909@2759</t>
  </si>
  <si>
    <t>Subunit of the peripheral V1 complex of vacuolar ATPase. Subunit C is necessary for the assembly of the catalytic sector of the enzyme and is likely to have a specific function in its catalytic activity. V-ATPase is responsible for acidifying a variety of intracellular compartments in eukaryotic cells</t>
  </si>
  <si>
    <t>72,8261/72,8261</t>
  </si>
  <si>
    <t>63,3152/63,3152/63,3152</t>
  </si>
  <si>
    <t>25/26,3587</t>
  </si>
  <si>
    <t>22,5543/8,15217/20,3804</t>
  </si>
  <si>
    <t>25/24,4565</t>
  </si>
  <si>
    <t>24,4565/25,2717</t>
  </si>
  <si>
    <t>24,1848/23,0978/22,8261</t>
  </si>
  <si>
    <t>WBGene00006920</t>
  </si>
  <si>
    <t>27.1739</t>
  </si>
  <si>
    <t>Bm8703</t>
  </si>
  <si>
    <t>WBGene00228964</t>
  </si>
  <si>
    <t>7.5e-75</t>
  </si>
  <si>
    <t>16,3488/17,4387/16,3488</t>
  </si>
  <si>
    <t>WBGene00009326</t>
  </si>
  <si>
    <t>19.0736</t>
  </si>
  <si>
    <t>Bm8746</t>
  </si>
  <si>
    <t>WBGene00229007</t>
  </si>
  <si>
    <t>IPR006578/</t>
  </si>
  <si>
    <t>MADF_domain/</t>
  </si>
  <si>
    <t>MADF-dom/</t>
  </si>
  <si>
    <t>14,8773/40,0307</t>
  </si>
  <si>
    <t>31,9018/21,7791</t>
  </si>
  <si>
    <t>Bm8753</t>
  </si>
  <si>
    <t>WBGene00229014</t>
  </si>
  <si>
    <t>41,8919/18,4685</t>
  </si>
  <si>
    <t>Bm8790</t>
  </si>
  <si>
    <t>WBGene00229051</t>
  </si>
  <si>
    <t>99,187/100</t>
  </si>
  <si>
    <t>Bm8843</t>
  </si>
  <si>
    <t>WBGene00229104</t>
  </si>
  <si>
    <t>48,7524/22,2649</t>
  </si>
  <si>
    <t>Bm8863</t>
  </si>
  <si>
    <t>WBGene00229124</t>
  </si>
  <si>
    <t>note=B._malayi_BMA-CUTL-6_protein,_contains_similarity_to_Pfam_domain_PF00100_Zona_pellucida-like_domain_contains_similarity_to_Interpro_domain_IPR001507_(Zona_pellucida_domain)</t>
  </si>
  <si>
    <t>7209.EFO15418.2</t>
  </si>
  <si>
    <t>1.5e-168</t>
  </si>
  <si>
    <t>599.0</t>
  </si>
  <si>
    <t>1KYP8@119089,3AF8T@33154,3BX2Z@33208,3DE1H@33213,40G0B@6231,KOG3530@1,KOG3530@2759</t>
  </si>
  <si>
    <t>Bm8906</t>
  </si>
  <si>
    <t>WBGene00229167</t>
  </si>
  <si>
    <t>GO:0005544/GO:0006887/GO:0016020/GO:0046928/GO:0060291/</t>
  </si>
  <si>
    <t>calcium-dependent_phospholipid_binding/exocytosis/long-term_synaptic_potentiation/membrane/regulation_of_neurotransmitter_secretion/</t>
  </si>
  <si>
    <t>A_lipid_bilayer_along_with_all_the_proteins_and_protein_complexes_embedded_in_it_an_attached_to_it._[GOC:dos,_GOC:mah,_ISBN:0815316194]/"A_process_of_secretion_by_a_cell_that_results_in_the_release_of_intracellular_molecules_(e.g._hormones,_matrix_proteins)_contained_within_a_membrane-bounded_vesicle._Exocytosis_can_occur_either_by_full_fusion,_when_the_vesicle_collapses_into_the_plasma_membrane,_or_by_a_kiss-and-run_mechanism_that_involves_the_formation_of_a_transient_contact,_a_pore,_between_a_granule_(for_exemple_of_chromaffin_cells)_and_the_plasma_membrane._The_latter_process_most_of_the_time_leads_to_only_partial_secretion_of_the_granule_content._Exocytosis_begins_with_steps_that_prepare_vesicles_for_fusion_with_the_membrane_(tethering_and_docking)_and_ends_when_molecules_are_secreted_from_the_cell."_[GOC:mah,_ISBN:0716731363,_PMID:22323285]/"A_process_that_modulates_synaptic_plasticity_such_that_synapses_are_changed_resulting_in_the_increase_in_the_rate,_or_frequency_of_synaptic_transmission_at_the_synapse."_[GOC:dgh,_GOC:dph]/"Any_process_that_modulates_the_frequency,_rate_or_extent_of_the_regulated_release_of_a_neurotransmitter_from_a_cell."_[GOC:ai]/"Interacting_selectively_and_non-covalently_with_phospholipids,_a_class_of_lipids_containing_phosphoric_acid_as_a_mono-_or_diester,_in_the_presence_of_calcium."_[GOC:jl]/</t>
  </si>
  <si>
    <t>IPR000008/IPR030537/IPR035892/</t>
  </si>
  <si>
    <t>C2_domain/C2_domain_superfamily/Synaptotagmin-12/</t>
  </si>
  <si>
    <t>C2_dom/C2_domain_sf/SYT12/</t>
  </si>
  <si>
    <t>note=contains_similarity_to_Pfam_domain_PF00168_C2_domain_contains_similarity_to_Interpro_domains_IPR030537_(Synaptotagmin-12),_IPR000008_(C2_domain)</t>
  </si>
  <si>
    <t>28377.ENSACAP00000013394</t>
  </si>
  <si>
    <t>5.1e-11</t>
  </si>
  <si>
    <t>75.1</t>
  </si>
  <si>
    <t>38TEH@33154,3BB7Z@33208,3D1IA@33213,481F2@7711,48V66@7742,KOG1028@1,KOG1028@2759</t>
  </si>
  <si>
    <t>TU</t>
  </si>
  <si>
    <t>synaptotagmin XII</t>
  </si>
  <si>
    <t>47,4576/36,2712</t>
  </si>
  <si>
    <t>Bm892</t>
  </si>
  <si>
    <t>WBGene00221153</t>
  </si>
  <si>
    <t>Bm8938</t>
  </si>
  <si>
    <t>WBGene00229199</t>
  </si>
  <si>
    <t>25/54,2308/51,1538/27,6923/57,3077/56,5385/23,0769</t>
  </si>
  <si>
    <t>Bm8952</t>
  </si>
  <si>
    <t>WBGene00229213</t>
  </si>
  <si>
    <t>Bm8981</t>
  </si>
  <si>
    <t>WBGene00229242</t>
  </si>
  <si>
    <t>Bm9013</t>
  </si>
  <si>
    <t>WBGene00229274</t>
  </si>
  <si>
    <t>Bm9032</t>
  </si>
  <si>
    <t>WBGene00229293</t>
  </si>
  <si>
    <t>note=contains_similarity_to_Pfam_domains_PF13424_(Tetratricopeptide_repeat),_PF09311_(Rabaptin-like_protein)_contains_similarity_to_Interpro_domains_IPR011990_(Tetratricopeptide-like_helical_domain),_IPR002151_(Kinesin_light_chain),_IPR015390_(Rabaptin,_GTPase-Rab5_binding_domain),_IPR019734_(Tetratricopeptide_repeat)</t>
  </si>
  <si>
    <t>5.4e-120</t>
  </si>
  <si>
    <t>437.6</t>
  </si>
  <si>
    <t>53,2353/69,1176</t>
  </si>
  <si>
    <t>3,52941/66,7647/12,6471/67,6471</t>
  </si>
  <si>
    <t>65/30/65,2941/65,2941/11,7647</t>
  </si>
  <si>
    <t>63,5294/57,6471</t>
  </si>
  <si>
    <t>54,4118/10,5882</t>
  </si>
  <si>
    <t>63,5294/63,8235</t>
  </si>
  <si>
    <t>61.1765</t>
  </si>
  <si>
    <t>Bm9050</t>
  </si>
  <si>
    <t>WBGene00229311</t>
  </si>
  <si>
    <t>Bm9051</t>
  </si>
  <si>
    <t>WBGene00229312</t>
  </si>
  <si>
    <t>Bm9055</t>
  </si>
  <si>
    <t>WBGene00229316</t>
  </si>
  <si>
    <t>Bm9073</t>
  </si>
  <si>
    <t>WBGene00229334</t>
  </si>
  <si>
    <t>7209.EJD74002.1</t>
  </si>
  <si>
    <t>7.2e-42</t>
  </si>
  <si>
    <t>1KX8U@119089,2CHZ7@1,2SGG9@2759,3ADZU@33154,3BWHC@33208,3DCJG@33213,40F1V@6231</t>
  </si>
  <si>
    <t>Bm9093</t>
  </si>
  <si>
    <t>WBGene00229354</t>
  </si>
  <si>
    <t>IPR029201/</t>
  </si>
  <si>
    <t>Jiraiya/</t>
  </si>
  <si>
    <t>note=contains_similarity_to_Pfam_domain_PF15038_Jiraiya_contains_similarity_to_Interpro_domain_IPR029201_(Jiraiya)</t>
  </si>
  <si>
    <t>Bm9099</t>
  </si>
  <si>
    <t>WBGene00229360</t>
  </si>
  <si>
    <t>IPR011989/IPR016024/</t>
  </si>
  <si>
    <t>Armadillo-like_helical/Armadillo-type_fold/</t>
  </si>
  <si>
    <t>ARM-like/ARM-type_fold/</t>
  </si>
  <si>
    <t>note=contains_similarity_to_Interpro_domains_IPR011989_(Armadillo-like_helical),_IPR016024_(Armadillo-type_fold)</t>
  </si>
  <si>
    <t>12,4675/39,3507</t>
  </si>
  <si>
    <t>Bm9129</t>
  </si>
  <si>
    <t>WBGene00229390</t>
  </si>
  <si>
    <t>IPR039918/</t>
  </si>
  <si>
    <t>Serine/threonine-protein_phosphatase_4_regulatory_subunit_4/</t>
  </si>
  <si>
    <t>PPP4R4/</t>
  </si>
  <si>
    <t>7209.EFO23858.2</t>
  </si>
  <si>
    <t>2.4e-56</t>
  </si>
  <si>
    <t>225.7</t>
  </si>
  <si>
    <t>ko:K15426</t>
  </si>
  <si>
    <t>ko00000,ko01009,ko03400</t>
  </si>
  <si>
    <t>1KV4Q@119089,38QVM@33154,3BGU3@33208,3CYMT@33213,40AM0@6231,KOG0211@1,KOG0211@2759</t>
  </si>
  <si>
    <t>regulation of protein serine/threonine phosphatase activity</t>
  </si>
  <si>
    <t>Bm9148</t>
  </si>
  <si>
    <t>WBGene00229409</t>
  </si>
  <si>
    <t>IPR002999/</t>
  </si>
  <si>
    <t>Tudor_domain/</t>
  </si>
  <si>
    <t>Tudor/</t>
  </si>
  <si>
    <t>note=contains_similarity_to_Pfam_domain_PF00567_Tudor_domain_contains_similarity_to_Interpro_domain_IPR002999_(Tudor_domain)</t>
  </si>
  <si>
    <t>13,8756/59,3301</t>
  </si>
  <si>
    <t>Bm9168</t>
  </si>
  <si>
    <t>WBGene00229429</t>
  </si>
  <si>
    <t>Bm9169</t>
  </si>
  <si>
    <t>WBGene00229430</t>
  </si>
  <si>
    <t>note=contains_similarity_to_Pfam_domains_PF15481_(Chondroitin_proteoglycan_4),_PF13639_(Ring_finger_domain)_contains_similarity_to_Interpro_domains_IPR001841_(Zinc_finger,_RING-type),_IPR013083_(Zinc_finger,_RING/FYVE/PHD-type),_IPR015943_(WD40/YVTN_repeat-like-containing_domain),_IPR029153_(Chondroitin_proteoglycan_4)</t>
  </si>
  <si>
    <t>Bm9175</t>
  </si>
  <si>
    <t>WBGene00229436</t>
  </si>
  <si>
    <t>IPR002048/IPR011992/IPR018247/IPR041534/</t>
  </si>
  <si>
    <t>EF-Hand_1,_calcium-binding_site/EF-hand_domain/EF-hand_domain_pair/PP2A_regulatory_subunit_B'',_EF-hand_domain/</t>
  </si>
  <si>
    <t>EF-hand-dom_pair/EF-hand_13/EF_Hand_1_Ca_BS/EF_hand_dom/</t>
  </si>
  <si>
    <t>note=contains_similarity_to_Pfam_domain_PF13499_EF-hand_domain_pair_contains_similarity_to_Interpro_domain_IPR011992_(EF-hand_domain_pair)</t>
  </si>
  <si>
    <t>7209.EFO18289.1</t>
  </si>
  <si>
    <t>1.1e-171</t>
  </si>
  <si>
    <t>610.5</t>
  </si>
  <si>
    <t>38EFV@33154,3BBE0@33208,3CUHV@33213,40B9P@6231,KOG2562@1,KOG2562@2759</t>
  </si>
  <si>
    <t>EF-hand domain pair</t>
  </si>
  <si>
    <t>16,8153/21,4013</t>
  </si>
  <si>
    <t>23,3121/23,3121</t>
  </si>
  <si>
    <t>WBGene00018373</t>
  </si>
  <si>
    <t>22.9299</t>
  </si>
  <si>
    <t>Bm9236</t>
  </si>
  <si>
    <t>WBGene00229497</t>
  </si>
  <si>
    <t>note=B._malayi_BMA-ODD-2_protein,_contains_similarity_toPfam_domains_PF13465_(Zinc-finger_double_domain),_PF00096(Zinc_finger,_C2H2_type)_contains_similarity_to_Interprodomains_IPR015880_(Zinc_finger,_C2H2-like),_IPR013087(Zinc_finger_C2H2-type/integrase_DNA-binding_domain),IPR007087_(Zinc_finger,_C2H2)</t>
  </si>
  <si>
    <t>7209.EFO27899.2</t>
  </si>
  <si>
    <t>2.6e-106</t>
  </si>
  <si>
    <t>ko:K09215</t>
  </si>
  <si>
    <t>1KW19@119089,38FCJ@33154,3B9IA@33208,3CUGX@33213,40DGC@6231,KOG1721@1,KOG1721@2759</t>
  </si>
  <si>
    <t>transcription, DNA-templated</t>
  </si>
  <si>
    <t>21,4493/21,1594</t>
  </si>
  <si>
    <t>26,087/22,6087</t>
  </si>
  <si>
    <t>24,6377/24,6377</t>
  </si>
  <si>
    <t>26,6667/26,087</t>
  </si>
  <si>
    <t>Bm9243</t>
  </si>
  <si>
    <t>WBGene00229504</t>
  </si>
  <si>
    <t>IPR029021/</t>
  </si>
  <si>
    <t>Protein-tyrosine_phosphatase-like/</t>
  </si>
  <si>
    <t>Prot-tyrosine_phosphatase-like/</t>
  </si>
  <si>
    <t>note=contains_similarity_to_Interpro_domain_IPR029021_(Protein-tyrosine_phosphatase-like)</t>
  </si>
  <si>
    <t>Bm9256</t>
  </si>
  <si>
    <t>WBGene00229517</t>
  </si>
  <si>
    <t>Bm9257</t>
  </si>
  <si>
    <t>WBGene00229518</t>
  </si>
  <si>
    <t>6,16822/26,1682</t>
  </si>
  <si>
    <t>Bm9276</t>
  </si>
  <si>
    <t>WBGene00229537</t>
  </si>
  <si>
    <t>23,8806/23,6674/13,6461</t>
  </si>
  <si>
    <t>31,7697/52,6652</t>
  </si>
  <si>
    <t>54,371/26,4392</t>
  </si>
  <si>
    <t>Bm9288</t>
  </si>
  <si>
    <t>WBGene00229549</t>
  </si>
  <si>
    <t>Bm9317</t>
  </si>
  <si>
    <t>WBGene00229578</t>
  </si>
  <si>
    <t>GO:0003677/GO:0004879/GO:0005496/GO:0005634/GO:0006355/GO:0016020/GO:0016021/GO:0030521/</t>
  </si>
  <si>
    <t>DNA_binding/androgen_receptor_signaling_pathway/integral_component_of_membrane/membrane/nuclear_receptor_activity/nucleus/regulation_of_transcription,_DNA-templated/steroid_binding/</t>
  </si>
  <si>
    <t>A_lipid_bilayer_along_with_all_the_proteins_and_protein_complexes_embedded_in_it_an_attached_to_it._[GOC:dos,_GOC:mah,_ISBN:0815316194]/"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Any_process_that_modulates_the_frequency,_rate_or_extent_of_cellular_DNA-templated_transcription."_[GOC:go_curators,_GOC:txnOH]/"Any_series_of_molecular_signals_generated_as_a_consequence_of_an_androgen_binding_to_its_receptor."_[GOC:mah]/"Combining_with_a_signal_and_transmitting_the_signal_to_the_transcriptional_machinery_by_interacting_selectively_and_non-covalently_with_a_specific_DNA_sequence_in_order_to_modulate_transcription_by_RNA_polymerase_II."_[GOC:signaling,_GOC:txnOH]/"Interacting_selectively_and_non-covalently_with_a_steroid,_any_of_a_large_group_of_substances_that_have_in_common_a_ring_system_based_on_1,2-cyclopentanoperhydrophenanthrene."_[GOC:jl,_ISBN:0198506732]/"The_component_of_a_membrane_consisting_of_the_gene_products_and_protein_complexes_having_at_least_some_part_of_their_peptide_sequence_embedded_in_the_hydrophobic_region_of_the_membrane."_[GOC:dos,_GOC:go_curators]/</t>
  </si>
  <si>
    <t>IPR001103/</t>
  </si>
  <si>
    <t>Androgen_receptor/</t>
  </si>
  <si>
    <t>Andrgn_rcpt/</t>
  </si>
  <si>
    <t>Bm9331</t>
  </si>
  <si>
    <t>WBGene00229592</t>
  </si>
  <si>
    <t>IPR000697/IPR011993/</t>
  </si>
  <si>
    <t>PH-like_domain_superfamily/WH1/EVH1_domain/</t>
  </si>
  <si>
    <t>PH-like_dom_sf/WH1/EVH1_dom/</t>
  </si>
  <si>
    <t>Bm9370</t>
  </si>
  <si>
    <t>WBGene00229631</t>
  </si>
  <si>
    <t>49,0741/75,463</t>
  </si>
  <si>
    <t>Bm9376</t>
  </si>
  <si>
    <t>WBGene00229637</t>
  </si>
  <si>
    <t>IPR001478/IPR036034/IPR040264/IPR041489/</t>
  </si>
  <si>
    <t>PDZ_domain/PDZ_domain_6/PDZ_superfamily/Uncharacterized_protein_T15H9.4-like/</t>
  </si>
  <si>
    <t>PDZ/PDZ_6/PDZ_sf/T15H9.4-like/</t>
  </si>
  <si>
    <t>note=contains_similarity_to_Interpro_domain_IPR001478_(PDZ_domain)</t>
  </si>
  <si>
    <t>7209.EFO20293.2</t>
  </si>
  <si>
    <t>9.1e-142</t>
  </si>
  <si>
    <t>509.6</t>
  </si>
  <si>
    <t>1KTJ5@119089,39VJ5@33154,3BP3W@33208,3D57M@33213,40BNK@6231,KOG3528@1,KOG3528@2759</t>
  </si>
  <si>
    <t>male meiosis chromosome segregation</t>
  </si>
  <si>
    <t>67,2727/68</t>
  </si>
  <si>
    <t>55,6364/46,5455/25,8182/56,3636</t>
  </si>
  <si>
    <t>60,3636/58,9091</t>
  </si>
  <si>
    <t>52/52</t>
  </si>
  <si>
    <t>WBGene00007733/WBGene00020661</t>
  </si>
  <si>
    <t>Bm938</t>
  </si>
  <si>
    <t>WBGene00221199</t>
  </si>
  <si>
    <t>Bm9454</t>
  </si>
  <si>
    <t>WBGene00229715</t>
  </si>
  <si>
    <t>IPR001611/IPR003591/IPR032675/</t>
  </si>
  <si>
    <t>Leucine-rich_repeat/Leucine-rich_repeat,_typical_subtype/Leucine-rich_repeat_domain_superfamily/</t>
  </si>
  <si>
    <t>LRR_dom_sf/Leu-rich_rpt/Leu-rich_rpt_typical-subtyp/</t>
  </si>
  <si>
    <t>note=B._malayi_BMA-LRON-9_protein,_contains_similarity_to_Pfam_domains_PF13855_(Leucine_rich_repeat),_PF12799_(Leucine_Rich_repeats_(2_copies))_contains_similarity_to_Interpro_domains_IPR025875_(Leucine_rich_repeat_4),_IPR001611_(Leucine-rich_repeat),_IPR003591_(Leucine-rich_repeat,_typical_subtype)</t>
  </si>
  <si>
    <t>1561998.Csp11.Scaffold630.g16891.t1</t>
  </si>
  <si>
    <t>3.4e-33</t>
  </si>
  <si>
    <t>150.2</t>
  </si>
  <si>
    <t>1KZ6F@119089,3AMF7@33154,3C0YD@33208,3DGYP@33213,40GCS@6231,4100R@6236,COG4886@1,KOG0619@2759</t>
  </si>
  <si>
    <t>30,2671/30,2671</t>
  </si>
  <si>
    <t>12,6113/14,095/12,7596/15,5786/8,45697/15,5786</t>
  </si>
  <si>
    <t>12,0178/14,095</t>
  </si>
  <si>
    <t>Bm9487</t>
  </si>
  <si>
    <t>WBGene00229748</t>
  </si>
  <si>
    <t>IPR006652/IPR011498/IPR015915/</t>
  </si>
  <si>
    <t>Kelch-type_beta_propeller/Kelch_repeat_type_1/Kelch_repeat_type_2/</t>
  </si>
  <si>
    <t>Kelch-typ_b-propeller/Kelch_1/Kelch_2/</t>
  </si>
  <si>
    <t>note=contains_similarity_to_Pfam_domains_PF01344_(Kelch_motif),_PF13418_(Galactose_oxidase,_central_domain)_contains_similarity_to_Interpro_domains_IPR006652_(Kelch_repeat_type_1),_IPR015915_(Kelch-type_beta_propeller)</t>
  </si>
  <si>
    <t>1.1e-55</t>
  </si>
  <si>
    <t>224.2</t>
  </si>
  <si>
    <t>20,4604/30,4348</t>
  </si>
  <si>
    <t>19,4373/18,4143/12,0205/19,1816</t>
  </si>
  <si>
    <t>18,4143/18,4143/12,2762/19,1816</t>
  </si>
  <si>
    <t>14,3223/14,0665/16,1125/14,0665</t>
  </si>
  <si>
    <t>32.9923</t>
  </si>
  <si>
    <t>Bm9525</t>
  </si>
  <si>
    <t>WBGene00229786</t>
  </si>
  <si>
    <t>GO:0003785/GO:0007015/</t>
  </si>
  <si>
    <t>actin_filament_organization/actin_monomer_binding/</t>
  </si>
  <si>
    <t>A_process_that_is_carried_out_at_the_cellular_level_which_results_in_the_assembly,_arrangement_of_constituent_parts,_or_disassembly_of_cytoskeletal_structures_comprising_actin_filaments._Includes_processes_that_control_the_spatial_distribution_of_actin_filaments,_such_as_organizing_filaments_into_meshworks,_bundles,_or_other_structures,_as_by_cross-linking._[GOC:mah]/"Interacting_selectively_and_non-covalently_with_monomeric_actin,_also_known_as_G-actin."_[GOC:ai]/</t>
  </si>
  <si>
    <t>IPR001152/IPR038386/</t>
  </si>
  <si>
    <t>Beta-thymosin/Beta-thymosin_superfamily/</t>
  </si>
  <si>
    <t>Beta-thymosin/Beta-thymosin_sf/</t>
  </si>
  <si>
    <t>note=B._malayi_BMA-TTH-1_protein,_contains_similarity_toPfam_domain_PF01290_Thymosin_beta-4_family_containssimilarity_to_Interpro_domain_IPR001152_(Beta-thymosin)</t>
  </si>
  <si>
    <t>7209.EFO19717.1</t>
  </si>
  <si>
    <t>4.4e-15</t>
  </si>
  <si>
    <t>87.8</t>
  </si>
  <si>
    <t>1KZQG@119089,3A1B6@33154,3BPZJ@33208,3D6Y7@33213,40GRW@6231,KOG4794@1,KOG4794@2759</t>
  </si>
  <si>
    <t>N</t>
  </si>
  <si>
    <t>Thymosin beta actin-binding motif.</t>
  </si>
  <si>
    <t>Bm9617</t>
  </si>
  <si>
    <t>WBGene00229878</t>
  </si>
  <si>
    <t>7209.EFO16786.2</t>
  </si>
  <si>
    <t>2e-195</t>
  </si>
  <si>
    <t>689.5</t>
  </si>
  <si>
    <t>38UBD@33154,3BITN@33208,3CY73@33213,COG0666@1,KOG0504@2759</t>
  </si>
  <si>
    <t>calmodulin binding</t>
  </si>
  <si>
    <t>3,51317/8,28105/4,14053/3,88959</t>
  </si>
  <si>
    <t>16,3112/16,0602/16,3112/8,78294</t>
  </si>
  <si>
    <t>16,3112/15,8093/9,15935/16,3112</t>
  </si>
  <si>
    <t>12,6725/15,3074/9,66123/8,28105/17,6913/16,0602</t>
  </si>
  <si>
    <t>Bm9622</t>
  </si>
  <si>
    <t>WBGene00229883</t>
  </si>
  <si>
    <t>7209.EJD73927.1</t>
  </si>
  <si>
    <t>5.9e-173</t>
  </si>
  <si>
    <t>613.6</t>
  </si>
  <si>
    <t>ko:K04511</t>
  </si>
  <si>
    <t>1KYS5@119089,38HNJ@33154,3BAH0@33208,3CRZ2@33213,40C3N@6231,KOG1704@1,KOG1704@2759</t>
  </si>
  <si>
    <t>Zinc-binding domain present in Lin-11, Isl-1, Mec-3.</t>
  </si>
  <si>
    <t>66,0221/66,0221</t>
  </si>
  <si>
    <t>16,2983/11,0497</t>
  </si>
  <si>
    <t>Bm9699</t>
  </si>
  <si>
    <t>WBGene00229960</t>
  </si>
  <si>
    <t>IPR001680/IPR015943/IPR017986/IPR036322/</t>
  </si>
  <si>
    <t>WD40-repeat-containing_domain/WD40-repeat-containing_domain_superfamily/WD40/YVTN_repeat-like-containing_domain_superfamily/WD40_repeat/</t>
  </si>
  <si>
    <t>WD40/YVTN_repeat-like_dom_sf/WD40_repeat/WD40_repeat_dom/WD40_repeat_dom_sf/</t>
  </si>
  <si>
    <t>7209.EJD75284.1</t>
  </si>
  <si>
    <t>7.3e-74</t>
  </si>
  <si>
    <t>284.6</t>
  </si>
  <si>
    <t>GO:0000122,GO:0003674,GO:0005488,GO:0005515,GO:0005575,GO:0005622,GO:0005623,GO:0005634,GO:0005737,GO:0005739,GO:0005740,GO:0005741,GO:0006355,GO:0006357,GO:0006508,GO:0006511,GO:0006807,GO:0007275,GO:0007568,GO:0008021,GO:0008134,GO:0008150,GO:0008152,GO:0008340,GO:0009056,GO:0009057,GO:0009889,GO:0009890,GO:0009892,GO:0009987,GO:0010259,GO:0010468,GO:0010498,GO:0010556,GO:0010558,GO:0010605,GO:0010629,GO:0010941,GO:0010942,GO:0012505,GO:0016020,GO:0019219,GO:0019222,GO:0019538,GO:0019867,GO:0019941,GO:0030133,GO:0030163,GO:0030424,GO:0031090,GO:0031323,GO:0031324,GO:0031326,GO:0031327,GO:0031410,GO:0031966,GO:0031967,GO:0031968,GO:0031975,GO:0031982,GO:0032501,GO:0032502,GO:0036477,GO:0040008,GO:0040014,GO:0040018,GO:0042995,GO:0043005,GO:0043025,GO:0043161,GO:0043170,GO:0043226,GO:0043227,GO:0043228,GO:0043229,GO:0043231,GO:0043232,GO:0043292,GO:0043632,GO:0044237,GO:0044238,GO:0044248,GO:0044257,GO:0044260,GO:0044265,GO:0044267,GO:0044297,GO:0044422,GO:0044424,GO:0044429,GO:0044444,GO:0044446,GO:0044449,GO:0044456,GO:0044464,GO:0045202,GO:0045892,GO:0045927,GO:0045934,GO:0048518,GO:0048519,GO:0048522,GO:0048523,GO:0048583,GO:0048585,GO:0048638,GO:0048639,GO:0048856,GO:0050789,GO:0050793,GO:0050794,GO:0051094,GO:0051171,GO:0051172,GO:0051239,GO:0051240,GO:0051252,GO:0051253,GO:0051603,GO:0055120,GO:0060255,GO:0065007,GO:0070382,GO:0071704,GO:0080090,GO:0080134,GO:0080135,GO:0097458,GO:0097708,GO:0098588,GO:0098793,GO:0098805,GO:0099080,GO:0099081,GO:0099503,GO:0099512,GO:0120025,GO:1901214,GO:1901216,GO:1901564,GO:1901565,GO:1901575,GO:1902679,GO:1903506,GO:1903507,GO:1905802,GO:1905803,GO:2000112,GO:2000113,GO:2001141</t>
  </si>
  <si>
    <t>ko:K11801</t>
  </si>
  <si>
    <t>1KU7K@119089,39TSB@33154,3BA1S@33208,3CS7K@33213,40ATC@6231,KOG0266@1,KOG0266@2759</t>
  </si>
  <si>
    <t>determination of adult lifespan</t>
  </si>
  <si>
    <t>40,3302/38,6792</t>
  </si>
  <si>
    <t>Bm9700</t>
  </si>
  <si>
    <t>WBGene00229961</t>
  </si>
  <si>
    <t>1.9e-61</t>
  </si>
  <si>
    <t>243.4</t>
  </si>
  <si>
    <t>Bm9746</t>
  </si>
  <si>
    <t>WBGene00230007</t>
  </si>
  <si>
    <t>51,1521/46,083</t>
  </si>
  <si>
    <t>54,3779/28,1106</t>
  </si>
  <si>
    <t>Bm9755</t>
  </si>
  <si>
    <t>WBGene00230016</t>
  </si>
  <si>
    <t>135651.CBN06594</t>
  </si>
  <si>
    <t>1.6e-10</t>
  </si>
  <si>
    <t>1M0BE@119089,2EUFP@1,2SWMD@2759,3AUPY@33154,3C3GQ@33208,3DJV9@33213,40HEY@6231,40S73@6236</t>
  </si>
  <si>
    <t>63,1728/50,4249</t>
  </si>
  <si>
    <t>Bm9773</t>
  </si>
  <si>
    <t>WBGene00230034</t>
  </si>
  <si>
    <t>Bm9841</t>
  </si>
  <si>
    <t>WBGene00230102</t>
  </si>
  <si>
    <t>note=contains_similarity_to_Pfam_domains_PF00104_(Ligand-binding_domain_of_nuclear_hormone_receptor),_PF00105_(Zinc_finger,_C4_type_(two_domains))_contains_similarity_to_Interpro_domains_IPR008946_(Nuclear_hormone_receptor,_ligand-binding),_IPR001728_(Thyroid_hormone_receptor),_IPR013088_(Zinc_finger,_NHR/GATA-type),_IPR001628_(Zinc_finger,_nuclear_hormone_receptor-type),_IPR000536_(Nuclear_hormone_receptor,_ligand-binding,_core)</t>
  </si>
  <si>
    <t>2e-40</t>
  </si>
  <si>
    <t>173.3</t>
  </si>
  <si>
    <t>15,9341/15,3846/15,9341</t>
  </si>
  <si>
    <t>Bm9878</t>
  </si>
  <si>
    <t>WBGene00230139</t>
  </si>
  <si>
    <t>Bm9882</t>
  </si>
  <si>
    <t>WBGene00230143</t>
  </si>
  <si>
    <t>IPR001841/IPR013083/IPR017907/IPR018957/IPR039642/</t>
  </si>
  <si>
    <t>E3_ubiquitin-protein_ligase/polycomb_group_RING_finger_protein/Zinc_finger,_C3HC4_RING-type/Zinc_finger,_RING-type/Zinc_finger,_RING-type,_conserved_site/Zinc_finger,_RING/FYVE/PHD-type/</t>
  </si>
  <si>
    <t>E3_Ub_ligase/polycomb_RING/Znf_C3HC4_RING-type/Znf_RING/Znf_RING/FYVE/PHD/Znf_RING_CS/</t>
  </si>
  <si>
    <t>note=contains_similarity_to_Pfam_domain_PF00097_Zinc_finger,_C3HC4_type_(RING_finger)_contains_similarity_to_Interpro_domains_IPR013083_(Zinc_finger,_RING/FYVE/PHD-type),_IPR018957_(Zinc_finger,_C3HC4_RING-type)</t>
  </si>
  <si>
    <t>7209.EFO23590.1</t>
  </si>
  <si>
    <t>6.2e-311</t>
  </si>
  <si>
    <t>1073.2</t>
  </si>
  <si>
    <t>38D4I@33154,3BJ4N@33208,3DPU7@33213,40H9N@6231,KOG2660@1,KOG2660@2759</t>
  </si>
  <si>
    <t>histone H2A-K119 monoubiquitination</t>
  </si>
  <si>
    <t>21,2567/15,6417/21,7914</t>
  </si>
  <si>
    <t>19,1176/9,35829</t>
  </si>
  <si>
    <t>6,68449/10,5615/5,08021/6,81818</t>
  </si>
  <si>
    <t>6,95187/10,5615/5,08021/6,95187</t>
  </si>
  <si>
    <t>6,14973/5,08021/7,21925</t>
  </si>
  <si>
    <t>Bm9980</t>
  </si>
  <si>
    <t>WBGene00230241</t>
  </si>
  <si>
    <t>IPR000504/IPR012677/IPR035979/</t>
  </si>
  <si>
    <t>Nucleotide-binding_alpha-beta_plait_domain_superfamily/RNA-binding_domain_superfamily/RNA_recognition_motif_domain/</t>
  </si>
  <si>
    <t>Nucleotide-bd_a/b_plait_sf/RBD_domain_sf/RRM_dom/</t>
  </si>
  <si>
    <t>Bm18561</t>
  </si>
  <si>
    <t>WBGene00271428</t>
  </si>
  <si>
    <t>IPR017452/</t>
  </si>
  <si>
    <t>GPCR,_rhodopsin-like,_7TM/</t>
  </si>
  <si>
    <t>GPCR_Rhodpsn_7TM/</t>
  </si>
  <si>
    <t>50,3049/40,5488</t>
  </si>
  <si>
    <t>Bm17618</t>
  </si>
  <si>
    <t>WBGene00268760</t>
  </si>
  <si>
    <t>9.3e-79</t>
  </si>
  <si>
    <t>300.1</t>
  </si>
  <si>
    <t>57,6923/57,6923/57,6923</t>
  </si>
  <si>
    <t>23,5043/57,6923</t>
  </si>
  <si>
    <t>50/50</t>
  </si>
  <si>
    <t>49,1453/48,2906</t>
  </si>
  <si>
    <t>55.1282</t>
  </si>
  <si>
    <t>Bm1598</t>
  </si>
  <si>
    <t>WBGene00221859</t>
  </si>
  <si>
    <t>Bm12798</t>
  </si>
  <si>
    <t>WBGene00233059</t>
  </si>
  <si>
    <t>IPR000668/IPR013128/IPR013201/IPR025660/IPR038765/IPR039417/</t>
  </si>
  <si>
    <t>Cathepsin_propeptide_inhibitor_domain_(I29)/Cysteine_peptidase,_histidine_active_site/Papain-like_cysteine_endopeptidase/Papain-like_cysteine_peptidase_superfamily/Peptidase_C1A/Peptidase_C1A,_papain_C-terminal/</t>
  </si>
  <si>
    <t>Papain_like_cys_pep_sf/Pept_his_AS/Peptidase_C1A/Peptidase_C1A_C/Peptidase_C1A_papain-like/Prot_inhib_I29/</t>
  </si>
  <si>
    <t>note=B._malayi_BMA-CPL-2_protein,_contains_similarity_toPfam_domains_PF08246_(Cathepsin_propeptide_inhibitordomain_(I29)),_PF00112_(Papain_family_cysteine_protease)contains_similarity_to_Interpro_domains_IPR013128(Peptidase_C1A),_IPR013201_(Proteinase_inhibitor_I29,cathepsin_propeptide),_IPR000668_(Peptidase_C1A,_papainC-terminal)</t>
  </si>
  <si>
    <t>2.3e-137</t>
  </si>
  <si>
    <t>495.4</t>
  </si>
  <si>
    <t>26,7606/27,0423</t>
  </si>
  <si>
    <t>17,4648/23,9437/28,4507/29,2958/16,0563</t>
  </si>
  <si>
    <t>17,4648/23,9437/15,7746</t>
  </si>
  <si>
    <t>Bm14333</t>
  </si>
  <si>
    <t>WBGene00234594</t>
  </si>
  <si>
    <t>6.7e-28</t>
  </si>
  <si>
    <t>132.5</t>
  </si>
  <si>
    <t>19,7623/0,148588</t>
  </si>
  <si>
    <t>18,425/20,5052</t>
  </si>
  <si>
    <t>9,50966/21,8425</t>
  </si>
  <si>
    <t>16.9391</t>
  </si>
  <si>
    <t>Bm10880</t>
  </si>
  <si>
    <t>WBGene00231141</t>
  </si>
  <si>
    <t>GO:0008289/</t>
  </si>
  <si>
    <t>lipid_binding/</t>
  </si>
  <si>
    <t>Interacting_selectively_and_non-covalently_with_a_lipid._[GOC:ai]/</t>
  </si>
  <si>
    <t>IPR017942/IPR017943/IPR032942/</t>
  </si>
  <si>
    <t>BPI/LBP/Plunc_family/Bactericidal_permeability-increasing_protein,_alpha/beta_domain_superfamily/Lipid-binding_serum_glycoprotein,_N-terminal/</t>
  </si>
  <si>
    <t>BPI/LBP/Plunc/Bactericidal_perm-incr_a/b_dom/Lipid-bd_serum_glycop_N/</t>
  </si>
  <si>
    <t>note=contains_similarity_to_Pfam_domains_PF02886_(LBP_/_BPI_/_CETP_family,_C-terminal_domain),_PF01273_(LBP_/_BPI_/_CETP_family,_N-terminal_domain)_contains_similarity_to_Interpro_domains_IPR017942_(Lipid-binding_serum_glycoprotein,_N-terminal),_IPR017943_(Bactericidal_permeability-increasing_protein,_alpha/beta_domain),_IPR001124_(Lipid-binding_serum_glycoprotein,_C-terminal)</t>
  </si>
  <si>
    <t>7209.EJD74974.1</t>
  </si>
  <si>
    <t>8.3e-32</t>
  </si>
  <si>
    <t>144.8</t>
  </si>
  <si>
    <t>1KWPS@119089,39BTY@33154,3CFV9@33208,3DX9W@33213,40EAA@6231,KOG4160@1,KOG4160@2759</t>
  </si>
  <si>
    <t>lipid binding</t>
  </si>
  <si>
    <t>20,0514/17,7378</t>
  </si>
  <si>
    <t>11,5681/11,5681</t>
  </si>
  <si>
    <t>WBGene00020563</t>
  </si>
  <si>
    <t>20.0514</t>
  </si>
  <si>
    <t>Bm1190</t>
  </si>
  <si>
    <t>WBGene00221451</t>
  </si>
  <si>
    <t>IPR005047/IPR017452/</t>
  </si>
  <si>
    <t>7TM_GPCR,_serpentine_receptor_class_xa_(Srxa)/GPCR,_rhodopsin-like,_7TM/</t>
  </si>
  <si>
    <t>7TM_GPCR_serpentine_rcpt_Srxa/GPCR_Rhodpsn_7TM/</t>
  </si>
  <si>
    <t>2.1e-94</t>
  </si>
  <si>
    <t>352.4</t>
  </si>
  <si>
    <t>Bm10899</t>
  </si>
  <si>
    <t>WBGene00231160</t>
  </si>
  <si>
    <t>7209.EFO25729.2</t>
  </si>
  <si>
    <t>2.9e-83</t>
  </si>
  <si>
    <t>1KXCU@119089,2EA9E@1,2SGI1@2759,3ADBW@33154,3BWKZ@33208,3DC9E@33213,40F3B@6231</t>
  </si>
  <si>
    <t>Bm17471</t>
  </si>
  <si>
    <t>WBGene00268614</t>
  </si>
  <si>
    <t>7209.EFO15455.1</t>
  </si>
  <si>
    <t>2.7e-11</t>
  </si>
  <si>
    <t>77.0</t>
  </si>
  <si>
    <t>11,6/11,6/6,2/13/12,8/12,2/4/11,6/11,4/6,8/6,8/1/11,4/11,4/13,4/5,8/9,4/11,6/8,2/11,8/10,4</t>
  </si>
  <si>
    <t>11,4/11,6/6,6/13,2/12,4/12,2/4,4/11,6/11,4/12,4/12,6/12,8/6,4/11/11,4/7,8</t>
  </si>
  <si>
    <t>6/10/9,4/12,2/11/10,6/11/6,8/10,4</t>
  </si>
  <si>
    <t>Bm8721</t>
  </si>
  <si>
    <t>WBGene00228982</t>
  </si>
  <si>
    <t>GO:0000786/GO:0003677/GO:0005634/GO:0046982/</t>
  </si>
  <si>
    <t>DNA_binding/nucleosome/nucleus/protein_heterodimerization_activity/</t>
  </si>
  <si>
    <t>A_complex_comprised_of_DNA_wound_around_a_multisubunit_core_and_associated_proteins,_which_forms_the_primary_packing_unit_of_DNA_into_higher_order_structures._[GOC:elh]/"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Interacting_selectively_and_non-covalently_with_a_nonidentical_protein_to_form_a_heterodimer."_[GOC:ai]/</t>
  </si>
  <si>
    <t>IPR002119/IPR009072/IPR032454/</t>
  </si>
  <si>
    <t>Histone-fold/Histone_H2A/Histone_H2A,_C-terminal_domain/</t>
  </si>
  <si>
    <t>Histone-fold/Histone_H2A/Histone_H2A_C/</t>
  </si>
  <si>
    <t>note=contains_similarity_to_Interpro_domains_IPR009072_(Histone-fold),_IPR002119_(Histone_H2A)</t>
  </si>
  <si>
    <t>7209.EFO12840.1</t>
  </si>
  <si>
    <t>4.2e-09</t>
  </si>
  <si>
    <t>ko:K11251</t>
  </si>
  <si>
    <t>ko04217,ko05034,ko05322,map04217,map05034,map05322</t>
  </si>
  <si>
    <t>ko00000,ko00001,ko03036,ko04147</t>
  </si>
  <si>
    <t>1KVRZ@119089,3A1K0@33154,3BQBZ@33208,3D75E@33213,40DFJ@6231,COG5262@1,KOG1756@2759</t>
  </si>
  <si>
    <t>Histone H2A</t>
  </si>
  <si>
    <t>Bm4585</t>
  </si>
  <si>
    <t>WBGene00224846</t>
  </si>
  <si>
    <t>6326.BUX.s00116.26</t>
  </si>
  <si>
    <t>1.4e-47</t>
  </si>
  <si>
    <t>196.4</t>
  </si>
  <si>
    <t>1KWWS@119089,28JXW@1,2QSC6@2759,39XMR@33154,3BNQV@33208,3CYGN@33213,40EX0@6231</t>
  </si>
  <si>
    <t>WBGene00010316</t>
  </si>
  <si>
    <t>39.823</t>
  </si>
  <si>
    <t>Bm10339</t>
  </si>
  <si>
    <t>WBGene00230600</t>
  </si>
  <si>
    <t>note=contains_similarity_to_Pfam_domain_PF02469_Fasciclin_domain_contains_similarity_to_Interpro_domain_IPR000782_(FAS1_domain)</t>
  </si>
  <si>
    <t>59,7436/45,8974</t>
  </si>
  <si>
    <t>37,9487/12,8205</t>
  </si>
  <si>
    <t>Bm5250</t>
  </si>
  <si>
    <t>WBGene00225511</t>
  </si>
  <si>
    <t>IPR039260/</t>
  </si>
  <si>
    <t>Chondroitin_proteoglycan_3/</t>
  </si>
  <si>
    <t>Cpg-3/</t>
  </si>
  <si>
    <t>7209.EFO25531.1</t>
  </si>
  <si>
    <t>7.1e-49</t>
  </si>
  <si>
    <t>1KX1U@119089,29JZU@1,2S7WQ@2759,3AB9I@33154,3BVAH@33208,3DBI2@33213,40ETH@6231</t>
  </si>
  <si>
    <t>38,7879/39,3939/38,1818/40,6061</t>
  </si>
  <si>
    <t>6,06061/34,5455/33,3333</t>
  </si>
  <si>
    <t>26,6667/31,5152/27,2727</t>
  </si>
  <si>
    <t>33,3333/37,5758</t>
  </si>
  <si>
    <t>18,7879/30,303</t>
  </si>
  <si>
    <t>WBGene00021898/WBGene00011063</t>
  </si>
  <si>
    <t>18.7879/30.303</t>
  </si>
  <si>
    <t>Oogenic/Spermatogenic</t>
  </si>
  <si>
    <t>Bm9741</t>
  </si>
  <si>
    <t>WBGene00230002</t>
  </si>
  <si>
    <t>Bm5727</t>
  </si>
  <si>
    <t>WBGene00225988</t>
  </si>
  <si>
    <t>note=B._malayi_BMA-TAG-140_protein,_contains_similarity_to_Pfam_domain_PF02535_ZIP_Zinc_transporter_contains_similarity_to_Interpro_domain_IPR003689_(Zinc/iron_permease)</t>
  </si>
  <si>
    <t>7209.EFO21805.2</t>
  </si>
  <si>
    <t>9.5e-164</t>
  </si>
  <si>
    <t>583.2</t>
  </si>
  <si>
    <t>tag-140</t>
  </si>
  <si>
    <t>1KUX6@119089,39X6F@33154,3BN1J@33208,3CY0Z@33213,40BXC@6231,COG0428@1,KOG2693@2759</t>
  </si>
  <si>
    <t>20,5955/18,8586/17,1216/21,0918/19,1067/21,0918/21,34</t>
  </si>
  <si>
    <t>20,8437/19,1067/17,1216/21,0918/19,8511/20,8437/21,5881</t>
  </si>
  <si>
    <t>19,8511/11,6625/20,8437/16,3772/20,0993/19,8511</t>
  </si>
  <si>
    <t>Bm9253</t>
  </si>
  <si>
    <t>WBGene00229514</t>
  </si>
  <si>
    <t>note=B._malayi_BMA-CDK-2_protein,_contains_similarity_toPfam_domain_PF00069_Protein_kinase_domain_containssimilarity_to_Interpro_domains_IPR002290(Serine/threonine/dual_specificity_protein_kinase,catalytic_domain),_IPR011009_(Protein_kinase-like_domain),IPR000719_(Protein_kinase_domain)</t>
  </si>
  <si>
    <t>7209.EFO23775.1</t>
  </si>
  <si>
    <t>1.1e-173</t>
  </si>
  <si>
    <t>615.9</t>
  </si>
  <si>
    <t>GO:0000003,GO:0000785,GO:0002119,GO:0002164,GO:0003006,GO:0003674,GO:0005488,GO:0005515,GO:0005575,GO:0005622,GO:0005623,GO:0005694,GO:0006464,GO:0006468,GO:0006793,GO:0006796,GO:0006807,GO:0006996,GO:0006997,GO:0006998,GO:0007049,GO:0007275,GO:0007346,GO:0007548,GO:0008104,GO:0008150,GO:0008152,GO:0008406,GO:0009653,GO:0009790,GO:0009791,GO:0009792,GO:0009887,GO:0009987,GO:0010256,GO:0010468,GO:0010608,GO:0016043,GO:0016310,GO:0019222,GO:0019538,GO:0022402,GO:0022411,GO:0022414,GO:0030397,GO:0030588,GO:0032501,GO:0032502,GO:0032879,GO:0032880,GO:0033036,GO:0035112,GO:0035262,GO:0036211,GO:0040035,GO:0043170,GO:0043226,GO:0043228,GO:0043229,GO:0043232,GO:0043412,GO:0044237,GO:0044238,GO:0044260,GO:0044267,GO:0044422,GO:0044424,GO:0044427,GO:0044446,GO:0044464,GO:0045137,GO:0045786,GO:0045787,GO:0045930,GO:0048513,GO:0048518,GO:0048519,GO:0048522,GO:0048523,GO:0048608,GO:0048731,GO:0048806,GO:0048815,GO:0048856,GO:0050789,GO:0050794,GO:0051081,GO:0051179,GO:0051302,GO:0051445,GO:0051446,GO:0051726,GO:0051728,GO:0051729,GO:0051782,GO:0060184,GO:0060255,GO:0060341,GO:0061024,GO:0061458,GO:0065007,GO:0071704,GO:0071840,GO:1901564,GO:1903827,GO:1903829,GO:1904375,GO:1904776,GO:1904779,GO:1904781,GO:2000241,GO:2000243</t>
  </si>
  <si>
    <t>2.7.11.22</t>
  </si>
  <si>
    <t>ko:K02206</t>
  </si>
  <si>
    <t>ko04068,ko04110,ko04114,ko04115,ko04151,ko04218,ko04914,ko04934,ko05161,ko05162,ko05165,ko05168,ko05169,ko05200,ko05203,ko05215,ko05222,ko05226,map04068,map04110,map04114,map04115,map04151,map04218,map04914,map04934,map05161,map05162,map05165,map05168,map05169,map05200,map05203,map05215,map05222,map05226</t>
  </si>
  <si>
    <t>M00692,M00693</t>
  </si>
  <si>
    <t>ko00000,ko00001,ko00002,ko01000,ko01001,ko03032,ko03036</t>
  </si>
  <si>
    <t>1KYR4@119089,3AF4D@33154,3BYSA@33208,3DFT2@33213,40FNH@6231,KOG0594@1,KOG0594@2759</t>
  </si>
  <si>
    <t>93,2515/93,2515</t>
  </si>
  <si>
    <t>53,681/53,9877/54,2945</t>
  </si>
  <si>
    <t>48,1595/48,773</t>
  </si>
  <si>
    <t>Bm8658</t>
  </si>
  <si>
    <t>WBGene00228919</t>
  </si>
  <si>
    <t>7209.EFO20919.1</t>
  </si>
  <si>
    <t>2.4e-54</t>
  </si>
  <si>
    <t>219.2</t>
  </si>
  <si>
    <t>3A1F0@33154,3BQ3F@33208,3D6U4@33213,COG0666@1,KOG0504@2759</t>
  </si>
  <si>
    <t>ankyrin repeats</t>
  </si>
  <si>
    <t>14,8148/5,92593</t>
  </si>
  <si>
    <t>Bm2011</t>
  </si>
  <si>
    <t>WBGene00222272</t>
  </si>
  <si>
    <t>7209.EFO24494.1</t>
  </si>
  <si>
    <t>6.9e-199</t>
  </si>
  <si>
    <t>700.3</t>
  </si>
  <si>
    <t>1M09M@119089,3AQCW@33154,3C24U@33208,3DI06@33213,40GP8@6231,KOG1721@1,KOG1721@2759</t>
  </si>
  <si>
    <t>nucleic acid binding</t>
  </si>
  <si>
    <t>WBGene00015523</t>
  </si>
  <si>
    <t>17.4</t>
  </si>
  <si>
    <t>Bm9704</t>
  </si>
  <si>
    <t>WBGene00229965</t>
  </si>
  <si>
    <t>32,8205/27,1795/43,0769/33,8462</t>
  </si>
  <si>
    <t>56,9231/59,4872</t>
  </si>
  <si>
    <t>Bm939</t>
  </si>
  <si>
    <t>WBGene00221200</t>
  </si>
  <si>
    <t>1.9e-75</t>
  </si>
  <si>
    <t>288.9</t>
  </si>
  <si>
    <t>44,7115/28,8462</t>
  </si>
  <si>
    <t>Bm14807</t>
  </si>
  <si>
    <t>WBGene00234992</t>
  </si>
  <si>
    <t>54,4715/43,9024</t>
  </si>
  <si>
    <t>69,1057/43,9024</t>
  </si>
  <si>
    <t>Bm14259</t>
  </si>
  <si>
    <t>WBGene00234520</t>
  </si>
  <si>
    <t>GO:0005272/GO:0006811/GO:0006814/GO:0016020/GO:0016021/GO:0035725/</t>
  </si>
  <si>
    <t>integral_component_of_membrane/ion_transport/membrane/sodium_channel_activity/sodium_ion_transmembrane_transport/sodium_ion_transport/</t>
  </si>
  <si>
    <t>A_lipid_bilayer_along_with_all_the_proteins_and_protein_complexes_embedded_in_it_an_attached_to_it._[GOC:dos,_GOC:mah,_ISBN:0815316194]/"A_process_in_which_a_sodium_ion_is_transported_from_one_side_of_a_membrane_to_the_other_by_means_of_some_agent_such_as_a_transporter_or_pore."_[GOC:vw]/"Enables_the_facilitated_diffusion_of_a_sodium_ion_(by_an_energy-independent_process)_involving_passage_through_a_transmembrane_aqueous_pore_or_channel_without_evidence_for_a_carrier-mediated_mechanism."_[GOC:BHF,_GOC:mtg_transport,_GOC:pr,_ISBN:0815340729]/"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he_directed_movement_of_sodium_ions_(Na+)_into,_out_of_or_within_a_cell,_or_between_cells,_by_means_of_some_agent_such_as_a_transporter_or_pore."_[GOC:ai]/</t>
  </si>
  <si>
    <t>IPR001873/</t>
  </si>
  <si>
    <t>Epithelial_sodium_channel/</t>
  </si>
  <si>
    <t>ENaC/</t>
  </si>
  <si>
    <t>note=contains_similarity_to_Pfam_domain_PF00858_Amiloride-sensitive_sodium_channel_contains_similarity_to_Interpro_domain_IPR001873_(Na+_channel,_amiloride-sensitive)</t>
  </si>
  <si>
    <t>7209.EFO16857.2</t>
  </si>
  <si>
    <t>8e-94</t>
  </si>
  <si>
    <t>349.7</t>
  </si>
  <si>
    <t>KOG4294@1,KOG4294@2759</t>
  </si>
  <si>
    <t>sodium channel activity</t>
  </si>
  <si>
    <t>18,6813/21,978/22,5275</t>
  </si>
  <si>
    <t>0,549451/2,1978</t>
  </si>
  <si>
    <t>15,3846/14,2857/16,4835/15,3846/12,6374/14,2857/18,6813/14,8352/15,3846/13,1868/13,1868/14,2857/19,7802</t>
  </si>
  <si>
    <t>20,8791/18,1319/18,6813/24,7253/17,033/18,1319/21,4286</t>
  </si>
  <si>
    <t>21,4286/19,7802/18,6813/25,8242/18,6813/18,1319/21,978</t>
  </si>
  <si>
    <t>2,74725/19,7802/20,8791/19,7802/19,2308/1,0989</t>
  </si>
  <si>
    <t>WBGene00013333/WBGene00010278</t>
  </si>
  <si>
    <t>0.549451/2.1978</t>
  </si>
  <si>
    <t>Bm7761</t>
  </si>
  <si>
    <t>WBGene00228022</t>
  </si>
  <si>
    <t>7209.EFO23790.1</t>
  </si>
  <si>
    <t>5.3e-111</t>
  </si>
  <si>
    <t>407.9</t>
  </si>
  <si>
    <t>17,6471/20,9719</t>
  </si>
  <si>
    <t>22,2506/30,9463</t>
  </si>
  <si>
    <t>13,2992/14,578</t>
  </si>
  <si>
    <t>13,0435/13,8107</t>
  </si>
  <si>
    <t>Bm16945</t>
  </si>
  <si>
    <t>WBGene00255599</t>
  </si>
  <si>
    <t>Bm5891</t>
  </si>
  <si>
    <t>WBGene00226152</t>
  </si>
  <si>
    <t>GO:0004222/GO:0006508/GO:0008233/GO:0008237/GO:0008270/GO:0016787/GO:0031012/GO:0046872/</t>
  </si>
  <si>
    <t>extracellular_matrix/hydrolase_activity/metal_ion_binding/metalloendopeptidase_activity/metallopeptidase_activity/peptidase_activity/proteolysis/zinc_ion_binding/</t>
  </si>
  <si>
    <t>A_structure_lying_external_to_one_or_more_cells,_which_provides_structural_support,_biochemical_or_biomechanical_cues_for_cells_or_tissues._[GOC:BHF,_GOC:mah,_GOC:rph,_NIF_Subcellular:nlx_subcell_20090513,_PMID:21123617,_PMID:28089324]/"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internal,_alpha-peptide_bonds_in_a_polypeptide_chain_by_a_mechanism_in_which_water_acts_as_a_nucleophile,_one_or_two_metal_ions_hold_the_water_molecule_in_place,_and_charged_amino_acid_side_chains_are_ligands_for_the_metal_ions."_[GOC:mah,_http://merops.sanger.ac.uk/about/glossary.htm#CATTYPE,_http://merops.sanger.ac.uk/about/glossary.htm#ENDOPEPTIDASE]/"Catalysis_of_the_hydrolysis_of_peptide_bonds_by_a_mechanism_in_which_water_acts_as_a_nucleophile,_one_or_two_metal_ions_hold_the_water_molecule_in_place,_and_charged_amino_acid_side_chains_are_ligands_for_the_metal_ions."_[GOC:mah,_http://merops.sanger.ac.uk/about/glossary.htm#CATTYPE]/"Catalysis_of_the_hydrolysis_of_various_bonds,_e.g._C-O,_C-N,_C-C,_phosphoric_anhydride_bonds,_etc._Hydrolase_is_the_systematic_name_for_any_enzyme_of_EC_class_3."_[ISBN:0198506732]/"Interacting_selectively_and_non-covalently_with_any_metal_ion."_[GOC:ai]/"Interacting_selectively_and_non-covalently_with_zinc_(Zn)_ions."_[GOC:ai]/"The_hydrolysis_of_proteins_into_smaller_polypeptides_and/or_amino_acids_by_cleavage_of_their_peptide_bonds."_[GOC:bf,_GOC:mah]/</t>
  </si>
  <si>
    <t>IPR001818/IPR006026/IPR021190/IPR024079/IPR033739/</t>
  </si>
  <si>
    <t>Metallopeptidase,_catalytic_domain_superfamily/Peptidase,_metallopeptidase/Peptidase_M10,_metallopeptidase/Peptidase_M10A/Peptidase_M10A,_catalytic_domain/</t>
  </si>
  <si>
    <t>M10A_MMP/MetalloPept_cat_dom_sf/Pept_M10A/Pept_M10_metallopeptidase/Peptidase_Metallo/</t>
  </si>
  <si>
    <t>note=contains_similarity_to_Pfam_domain_PF00413_Matrixincontains_similarity_to_Interpro_domains_IPR024079(Metallopeptidase,_catalytic_domain),_IPR021190_(PeptidaseM10A),_IPR006026_(Peptidase,_metallopeptidase),_IPR001818(Peptidase_M10,_metallopeptidase)</t>
  </si>
  <si>
    <t>7209.EFO27186.2</t>
  </si>
  <si>
    <t>2.3e-55</t>
  </si>
  <si>
    <t>222.6</t>
  </si>
  <si>
    <t>KOG1565@1,KOG1565@2759</t>
  </si>
  <si>
    <t>metalloendopeptidase activity</t>
  </si>
  <si>
    <t>21,4035/21,0526/24,5614</t>
  </si>
  <si>
    <t>22,807/20,7018/19,6491/20/20/19,2982/21,0526/20,7018/18,9474/20,7018/17,5439/20,3509/18,9474/19,6491/9,82456/20,3509/19,2982</t>
  </si>
  <si>
    <t>22,807/20,3509/20,3509/20,7018/19,6491/19,2982/18,9474/18,9474/20,3509/19,6491/20,7018/17,8947/20,3509/20/20/9,12281/20,3509/18,5965/19,6491</t>
  </si>
  <si>
    <t>19,6491/18,2456/19,6491/20,3509/21,4035/19,2982/19,6491/20,7018/20,7018/17,193/19,6491/21,4035/17,8947/21,0526/19,2982/8,77193</t>
  </si>
  <si>
    <t>WBGene00020646</t>
  </si>
  <si>
    <t>18.9474</t>
  </si>
  <si>
    <t>Bm9171</t>
  </si>
  <si>
    <t>WBGene00229432</t>
  </si>
  <si>
    <t>note=B._malayi_BMA-TAP-1_protein,_contains_similarity_toInterpro_domain_IPR001932_(Protein_phosphatase_2C(PP2C)-like_domain)</t>
  </si>
  <si>
    <t>4,95751/38,3853</t>
  </si>
  <si>
    <t>Bm1708</t>
  </si>
  <si>
    <t>WBGene00221969</t>
  </si>
  <si>
    <t>GO:0000166/GO:0000793/GO:0000794/GO:0004672/GO:0004674/GO:0005524/GO:0005819/GO:0006468/GO:0007059/GO:0018105/GO:0018107/GO:0019894/GO:0030261/GO:0031991/GO:0045184/GO:0046777/GO:0051117/GO:0051233/GO:0051256/GO:0051257/</t>
  </si>
  <si>
    <t>ATP_binding/ATPase_binding/chromosome_condensation/chromosome_segregation/condensed_chromosome/condensed_nuclear_chromosome/establishment_of_protein_localization/kinesin_binding/meiotic_spindle_midzone_assembly/mitotic_spindle_midzone_assembly/nucleotide_binding/peptidyl-serine_phosphorylation/peptidyl-threonine_phosphorylation/protein_autophosphorylation/protein_kinase_activity/protein_phosphorylation/protein_serine/threonine_kinase_activity/regulation_of_actomyosin_contractile_ring_contraction/spindle/spindle_midzone/</t>
  </si>
  <si>
    <t>A_highly_compacted_molecule_of_DNA_and_associated_proteins_resulting_in_a_cytologically_distinct_nuclear_chromosome._[GOC:elh]/"A_highly_compacted_molecule_of_DNA_and_associated_proteins_resulting_in_a_cytologically_distinct_structure."_[GOC:elh]/"Any_process_that_modulates_the_frequency,_rate_or_extent_of_contraction_of_the_actomyosin_ring_involved_in_cytokinesis_that_takes_place_as_part_of_a_cell_cycle."_[GOC:dph,_GOC:mah,_GOC:tb]/"Catalysis_of_the_phosphorylation_of_an_amino_acid_residue_in_a_protein,_usually_according_to_the_reaction:_a_protein_+_ATP_=_a_phosphoprotein_+_ADP."_[MetaCyc:PROTEIN-KINASE-RXN]/"Catalysis_of_the_reactions:_ATP_+_protein_serine_=_ADP_+_protein_serine_phosphate,_and_ATP_+_protein_threonine_=_ADP_+_protein_threonine_phosphate."_[GOC:bf]/"Interacting_selectively_and_non-covalently_and_stoichiometrically_with_kinesin,_a_member_of_a_superfamily_of_microtubule-based_motor_proteins_that_perform_force-generating_tasks_such_as_organelle_transport_and_chromosome_segregation."_[GOC:curators,_PMID:8606779]/"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_ATPase,_any_enzyme_that_catalyzes_the_hydrolysis_of_ATP."_[GOC:ai]/"The_area_in_the_center_of_the_spindle_where_the_spindle_microtubules_from_opposite_poles_overlap."_[GOC:ai,_PMID:15296749]/"The_array_of_microtubules_and_associated_molecules_that_forms_between_opposite_poles_of_a_eukaryotic_cell_during_mitosis_or_meiosis_and_serves_to_move_the_duplicated_chromosomes_apart."_[ISBN:0198547684]/"The_cell_cycle_process_in_which_the_aggregation,_arrangement_and_bonding_together_of_a_set_of_components_forms_the_spindle_midzone."_[GOC:mtg_cell_cycle,_GOC:vw,_PMID:24239120]/"The_directed_movement_of_a_protein_to_a_specific_location."_[GOC:bf]/"The_formation_of_the_spindle_midzone,_the_area_in_the_center_of_the_spindle_where_the_spindle_microtubules_from_opposite_poles_overlap,_as_a_part_of_the_process_of_meiosis."_[GOC:ai,_GOC:expert_rg,_GOC:tb]/"The_phosphorylation_by_a_protein_of_one_or_more_of_its_own_amino_acid_residues_(cis-autophosphorylation),_or_residues_on_an_identical_protein_(trans-autophosphorylation)."_[ISBN:0198506732]/"The_phosphorylation_of_peptidyl-serine_to_form_peptidyl-O-phospho-L-serine."_[RESID:AA0037]/"The_phosphorylation_of_peptidyl-threonine_to_form_peptidyl-O-phospho-L-threonine."_[RESID:AA0038]/"The_process_in_which_genetic_material,_in_the_form_of_chromosomes,_is_organized_into_specific_structures_and_then_physically_separated_and_apportioned_to_two_or_more_sets._In_eukaryotes,_chromosome_segregation_begins_with_the_condensation_of_chromosomes,_includes_chromosome_separation,_and_ends_when_chromosomes_have_completed_movement_to_the_spindle_poles."_[GOC:jl,_GOC:mah,_GOC:mtg_cell_cycle,_GOC:vw]/"The_process_of_introducing_a_phosphate_group_on_to_a_protein."_[GOC:hb]/"The_progressive_compaction_of_dispersed_interphase_chromatin_into_threadlike_chromosomes_prior_to_mitotic_or_meiotic_nuclear_division,_or_during_apoptosis,_in_eukaryotic_cells."_[GOC:mah,_ISBN:0815316194]/</t>
  </si>
  <si>
    <t>IPR000719/IPR008271/IPR011009/IPR017441/IPR030616/</t>
  </si>
  <si>
    <t>Aurora_kinase/Protein_kinase,_ATP_binding_site/Protein_kinase-like_domain_superfamily/Protein_kinase_domain/Serine/threonine-protein_kinase,_active_site/</t>
  </si>
  <si>
    <t>Aur/Kinase-like_dom_sf/Prot_kinase_dom/Protein_kinase_ATP_BS/Ser/Thr_kinase_AS/</t>
  </si>
  <si>
    <t>note=B._malayi_BMA-AIR-2_protein,_contains_similarity_toPfam_domain_PF00069_Protein_kinase_domain_containssimilarity_to_Interpro_domains_IPR030616_(Aurora_kinase),IPR016253_(Integrin-linked_protein_kinase),_IPR002290(Serine/threonine/dual_specificity_protein_kinase,catalytic_domain),_IPR011009_(Protein_kinase-like_domain),IPR000719_(Protein_kinase_domain)</t>
  </si>
  <si>
    <t>7209.EFO26867.1</t>
  </si>
  <si>
    <t>3.5e-163</t>
  </si>
  <si>
    <t>580.9</t>
  </si>
  <si>
    <t>ko:K11479,ko:K11481</t>
  </si>
  <si>
    <t>ko04114,ko04914,map04114,map04914</t>
  </si>
  <si>
    <t>ko00000,ko00001,ko01000,ko01001,ko01009,ko03036</t>
  </si>
  <si>
    <t>1KVAE@119089,38BIB@33154,3B9KX@33208,3CZ1M@33213,40BQ9@6231,KOG0580@1,KOG0580@2759</t>
  </si>
  <si>
    <t>54,6053/50/48,0263</t>
  </si>
  <si>
    <t>46,0526/56,25/45,0658</t>
  </si>
  <si>
    <t>47,6974/59,5395</t>
  </si>
  <si>
    <t>WBGene00000099</t>
  </si>
  <si>
    <t>52.9605</t>
  </si>
  <si>
    <t>Bm6693</t>
  </si>
  <si>
    <t>WBGene00226954</t>
  </si>
  <si>
    <t>IPR001849/IPR011993/IPR012966/IPR037840/</t>
  </si>
  <si>
    <t>Anillin,_PH_domain/Anillin_homology_domain/PH-like_domain_superfamily/Pleckstrin_homology_domain/</t>
  </si>
  <si>
    <t>AHD/PH-like_dom_sf/PH_Anillin/PH_domain/</t>
  </si>
  <si>
    <t>note=B._malayi_BMA-ANI-1_protein,_contains_similarity_toPfam_domains_PF00169_(PH_domain),_PF08174_(Cell_divisionprotein_anillin)_contains_similarity_to_Interpro_domainsIPR001849_(Pleckstrin_homology_domain),_IPR011993(Pleckstrin_homology-like_domain),_IPR012966_(Domain_ofunknown_function_DUF1709)</t>
  </si>
  <si>
    <t>7209.EFO28163.1</t>
  </si>
  <si>
    <t>1441.8</t>
  </si>
  <si>
    <t>38FZE@33154,3BIFS@33208,3CVII@33213,40DVI@6231,KOG3640@1,KOG3640@2759</t>
  </si>
  <si>
    <t>DZ</t>
  </si>
  <si>
    <t>Cell division protein anillin</t>
  </si>
  <si>
    <t>77,4775/77,4775</t>
  </si>
  <si>
    <t>65,2653/65,5656</t>
  </si>
  <si>
    <t>19,019/20,1201</t>
  </si>
  <si>
    <t>20,2202/20,02</t>
  </si>
  <si>
    <t>9,20921/12,8128</t>
  </si>
  <si>
    <t>Bm6301</t>
  </si>
  <si>
    <t>WBGene00226562</t>
  </si>
  <si>
    <t>GO:0000166/GO:0000793/GO:0003677/GO:0004386/GO:0005524/GO:0005634/GO:0006260/GO:0006270/GO:0016787/GO:0042555/GO:0045120/GO:1905775/</t>
  </si>
  <si>
    <t>ATP_binding/DNA_binding/DNA_replication/DNA_replication_initiation/MCM_complex/condensed_chromosome/helicase_activity/hydrolase_activity/negative_regulation_of_DNA_helicase_activity/nucleotide_binding/nucleus/pronucleus/</t>
  </si>
  <si>
    <t>A_hexameric_protein_complex_required_for_the_initiation_and_regulation_of_DNA_replication._[GOC:jl,_PMID:11282021]/"A_highly_compacted_molecule_of_DNA_and_associated_proteins_resulting_in_a_cytologically_distinct_structure."_[GOC:elh]/"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Any_process_that_stops,_prevents_or_reduces_the_frequency,_rate_or_extent_of_DNA_helicase_activity."_[GO_REF:0000059,_GOC:BHF,_GOC:BHF_telomere,_GOC:nc,_GOC:TermGenie,_PMID:19734539]/"Catalysis_of_the_hydrolysis_of_various_bonds,_e.g._C-O,_C-N,_C-C,_phosphoric_anhydride_bonds,_etc._Hydrolase_is_the_systematic_name_for_any_enzyme_of_EC_class_3."_[ISBN:0198506732]/"Catalysis_of_the_reaction:_NTP_+_H2O_=_NDP_+_phosphate,_to_drive_the_unwinding_of_a_DNA_or_RNA_helix."_[GOC:mah,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he_nucleus_of_either_the_ovum_or_the_spermatozoon_following_fertilization._Thus,_in_the_fertilized_ovum,_there_are_two_pronuclei,_one_originating_from_the_ovum,_the_other_from_the_spermatozoon_that_brought_about_fertilization;_they_approach_each_other,_but_do_not_fuse_until_just_before_the_first_cleavage,_when_each_pronucleus_loses_its_membrane_to_release_its_contents."_[ISBN:0198506732]/"The_process_in_which_DNA-dependent_DNA_replication_is_started;_this_begins_with_the_ATP_dependent_loading_of_an_initiator_complex_onto_the_DNA,_this_is_followed_by_DNA_melting_and_helicase_activity._In_bacteria,_the_gene_products_that_enable_the_helicase_activity_are_loaded_after_the_initial_melting_and_in_archaea_and_eukaryotes,_the_gene_products_that_enable_the_helicase_activity_are_inactive_when_they_are_loaded_and_subsequently_activate."_[ISBN:071673706X,_ISBN:0815316194,_PMID:28209641]/</t>
  </si>
  <si>
    <t>IPR001208/IPR008045/IPR012340/IPR018525/IPR027417/IPR027925/IPR031327/IPR033762/IPR041562/</t>
  </si>
  <si>
    <t>DNA_replication_licensing_factor_Mcm2/MCM,_AAA-lid_domain/MCM_N-terminal_domain/MCM_OB_domain/MCM_domain/Mini-chromosome_maintenance,_conserved_site/Mini-chromosome_maintenance_protein/Nucleic_acid-binding,_OB-fold/P-loop_containing_nucleoside_triphosphate_hydrolase/</t>
  </si>
  <si>
    <t>MCM/MCM2/MCM_CS/MCM_N/MCM_OB/MCM_dom/MCM_lid/NA-bd_OB-fold/P-loop_NTPase/</t>
  </si>
  <si>
    <t>note=contains_similarity_to_Pfam_domains_PF12619_(Mini-chromosome_maintenance_protein_2),_PF14551_(MCM_N-terminal_domain)_contains_similarity_to_Interpro_domains_IPR008045_(DNA_replication_licensing_factor_Mcm2),_IPR027925_(MCM_N-terminal_domain),_IPR012340_(Nucleic_acid-binding,_OB-fold)</t>
  </si>
  <si>
    <t>7209.EFO18717.1</t>
  </si>
  <si>
    <t>1655.6</t>
  </si>
  <si>
    <t>GO:0000793,GO:0005575,GO:0005622,GO:0005623,GO:0005634,GO:0005694,GO:0032991,GO:0042555,GO:0043226,GO:0043227,GO:0043228,GO:0043229,GO:0043231,GO:0043232,GO:0044424,GO:0044464,GO:0045120</t>
  </si>
  <si>
    <t>3.6.4.12</t>
  </si>
  <si>
    <t>ko:K02540</t>
  </si>
  <si>
    <t>ko03030,ko04110,ko04111,ko04113,map03030,map04110,map04111,map04113</t>
  </si>
  <si>
    <t>M00285</t>
  </si>
  <si>
    <t>ko00000,ko00001,ko00002,ko01000,ko03032,ko03036</t>
  </si>
  <si>
    <t>1KTNF@119089,38B55@33154,3BE4J@33208,3CYCH@33213,40CDG@6231,COG1241@1,KOG0477@2759</t>
  </si>
  <si>
    <t>Belongs to the MCM family</t>
  </si>
  <si>
    <t>19,5991/63,9198</t>
  </si>
  <si>
    <t>60,9131/51,6704</t>
  </si>
  <si>
    <t>17,2606/33,1849</t>
  </si>
  <si>
    <t>WBGene00003154</t>
  </si>
  <si>
    <t>66.5924</t>
  </si>
  <si>
    <t>Bm17767</t>
  </si>
  <si>
    <t>WBGene00268909</t>
  </si>
  <si>
    <t>Bm17204</t>
  </si>
  <si>
    <t>WBGene00268347</t>
  </si>
  <si>
    <t>IPR013087/</t>
  </si>
  <si>
    <t>Zinc_finger_C2H2-type/</t>
  </si>
  <si>
    <t>Znf_C2H2_type/</t>
  </si>
  <si>
    <t>1.6e-14</t>
  </si>
  <si>
    <t>87.0</t>
  </si>
  <si>
    <t>14,4737/38,4868</t>
  </si>
  <si>
    <t>Bm11665</t>
  </si>
  <si>
    <t>WBGene00231926</t>
  </si>
  <si>
    <t>6326.BUX.s01175.26</t>
  </si>
  <si>
    <t>1e-65</t>
  </si>
  <si>
    <t>259.2</t>
  </si>
  <si>
    <t>1KWZS@119089,2CDG3@1,2S3EC@2759,3A5EZ@33154,3BSA4@33208,3D8M5@33213,40DPA@6231</t>
  </si>
  <si>
    <t>2,71493/3,92157/5,50528</t>
  </si>
  <si>
    <t>4,37406/4,22323/3,84615/4,29864</t>
  </si>
  <si>
    <t>WBGene00019148</t>
  </si>
  <si>
    <t>16.4404</t>
  </si>
  <si>
    <t>Bm9827</t>
  </si>
  <si>
    <t>WBGene00230088</t>
  </si>
  <si>
    <t>25,7299/52,7372</t>
  </si>
  <si>
    <t>35,9489/16,2409</t>
  </si>
  <si>
    <t>12,4088/28,8321</t>
  </si>
  <si>
    <t>Bm17675</t>
  </si>
  <si>
    <t>WBGene00268817</t>
  </si>
  <si>
    <t>1.6e-09</t>
  </si>
  <si>
    <t>70.1</t>
  </si>
  <si>
    <t>Bm9410</t>
  </si>
  <si>
    <t>WBGene00229671</t>
  </si>
  <si>
    <t>19,9153/22,4576/34,322</t>
  </si>
  <si>
    <t>Bm10326</t>
  </si>
  <si>
    <t>WBGene00230587</t>
  </si>
  <si>
    <t>7209.EFO27791.1</t>
  </si>
  <si>
    <t>3.2e-173</t>
  </si>
  <si>
    <t>614.4</t>
  </si>
  <si>
    <t>28,0597/42,9851</t>
  </si>
  <si>
    <t>36,7164/37,0149</t>
  </si>
  <si>
    <t>41,194/41,194</t>
  </si>
  <si>
    <t>35,5224/39,403</t>
  </si>
  <si>
    <t>7,76119/36,1194</t>
  </si>
  <si>
    <t>35,8209/37,3134/28,9552/37,3134/37,3134/28,9552</t>
  </si>
  <si>
    <t>28,6567/9,85075/35,8209/34,6269/29,8507/27,1642/16,7164/25,9701/20,597/27,4627/26,8657/35,8209/35,2239/25,0746/25,9701/26,2687/21,4925/16,7164/21,4925/21,4925/27,1642/23,8806/35,5224</t>
  </si>
  <si>
    <t>39,403/34,6269</t>
  </si>
  <si>
    <t>39.403</t>
  </si>
  <si>
    <t>Bm11110</t>
  </si>
  <si>
    <t>WBGene00231371</t>
  </si>
  <si>
    <t>3.8e-81</t>
  </si>
  <si>
    <t>307.8</t>
  </si>
  <si>
    <t>0/74,2424</t>
  </si>
  <si>
    <t>62,6263/62,6263/62,6263</t>
  </si>
  <si>
    <t>22,7273/63,6364</t>
  </si>
  <si>
    <t>55,5556/55,5556</t>
  </si>
  <si>
    <t>53,0303/53,0303</t>
  </si>
  <si>
    <t>61.1111</t>
  </si>
  <si>
    <t>Bm17606</t>
  </si>
  <si>
    <t>WBGene00268749</t>
  </si>
  <si>
    <t>5.4e-07</t>
  </si>
  <si>
    <t>62.0</t>
  </si>
  <si>
    <t>14,3813/35,4515</t>
  </si>
  <si>
    <t>Bm6388</t>
  </si>
  <si>
    <t>WBGene00226649</t>
  </si>
  <si>
    <t>6238.CBG15758</t>
  </si>
  <si>
    <t>3.8e-08</t>
  </si>
  <si>
    <t>64.3</t>
  </si>
  <si>
    <t>1M7TU@119089,2CAV6@1,2TK6Q@2759,39H6A@33154,3CM0E@33208,3E2KZ@33213,40QA8@6231,416FK@6236</t>
  </si>
  <si>
    <t>Bm14112</t>
  </si>
  <si>
    <t>WBGene00234373</t>
  </si>
  <si>
    <t>Bm6149</t>
  </si>
  <si>
    <t>WBGene00226410</t>
  </si>
  <si>
    <t>GO:0001764/GO:0003677/GO:0005634/GO:0006355/GO:0018991/GO:0030154/GO:0030334/GO:0040011/GO:0043565/GO:0048666/GO:1904081/</t>
  </si>
  <si>
    <t>DNA_binding/cell_differentiation/locomotion/neuron_development/neuron_migration/nucleus/oviposition/positive_regulation_of_transcription_from_RNA_polymerase_II_promoter_involved_in_neuron_differentiation/regulation_of_cell_migration/regulation_of_transcription,_DNA-templated/sequence-specific_DNA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</si>
  <si>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Any_positive_regulation_of_transcription_from_RNA_polymerase_II_promoter_that_is_involved_in_neuron_differentiation."_[GO_REF:0000060,_GOC:kmv,_GOC:TermGenie,_PMID:24353061]/"Any_process_that_modulates_the_frequency,_rate_or_extent_of_cell_migration."_[GOC:go_curators]/"Any_process_that_modulates_the_frequency,_rate_or_extent_of_cellular_DNA-templated_transcription."_[GOC:go_curators,_GOC:txnOH]/"Interacting_selectively_and_non-covalently_with_DNA_of_a_specific_nucleotide_composition,_e.g._GC-rich_DNA_binding,_or_with_a_specific_sequence_motif_or_type_of_DNA_e.g._promotor_binding_or_rDNA_binding."_[GOC:jl]/"Self-propelled_movement_of_a_cell_or_organism_from_one_location_to_another."_[GOC:dgh]/"The_characteristic_movement_of_an_immature_neuron_from_germinal_zones_to_specific_positions_where_they_will_reside_as_they_mature."_[CL:0000540,_GOC:go_curators]/"The_deposition_of_eggs_(either_fertilized_or_not)_upon_a_surface_or_into_a_medium_such_as_water."_[GOC:ems]/"The_process_in_which_relatively_unspecialized_cells,_e.g._embryonic_or_regenerative_cells,_acquire_specialized_structural_and/or_functional_features_that_characterize_the_cells,_tissues,_or_organs_of_the_mature_organism_or_some_other_relatively_stable_phase_of_the_organism's_life_history._Differentiation_includes_the_processes_involved_in_commitment_of_a_cell_to_a_specific_fate_and_its_subsequent_development_to_the_mature_state."_[ISBN:0198506732]/"The_process_whose_specific_outcome_is_the_progression_of_a_neuron_over_time,_from_initial_commitment_of_the_cell_to_a_specific_fate,_to_the_fully_functional_differentiated_cell."_[GOC:dph]/</t>
  </si>
  <si>
    <t>IPR001356/IPR009057/IPR017970/IPR023339/</t>
  </si>
  <si>
    <t>CVC_domain/Homeobox,_conserved_site/Homeobox-like_domain_superfamily/Homeobox_domain/</t>
  </si>
  <si>
    <t>CVC/Homeobox-like_sf/Homeobox_CS/Homeobox_dom/</t>
  </si>
  <si>
    <t>note=B._malayi_BMA-CEH-10_protein,_contains_similarity_to_Pfam_domain_PF00046_Homeobox_domain_contains_similarity_to_Interpro_domains_IPR001356_(Homeobox_domain),_IPR009057_(Homeodomain-like)</t>
  </si>
  <si>
    <t>7209.EFO24872.1</t>
  </si>
  <si>
    <t>6.5e-90</t>
  </si>
  <si>
    <t>GO:0000003,GO:0001764,GO:0003674,GO:0003700,GO:0005575,GO:0005622,GO:0005623,GO:0005634,GO:0006355,GO:0006357,GO:0006928,GO:0007275,GO:0007399,GO:0007610,GO:0008150,GO:0009889,GO:0009891,GO:0009893,GO:0009987,GO:0010468,GO:0010556,GO:0010557,GO:0010604,GO:0010628,GO:0016477,GO:0018991,GO:0019098,GO:0019219,GO:0019222,GO:0022008,GO:0022414,GO:0030154,GO:0030182,GO:0030334,GO:0031323,GO:0031325,GO:0031326,GO:0031328,GO:0032501,GO:0032502,GO:0032504,GO:0032879,GO:0040011,GO:0040012,GO:0043226,GO:0043227,GO:0043229,GO:0043231,GO:0044424,GO:0044464,GO:0045893,GO:0045935,GO:0045944,GO:0048468,GO:0048518,GO:0048522,GO:0048609,GO:0048666,GO:0048699,GO:0048731,GO:0048856,GO:0048869,GO:0048870,GO:0050789,GO:0050794,GO:0051171,GO:0051173,GO:0051179,GO:0051252,GO:0051254,GO:0051270,GO:0051674,GO:0060255,GO:0065007,GO:0080090,GO:0140110,GO:1902680,GO:1903506,GO:1903508,GO:1904081,GO:2000112,GO:2000145,GO:2001141</t>
  </si>
  <si>
    <t>ko:K09336</t>
  </si>
  <si>
    <t>1KVQD@119089,39S4I@33154,3BEID@33208,3CRFE@33213,40DCA@6231,KOG0494@1,KOG0494@2759</t>
  </si>
  <si>
    <t>36,1111/37,5</t>
  </si>
  <si>
    <t>9,375/9,72222/13,8889/19,0972/12,5/12,1528/16,3194/11,1111/15,625/9,02778/12,8472/13,8889/20,8333/15,9722/9,375/15,9722/15,9722/13,8889/15,2778/14,9306/16,3194/14,9306/10,7639/9,375</t>
  </si>
  <si>
    <t>13,5417/19,0972/12,5/12,1528/16,6667/11,1111/15,9722/9,02778/13,1944/13,1944/17,7083/15,625/9,375/13,8889/16,6667/13,1944/15,625/14,5833/16,6667/14,9306/11,8056/12,5/8,68056/12,8472/11,1111/10,0694</t>
  </si>
  <si>
    <t>18,4028/14,9306/18,75/8,68056/10,4167/10,4167/17,0139/7,29167/12,1528/8,33333/16,3194/13,5417/16,3194/15,2778/15,2778/17,3611</t>
  </si>
  <si>
    <t>WBGene00000435</t>
  </si>
  <si>
    <t>44.7917</t>
  </si>
  <si>
    <t>Bm6332</t>
  </si>
  <si>
    <t>WBGene00226593</t>
  </si>
  <si>
    <t>GO:0005344/GO:0015671/GO:0019825/GO:0020037/GO:0046872/</t>
  </si>
  <si>
    <t>heme_binding/metal_ion_binding/oxygen_binding/oxygen_carrier_activity/oxygen_transport/</t>
  </si>
  <si>
    <t>Enables_the_directed_movement_of_oxygen_into,_out_of_or_within_a_cell,_or_between_cells._[GOC:ai]/"Interacting_selectively_and_non-covalently_with_any_metal_ion."_[GOC:ai]/"Interacting_selectively_and_non-covalently_with_heme,_any_compound_of_iron_complexed_in_a_porphyrin_(tetrapyrrole)_ring."_[CHEBI:30413,_GOC:ai]/"Interacting_selectively_and_non-covalently_with_oxygen_(O2)."_[GOC:jl]/"The_directed_movement_of_oxygen_(O2)_into,_out_of_or_within_a_cell,_or_between_cells,_by_means_of_some_agent_such_as_a_transporter_or_pore."_[GOC:ai]/</t>
  </si>
  <si>
    <t>note=B._malayi_BMA-GLB-30_protein,_contains_similarity_to_Pfam_domain_PF00042_Globin_contains_similarity_to_Interpro_domains_IPR012292_(Globin,_structural_domain),_IPR009050_(Globin-like),_IPR000971_(Globin)</t>
  </si>
  <si>
    <t>7209.EFO17953.1</t>
  </si>
  <si>
    <t>8.2e-94</t>
  </si>
  <si>
    <t>350.1</t>
  </si>
  <si>
    <t>1KZKF@119089,3907R@33154,3BMJY@33208,3D5YN@33213,40GN9@6231,KOG3378@1,KOG3378@2759</t>
  </si>
  <si>
    <t>WBGene00016024</t>
  </si>
  <si>
    <t>26.4228</t>
  </si>
  <si>
    <t>Bm9375</t>
  </si>
  <si>
    <t>WBGene00229636</t>
  </si>
  <si>
    <t>38,6889/17,4807</t>
  </si>
  <si>
    <t>21,2082/35,6041</t>
  </si>
  <si>
    <t>8,09769/15,2956</t>
  </si>
  <si>
    <t>Bm4540</t>
  </si>
  <si>
    <t>WBGene00224801</t>
  </si>
  <si>
    <t>GO:0003700/GO:0005634/GO:0006355/GO:0008270/GO:0043565/</t>
  </si>
  <si>
    <t>DNA-binding_transcription_factor_activity/nucleus/regulation_of_transcription,_DNA-templated/sequence-specific_DNA_binding/zinc_ion_binding/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</si>
  <si>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process_that_modulates_the_frequency,_rate_or_extent_of_cellular_DNA-templated_transcription."_[GOC:go_curators,_GOC:txnOH]/"Interacting_selectively_and_non-covalently_with_DNA_of_a_specific_nucleotide_composition,_e.g._GC-rich_DNA_binding,_or_with_a_specific_sequence_motif_or_type_of_DNA_e.g._promotor_binding_or_rDNA_binding."_[GOC:jl]/"Interacting_selectively_and_non-covalently_with_zinc_(Zn)_ions."_[GOC:ai]/</t>
  </si>
  <si>
    <t>note=B._malayi_BMA-UBC-7_protein,_contains_similarity_toPfam_domain_PF00179_Ubiquitin-conjugating_enzyme_containssimilarity_to_Interpro_domains_IPR000608(Ubiquitin-conjugating_enzyme_E2),_IPR016135(Ubiquitin-conjugating_enzyme/RWD-like)</t>
  </si>
  <si>
    <t>7209.EFO26549.2</t>
  </si>
  <si>
    <t>4.2e-111</t>
  </si>
  <si>
    <t>407.5</t>
  </si>
  <si>
    <t>nhr-239</t>
  </si>
  <si>
    <t>ko:K08709</t>
  </si>
  <si>
    <t>ko00000</t>
  </si>
  <si>
    <t>1KZU7@119089,3A1ZX@33154,3BQKU@33208,3D7Y9@33213,40GU9@6231,KOG3575@1,KOG3575@2759</t>
  </si>
  <si>
    <t>Zinc finger, C4 type (two domains)</t>
  </si>
  <si>
    <t>45/21,25</t>
  </si>
  <si>
    <t>Bm5643</t>
  </si>
  <si>
    <t>WBGene00225904</t>
  </si>
  <si>
    <t>note=B._malayi_BMA-MAM-5_protein,_contains_similarity_toPfam_domain_PF00629_MAM_domain_contains_similarity_toInterpro_domains_IPR013320_(Concanavalin_A-likelectin/glucanase_domain),_IPR000998_(MAM_domain)</t>
  </si>
  <si>
    <t>7209.EFO23305.1</t>
  </si>
  <si>
    <t>5.6e-83</t>
  </si>
  <si>
    <t>1KZKT@119089,2E9J5@1,2SFWT@2759,3ADAW@33154,3BVWW@33208,3DCST@33213,40EXF@6231</t>
  </si>
  <si>
    <t>54,1226/36,1522</t>
  </si>
  <si>
    <t>19,4503/16,4905</t>
  </si>
  <si>
    <t>13,7421/13,7421</t>
  </si>
  <si>
    <t>WBGene00011572</t>
  </si>
  <si>
    <t>17.759</t>
  </si>
  <si>
    <t>Bm17719</t>
  </si>
  <si>
    <t>WBGene00268861</t>
  </si>
  <si>
    <t>Bm7838</t>
  </si>
  <si>
    <t>WBGene00228099</t>
  </si>
  <si>
    <t>24,7788/23,0089</t>
  </si>
  <si>
    <t>Bm7046</t>
  </si>
  <si>
    <t>WBGene00227307</t>
  </si>
  <si>
    <t>GO:0000166/GO:0004672/GO:0004674/GO:0005515/GO:0005524/GO:0006468/GO:0016301/GO:0016310/GO:0016740/</t>
  </si>
  <si>
    <t>ATP_binding/kinase_activity/nucleotide_binding/phosphorylation/protein_binding/protein_kinase_activity/protein_phosphorylation/protein_serine/threonine_kinase_activity/transferase_activity/</t>
  </si>
  <si>
    <t>Catalysis_of_the_phosphorylation_of_an_amino_acid_residue_in_a_protein,_usually_according_to_the_reaction:_a_protein_+_ATP_=_a_phosphoprotein_+_ADP._[MetaCyc:PROTEIN-KINASE-RXN]/"Catalysis_of_the_reactions:_ATP_+_protein_serine_=_ADP_+_protein_serine_phosphate,_and_ATP_+_protein_threonine_=_ADP_+_protein_threonine_phosphate."_[GOC:bf]/"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_phosphate_group,_usually_from_ATP,_to_a_substrate_molecule."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y_protein_or_protein_complex_(a_complex_of_two_or_more_proteins_that_may_include_other_nonprotein_molecules)."_[GOC:go_curators]/"The_process_of_introducing_a_phosphate_group_into_a_molecule,_usually_with_the_formation_of_a_phosphoric_ester,_a_phosphoric_anhydride_or_a_phosphoric_amide."_[ISBN:0198506732]/"The_process_of_introducing_a_phosphate_group_on_to_a_protein."_[GOC:hb]/</t>
  </si>
  <si>
    <t>IPR000719/IPR000959/IPR008271/IPR011009/IPR017441/IPR033695/IPR033701/IPR036947/</t>
  </si>
  <si>
    <t>First_polo-box_domain/POLO_box_domain/POLO_box_domain_superfamily/Protein_kinase,_ATP_binding_site/Protein_kinase-like_domain_superfamily/Protein_kinase_domain/Second_polo-box_domain/Serine/threonine-protein_kinase,_active_site/</t>
  </si>
  <si>
    <t>Kinase-like_dom_sf/POLO_box_1/POLO_box_2/POLO_box_dom/POLO_box_dom_sf/Prot_kinase_dom/Protein_kinase_ATP_BS/Ser/Thr_kinase_AS/</t>
  </si>
  <si>
    <t>note=contains_similarity_to_Pfam_domains_PF00659_(POLO_box_duplicated_region),_PF00069_(Protein_kinase_domain)_contains_similarity_to_Interpro_domains_IPR002290_(Serine/threonine/dual_specificity_protein_kinase,_catalytic_domain),_IPR011009_(Protein_kinase-like_domain),_IPR000719_(Protein_kinase_domain),_IPR000959_(POLO_box_duplicated_domain)</t>
  </si>
  <si>
    <t>7209.EFO27896.1</t>
  </si>
  <si>
    <t>1154.0</t>
  </si>
  <si>
    <t>GO:0000003,GO:0000226,GO:0000278,GO:0000280,GO:0000793,GO:0000910,GO:0003674,GO:0003824,GO:0004672,GO:0004674,GO:0005488,GO:0005515,GO:0005575,GO:0005622,GO:0005623,GO:0005634,GO:0005694,GO:0005737,GO:0005813,GO:0005815,GO:0005819,GO:0005856,GO:0006464,GO:0006468,GO:0006793,GO:0006796,GO:0006807,GO:0006996,GO:0006997,GO:0006998,GO:0007010,GO:0007017,GO:0007049,GO:0007051,GO:0007052,GO:0007059,GO:0007077,GO:0007098,GO:0007135,GO:0007143,GO:0007147,GO:0007276,GO:0007292,GO:0008150,GO:0008152,GO:0009987,GO:0010256,GO:0010564,GO:0015630,GO:0016043,GO:0016301,GO:0016310,GO:0016740,GO:0016772,GO:0016773,GO:0019538,GO:0019953,GO:0022402,GO:0022411,GO:0022412,GO:0022414,GO:0030397,GO:0031023,GO:0032501,GO:0032504,GO:0033043,GO:0033206,GO:0036211,GO:0040020,GO:0040038,GO:0043170,GO:0043226,GO:0043227,GO:0043228,GO:0043229,GO:0043231,GO:0043232,GO:0043412,GO:0044237,GO:0044238,GO:0044260,GO:0044267,GO:0044422,GO:0044424,GO:0044430,GO:0044446,GO:0044464,GO:0044703,GO:0045132,GO:0048285,GO:0048609,GO:0050789,GO:0050794,GO:0051081,GO:0051128,GO:0051233,GO:0051301,GO:0051321,GO:0051445,GO:0051704,GO:0051726,GO:0051783,GO:0060631,GO:0061024,GO:0061640,GO:0061983,GO:0065007,GO:0071704,GO:0071840,GO:0098813,GO:0140013,GO:0140096,GO:1901564,GO:1902850,GO:1903046,GO:1903047,GO:2000241</t>
  </si>
  <si>
    <t>2.7.11.21</t>
  </si>
  <si>
    <t>ko:K06631</t>
  </si>
  <si>
    <t>ko04068,ko04110,ko04114,ko04914,map04068,map04110,map04114,map04914</t>
  </si>
  <si>
    <t>ko00000,ko00001,ko01000,ko01001,ko03036</t>
  </si>
  <si>
    <t>1KV9X@119089,38G8G@33154,3BBT5@33208,3D04F@33213,40BTC@6231,KOG0575@1,KOG0575@2759</t>
  </si>
  <si>
    <t>Serine threonine-protein kinase</t>
  </si>
  <si>
    <t>Bm10275</t>
  </si>
  <si>
    <t>WBGene00230536</t>
  </si>
  <si>
    <t>note=contains_similarity_to_Pfam_domains_PF00134_(Cyclin,_N-terminal_domain),_PF02984_(Cyclin,_C-terminal_domain)_contains_similarity_to_Interpro_domains_IPR013763_(Cyclin-like),_IPR006671_(Cyclin,_N-terminal),_IPR004367_(Cyclin,_C-terminal_domain)</t>
  </si>
  <si>
    <t>7209.EJD75428.1</t>
  </si>
  <si>
    <t>2.4e-190</t>
  </si>
  <si>
    <t>671.8</t>
  </si>
  <si>
    <t>GO:0000003,GO:0000278,GO:0000578,GO:0001556,GO:0001932,GO:0001934,GO:0003002,GO:0003006,GO:0003674,GO:0005488,GO:0005515,GO:0005575,GO:0005622,GO:0005623,GO:0005634,GO:0005737,GO:0007049,GO:0007275,GO:0007276,GO:0007281,GO:0007292,GO:0007350,GO:0007351,GO:0007389,GO:0008150,GO:0008595,GO:0009790,GO:0009798,GO:0009880,GO:0009893,GO:0009948,GO:0009952,GO:0009987,GO:0009994,GO:0010562,GO:0010604,GO:0016538,GO:0019207,GO:0019220,GO:0019222,GO:0019887,GO:0019899,GO:0019953,GO:0021700,GO:0022412,GO:0022414,GO:0030154,GO:0030234,GO:0031323,GO:0031325,GO:0031399,GO:0031401,GO:0031625,GO:0032268,GO:0032270,GO:0032501,GO:0032502,GO:0032504,GO:0035282,GO:0042325,GO:0042327,GO:0043226,GO:0043227,GO:0043229,GO:0043231,GO:0043549,GO:0044389,GO:0044424,GO:0044464,GO:0044703,GO:0045859,GO:0045937,GO:0048468,GO:0048469,GO:0048477,GO:0048518,GO:0048522,GO:0048599,GO:0048609,GO:0048856,GO:0048869,GO:0050789,GO:0050790,GO:0050794,GO:0051171,GO:0051173,GO:0051174,GO:0051246,GO:0051247,GO:0051321,GO:0051338,GO:0051704,GO:0060255,GO:0065007,GO:0065009,GO:0071695,GO:0080090,GO:0098772</t>
  </si>
  <si>
    <t>ko:K05868</t>
  </si>
  <si>
    <t>ko04068,ko04110,ko04114,ko04115,ko04218,ko04914,map04068,map04110,map04114,map04115,map04218,map04914</t>
  </si>
  <si>
    <t>1.I.1.1.3</t>
  </si>
  <si>
    <t>1KZMC@119089,38F4R@33154,3BB78@33208,3CTCK@33213,40GQZ@6231,COG5024@1,KOG0653@2759</t>
  </si>
  <si>
    <t>15,1386/15,9915/15,9915</t>
  </si>
  <si>
    <t>15,565/15,9915/15,1386</t>
  </si>
  <si>
    <t>12,3667/9,8081/10,661/10,661/13,2196/10,8742/8,52878/9,8081/16,2047/12,3667/10,0213/14,7122</t>
  </si>
  <si>
    <t>10,8742/10,8742/11,3006/13,0064/11,3006/8,742/9,59488/15,9915/10,0213/14,2857</t>
  </si>
  <si>
    <t>9,16844/11,3006/11,9403/12,58/12,58/10,4478/9,59488/14,9254/12,3667/11,0874/14,4989</t>
  </si>
  <si>
    <t>13,8593/17,0576</t>
  </si>
  <si>
    <t>WBGene00000867/WBGene00000865/WBGene00000866</t>
  </si>
  <si>
    <t>15.565/15.9915/15.1386</t>
  </si>
  <si>
    <t>Oogenic/Oogenic/Spermatogenic</t>
  </si>
  <si>
    <t>meiosis/mitosis_cell_cycle/meiosis/mitosis_regulation_of_cellcycle</t>
  </si>
  <si>
    <t>Bm2190</t>
  </si>
  <si>
    <t>WBGene00222451</t>
  </si>
  <si>
    <t>GO:0000166/GO:0003924/GO:0005525/GO:0007165/GO:0016020/</t>
  </si>
  <si>
    <t>GTP_binding/GTPase_activity/membrane/nucleotide_binding/signal_transduction/</t>
  </si>
  <si>
    <t>A_lipid_bilayer_along_with_all_the_proteins_and_protein_complexes_embedded_in_it_an_attached_to_it._[GOC:dos,_GOC:mah,_ISBN:0815316194]/"Catalysis_of_the_reaction:_GTP_+_H2O_=_GDP_+_phosphate."_[ISBN:0198547684]/"Interacting_selectively_and_non-covalently_with_GTP,_guanosine_triphosphate."_[GOC:ai]/"Interacting_selectively_and_non-covalently_with_a_nucleotide,_any_compound_consisting_of_a_nucleoside_that_is_esterified_with_(ortho)phosphate_or_an_oligophosphate_at_any_hydroxyl_group_on_the_ribose_or_deoxyribose."_[GOC:mah,_ISBN:0198547684]/"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
  </si>
  <si>
    <t>IPR001806/IPR005225/IPR020849/IPR027417/</t>
  </si>
  <si>
    <t>P-loop_containing_nucleoside_triphosphate_hydrolase/Small_GTP-binding_protein_domain/Small_GTPase/Small_GTPase_superfamily,_Ras-type/</t>
  </si>
  <si>
    <t>P-loop_NTPase/Small_GTP-bd_dom/Small_GTPase/Small_GTPase_Ras-type/</t>
  </si>
  <si>
    <t>note=B._malayi_BMA-SSR-2_protein,_contains_similarity_toPfam_domain_PF00071_Ras_family_contains_similarity_toInterpro_domains_IPR002041_(Ran_GTPase),_IPR027417_(P-loopcontaining_nucleoside_triphosphate_hydrolase),_IPR003578(Small_GTPase_superfamily,_Rho_type),_IPR005225_(SmallGTP-binding_protein_domain),_IPR001806_(Small_GTPasesuperfamily),_IPR020849_(Small_GTPase_superfamily,_Rastype),_IPR003579_(Small_GTPase_superfamily,_Rab_type)</t>
  </si>
  <si>
    <t>7209.EFO21465.2</t>
  </si>
  <si>
    <t>2.7e-113</t>
  </si>
  <si>
    <t>414.8</t>
  </si>
  <si>
    <t>1KVPW@119089,38EMN@33154,3BKFH@33208,3D5WF@33213,40D3X@6231,COG1100@1,KOG0395@2759</t>
  </si>
  <si>
    <t>Ras family</t>
  </si>
  <si>
    <t>23,8683/19,3416</t>
  </si>
  <si>
    <t>16,0494/18,5185/20,9877/19,3416/18,5185/17,6955/12,7572/17,284/15,2263/20,1646/18,5185/17,6955/18,107/19,7531/19,3416/17,6955</t>
  </si>
  <si>
    <t>18,93/15,6379/17,6955/20,9877/18,93/18,5185/17,6955/15,6379/17,284/15,6379/19,7531/17,284/17,6955/16,8724/19,7531/18,107/17,6955</t>
  </si>
  <si>
    <t>16,0494/16,8724/20,9877/20,9877/16,4609/15,6379/16,4609/16,4609/20,1646/18,5185/18,93/15,6379/18,5185/16,8724/20,5761/24,6914/25,5144/17,6955</t>
  </si>
  <si>
    <t>20,9877/21,8107</t>
  </si>
  <si>
    <t>WBGene00006055</t>
  </si>
  <si>
    <t>49.3827</t>
  </si>
  <si>
    <t>Bm8515</t>
  </si>
  <si>
    <t>WBGene00228776</t>
  </si>
  <si>
    <t>IPR000327/IPR001356/IPR009057/IPR010982/IPR013847/IPR017970/</t>
  </si>
  <si>
    <t>Homeobox,_conserved_site/Homeobox-like_domain_superfamily/Homeobox_domain/Lambda_repressor-like,_DNA-binding_domain_superfamily/POU-specific_domain/POU_domain/</t>
  </si>
  <si>
    <t>Homeobox-like_sf/Homeobox_CS/Homeobox_dom/Lambda_DNA-bd_dom_sf/POU/POU_dom/</t>
  </si>
  <si>
    <t>7209.EJD75577.1</t>
  </si>
  <si>
    <t>3.4e-153</t>
  </si>
  <si>
    <t>GO:0000976,GO:0000977,GO:0000981,GO:0001012,GO:0001067,GO:0001708,GO:0003674,GO:0003676,GO:0003677,GO:0003690,GO:0003700,GO:0005488,GO:0005515,GO:0005575,GO:0005622,GO:0005623,GO:0005634,GO:0005667,GO:0006355,GO:0006357,GO:0007275,GO:0007399,GO:0007610,GO:0007638,GO:0008134,GO:0008150,GO:0009605,GO:0009612,GO:0009628,GO:0009889,GO:0009891,GO:0009893,GO:0009987,GO:0010468,GO:0010556,GO:0010557,GO:0010604,GO:0010628,GO:0019219,GO:0019222,GO:0022008,GO:0030154,GO:0030182,GO:0031323,GO:0031325,GO:0031326,GO:0031328,GO:0032501,GO:0032502,GO:0032991,GO:0043226,GO:0043227,GO:0043229,GO:0043231,GO:0043565,GO:0044212,GO:0044422,GO:0044424,GO:0044428,GO:0044446,GO:0044464,GO:0044798,GO:0045165,GO:0045893,GO:0045935,GO:0045944,GO:0048468,GO:0048518,GO:0048522,GO:0048663,GO:0048665,GO:0048666,GO:0048699,GO:0048731,GO:0048856,GO:0048869,GO:0050789,GO:0050794,GO:0050896,GO:0051171,GO:0051173,GO:0051252,GO:0051254,GO:0060255,GO:0060850,GO:0065007,GO:0080090,GO:0090575,GO:0097159,GO:0140110,GO:1901363,GO:1902680,GO:1903506,GO:1903508,GO:1904080,GO:1904081,GO:1990837,GO:2000112,GO:2001141</t>
  </si>
  <si>
    <t>ko:K09366</t>
  </si>
  <si>
    <t>1KV11@119089,38C19@33154,3BAU8@33208,3CW0S@33213,40AMU@6231,KOG1168@2759,KOG3802@1</t>
  </si>
  <si>
    <t>Found in Pit-Oct-Unc transcription factors</t>
  </si>
  <si>
    <t>25,3406/36,5123/38,1471</t>
  </si>
  <si>
    <t>26,158/24,2507/22,8883/22,3433/22,3433/16,8937/24,2507/38,9646/9,80926/19,891</t>
  </si>
  <si>
    <t>26,158/24,2507/20,436/22,3433/17,1662/23,7057/38,9646/9,26431/19,891</t>
  </si>
  <si>
    <t>23,9782/14,4414/20,436/12,8065/23,4332/39,782</t>
  </si>
  <si>
    <t>WBGene00006818</t>
  </si>
  <si>
    <t>51.2262</t>
  </si>
  <si>
    <t>Bm8944</t>
  </si>
  <si>
    <t>WBGene00229205</t>
  </si>
  <si>
    <t>74.3</t>
  </si>
  <si>
    <t>19,3258/54,1573</t>
  </si>
  <si>
    <t>Bm5163</t>
  </si>
  <si>
    <t>WBGene00225424</t>
  </si>
  <si>
    <t>GO:0000166/GO:0004383/GO:0004672/GO:0005524/GO:0006182/GO:0006468/GO:0009190/GO:0016020/GO:0016021/GO:0016829/GO:0016849/GO:0035556/</t>
  </si>
  <si>
    <t>ATP_binding/cGMP_biosynthetic_process/cyclic_nucleotide_biosynthetic_process/guanylate_cyclase_activity/integral_component_of_membrane/intracellular_signal_transduction/lyase_activity/membrane/nucleotide_binding/phosphorus-oxygen_lyase_activity/protein_kinase_activity/protein_phosphorylation/</t>
  </si>
  <si>
    <t>A_lipid_bilayer_along_with_all_the_proteins_and_protein_complexes_embedded_in_it_an_attached_to_it._[GOC:dos,_GOC:mah,_ISBN:0815316194]/"Catalysis_of_the_cleavage_of_C-C,_C-O,_C-N_and_other_bonds_by_other_means_than_by_hydrolysis_or_oxidation,_or_conversely_adding_a_group_to_a_double_bond._They_differ_from_other_enzymes_in_that_two_substrates_are_involved_in_one_reaction_direction,_but_only_one_in_the_other_direction._When_acting_on_the_single_substrate,_a_molecule_is_eliminated_and_this_generates_either_a_new_double_bond_or_a_new_ring."_[EC:4.-.-.-,_ISBN:0198547684]/"Catalysis_of_the_cleavage_of_a_phosphorus-oxygen_bond_by_other_means_than_by_hydrolysis_or_oxidation,_or_conversely_adding_a_group_to_a_double_bond."_[GOC:jl]/"Catalysis_of_the_phosphorylation_of_an_amino_acid_residue_in_a_protein,_usually_according_to_the_reaction:_a_protein_+_ATP_=_a_phosphoprotein_+_ADP."_[MetaCyc:PROTEIN-KINASE-RXN]/"Catalysis_of_the_reaction:_GTP_=_3',5'-cyclic_GMP_+_diphosphate."_[EC:4.6.1.2]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he_chemical_reactions_and_pathways_resulting_in_the_formation_of_a_cyclic_nucleotide,_a_nucleotide_in_which_the_phosphate_group_is_in_diester_linkage_to_two_positions_on_the_sugar_residue."_[GOC:go_curators,_ISBN:0198506732]/"The_chemical_reactions_and_pathways_resulting_in_the_formation_of_cyclic_GMP,_guanosine_3',5'-phosphate."_[ISBN:0198506732]/"The_component_of_a_membrane_consisting_of_the_gene_products_and_protein_complexes_having_at_least_some_part_of_their_peptide_sequence_embedded_in_the_hydrophobic_region_of_the_membrane."_[GOC:dos,_GOC:go_curators]/"The_process_in_which_a_signal_is_passed_on_to_downstream_components_within_the_cell,_which_become_activated_themselves_to_further_propagate_the_signal_and_finally_trigger_a_change_in_the_function_or_state_of_the_cell."_[GOC:bf,_GOC:jl,_GOC:signaling,_ISBN:3527303782]/"The_process_of_introducing_a_phosphate_group_on_to_a_protein."_[GOC:hb]/</t>
  </si>
  <si>
    <t>IPR000719/IPR001054/IPR001245/IPR001828/IPR011009/IPR028082/IPR029787/</t>
  </si>
  <si>
    <t>Adenylyl_cyclase_class-3/4/guanylyl_cyclase/Nucleotide_cyclase/Periplasmic_binding_protein-like_I/Protein_kinase-like_domain_superfamily/Protein_kinase_domain/Receptor,_ligand_binding_region/Serine-threonine/tyrosine-protein_kinase,_catalytic_domain/</t>
  </si>
  <si>
    <t>A/G_cyclase/ANF_lig-bd_rcpt/Kinase-like_dom_sf/Nucleotide_cyclase/Peripla_BP_I/Prot_kinase_dom/Ser-Thr/Tyr_kinase_cat_dom/</t>
  </si>
  <si>
    <t>note=contains_similarity_to_Pfam_domains_PF07714_(Protein_tyrosine_kinase),_PF00211_(Adenylate_and_Guanylate_cyclase_catalytic_domain),_PF01094_(Receptor_family_ligand_binding_region)_contains_similarity_to_Interpro_domains_IPR028082_(Periplasmic_binding_protein-like_I),_IPR011009_(Protein_kinase-like_domain),_IPR001054_(Adenylyl_cyclase_class-3/4/guanylyl_cyclase),_IPR001245_(Serine-threonine/tyrosine-protein_kinase_catalytic_domain),_IPR029787_(Nucleotide_cyclase),_IPR001828_(Extracellular_ligand-binding_receptor)</t>
  </si>
  <si>
    <t>7209.EJD75213.1</t>
  </si>
  <si>
    <t>4.6e-286</t>
  </si>
  <si>
    <t>990.7</t>
  </si>
  <si>
    <t>GO:0003008,GO:0003674,GO:0003824,GO:0004383,GO:0005575,GO:0005623,GO:0005929,GO:0006139,GO:0006163,GO:0006164,GO:0006182,GO:0006725,GO:0006753,GO:0006793,GO:0006796,GO:0006807,GO:0006935,GO:0007154,GO:0007165,GO:0007600,GO:0007602,GO:0007606,GO:0007610,GO:0007611,GO:0007612,GO:0007635,GO:0008150,GO:0008152,GO:0008306,GO:0008355,GO:0009058,GO:0009117,GO:0009150,GO:0009152,GO:0009165,GO:0009187,GO:0009190,GO:0009259,GO:0009260,GO:0009314,GO:0009416,GO:0009581,GO:0009582,GO:0009583,GO:0009605,GO:0009628,GO:0009893,GO:0009975,GO:0009987,GO:0010468,GO:0010604,GO:0010628,GO:0016829,GO:0016849,GO:0018130,GO:0019222,GO:0019438,GO:0019637,GO:0019693,GO:0023052,GO:0032501,GO:0034641,GO:0034654,GO:0040008,GO:0040011,GO:0040014,GO:0040015,GO:0042048,GO:0042221,GO:0042330,GO:0042995,GO:0043226,GO:0044237,GO:0044238,GO:0044249,GO:0044271,GO:0044281,GO:0044464,GO:0045926,GO:0046068,GO:0046390,GO:0046483,GO:0048518,GO:0048519,GO:0048638,GO:0048640,GO:0050789,GO:0050793,GO:0050794,GO:0050877,GO:0050890,GO:0050896,GO:0050909,GO:0050913,GO:0050918,GO:0050919,GO:0051093,GO:0051239,GO:0051241,GO:0051606,GO:0051716,GO:0052652,GO:0055086,GO:0060255,GO:0065007,GO:0071704,GO:0072521,GO:0072522,GO:0090407,GO:0097730,GO:0120025,GO:1901135,GO:1901137,GO:1901293,GO:1901360,GO:1901362,GO:1901564,GO:1901566,GO:1901576,GO:1990834</t>
  </si>
  <si>
    <t>1KUNM@119089,39ZKP@33154,3BNCV@33208,3D1XV@33213,40BW9@6231,COG2114@1,KOG1023@2759</t>
  </si>
  <si>
    <t>sensory perception of bitter taste</t>
  </si>
  <si>
    <t>69,1489/22,0213</t>
  </si>
  <si>
    <t>52,8723/23,617</t>
  </si>
  <si>
    <t>20,3191/19,5745</t>
  </si>
  <si>
    <t>41,2766/38,4043</t>
  </si>
  <si>
    <t>43,5106/30,9574</t>
  </si>
  <si>
    <t>12,4468/16,4894</t>
  </si>
  <si>
    <t>38,5106/29,7872</t>
  </si>
  <si>
    <t>WBGene00003848/WBGene00001550</t>
  </si>
  <si>
    <t>38.5106/29.7872</t>
  </si>
  <si>
    <t>Bm13005</t>
  </si>
  <si>
    <t>WBGene00233266</t>
  </si>
  <si>
    <t>27,476/51,1182/50,4792/33,5463/49,5208/56,5495/23,6422</t>
  </si>
  <si>
    <t>Bm12806</t>
  </si>
  <si>
    <t>WBGene00233067</t>
  </si>
  <si>
    <t>Bm4352</t>
  </si>
  <si>
    <t>WBGene00224613</t>
  </si>
  <si>
    <t>7209.EFO27589.1</t>
  </si>
  <si>
    <t>2e-261</t>
  </si>
  <si>
    <t>907.9</t>
  </si>
  <si>
    <t>10,4938/10,6996</t>
  </si>
  <si>
    <t>23,8683/24,0741/23,8683</t>
  </si>
  <si>
    <t>29,0123/29,2181</t>
  </si>
  <si>
    <t>25,5144/26,1317/28,3951/28,3951</t>
  </si>
  <si>
    <t>13,5802/13,3745/17,284</t>
  </si>
  <si>
    <t>25.5144/26.1317/28.3951/28.3951</t>
  </si>
  <si>
    <t>Bm8687</t>
  </si>
  <si>
    <t>WBGene00228948</t>
  </si>
  <si>
    <t>36,6337/19,802</t>
  </si>
  <si>
    <t>Bm9802</t>
  </si>
  <si>
    <t>WBGene00230063</t>
  </si>
  <si>
    <t>IPR024161/</t>
  </si>
  <si>
    <t>Zinc_finger,_nanos-type/</t>
  </si>
  <si>
    <t>Znf_nanos-typ/</t>
  </si>
  <si>
    <t>Bm1938</t>
  </si>
  <si>
    <t>WBGene00222199</t>
  </si>
  <si>
    <t>4e-111</t>
  </si>
  <si>
    <t>408.3</t>
  </si>
  <si>
    <t>54,2199/49,3606/48,5933/43,4783/53,7084/45,7801</t>
  </si>
  <si>
    <t>26,3427/29,6675/26,8542</t>
  </si>
  <si>
    <t>10,9974/31,4578/28,6445/27,8772/30,6905/28,3887/30,4348</t>
  </si>
  <si>
    <t>23,7852/27,6215/24,5524/26,087/22,2506/21,9949/29,4118/8,18414/26,087/21,2276/13,0435/23,2737/23,7852/23,5294/23,7852/22,7621/25,5754/20,7161/28,133/26,087/25,0639/15,8568/23,2737/22,5064/25,5754/26,087/24,5524/26,3427/23,7852/23,7852/25,8312</t>
  </si>
  <si>
    <t>20,4604/26,8542/24,5524/25,0639/21,4834/18,6701/22,5064/27,8772/29,156/29,4118/28,6445/30,6905/26,5985/22,2506/18,4143/23,7852/24,0409/24,5524/23,5294/23,7852/24,2967/24,2967/24,8082/20,4604/25,0639/24,8082/27,8772/28,133/27,8772/28,6445/28,3887/27,6215/28,3887/29,156/20,2046/21,2276/21,9949/23,5294/23,2737/24,5524/24,0409/24,5524/24,0409/16,1125/25,3197/18,1586/23,5294/20,9719/24,8082/24,2967/23,0179/26,3427/23,0179/25,0639</t>
  </si>
  <si>
    <t>20,9719/26,3427/22,7621/22,2506/19,4373/28,9003/20,9719/24,5524/24,5524/22,7621/19,9488/24,5524/17,9028/24,2967/25,3197/24,8082/25,3197/24,2967/25,5754/25,0639/24,5524</t>
  </si>
  <si>
    <t>Bm6404</t>
  </si>
  <si>
    <t>WBGene00226665</t>
  </si>
  <si>
    <t>IPR039311/</t>
  </si>
  <si>
    <t>FAM187A/B/</t>
  </si>
  <si>
    <t>7209.EFO15166.2</t>
  </si>
  <si>
    <t>3.6e-102</t>
  </si>
  <si>
    <t>379.0</t>
  </si>
  <si>
    <t>1M0A9@119089,3AT2G@33154,3CHZY@33208,3DZHX@33213,40KZH@6231,KOG1192@1,KOG1192@2759</t>
  </si>
  <si>
    <t>transferase activity, transferring hexosyl groups</t>
  </si>
  <si>
    <t>WBGene00021373</t>
  </si>
  <si>
    <t>21.4815</t>
  </si>
  <si>
    <t>Bm9918</t>
  </si>
  <si>
    <t>WBGene00230179</t>
  </si>
  <si>
    <t>32,07/46,9388</t>
  </si>
  <si>
    <t>Bm17486</t>
  </si>
  <si>
    <t>WBGene00268629</t>
  </si>
  <si>
    <t>Bm11397</t>
  </si>
  <si>
    <t>WBGene00231658</t>
  </si>
  <si>
    <t>GO:0006479/GO:0008168/GO:0016740/GO:0032259/</t>
  </si>
  <si>
    <t>methylation/methyltransferase_activity/protein_methylation/transferase_activity/</t>
  </si>
  <si>
    <t>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_methyl_group_to_an_acceptor_molecule."_[ISBN:0198506732]/"The_addition_of_a_methyl_group_to_a_protein_amino_acid._A_methyl_group_is_derived_from_methane_by_the_removal_of_a_hydrogen_atom."_[GOC:ai]/"The_process_in_which_a_methyl_group_is_covalently_attached_to_a_molecule."_[GOC:mah]/</t>
  </si>
  <si>
    <t>IPR014644/IPR025799/IPR029063/</t>
  </si>
  <si>
    <t>Protein_arginine_N-methyltransferase/Protein_arginine_N-methyltransferase_PRMT7/S-adenosyl-L-methionine-dependent_methyltransferase/</t>
  </si>
  <si>
    <t>Arg_MeTrfase/MeTrfase_PRMT7/SAM-dependent_MTases/</t>
  </si>
  <si>
    <t>note=contains_similarity_to_Interpro_domain_IPR025799_(Protein_arginine_N-methyltransferase)</t>
  </si>
  <si>
    <t>7209.EJD75486.1</t>
  </si>
  <si>
    <t>1196.4</t>
  </si>
  <si>
    <t>GO:0003674,GO:0003824,GO:0005575,GO:0005622,GO:0005623,GO:0005737,GO:0005829,GO:0006325,GO:0006355,GO:0006464,GO:0006479,GO:0006807,GO:0006996,GO:0008150,GO:0008152,GO:0008168,GO:0008170,GO:0008213,GO:0008276,GO:0008469,GO:0008757,GO:0009889,GO:0009987,GO:0010468,GO:0010556,GO:0016043,GO:0016273,GO:0016274,GO:0016569,GO:0016570,GO:0016571,GO:0016740,GO:0016741,GO:0018193,GO:0018195,GO:0018216,GO:0019219,GO:0019222,GO:0019538,GO:0019918,GO:0019919,GO:0031323,GO:0031326,GO:0032259,GO:0034969,GO:0035241,GO:0035242,GO:0035246,GO:0035247,GO:0036211,GO:0042054,GO:0043170,GO:0043412,GO:0043414,GO:0044237,GO:0044238,GO:0044260,GO:0044267,GO:0044424,GO:0044444,GO:0044464,GO:0050789,GO:0050794,GO:0051171,GO:0051252,GO:0051276,GO:0060255,GO:0065007,GO:0071704,GO:0071840,GO:0080090,GO:0140096,GO:1901564,GO:1903506,GO:2000112,GO:2001141</t>
  </si>
  <si>
    <t>2.1.1.321</t>
  </si>
  <si>
    <t>ko:K11438</t>
  </si>
  <si>
    <t>R11216</t>
  </si>
  <si>
    <t>RC00003,RC02120</t>
  </si>
  <si>
    <t>ko00000,ko01000,ko03036</t>
  </si>
  <si>
    <t>1M7PP@119089,38GEB@33154,3BCVM@33208,3CUVZ@33213,40DFB@6231,COG0500@1,COG0666@1,KOG1501@2759,KOG1710@2759</t>
  </si>
  <si>
    <t>Arginine methyltransferase that can both catalyze the formation of omega-N monomethylarginine (MMA) and symmetrical dimethylarginine (sDMA)</t>
  </si>
  <si>
    <t>94,9464/94,9464</t>
  </si>
  <si>
    <t>14,5482/13,7825</t>
  </si>
  <si>
    <t>WBGene00012298</t>
  </si>
  <si>
    <t>40.5819</t>
  </si>
  <si>
    <t>Bm5043</t>
  </si>
  <si>
    <t>WBGene00225304</t>
  </si>
  <si>
    <t>IPR001507/IPR002035/IPR036465/</t>
  </si>
  <si>
    <t>Zona_pellucida_domain/von_Willebrand_factor,_type_A/von_Willebrand_factor_A-like_domain_superfamily/</t>
  </si>
  <si>
    <t>VWF_A/ZP_dom/vWFA_dom_sf/</t>
  </si>
  <si>
    <t>note=B._malayi_BMA-DPY-1_protein,_contains_similarity_toPfam_domains_PF00100_(Zona_pellucida-like_domain),_PF00092(von_Willebrand_factor_type_A_domain)_contains_similarityto_Interpro_domains_IPR001507_(Zona_pellucida_domain),IPR002035_(von_Willebrand_factor,_type_A)</t>
  </si>
  <si>
    <t>7209.EFO21351.2</t>
  </si>
  <si>
    <t>1291.6</t>
  </si>
  <si>
    <t>dpy-1</t>
  </si>
  <si>
    <t>GO:0008150,GO:0009653,GO:0010171,GO:0032502,GO:0040008,GO:0040014,GO:0040018,GO:0045927,GO:0048518,GO:0048638,GO:0048639,GO:0048856,GO:0050789,GO:0050793,GO:0051094,GO:0051239,GO:0051240,GO:0065007</t>
  </si>
  <si>
    <t>1KU7W@119089,39YDJ@33154,3BIMQ@33208,3CZ9N@33213,40BMF@6231,KOG3544@1,KOG3544@2759</t>
  </si>
  <si>
    <t>Bm9593</t>
  </si>
  <si>
    <t>WBGene00229854</t>
  </si>
  <si>
    <t>7209.EFO16184.1</t>
  </si>
  <si>
    <t>2.3e-161</t>
  </si>
  <si>
    <t>575.9</t>
  </si>
  <si>
    <t>1KZP7@119089,2DZJE@1,2S72Y@2759,3AAS6@33154,3BUXG@33208,3DB4P@33213,40EFB@6231</t>
  </si>
  <si>
    <t>33,9806/26,8608/56,1489</t>
  </si>
  <si>
    <t>24,2718/25,2427</t>
  </si>
  <si>
    <t>15,8576/23,7864/20,5502</t>
  </si>
  <si>
    <t>22,4919/20,2265</t>
  </si>
  <si>
    <t>49,1909/6,6343/55,3398</t>
  </si>
  <si>
    <t>Bm6150</t>
  </si>
  <si>
    <t>WBGene00226411</t>
  </si>
  <si>
    <t>GO:0003677/GO:0003887/GO:0006260/GO:0006261/GO:0071897/</t>
  </si>
  <si>
    <t>DNA-dependent_DNA_replication/DNA-directed_DNA_polymerase_activity/DNA_binding/DNA_biosynthetic_process/DNA_replication/</t>
  </si>
  <si>
    <t>A_DNA_replication_process_that_uses_parental_DNA_as_a_template_for_the_DNA-dependent_DNA_polymerases_that_synthesize_the_new_strands._[GOC:mah,_ISBN:0198506732]/"Any_molecular_function_by_which_a_gene_product_interacts_selectively_and_non-covalently_with_DNA_(deoxyribonucleic_acid)."_[GOC:dph,_GOC:jl,_GOC:tb,_GOC:vw]/"Catalysis_of_the_reaction:_deoxynucleoside_triphosphate_+_DNA(n)_=_diphosphate_+_DNA(n+1);_the_synthesis_of_DNA_from_deoxyribonucleotide_triphosphates_in_the_presence_of_a_DNA_template_and_a_3'hydroxyl_group."_[EC:2.7.7.7,_GOC:vw,_ISBN:0198547684]/"The_cellular_DNA_metabolic_process_resulting_in_the_formation_of_DNA,_deoxyribonucleic_acid,_one_of_the_two_main_types_of_nucleic_acid,_consisting_of_a_long_unbranched_macromolecule_formed_from_one_or_two_strands_of_linked_deoxyribonucleotides,_the_3'-phosphate_group_of_each_constituent_deoxyribonucleotide_being_joined_in_3',5'-phosphodiester_linkage_to_the_5'-hydroxyl_group_of_the_deoxyribose_moiety_of_the_next_one."_[GOC:mah]/"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
  </si>
  <si>
    <t>IPR001098/IPR002298/IPR019760/</t>
  </si>
  <si>
    <t>DNA-directed_DNA_polymerase,_family_A,_conserved_site/DNA-directed_DNA_polymerase,_family_A,_palm_domain/DNA_polymerase_A/</t>
  </si>
  <si>
    <t>DNA-dir_DNA_pol_A_CS/DNA-dir_DNA_pol_A_palm_dom/DNA_polymerase_A/</t>
  </si>
  <si>
    <t>note=contains_similarity_to_Pfam_domain_PF00476_DNA_polymerase_family_A_contains_similarity_to_Interpro_domains_IPR001098_(DNA-directed_DNA_polymerase,_family_A,_palm_domain),_IPR002298_(DNA_polymerase_A)</t>
  </si>
  <si>
    <t>7209.EJD75272.1</t>
  </si>
  <si>
    <t>2.6e-292</t>
  </si>
  <si>
    <t>1011.9</t>
  </si>
  <si>
    <t>1KZFR@119089,38BKB@33154,3BATG@33208,3CT13@33213,40KC7@6231,COG0749@1,KOG0950@2759</t>
  </si>
  <si>
    <t>DNA polymerase A domain</t>
  </si>
  <si>
    <t>4,35459/12,2084</t>
  </si>
  <si>
    <t>4,82115/4,51011/8,63142</t>
  </si>
  <si>
    <t>Bm9016</t>
  </si>
  <si>
    <t>WBGene00229277</t>
  </si>
  <si>
    <t>7209.EFO19643.1</t>
  </si>
  <si>
    <t>1e-238</t>
  </si>
  <si>
    <t>832.8</t>
  </si>
  <si>
    <t>14,2373/10,5085/15,9322/14,2373/12,0339</t>
  </si>
  <si>
    <t>11,1864/14,0678/13,2203</t>
  </si>
  <si>
    <t>13,2203/12,8814</t>
  </si>
  <si>
    <t>15,0847/13,0508/6,94915/13,3898/6,77966/13,0508/15,0847/13,7288/6,94915/11,6949/6,94915</t>
  </si>
  <si>
    <t>12,2034/12,2034/12,5424</t>
  </si>
  <si>
    <t>6,27119/7,79661/12,2034</t>
  </si>
  <si>
    <t>12,8814/11,5254/12,8814/6,61017/7,28814/7,11864</t>
  </si>
  <si>
    <t>5,59322/6,1017/14,0678/13,3898</t>
  </si>
  <si>
    <t>Bm10613</t>
  </si>
  <si>
    <t>WBGene00230874</t>
  </si>
  <si>
    <t>44,8029/7,70609</t>
  </si>
  <si>
    <t>67,0251/61,828</t>
  </si>
  <si>
    <t>Bm7108</t>
  </si>
  <si>
    <t>WBGene00227369</t>
  </si>
  <si>
    <t>GO:0005509/GO:0007154/GO:0007275/GO:0016020/GO:0016021/</t>
  </si>
  <si>
    <t>calcium_ion_binding/cell_communication/integral_component_of_membrane/membrane/multicellular_organism_development/</t>
  </si>
  <si>
    <t>A_lipid_bilayer_along_with_all_the_proteins_and_protein_complexes_embedded_in_it_an_attached_to_it._[GOC:dos,_GOC:mah,_ISBN:0815316194]/"Any_process_that_mediates_interactions_between_a_cell_and_its_surroundings._Encompasses_interactions_such_as_signaling_or_attachment_between_one_cell_and_another_cell,_between_a_cell_and_an_extracellular_matrix,_or_between_a_cell_and_any_other_aspect_of_its_environment."_[GOC:mah]/"Interacting_selectively_and_non-covalently_with_calcium_ions_(Ca2+)."_[GOC:ai]/"The_biological_process_whose_specific_outcome_is_the_progression_of_a_multicellular_organism_over_time_from_an_initial_condition_(e.g._a_zygote_or_a_young_adult)_to_a_later_condition_(e.g._a_multicellular_animal_or_an_aged_adult)."_[GOC:dph,_GOC:ems,_GOC:isa_complete,_GOC:tb]/"The_component_of_a_membrane_consisting_of_the_gene_products_and_protein_complexes_having_at_least_some_part_of_their_peptide_sequence_embedded_in_the_hydrophobic_region_of_the_membrane."_[GOC:dos,_GOC:go_curators]/</t>
  </si>
  <si>
    <t>IPR000152/IPR000742/IPR001774/IPR001881/IPR009030/IPR013032/IPR018097/</t>
  </si>
  <si>
    <t>Delta/Serrate/lag-2_(DSL)_protein/EGF-like,_conserved_site/EGF-like_calcium-binding,_conserved_site/EGF-like_calcium-binding_domain/EGF-like_domain/EGF-type_aspartate/asparagine_hydroxylation_site/Growth_factor_receptor_cysteine-rich_domain_superfamily/</t>
  </si>
  <si>
    <t>DSL/EGF-like_CS/EGF-like_Ca-bd_dom/EGF-like_dom/EGF-type_Asp/Asn_hydroxyl_site/EGF_Ca-bd_CS/Growth_fac_rcpt_cys_sf/</t>
  </si>
  <si>
    <t>note=contains_similarity_to_Pfam_domain_PF07657_N_terminus_of_Notch_ligand_contains_similarity_to_Interpro_domain_IPR011651_(Notch_ligand,_N-terminal)</t>
  </si>
  <si>
    <t>7209.EFO27466.1</t>
  </si>
  <si>
    <t>2.8e-132</t>
  </si>
  <si>
    <t>38UWG@33154,3BEE5@33208,3CSRF@33213,40G1V@6231,KOG1217@1,KOG1217@2759</t>
  </si>
  <si>
    <t>Notch ligand involved in the mediation of Notch signaling</t>
  </si>
  <si>
    <t>11,7955/18,0865</t>
  </si>
  <si>
    <t>15,7274/12,5819</t>
  </si>
  <si>
    <t>22,5426/27,2608</t>
  </si>
  <si>
    <t>21,8873/22,4115/28,3093/26,8676</t>
  </si>
  <si>
    <t>WBGene00022816/WBGene00001106</t>
  </si>
  <si>
    <t>15.7274/12.5819</t>
  </si>
  <si>
    <t>Bm12807</t>
  </si>
  <si>
    <t>WBGene00233068</t>
  </si>
  <si>
    <t>GO:0042981/</t>
  </si>
  <si>
    <t>regulation_of_apoptotic_process/</t>
  </si>
  <si>
    <t>Any_process_that_modulates_the_occurrence_or_rate_of_cell_death_by_apoptotic_process._[GOC:jl,_GOC:mtg_apoptosis]/</t>
  </si>
  <si>
    <t>biological_process/</t>
  </si>
  <si>
    <t>IPR008477/IPR038355/</t>
  </si>
  <si>
    <t>TNFAIP8_superfamily/Tumor_necrosis_factor_alpha-induced_protein_8-like/</t>
  </si>
  <si>
    <t>TNFAIP8-like/TNFAIP8_sf/</t>
  </si>
  <si>
    <t>note=contains_similarity_to_Pfam_domain_PF05527_Domain_of_unknown_function_(DUF758)_contains_similarity_to_Interpro_domain_IPR008477_(Protein_of_unknown_function_DUF758)</t>
  </si>
  <si>
    <t>7209.EFO15564.1</t>
  </si>
  <si>
    <t>2.3e-97</t>
  </si>
  <si>
    <t>361.7</t>
  </si>
  <si>
    <t>1M05X@119089,2BXV7@1,2S00N@2759,38J6E@33154,3BBGU@33208,3CRHV@33213,40HBH@6231</t>
  </si>
  <si>
    <t>Domain of unknown function (DUF758)</t>
  </si>
  <si>
    <t>82,6087/55,5556</t>
  </si>
  <si>
    <t>27,0531/30,9179/28,9855/29,9517</t>
  </si>
  <si>
    <t>27,5362/29,9517/29,4686/28,9855</t>
  </si>
  <si>
    <t>30,9179/27,0531/32,3671/30,9179</t>
  </si>
  <si>
    <t>Bm8041</t>
  </si>
  <si>
    <t>WBGene00228302</t>
  </si>
  <si>
    <t>note=contains_similarity_to_Pfam_domain_PF00069_Protein_kinase_domain_contains_similarity_to_Interpro_domains_IPR030616_(Aurora_kinase),_IPR016253_(Integrin-linked_protein_kinase),_IPR002290_(Serine/threonine/dual_specificity_protein_kinase,_catalytic_domain),_IPR011009_(Protein_kinase-like_domain),_IPR000719_(Protein_kinase_domain)</t>
  </si>
  <si>
    <t>7209.EFO25582.2</t>
  </si>
  <si>
    <t>1.5e-129</t>
  </si>
  <si>
    <t>469.2</t>
  </si>
  <si>
    <t>32,4324/27,7027</t>
  </si>
  <si>
    <t>51,3514/51,0135/48,6486</t>
  </si>
  <si>
    <t>38,5135/23,6486/50,3378</t>
  </si>
  <si>
    <t>47,973/46,2838</t>
  </si>
  <si>
    <t>Bm17543</t>
  </si>
  <si>
    <t>WBGene00268686</t>
  </si>
  <si>
    <t>5.5e-13</t>
  </si>
  <si>
    <t>35,6037/52,9412</t>
  </si>
  <si>
    <t>54,4892/32,8173/26,6254/53,5604/52,6316/51,7028</t>
  </si>
  <si>
    <t>Bm1113</t>
  </si>
  <si>
    <t>WBGene00221374</t>
  </si>
  <si>
    <t>IPR013078/IPR029033/</t>
  </si>
  <si>
    <t>Histidine_phosphatase_superfamily/Histidine_phosphatase_superfamily,_clade-1/</t>
  </si>
  <si>
    <t>His_PPase_superfam/His_Pase_superF_clade-1/</t>
  </si>
  <si>
    <t>7209.EFO27829.1</t>
  </si>
  <si>
    <t>2.3e-77</t>
  </si>
  <si>
    <t>295.8</t>
  </si>
  <si>
    <t>COG0406@1,KOG3734@2759</t>
  </si>
  <si>
    <t>collagen-activated tyrosine kinase receptor signaling pathway</t>
  </si>
  <si>
    <t>14,9171/11,0497</t>
  </si>
  <si>
    <t>19,0608/17,9558</t>
  </si>
  <si>
    <t>11,0497/8,83978</t>
  </si>
  <si>
    <t>WBGene00020321</t>
  </si>
  <si>
    <t>17.1271</t>
  </si>
  <si>
    <t>Bm8631</t>
  </si>
  <si>
    <t>WBGene00228892</t>
  </si>
  <si>
    <t>note=contains_similarity_to_Pfam_domain_PF00069_Protein_kinase_domain_contains_similarity_to_Interpro_domains_IPR011009_(Protein_kinase-like_domain),_IPR000719_(Protein_kinase_domain),_IPR020636_(Calcium/calmodulin-dependent/calcium-dependent_protein_kinase)</t>
  </si>
  <si>
    <t>7209.EFO16442.2</t>
  </si>
  <si>
    <t>1.2e-57</t>
  </si>
  <si>
    <t>231.1</t>
  </si>
  <si>
    <t>GO:0000075,GO:0000076,GO:0000278,GO:0003674,GO:0003824,GO:0004672,GO:0004674,GO:0005575,GO:0005622,GO:0005623,GO:0005634,GO:0005737,GO:0006464,GO:0006468,GO:0006793,GO:0006796,GO:0006807,GO:0007049,GO:0007093,GO:0007154,GO:0007165,GO:0007275,GO:0007346,GO:0008150,GO:0008152,GO:0009790,GO:0009792,GO:0009987,GO:0010389,GO:0010564,GO:0010948,GO:0010972,GO:0016301,GO:0016310,GO:0016740,GO:0016772,GO:0016773,GO:0019538,GO:0022402,GO:0023052,GO:0031570,GO:0032501,GO:0032502,GO:0033314,GO:0035556,GO:0036211,GO:0043170,GO:0043226,GO:0043227,GO:0043229,GO:0043231,GO:0043412,GO:0044237,GO:0044238,GO:0044260,GO:0044267,GO:0044424,GO:0044464,GO:0044774,GO:0044818,GO:0045786,GO:0045930,GO:0048519,GO:0048523,GO:0048856,GO:0050789,GO:0050794,GO:0050896,GO:0051716,GO:0051726,GO:0065007,GO:0071704,GO:0140096,GO:1901564,GO:1901987,GO:1901988,GO:1901990,GO:1901991,GO:1902749,GO:1902750,GO:1903047</t>
  </si>
  <si>
    <t>ko:K02216</t>
  </si>
  <si>
    <t>ko04110,ko04111,ko04113,ko04115,ko04218,ko05166,ko05203,map04110,map04111,map04113,map04115,map04218,map05166,map05203</t>
  </si>
  <si>
    <t>M00691</t>
  </si>
  <si>
    <t>ko00000,ko00001,ko00002,ko01000,ko01001,ko03400</t>
  </si>
  <si>
    <t>1KW1A@119089,38FJY@33154,3BDCN@33208,3CY84@33213,40DMX@6231,KOG0590@1,KOG0590@2759</t>
  </si>
  <si>
    <t>56,239/56,239</t>
  </si>
  <si>
    <t>14,0598/11,9508/15,1142/11,0721/17,3989/12,478/15,29/12,8295</t>
  </si>
  <si>
    <t>14,587/11,9508/15,1142/11,2478/17,3989/12,478/15,4657/12,3023</t>
  </si>
  <si>
    <t>14,0598/13,0053/15,1142/14,4112/11,5993/17,3989/15,6415</t>
  </si>
  <si>
    <t>Bm8937</t>
  </si>
  <si>
    <t>WBGene00229198</t>
  </si>
  <si>
    <t>IPR008451/</t>
  </si>
  <si>
    <t>Chromadorea_ALT/</t>
  </si>
  <si>
    <t>note=B._malayi_BMA-ALT-2_protein,_contains_similarity_toPfam_domain_PF05535_Chromadorea_ALT_protein_containssimilarity_to_Interpro_domain_IPR008451_(Chromadorea_ALT)</t>
  </si>
  <si>
    <t>7209.EFO15914.1</t>
  </si>
  <si>
    <t>6.3e-37</t>
  </si>
  <si>
    <t>160.2</t>
  </si>
  <si>
    <t>1KXDW@119089,2EA6B@1,2SGFF@2759,3AD22@33154,3BWE2@33208,3DCAB@33213,40EZ5@6231</t>
  </si>
  <si>
    <t>Chromadorea ALT protein</t>
  </si>
  <si>
    <t>40,625/64,8438</t>
  </si>
  <si>
    <t>54,6875/52,3438</t>
  </si>
  <si>
    <t>Bm5771</t>
  </si>
  <si>
    <t>WBGene00226032</t>
  </si>
  <si>
    <t>GO:0000139/GO:0005794/GO:0005886/GO:0005901/GO:0016020/GO:0016021/GO:0070836/</t>
  </si>
  <si>
    <t>Golgi_apparatus/Golgi_membrane/caveola/caveola_assembly/integral_component_of_membrane/membrane/plasma_membrane/</t>
  </si>
  <si>
    <t>A_compound_membranous_cytoplasmic_organelle_of_eukaryotic_cells,_consisting_of_flattened,_ribosome-free_vesicles_arranged_in_a_more_or_less_regular_stack._The_Golgi_apparatus_differs_from_the_endoplasmic_reticulum_in_often_having_slightly_thicker_membranes,_appearing_in_sections_as_a_characteristic_shallow_semicircle_so_that_the_convex_side_(cis_or_entry_face)_abuts_the_endoplasmic_reticulum,_secretory_vesicles_emerging_from_the_concave_side_(trans_or_exit_face)._In_vertebrate_cells_there_is_usually_one_such_organelle,_while_in_invertebrates_and_plants,_where_they_are_known_usually_as_dictyosomes,_there_may_be_several_scattered_in_the_cytoplasm._The_Golgi_apparatus_processes_proteins_produced_on_the_ribosomes_of_the_rough_endoplasmic_reticulum;_such_processing_includes_modification_of_the_core_oligosaccharides_of_glycoproteins,_and_the_sorting_and_packaging_of_proteins_for_transport_to_a_variety_of_cellular_locations._Three_different_regions_of_the_Golgi_are_now_recognized_both_in_terms_of_structure_and_function:_cis,_in_the_vicinity_of_the_cis_face,_trans,_in_the_vicinity_of_the_trans_face,_and_medial,_lying_between_the_cis_and_trans_regions._[ISBN:0198506732]/"A_lipid_bilayer_along_with_all_the_proteins_and_protein_complexes_embedded_in_it_an_attached_to_it."_[GOC:dos,_GOC:mah,_ISBN:0815316194]/"A_membrane_raft_that_forms_small_pit,_depression,_or_invagination_that_communicates_with_the_outside_of_a_cell_and_extends_inward,_indenting_the_cytoplasm_and_the_cell_membrane._Examples_include_flask-shaped_invaginations_of_the_plasma_membrane_in_adipocytes_associated_with_caveolin_proteins,_and_minute_pits_or_incuppings_of_the_cell_membrane_formed_during_pinocytosis.__Caveolae_may_be_pinched_off_to_form_free_vesicles_within_the_cytoplasm."_[GOC:mah,_ISBN:0721662544,_PMID:16645198]/"The_aggregation,_arrangement_and_bonding_together_of_a_set_of_components_to_form_a_caveola._A_caveola_is_a_plasma_membrane_raft_that_forms_a_small_pit,_depression,_or_invagination_that_communicates_with_the_outside_of_a_cell_and_extends_inward,_indenting_the_cytoplasm_and_the_cell_membrane."_[GOC:BHF,_GOC:mah,_GOC:vk,_PMID:12633858]/"The_component_of_a_membrane_consisting_of_the_gene_products_and_protein_complexes_having_at_least_some_part_of_their_peptide_sequence_embedded_in_the_hydrophobic_region_of_the_membrane."_[GOC:dos,_GOC:go_curators]/"The_lipid_bilayer_surrounding_any_of_the_compartments_of_the_Golgi_apparatus."_[GOC:mah]/"The_membrane_surrounding_a_cell_that_separates_the_cell_from_its_external_environment._It_consists_of_a_phospholipid_bilayer_and_associated_proteins."_[ISBN:0716731363]/</t>
  </si>
  <si>
    <t>IPR001612/IPR031097/</t>
  </si>
  <si>
    <t>Caveolin/Caveolin-1,_invertebrates/</t>
  </si>
  <si>
    <t>Caveolin/Caveolin-1_inver/</t>
  </si>
  <si>
    <t>note=B._malayi_BMA-CAV-1_protein,_contains_similarity_toPfam_domain_PF01146_Caveolin_contains_similarity_toInterpro_domain_IPR001612_(Caveolin)</t>
  </si>
  <si>
    <t>7209.EFO25422.1</t>
  </si>
  <si>
    <t>1.3e-54</t>
  </si>
  <si>
    <t>219.9</t>
  </si>
  <si>
    <t>GO:0000003,GO:0003674,GO:0005198,GO:0005488,GO:0005515,GO:0005575,GO:0005622,GO:0005623,GO:0005737,GO:0005886,GO:0005887,GO:0005901,GO:0005938,GO:0007049,GO:0007154,GO:0007165,GO:0007264,GO:0007265,GO:0008150,GO:0009898,GO:0009987,GO:0012505,GO:0016020,GO:0016021,GO:0022414,GO:0023052,GO:0030133,GO:0030141,GO:0031224,GO:0031226,GO:0031410,GO:0031982,GO:0032947,GO:0035556,GO:0043226,GO:0043227,GO:0043229,GO:0044424,GO:0044425,GO:0044444,GO:0044459,GO:0044464,GO:0044853,GO:0045121,GO:0046662,GO:0048471,GO:0050789,GO:0050794,GO:0050795,GO:0050896,GO:0051239,GO:0051321,GO:0051716,GO:0060473,GO:0065007,GO:0071944,GO:0097708,GO:0098552,GO:0098562,GO:0098589,GO:0098590,GO:0098805,GO:0098857,GO:0099503,GO:0099568,GO:2000241</t>
  </si>
  <si>
    <t>ko:K06278</t>
  </si>
  <si>
    <t>ko04144,ko04510,ko05100,ko05205,ko05416,ko05418,map04144,map04510,map05100,map05205,map05416,map05418</t>
  </si>
  <si>
    <t>1KX1G@119089,28N17@1,2QUK5@2759,3AAHJ@33154,3BUS1@33208,3DB6Q@33213,40EG2@6231</t>
  </si>
  <si>
    <t>May act as a scaffolding protein within caveolar membranes. Interacts directly with G-protein alpha subunits and can functionally regulate their activity</t>
  </si>
  <si>
    <t>16,8627/21,1765/18,8235/21,1765</t>
  </si>
  <si>
    <t>14,5098/14,5098/13,3333</t>
  </si>
  <si>
    <t>WBGene00000301</t>
  </si>
  <si>
    <t>20.7843</t>
  </si>
  <si>
    <t>meiosis_meiosis_progresion</t>
  </si>
  <si>
    <t>Bm14730</t>
  </si>
  <si>
    <t>WBGene00235065</t>
  </si>
  <si>
    <t>GO:0000166/GO:0031422/</t>
  </si>
  <si>
    <t>RecQ_helicase-Topo_III_complex/nucleotide_binding/</t>
  </si>
  <si>
    <t>A_complex_containing_a_RecQ_family_helicase_and_a_topoisomerase_III_homologue;_may_also_include_one_or_more_additional_proteins;_conserved_from_E._coli_to_human._[PMID:15889139]/"Interacting_selectively_and_non-covalently_with_a_nucleotide,_any_compound_consisting_of_a_nucleoside_that_is_esterified_with_(ortho)phosphate_or_an_oligophosphate_at_any_hydroxyl_group_on_the_ribose_or_deoxyribose."_[GOC:mah,_ISBN:0198547684]/</t>
  </si>
  <si>
    <t>IPR013894/IPR033472/IPR039215/</t>
  </si>
  <si>
    <t>RecQ-mediated_genome_instability_protein_1/RecQ_mediated_genome_instability_protein,_DUF1767/RecQ_mediated_genome_instability_protein,_N-terminal/</t>
  </si>
  <si>
    <t>DUF1767/RMI1/RMI1_N/</t>
  </si>
  <si>
    <t>note=contains_similarity_to_Pfam_domain_PF08585_Domain_of_unknown_function_(DUF1767)_contains_similarity_to_Interpro_domain_IPR013894_(Domain_of_unknown_function_DUF1767)</t>
  </si>
  <si>
    <t>7209.EJD73906.1</t>
  </si>
  <si>
    <t>2.7e-219</t>
  </si>
  <si>
    <t>768.1</t>
  </si>
  <si>
    <t>ko:K10990</t>
  </si>
  <si>
    <t>ko03460,map03460</t>
  </si>
  <si>
    <t>M00414</t>
  </si>
  <si>
    <t>ko00000,ko00001,ko00002,ko03400</t>
  </si>
  <si>
    <t>1KWXI@119089,39SUU@33154,3BDYU@33208,3CUPH@33213,40EQ9@6231,KOG3683@1,KOG3683@2759</t>
  </si>
  <si>
    <t>RecQ mediated genome instability protein</t>
  </si>
  <si>
    <t>WBGene00011576</t>
  </si>
  <si>
    <t>22.6744</t>
  </si>
  <si>
    <t>Bm13873</t>
  </si>
  <si>
    <t>WBGene00234134</t>
  </si>
  <si>
    <t>GO:0009263/GO:0009792/GO:0016020/GO:0016021/GO:0016491/GO:0055114/</t>
  </si>
  <si>
    <t>deoxyribonucleotide_biosynthetic_process/embryo_development_ending_in_birth_or_egg_hatching/integral_component_of_membrane/membrane/oxidation-reduction_process/oxidoreductase_activity/</t>
  </si>
  <si>
    <t>A_lipid_bilayer_along_with_all_the_proteins_and_protein_complexes_embedded_in_it_an_attached_to_it._[GOC:dos,_GOC:mah,_ISBN:0815316194]/"A_metabolic_process_that_results_in_the_removal_or_addition_of_one_or_more_electrons_to_or_from_a_substance,_with_or_without_the_concomitant_removal_or_addition_of_a_proton_or_protons."_[GOC:dhl,_GOC:ecd,_GOC:jh2,_GOC:jid,_GOC:mlg,_GOC:rph]/"Catalysis_of_an_oxidation-reduction_(redox)_reaction,_a_reversible_chemical_reaction_in_which_the_oxidation_state_of_an_atom_or_atoms_within_a_molecule_is_altered._One_substrate_acts_as_a_hydrogen_or_electron_donor_and_becomes_oxidized,_while_the_other_acts_as_hydrogen_or_electron_acceptor_and_becomes_reduced."_[GOC:go_curators]/"The_chemical_reactions_and_pathways_resulting_in_the_formation_of_a_deoxyribonucleotide,_a_compound_consisting_of_deoxyribonucleoside_(a_base_linked_to_a_deoxyribose_sugar)_esterified_with_a_phosphate_group_at_either_the_3'_or_5'-hydroxyl_group_of_the_sugar."_[GOC:go_curators,_ISBN:0198506732]/"The_component_of_a_membrane_consisting_of_the_gene_products_and_protein_complexes_having_at_least_some_part_of_their_peptide_sequence_embedded_in_the_hydrophobic_region_of_the_membrane."_[GOC:dos,_GOC:go_curators]/"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
  </si>
  <si>
    <t>IPR000358/IPR009078/IPR012348/IPR030475/IPR033909/</t>
  </si>
  <si>
    <t>Ferritin-like_superfamily/Ribonucleotide_reductase-like/Ribonucleotide_reductase_small_subunit/Ribonucleotide_reductase_small_subunit,_acitve_site/Ribonucleotide_reductase_small_subunit_family/</t>
  </si>
  <si>
    <t>Ferritin-like_SF/RNR-like/RNR_small/RNR_small_AS/RNR_small_fam/</t>
  </si>
  <si>
    <t>note=B._malayi_BMA-RNR-2_protein,_contains_similarity_toPfam_domain_PF00268_Ribonucleotide_reductase,_small_chaincontains_similarity_to_Interpro_domains_IPR012348(Ribonucleotide_reductase-related),_IPR000358(Ribonucleotide_reductase_small_subunit),_IPR009078(Ferritin-like_superfamily)</t>
  </si>
  <si>
    <t>7209.EFO23522.2</t>
  </si>
  <si>
    <t>1.3e-199</t>
  </si>
  <si>
    <t>702.2</t>
  </si>
  <si>
    <t>GO:0007275,GO:0008150,GO:0009790,GO:0009792,GO:0032501,GO:0032502,GO:0048856</t>
  </si>
  <si>
    <t>1.17.4.1</t>
  </si>
  <si>
    <t>ko:K10808</t>
  </si>
  <si>
    <t>ko00230,ko00240,ko00480,ko00983,ko01100,ko04115,map00230,map00240,map00480,map00983,map01100,map04115</t>
  </si>
  <si>
    <t>M00053</t>
  </si>
  <si>
    <t>R02017,R02019,R02024,R08363,R08364,R11893</t>
  </si>
  <si>
    <t>RC00613,RC01003</t>
  </si>
  <si>
    <t>ko00000,ko00001,ko00002,ko01000,ko03400</t>
  </si>
  <si>
    <t>1KU1U@119089,38B80@33154,3B9U0@33208,3CT3A@33213,40BKM@6231,COG1678@1,KOG1567@2759</t>
  </si>
  <si>
    <t>Ribonucleotide reductase, small chain</t>
  </si>
  <si>
    <t>12,3288/52,0548</t>
  </si>
  <si>
    <t>66,0274/66,5753</t>
  </si>
  <si>
    <t>63,5616/63,5616</t>
  </si>
  <si>
    <t>64,3836/61,3699</t>
  </si>
  <si>
    <t>61,9178/61,3699</t>
  </si>
  <si>
    <t>61,6438/63,2877/63,2877</t>
  </si>
  <si>
    <t>42,4658/56,4384</t>
  </si>
  <si>
    <t>WBGene00017610</t>
  </si>
  <si>
    <t>36.9863</t>
  </si>
  <si>
    <t>Bm11083</t>
  </si>
  <si>
    <t>WBGene00231344</t>
  </si>
  <si>
    <t>2.3e-146</t>
  </si>
  <si>
    <t>525.4</t>
  </si>
  <si>
    <t>WBGene00015194</t>
  </si>
  <si>
    <t>19.2405</t>
  </si>
  <si>
    <t>Bm3659</t>
  </si>
  <si>
    <t>WBGene00223920</t>
  </si>
  <si>
    <t>note=B._malayi_BMA-GRL-1_protein,_contains_similarity_toPfam_domain_PF04155_Ground-like_domain_contains_similarityto_Interpro_domain_IPR007284_(Ground-like_domain)</t>
  </si>
  <si>
    <t>7209.EFO23060.1</t>
  </si>
  <si>
    <t>180.6</t>
  </si>
  <si>
    <t>1M072@119089,2D5W5@1,2SZWU@2759,3AVVU@33154,3C4F9@33208,3DK19@33213,40H6K@6231</t>
  </si>
  <si>
    <t>WBGene00001724</t>
  </si>
  <si>
    <t>26.4151</t>
  </si>
  <si>
    <t>Bm17613</t>
  </si>
  <si>
    <t>WBGene00268755</t>
  </si>
  <si>
    <t>1.3e-41</t>
  </si>
  <si>
    <t>176.0</t>
  </si>
  <si>
    <t>Bm9627</t>
  </si>
  <si>
    <t>WBGene00229888</t>
  </si>
  <si>
    <t>IPR003392/</t>
  </si>
  <si>
    <t>Protein_patched/dispatched/</t>
  </si>
  <si>
    <t>Ptc/Disp/</t>
  </si>
  <si>
    <t>note=contains_similarity_to_Pfam_domain_PF02460_Patched_family_contains_similarity_to_Interpro_domain_IPR003392_(Patched)</t>
  </si>
  <si>
    <t>7209.EFO22873.2</t>
  </si>
  <si>
    <t>7.4e-83</t>
  </si>
  <si>
    <t>313.5</t>
  </si>
  <si>
    <t>17,9245/22,6415</t>
  </si>
  <si>
    <t>Bm2268</t>
  </si>
  <si>
    <t>WBGene00222529</t>
  </si>
  <si>
    <t>7209.EFO22818.1</t>
  </si>
  <si>
    <t>3.1e-150</t>
  </si>
  <si>
    <t>538.1</t>
  </si>
  <si>
    <t>1M0D6@119089,2D6M3@1,2T2C3@2759,3ASRJ@33154,3C4UX@33208,3DJGD@33213,40H2X@6231</t>
  </si>
  <si>
    <t>Bm1978</t>
  </si>
  <si>
    <t>WBGene00222239</t>
  </si>
  <si>
    <t>GO:0003824/GO:0046872/</t>
  </si>
  <si>
    <t>catalytic_activity/metal_ion_binding/</t>
  </si>
  <si>
    <t>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Interacting_selectively_and_non-covalently_with_any_metal_ion."_[GOC:ai]/</t>
  </si>
  <si>
    <t>IPR007863/IPR011249/IPR011765/</t>
  </si>
  <si>
    <t>Metalloenzyme,_LuxS/M16_peptidase-like/Peptidase_M16,_C-terminal/Peptidase_M16,_N-terminal/</t>
  </si>
  <si>
    <t>Metalloenz_LuxS/M16/Pept_M16_N/Peptidase_M16_C/</t>
  </si>
  <si>
    <t>note=contains_similarity_to_Pfam_domains_PF00675_(Insulinase_(Peptidase_family_M16)),_PF05193_(Peptidase_M16_inactive_domain)_contains_similarity_to_Interpro_domains_IPR007863_(Peptidase_M16,_C-terminal_domain),_IPR011765_(Peptidase_M16,_N-terminal),_IPR011249_(Metalloenzyme,_LuxS/M16_peptidase-like),_IPR011237_(Peptidase_M16_domain)</t>
  </si>
  <si>
    <t>7209.EFO27520.2</t>
  </si>
  <si>
    <t>1719.9</t>
  </si>
  <si>
    <t>1KUH9@119089,38C6N@33154,3C52M@33208,3E4U7@33213,40C8D@6231,COG1026@1,KOG0961@2759</t>
  </si>
  <si>
    <t>Peptidase M16 inactive domain</t>
  </si>
  <si>
    <t>5,78431/6,47059/35,7843/35,5882/11,3725/7,94118</t>
  </si>
  <si>
    <t>35,6863/15,3922</t>
  </si>
  <si>
    <t>WBGene00015481</t>
  </si>
  <si>
    <t>36.9608</t>
  </si>
  <si>
    <t>Bm7699</t>
  </si>
  <si>
    <t>WBGene00227960</t>
  </si>
  <si>
    <t>GO:0003700/GO:0006355/GO:0006357/</t>
  </si>
  <si>
    <t>DNA-binding_transcription_factor_activity/regulation_of_transcription,_DNA-templated/regulation_of_transcription_by_RNA_polymerase_II/</t>
  </si>
  <si>
    <t>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process_that_modulates_the_frequency,_rate_or_extent_of_cellular_DNA-templated_transcription."_[GOC:go_curators,_GOC:txnOH]/"Any_process_that_modulates_the_frequency,_rate_or_extent_of_transcription_mediated_by_RNA_polymerase_II."_[GOC:go_curators,_GOC:txnOH]/</t>
  </si>
  <si>
    <t>IPR004827/IPR040223/</t>
  </si>
  <si>
    <t>Basic-leucine_zipper_domain/PAR_basic_leucine_zipper_protein/</t>
  </si>
  <si>
    <t>PAR_bZIP/bZIP/</t>
  </si>
  <si>
    <t>7209.EFO24002.2</t>
  </si>
  <si>
    <t>1.1e-16</t>
  </si>
  <si>
    <t>94.0</t>
  </si>
  <si>
    <t>3A7F4@33154,3BTJA@33208,3D9NN@33213,40R1P@6231,KOG3119@1,KOG3119@2759</t>
  </si>
  <si>
    <t>83,8583/33,8583</t>
  </si>
  <si>
    <t>18,5039/20,4724/19,685</t>
  </si>
  <si>
    <t>18,5039/21,2598/20,8661</t>
  </si>
  <si>
    <t>19,685/18,8976/18,1102/18,5039/18,8976/17,3228</t>
  </si>
  <si>
    <t>WBGene00000469</t>
  </si>
  <si>
    <t>29.9213</t>
  </si>
  <si>
    <t>Bm14368</t>
  </si>
  <si>
    <t>WBGene00234629</t>
  </si>
  <si>
    <t>2.1e-08</t>
  </si>
  <si>
    <t>5,26316/46,0526</t>
  </si>
  <si>
    <t>Bm4937</t>
  </si>
  <si>
    <t>WBGene00225198</t>
  </si>
  <si>
    <t>Bm4915</t>
  </si>
  <si>
    <t>WBGene00225176</t>
  </si>
  <si>
    <t>GO:0007165/GO:0035556/GO:0046872/</t>
  </si>
  <si>
    <t>intracellular_signal_transduction/metal_ion_binding/signal_transduction/</t>
  </si>
  <si>
    <t>Interacting_selectively_and_non-covalently_with_any_metal_ion._[GOC:ai]/"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he_process_in_which_a_signal_is_passed_on_to_downstream_components_within_the_cell,_which_become_activated_themselves_to_further_propagate_the_signal_and_finally_trigger_a_change_in_the_function_or_state_of_the_cell."_[GOC:bf,_GOC:jl,_GOC:signaling,_ISBN:3527303782]/</t>
  </si>
  <si>
    <t>IPR000198/IPR002219/IPR008936/</t>
  </si>
  <si>
    <t>Protein_kinase_C-like,_phorbol_ester/diacylglycerol-binding_domain/Rho_GTPase-activating_protein_domain/Rho_GTPase_activation_protein/</t>
  </si>
  <si>
    <t>PE/DAG-bd/RhoGAP_dom/Rho_GTPase_activation_prot/</t>
  </si>
  <si>
    <t>note=contains_similarity_to_Pfam_domains_PF00620_(RhoGAPdomain),_PF00130_(Phorbol_esters/diacylglycerol_bindingdomain_(C1_domain))_contains_similarity_to_Interprodomains_IPR008936_(Rho_GTPase_activation_protein),IPR002219_(Protein_kinase_C-like,_phorbolester/diacylglycerol-binding_domain),_IPR000198_(RhoGTPase-activating_protein_domain)</t>
  </si>
  <si>
    <t>7209.EFO28449.1</t>
  </si>
  <si>
    <t>1102.4</t>
  </si>
  <si>
    <t>GO:0000003,GO:0000022,GO:0000070,GO:0000226,GO:0000278,GO:0000280,GO:0000281,GO:0000819,GO:0000910,GO:0003674,GO:0005096,GO:0005488,GO:0005515,GO:0005575,GO:0005622,GO:0005623,GO:0005819,GO:0005856,GO:0005886,GO:0006996,GO:0007010,GO:0007017,GO:0007049,GO:0007051,GO:0007052,GO:0007059,GO:0007143,GO:0007276,GO:0007292,GO:0008047,GO:0008150,GO:0009987,GO:0010324,GO:0015630,GO:0016020,GO:0016043,GO:0019953,GO:0022402,GO:0022412,GO:0022414,GO:0022607,GO:0030234,GO:0030695,GO:0032501,GO:0032504,GO:0032506,GO:0032991,GO:0033206,GO:0036090,GO:0040038,GO:0043085,GO:0043087,GO:0043226,GO:0043228,GO:0043229,GO:0043232,GO:0043547,GO:0044085,GO:0044093,GO:0044422,GO:0044424,GO:0044430,GO:0044446,GO:0044464,GO:0044703,GO:0048285,GO:0048609,GO:0050790,GO:0051225,GO:0051231,GO:0051233,GO:0051255,GO:0051256,GO:0051276,GO:0051301,GO:0051321,GO:0051336,GO:0051345,GO:0051704,GO:0060589,GO:0061024,GO:0061640,GO:0065007,GO:0065009,GO:0070925,GO:0071840,GO:0071944,GO:0072686,GO:0090307,GO:0097149,GO:0098772,GO:0098813,GO:0099024,GO:0140013,GO:0140014,GO:1902410,GO:1902850,GO:1903046,GO:1903047,GO:1990023,GO:1990386</t>
  </si>
  <si>
    <t>ko:K16733</t>
  </si>
  <si>
    <t>ko00000,ko03036,ko04131</t>
  </si>
  <si>
    <t>1KVS1@119089,38ECX@33154,3BHC4@33208,3CZ68@33213,40D24@6231,KOG3564@1,KOG3564@2759</t>
  </si>
  <si>
    <t>GTPase-activator protein for Rho-like GTPases</t>
  </si>
  <si>
    <t>22,1053/16,6917/22,406/26,3158</t>
  </si>
  <si>
    <t>27,0677/28,8722</t>
  </si>
  <si>
    <t>26,9173/16,6917/15,9398/25,7143</t>
  </si>
  <si>
    <t>23,0075/20,1504/16,2406/15,9398</t>
  </si>
  <si>
    <t>20,7519/25,5639</t>
  </si>
  <si>
    <t>21,3534/23,9098</t>
  </si>
  <si>
    <t>21,203/13,5338</t>
  </si>
  <si>
    <t>18,4962/22,5564</t>
  </si>
  <si>
    <t>WBGene00000875</t>
  </si>
  <si>
    <t>27.6692</t>
  </si>
  <si>
    <t>Bm1710</t>
  </si>
  <si>
    <t>WBGene00221971</t>
  </si>
  <si>
    <t>GO:0004888/GO:0005216/GO:0005230/GO:0005886/GO:0006811/GO:0008068/GO:0008144/GO:0016020/GO:0016021/GO:0031987/GO:0034220/GO:0042493/GO:0043051/GO:0060079/GO:0098794/GO:1902476/</t>
  </si>
  <si>
    <t>chloride_transmembrane_transport/drug_binding/excitatory_postsynaptic_potential/extracellular_ligand-gated_ion_channel_activity/extracellularly_glutamate-gated_chloride_channel_activity/integral_component_of_membrane/ion_channel_activity/ion_transmembrane_transport/ion_transport/locomotion_involved_in_locomotory_behavior/membrane/plasma_membrane/postsynapse/regulation_of_pharyngeal_pumping/response_to_drug/transmembrane_signaling_receptor_activity/</t>
  </si>
  <si>
    <t>A_lipid_bilayer_along_with_all_the_proteins_and_protein_complexes_embedded_in_it_an_attached_to_it._[GOC:dos,_GOC:mah,_ISBN:0815316194]/"A_process_in_which_an_ion_is_transported_across_a_membrane."_[GOC:mah]/"A_process_that_leads_to_a_temporary_increase_in_postsynaptic_potential_due_to_the_flow_of_positively_charged_ions_into_the_postsynaptic_cell._The_flow_of_ions_that_causes_an_EPSP_is_an_excitatory_postsynaptic_current_(EPSC)_and_makes_it_easier_for_the_neuron_to_fire_an_action_potential."_[GOC:dph,_GOC:ef]/"Any_process_that_modulates_the_contraction_and_relaxation_movements_of_the_pharyngeal_muscle_that_mediates_feeding_in_nematodes."_[GOC:cab1,_PMID:2181052]/"Any_process_that_results_in_a_change_in_state_or_activity_of_a_cell_or_an_organism_(in_terms_of_movement,_secretion,_enzyme_production,_gene_expression,_etc.)_as_a_result_of_a_drug_stimulus._A_drug_is_a_substance_used_in_the_diagnosis,_treatment_or_prevention_of_a_disease."_[GOC:jl]/"Combining_with_an_extracellular_or_intracellular_signal_and_transmitting_the_signal_from_one_side_of_the_membrane_to_the_other_to_initiate_a_change_in_cell_activity_or_state_as_part_of_signal_transduction."_[GOC:go_curators,_Wikipedia:Transmembrane_receptor]/"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Enables_the_transmembrane_transfer_of_a_chloride_ion_by_a_channel_that_opens_when__glutamate_is_bound_by_the_channel_complex_or_one_of_its_constituent_parts_on_the_extracellular_side_of_the_plasma_membrane."_[GOC:mtg_transport,_ISBN:0815340729]/"Enables_the_transmembrane_transfer_of_an_ion_by_a_channel_that_opens_when_a_specific_extracellular_ligand_has_been_bound_by_the_channel_complex_or_one_of_its_constituent_parts."_[GOC:mtg_transport,_ISBN:0815340729]/"Interacting_selectively_and_non-covalently_with_a_drug,_any_naturally_occurring_or_synthetic_substance,_other_than_a_nutrient,_that,_when_administered_or_applied_to_an_organism,_affects_the_structure_or_functioning_of_the_organism;_in_particular,_any_such_substance_used_in_the_diagnosis,_prevention,_or_treatment_of_disease."_[GOC:jl,_ISBN:0198506732]/"Self-propelled_movement_of_a_cell_or_organism_from_one_location_to_another_in_a_behavioral_context;_the_aspect_of_locomotory_behavior_having_to_do_with_movement."_[GOC:mah]/"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he_membrane_surrounding_a_cell_that_separates_the_cell_from_its_external_environment._It_consists_of_a_phospholipid_bilayer_and_associated_proteins."_[ISBN:0716731363]/"The_part_of_a_synapse_that_is_part_of_the_post-synaptic_cell."_[GOC:dos]/"The_process_in_which_chloride_is_transported_across_a_membrane."_[GOC:TermGenie,_GOC:vw]/</t>
  </si>
  <si>
    <t>IPR006028/IPR006029/IPR006201/IPR006202/IPR007110/IPR018000/IPR036719/IPR036734/</t>
  </si>
  <si>
    <t>Gamma-aminobutyric_acid_A_receptor/Glycine_receptor_alpha/Immunoglobulin-like_domain/Neurotransmitter-gated_ion-channel/Neurotransmitter-gated_ion-channel,_conserved_site/Neurotransmitter-gated_ion-channel_ligand-binding_domain/Neurotransmitter-gated_ion-channel_ligand-binding_domain_superfamily/Neurotransmitter-gated_ion-channel_transmembrane_domain/Neurotransmitter-gated_ion-channel_transmembrane_domain_superfamily/</t>
  </si>
  <si>
    <t>GABAA/Glycine_rcpt/Ig-like_dom/Neur_chan_lig-bd/Neur_chan_lig-bd_sf/Neur_channel/Neuro-gated_channel_TM_sf/Neurotrans-gated_channel_TM/Neurotransmitter_ion_chnl_CS/</t>
  </si>
  <si>
    <t>note=B._malayi_BMA-AVR-14_protein,_contains_similarity_to_Pfam_domain_PF02931_Neurotransmitter-gated_ion-channel_ligand_binding_domain_contains_similarity_to_Interpro_domains_IPR006201_(Neurotransmitter-gated_ion-channel),_IPR006202_(Neurotransmitter-gated_ion-channel_ligand-binding_domain)</t>
  </si>
  <si>
    <t>7209.EJD74807.1</t>
  </si>
  <si>
    <t>1.7e-124</t>
  </si>
  <si>
    <t>453.4</t>
  </si>
  <si>
    <t>1KTRG@119089,38BM7@33154,3BA9E@33208,3CRD3@33213,40AKI@6231,KOG3644@1,KOG3644@2759</t>
  </si>
  <si>
    <t>9,27152/31,7881</t>
  </si>
  <si>
    <t>52,9801/53,3113/53,3113</t>
  </si>
  <si>
    <t>16,5563/17,3841</t>
  </si>
  <si>
    <t>43,543/20,0331</t>
  </si>
  <si>
    <t>Bm12316</t>
  </si>
  <si>
    <t>WBGene00232577</t>
  </si>
  <si>
    <t>IPR008160/</t>
  </si>
  <si>
    <t>Collagen_triple_helix_repeat/</t>
  </si>
  <si>
    <t>Collagen/</t>
  </si>
  <si>
    <t>note=contains_similarity_to_Pfam_domain_PF01484_Nematodecuticle_collagen_N-terminal_domain_contains_similarity_toInterpro_domain_IPR002486_(Nematode_cuticle_collagen,N-terminal)</t>
  </si>
  <si>
    <t>22,3022/19,7842</t>
  </si>
  <si>
    <t>19,4245/18,3453</t>
  </si>
  <si>
    <t>21,9424/20,1439</t>
  </si>
  <si>
    <t>Bm9314</t>
  </si>
  <si>
    <t>WBGene00229575</t>
  </si>
  <si>
    <t>IPR001841/IPR013083/IPR017066/</t>
  </si>
  <si>
    <t>E3_ubiquitin-protein_ligase_BOI-like/Zinc_finger,_RING-type/Zinc_finger,_RING/FYVE/PHD-type/</t>
  </si>
  <si>
    <t>E3ligase_BOI_like/Znf_RING/Znf_RING/FYVE/PHD/</t>
  </si>
  <si>
    <t>7370.XP_005182801.1</t>
  </si>
  <si>
    <t>3.6e-07</t>
  </si>
  <si>
    <t>38NR3@33154,3BJTP@33208,3D3XI@33213,423UP@6656,KOG4265@1,KOG4265@2759</t>
  </si>
  <si>
    <t>Prokaryotic RING finger family 4</t>
  </si>
  <si>
    <t>Bm1160</t>
  </si>
  <si>
    <t>WBGene00221421</t>
  </si>
  <si>
    <t>/IPR000697/IPR011993/</t>
  </si>
  <si>
    <t>/PH-like_domain_superfamily/WH1/EVH1_domain/</t>
  </si>
  <si>
    <t>/PH-like_dom_sf/WH1/EVH1_dom/</t>
  </si>
  <si>
    <t>note=contains_similarity_to_Pfam_domain_PF00568_WH1_domain_contains_similarity_to_Interpro_domains_IPR011993_(Pleckstrin_homology-like_domain),_IPR000697_(WH1/EVH1_domain)</t>
  </si>
  <si>
    <t>Bm7856</t>
  </si>
  <si>
    <t>WBGene00228117</t>
  </si>
  <si>
    <t>6326.BUX.s00713.175</t>
  </si>
  <si>
    <t>3.3e-38</t>
  </si>
  <si>
    <t>166.8</t>
  </si>
  <si>
    <t>1KY3E@119089,3A4QZ@33154,3BSBF@33208,3D8VS@33213,40DGT@6231,KOG1339@1,KOG1339@2759,KOG3544@1,KOG3544@2759</t>
  </si>
  <si>
    <t>Eukaryotic aspartyl protease</t>
  </si>
  <si>
    <t>72,1078/72,1078</t>
  </si>
  <si>
    <t>21,5531/13,4707</t>
  </si>
  <si>
    <t>7,76545/13,9461</t>
  </si>
  <si>
    <t>Bm12950</t>
  </si>
  <si>
    <t>WBGene00233211</t>
  </si>
  <si>
    <t>43,6846/9,49316/7,40145/10,4586</t>
  </si>
  <si>
    <t>6,83829/6,51649/43,8455</t>
  </si>
  <si>
    <t>71,1183/7,9646</t>
  </si>
  <si>
    <t>Bm17267</t>
  </si>
  <si>
    <t>WBGene00268410</t>
  </si>
  <si>
    <t>IPR038765/</t>
  </si>
  <si>
    <t>Papain-like_cysteine_peptidase_superfamily/</t>
  </si>
  <si>
    <t>Papain_like_cys_pep_sf/</t>
  </si>
  <si>
    <t>7209.EJD73932.1</t>
  </si>
  <si>
    <t>1.8e-10</t>
  </si>
  <si>
    <t>71.6</t>
  </si>
  <si>
    <t>Bm1537</t>
  </si>
  <si>
    <t>WBGene00221798</t>
  </si>
  <si>
    <t>20,7317/31,3008</t>
  </si>
  <si>
    <t>Bm5198</t>
  </si>
  <si>
    <t>WBGene00225459</t>
  </si>
  <si>
    <t>IPR004245/IPR017849/IPR017850/</t>
  </si>
  <si>
    <t>Alkaline-phosphatase-like,_core_domain_superfamily/Alkaline_phosphatase-like,_alpha/beta/alpha/Protein_of_unknown_function_DUF229/</t>
  </si>
  <si>
    <t>Alkaline_Pase-like_a/b/a/Alkaline_phosphatase_core_sf/DUF229/</t>
  </si>
  <si>
    <t>note=contains_similarity_to_Pfam_domain_PF02995_Protein_of_unknown_function_(DUF229)_contains_similarity_to_Interpro_domains_IPR017849_(Alkaline_phosphatase-like,_alpha/beta/alpha),_IPR004245_(Protein_of_unknown_function_DUF229),_IPR017850_(Alkaline-phosphatase-like,_core_domain)</t>
  </si>
  <si>
    <t>7209.EFO25716.1</t>
  </si>
  <si>
    <t>1.3e-278</t>
  </si>
  <si>
    <t>965.3</t>
  </si>
  <si>
    <t>1KY90@119089,3AFMM@33154,3BYQK@33208,3DDKA@33213,40FHG@6231,KOG0489@1,KOG0842@2759</t>
  </si>
  <si>
    <t>catalytic activity</t>
  </si>
  <si>
    <t>26,2887/24,3986/25,945/25,6014/25,6014/25,7732/21,3058/23,1959</t>
  </si>
  <si>
    <t>23,1959/25,6014/29,2096/26,8041/26,6323/27,8351/26,4605/10,1375/12,0275/22,3368/29,0378/23,3677/27,3196/26,4605/21,6495/10,9966/22,1649/26,1168/28,6942/20,2749/30,0687/17,1821/26,9759/27,4914/27,6632/25,7732/18,7285/16,4948/30,756/26,1168/29,2096/29,2096/24,055/24,9141</t>
  </si>
  <si>
    <t>28,6942/28,0069/16,323/24,055/27,6632/25,4296/22,6804/20,4467/18,5567/24,5704/23,5395/20,2749/29,8969/19,7595/26,4605/28,3505/22,5086/16,8385/22,5086/29,7251/28,1787</t>
  </si>
  <si>
    <t>7,90378/28,1787/23,7113/25,2577/25,0859/27,1478/26,4605/24,9141/26,4605/27,1478/14,433</t>
  </si>
  <si>
    <t>14,433/6,01375/16,4948/24,055/16,4948/28,6942/27,4914/6,01375/8,59107/23,3677/20,7904/24,7423/27,8351</t>
  </si>
  <si>
    <t>9,96564/3,95189</t>
  </si>
  <si>
    <t>14,0893/10,6529/18,9003/20,4467/13,7457/3,95189/14,6048</t>
  </si>
  <si>
    <t>27,8351/25,2577/25,0859</t>
  </si>
  <si>
    <t>WBGene00010998/WBGene00010996/WBGene00013539</t>
  </si>
  <si>
    <t>27.8351/25.2577/25.0859</t>
  </si>
  <si>
    <t>Bm9821</t>
  </si>
  <si>
    <t>WBGene00230082</t>
  </si>
  <si>
    <t>7209.EFO26939.2</t>
  </si>
  <si>
    <t>5e-167</t>
  </si>
  <si>
    <t>COG5064@1,KOG0166@2759</t>
  </si>
  <si>
    <t>nuclear import signal receptor activity</t>
  </si>
  <si>
    <t>Bm2501</t>
  </si>
  <si>
    <t>WBGene00222762</t>
  </si>
  <si>
    <t>GO:0016020/GO:0016021/GO:0042302/GO:0042338/</t>
  </si>
  <si>
    <t>cuticle_development_involved_in_collagen_and_cuticulin-based_cuticle_molting_cycle/integral_component_of_membrane/membrane/structural_constituent_of_cuticle/</t>
  </si>
  <si>
    <t>A_lipid_bilayer_along_with_all_the_proteins_and_protein_complexes_embedded_in_it_an_attached_to_it._[GOC:dos,_GOC:mah,_ISBN:0815316194]/"Synthesis_and_deposition_of_a_collagen_and_cuticulin-based_noncellular,_hardened,_or_membranous_secretion_from_an_epithelial_sheet,_occurring_as_part_of_the_molting_cycle._An_example_of_this_process_is_found_in_Caenorhabditis_elegans."_[GOC:mtg_sensu]/"The_action_of_a_molecule_that_contributes_to_the_structural_integrity_of_a_cuticle."_[GOC:jl]/"The_component_of_a_membrane_consisting_of_the_gene_products_and_protein_complexes_having_at_least_some_part_of_their_peptide_sequence_embedded_in_the_hydrophobic_region_of_the_membrane."_[GOC:dos,_GOC:go_curators]/</t>
  </si>
  <si>
    <t>7209.EFO27578.1</t>
  </si>
  <si>
    <t>3.8e-48</t>
  </si>
  <si>
    <t>198.7</t>
  </si>
  <si>
    <t>1KYZR@119089,3A5EG@33154,3BRPI@33208,3D91G@33213,40DT5@6231,KOG3544@1,KOG3544@2759</t>
  </si>
  <si>
    <t>Collagen triple helix repeat (20 copies)</t>
  </si>
  <si>
    <t>43,2787/43,6066</t>
  </si>
  <si>
    <t>Bm60</t>
  </si>
  <si>
    <t>WBGene00220321</t>
  </si>
  <si>
    <t>Bm9584</t>
  </si>
  <si>
    <t>WBGene00229845</t>
  </si>
  <si>
    <t>IPR008139/IPR011001/</t>
  </si>
  <si>
    <t>Saposin-like/Saposin_B_type_domain/</t>
  </si>
  <si>
    <t>Saposin-like/SaposinB_dom/</t>
  </si>
  <si>
    <t>note=contains_similarity_to_Interpro_domain_IPR011001_(Saposin-like)</t>
  </si>
  <si>
    <t>Bm5761</t>
  </si>
  <si>
    <t>WBGene00226022</t>
  </si>
  <si>
    <t>GO:0005634/GO:0005737/</t>
  </si>
  <si>
    <t>cytoplasm/nucleus/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</si>
  <si>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ll_of_the_contents_of_a_cell_excluding_the_plasma_membrane_and_nucleus,_but_including_other_subcellular_structures."_[ISBN:0198547684]/</t>
  </si>
  <si>
    <t>note=B._malayi_BMA-SUT-1_protein</t>
  </si>
  <si>
    <t>7209.EFO23628.2</t>
  </si>
  <si>
    <t>7e-97</t>
  </si>
  <si>
    <t>360.5</t>
  </si>
  <si>
    <t>GO:0003674,GO:0005488,GO:0005515,GO:0005575,GO:0005622,GO:0005623,GO:0005634,GO:0005737,GO:0043226,GO:0043227,GO:0043229,GO:0043231,GO:0044424,GO:0044464</t>
  </si>
  <si>
    <t>1KWYC@119089,2E1E5@1,2S8RF@2759,3AAAM@33154,3BUZ9@33208,3DB0Z@33213,40EIV@6231</t>
  </si>
  <si>
    <t>38,79/38,79</t>
  </si>
  <si>
    <t>WBGene00020475</t>
  </si>
  <si>
    <t>29.1815</t>
  </si>
  <si>
    <t>Bm16921</t>
  </si>
  <si>
    <t>WBGene00255483</t>
  </si>
  <si>
    <t>note=contains_similarity_to_Interpro_domain_IPR011990_(Tetratricopeptide-like_helical_domain)</t>
  </si>
  <si>
    <t>62,8488/33,0396</t>
  </si>
  <si>
    <t>9,39794/9,54479</t>
  </si>
  <si>
    <t>12,4816/12,7753</t>
  </si>
  <si>
    <t>Bm12890</t>
  </si>
  <si>
    <t>WBGene00233151</t>
  </si>
  <si>
    <t>Bm2401</t>
  </si>
  <si>
    <t>WBGene00222662</t>
  </si>
  <si>
    <t>GO:0005524/GO:0016887/GO:0035494/</t>
  </si>
  <si>
    <t>ATP_binding/ATPase_activity/SNARE_complex_disassembly/</t>
  </si>
  <si>
    <t>Catalysis_of_the_reaction:_ATP_+_H2O_=_ADP_+_phosphate_+_2_H+._May_or_may_not_be_coupled_to_another_reaction._[EC:3.6.1.3,_GOC:jl]/"Interacting_selectively_and_non-covalently_with_ATP,_adenosine_5'-triphosphate,_a_universally_important_coenzyme_and_enzyme_regulator."_[ISBN:0198506732]/"The_disaggregation_of_the_SNARE_protein_complex_into_its_constituent_components._The_SNARE_complex_is_a_protein_complex_involved_in_membrane_fusion;_a_stable_ternary_complex_consisting_of_a_four-helix_bundle,_usually_formed_from_one_R-SNARE_and_three_Q-SNAREs_with_an_ionic_layer_sandwiched_between_hydrophobic_layers."_[GOC:rb,_PMID:11697877]/</t>
  </si>
  <si>
    <t>IPR003959/IPR007588/IPR027417/IPR039812/</t>
  </si>
  <si>
    <t>ATPase,_AAA-type,_core/P-loop_containing_nucleoside_triphosphate_hydrolase/Vesicle-fusing_ATPase/Zinc_finger,_FLYWCH-type/</t>
  </si>
  <si>
    <t>ATPase_AAA_core/P-loop_NTPase/Vesicle-fus_ATPase/Znf_FLYWCH/</t>
  </si>
  <si>
    <t>note=contains_similarity_to_Pfam_domains_PF00004_(ATPasefamily_associated_with_various_cellular_activities_(AAA)),PF04500_(FLYWCH_zinc_finger_domain)_contains_similarity_toInterpro_domains_IPR007588_(Zinc_finger,_FLYWCH-type),IPR003959_(ATPase,_AAA-type,_core),_IPR027417_(P-loopcontaining_nucleoside_triphosphate_hydrolase)</t>
  </si>
  <si>
    <t>34506.g3531</t>
  </si>
  <si>
    <t>6.1e-29</t>
  </si>
  <si>
    <t>135.6</t>
  </si>
  <si>
    <t>3.6.4.6</t>
  </si>
  <si>
    <t>ko:K06027</t>
  </si>
  <si>
    <t>ko04138,ko04721,ko04727,ko04962,map04138,map04721,map04727,map04962</t>
  </si>
  <si>
    <t>1.F.1.1</t>
  </si>
  <si>
    <t>1KVBX@119089,38CBE@33154,3B9KB@33208,3CUQF@33213,40CDA@6231,40YID@6236,COG0464@1,KOG0741@2759</t>
  </si>
  <si>
    <t>Cell division protein 48 (CDC48) N-terminal domain</t>
  </si>
  <si>
    <t>23,1263/20,3426/20,7709</t>
  </si>
  <si>
    <t>5,13919/4,49679</t>
  </si>
  <si>
    <t>6,42398/23,9829/23,9829/22,4839</t>
  </si>
  <si>
    <t>15,6317/23,5546</t>
  </si>
  <si>
    <t>12,4197/23,1263/22,9122</t>
  </si>
  <si>
    <t>20,985/21,4133</t>
  </si>
  <si>
    <t>WBGene00003818</t>
  </si>
  <si>
    <t>24.6253</t>
  </si>
  <si>
    <t>Bm8021</t>
  </si>
  <si>
    <t>WBGene00228282</t>
  </si>
  <si>
    <t>Bm7137</t>
  </si>
  <si>
    <t>WBGene00227398</t>
  </si>
  <si>
    <t>IPR011047/IPR015943/</t>
  </si>
  <si>
    <t>Quinoprotein_alcohol_dehydrogenase-like_superfamily/WD40/YVTN_repeat-like-containing_domain_superfamily/</t>
  </si>
  <si>
    <t>Quinoprotein_ADH-like_supfam/WD40/YVTN_repeat-like_dom_sf/</t>
  </si>
  <si>
    <t>note=B._malayi_BMA-OSM-12_protein,_contains_similarity_to_Interpro_domains_IPR011047_(Quinonprotein_alcohol_dehydrogenase-like_superfamily),_IPR015943_(WD40/YVTN_repeat-like-containing_domain)</t>
  </si>
  <si>
    <t>7209.EFO21233.2</t>
  </si>
  <si>
    <t>1.8e-294</t>
  </si>
  <si>
    <t>1018.1</t>
  </si>
  <si>
    <t>osm-12</t>
  </si>
  <si>
    <t>GO:0005575,GO:0005622,GO:0005623,GO:0005815,GO:0005856,GO:0005929,GO:0006810,GO:0006928,GO:0006935,GO:0006996,GO:0007017,GO:0007018,GO:0008104,GO:0008150,GO:0009605,GO:0009987,GO:0010970,GO:0015630,GO:0016043,GO:0022607,GO:0030030,GO:0030031,GO:0030705,GO:0031503,GO:0033036,GO:0034613,GO:0036064,GO:0040011,GO:0042073,GO:0042221,GO:0042330,GO:0042995,GO:0043005,GO:0043226,GO:0043228,GO:0043229,GO:0043232,GO:0044085,GO:0044422,GO:0044424,GO:0044430,GO:0044441,GO:0044446,GO:0044463,GO:0044464,GO:0044782,GO:0046907,GO:0050896,GO:0051179,GO:0051234,GO:0051641,GO:0051649,GO:0060271,GO:0070727,GO:0070925,GO:0071840,GO:0072657,GO:0097458,GO:0097730,GO:0099111,GO:0120025,GO:0120031,GO:0120036,GO:0120038,GO:1904106,GO:1904107,GO:1905515,GO:1990778</t>
  </si>
  <si>
    <t>ko:K16749</t>
  </si>
  <si>
    <t>1KTVB@119089,2C3IK@1,2QPS5@2759,38DRJ@33154,3BBU2@33208,3CXFH@33213,40AXB@6231</t>
  </si>
  <si>
    <t>The BBSome complex is thought to function as a coat complex required for sorting of specific membrane proteins to the primary cilia</t>
  </si>
  <si>
    <t>66,3492/19,2063</t>
  </si>
  <si>
    <t>14,4444/50,9524</t>
  </si>
  <si>
    <t>21,1111/19,0476</t>
  </si>
  <si>
    <t>35,873/6,19048</t>
  </si>
  <si>
    <t>10,3175/47,3016/38,7302/48,5714</t>
  </si>
  <si>
    <t>8,57143/8,57143/17,4603</t>
  </si>
  <si>
    <t>WBGene00003892</t>
  </si>
  <si>
    <t>39.0476</t>
  </si>
  <si>
    <t>Bm4211</t>
  </si>
  <si>
    <t>WBGene00224472</t>
  </si>
  <si>
    <t>GO:0000175/GO:0000291/GO:0000932/GO:0003723/GO:0004518/GO:0004527/GO:0004540/GO:0005737/GO:0016787/GO:0034427/GO:0046872/GO:0090305/GO:0090501/GO:0090503/GO:1990074/</t>
  </si>
  <si>
    <t>3'-5'-exoribonuclease_activity/P-body/RNA_binding/RNA_phosphodiester_bond_hydrolysis/RNA_phosphodiester_bond_hydrolysis,_exonucleolytic/cytoplasm/exonuclease_activity/hydrolase_activity/metal_ion_binding/nuclear-transcribed_mRNA_catabolic_process,_exonucleolytic/nuclear-transcribed_mRNA_catabolic_process,_exonucleolytic,_3'-5'/nuclease_activity/nucleic_acid_phosphodiester_bond_hydrolysis/polyuridylation-dependent_mRNA_catabolic_process/ribonuclease_activity/</t>
  </si>
  <si>
    <t>A_focus_in_the_cytoplasm_where_mRNAs_may_become_inactivated_by_decapping_or_some_other_mechanism._Protein_and_RNA_localized_to_these_foci_are_involved_in_mRNA_degradation,_nonsense-mediated_mRNA_decay_(NMD),_translational_repression,_and_RNA-mediated_gene_silencing._[GOC:clt,_PMID:12730603]/"All_of_the_contents_of_a_cell_excluding_the_plasma_membrane_and_nucleus,_but_including_other_subcellular_structures."_[ISBN:0198547684]/"Catalysis_of_the_hydrolysis_of_ester_linkages_within_nucleic_acids."_[ISBN:0198547684]/"Catalysis_of_the_hydrolysis_of_ester_linkages_within_nucleic_acids_by_removing_nucleotide_residues_from_the_3'_or_5'_end."_[GOC:mah,_ISBN:0198547684]/"Catalysis_of_the_hydrolysis_of_phosphodiester_bonds_in_chains_of_RNA."_[GOC:mah,_ISBN:0198547684]/"Catalysis_of_the_hydrolysis_of_various_bonds,_e.g._C-O,_C-N,_C-C,_phosphoric_anhydride_bonds,_etc._Hydrolase_is_the_systematic_name_for_any_enzyme_of_EC_class_3."_[ISBN:0198506732]/"Catalysis_of_the_sequential_cleavage_of_mononucleotides_from_a_free_3'_terminus_of_an_RNA_molecule."_[GOC:mah,_ISBN:0198547684]/"Interacting_selectively_and_non-covalently_with_an_RNA_molecule_or_a_portion_thereof."_[GOC:jl,_GOC:mah]/"Interacting_selectively_and_non-covalently_with_any_metal_ion."_[GOC:ai]/"The_RNA_metabolic_process_in_which_the_phosphodiester_bonds_between_ribonucleotides_are_cleaved_by_hydrolysis."_[GOC:dph,_GOC:tb]/"The_chemical_reactions_and_pathways_involving_the_hydrolysis_of_terminal_3',5'-phosphodiester_bonds_in_one_or_two_strands_of_ribonucleotides."_[GOC:dph,_GOC:tb]/"The_chemical_reactions_and_pathways_resulting_in_the_breakdown_of_a_messenger_RNA_(mRNA)_molecule,_initiated_by_the_enzymatic_addition_of_a_sequence_of_uridylyl_residues_(polyuridylation)_at_the_3'_end_of_the_target_mRNA."_[GOC:vw,_PMID:23503588]/"The_chemical_reactions_and_pathways_resulting_in_the_breakdown_of_the_mRNA_transcript_body_that_occurs_when_the_3'_end_is_not_protected_by_a_3'-poly(A)_tail;_degradation_proceeds_in_the_3'_to_5'_direction."_[GOC:krc,_GOC:mah]/"The_chemical_reactions_and_pathways_resulting_in_the_breakdown_of_the_transcript_body_of_a_nuclear-transcribed_mRNA_that_occurs_when_the_ends_are_not_protected_by_the_5'-cap_or_the_3'-poly(A)_tail."_[GOC:krc]/"The_nucleic_acid_metabolic_process_in_which_the_phosphodiester_bonds_between_nucleotides_are_cleaved_by_hydrolysis."_[GOC:dph,_GOC:tb]/</t>
  </si>
  <si>
    <t>IPR001900/IPR012340/IPR022966/IPR028591/IPR041093/IPR041505/</t>
  </si>
  <si>
    <t>DIS3-like_exonuclease_2/DIS3-like_exonuclease_2,_C-terminal/Dis3-like_cold-shock_domain_2/Nucleic_acid-binding,_OB-fold/Ribonuclease_II/R/Ribonuclease_II/R,_conserved_site/</t>
  </si>
  <si>
    <t>DIS3L2/Dis3_CSD2/Dis3l2_C/NA-bd_OB-fold/RNase_II/R/RNase_II/R_CS/</t>
  </si>
  <si>
    <t>note=B._malayi_BMA-DISL-2_protein,_contains_similarity_to_Pfam_domain_PF00773_RNB_domain_contains_similarity_to_Interpro_domain_IPR012340_(Nucleic_acid-binding,_OB-fold)</t>
  </si>
  <si>
    <t>7209.EFO20496.2</t>
  </si>
  <si>
    <t>1705.6</t>
  </si>
  <si>
    <t>GO:0008150,GO:0010453,GO:0040034,GO:0042659,GO:0045595,GO:0050789,GO:0050793,GO:0050794,GO:0065007</t>
  </si>
  <si>
    <t>ko:K18758</t>
  </si>
  <si>
    <t>ko00000,ko01000,ko03019</t>
  </si>
  <si>
    <t>1KUG0@119089,38DFE@33154,3BC9R@33208,3CRBA@33213,40BR9@6231,COG0557@1,KOG2102@2759</t>
  </si>
  <si>
    <t>3'-5'-exoribonuclease that specifically recognizes RNAs polyuridylated at their 3' end and mediates their degradation. Component of an exosome-independent RNA degradation pathway that mediates degradation of cytoplasmic mRNAs that have been deadenylated and subsequently uridylated at their 3'</t>
  </si>
  <si>
    <t>15,2373/36,2198/21,7319</t>
  </si>
  <si>
    <t>27,7269/14,2381/6,57785/16,1532/15,8201/6,49459/11,4904</t>
  </si>
  <si>
    <t>7,24396/23,5637</t>
  </si>
  <si>
    <t>WBGene00018612</t>
  </si>
  <si>
    <t>31.1407</t>
  </si>
  <si>
    <t>Bm3118</t>
  </si>
  <si>
    <t>WBGene00223379</t>
  </si>
  <si>
    <t>GO:0008270/</t>
  </si>
  <si>
    <t>zinc_ion_binding/</t>
  </si>
  <si>
    <t>Interacting_selectively_and_non-covalently_with_zinc_(Zn)_ions._[GOC:ai]/</t>
  </si>
  <si>
    <t>IPR001607/IPR001841/IPR011422/IPR013083/</t>
  </si>
  <si>
    <t>BRCA1-associated_2/Zinc_finger,_RING-type/Zinc_finger,_RING/FYVE/PHD-type/Zinc_finger,_UBP-type/</t>
  </si>
  <si>
    <t>BRAP2/Znf_RING/Znf_RING/FYVE/PHD/Znf_UBP/</t>
  </si>
  <si>
    <t>note=contains_similarity_to_Pfam_domains_PF02148_(Zn-finger_in_ubiquitin-hydrolases_and_other_protein),_PF07576_(BRCA1-associated_protein_2),_PF13639_(Ring_finger_domain)_contains_similarity_to_Interpro_domains_IPR001841_(Zinc_finger,_RING-type),_IPR011422_(BRCA1-associated_2),_IPR001607_(Zinc_finger,_UBP-type),_IPR013083_(Zinc_finger,_RING/FYVE/PHD-type)</t>
  </si>
  <si>
    <t>7209.EFO26116.1</t>
  </si>
  <si>
    <t>1.7e-297</t>
  </si>
  <si>
    <t>1028.1</t>
  </si>
  <si>
    <t>ko:K10632</t>
  </si>
  <si>
    <t>ko04014,map04014</t>
  </si>
  <si>
    <t>ko00000,ko00001,ko01000,ko04121</t>
  </si>
  <si>
    <t>1KU6D@119089,38BBQ@33154,3BCPC@33208,3CRXN@33213,40AHV@6231,KOG0804@1,KOG0804@2759</t>
  </si>
  <si>
    <t>BRCA1-associated protein 2</t>
  </si>
  <si>
    <t>92,7987/92,7987</t>
  </si>
  <si>
    <t>22,9133/12,1113</t>
  </si>
  <si>
    <t>36,9885/30,1146/31,7512/35,8429</t>
  </si>
  <si>
    <t>WBGene00017144</t>
  </si>
  <si>
    <t>37.8069</t>
  </si>
  <si>
    <t>Bm17091</t>
  </si>
  <si>
    <t>WBGene00268235</t>
  </si>
  <si>
    <t>135651.CBN00340</t>
  </si>
  <si>
    <t>3.2e-25</t>
  </si>
  <si>
    <t>120.9</t>
  </si>
  <si>
    <t>npr-18</t>
  </si>
  <si>
    <t>1M18I@119089,39BE4@33154,3CFGB@33208,3DWWD@33213,40HZS@6231,40SRS@6236,KOG3656@1,KOG3656@2759</t>
  </si>
  <si>
    <t>67,0103/98,9691</t>
  </si>
  <si>
    <t>Bm10748</t>
  </si>
  <si>
    <t>WBGene00231009</t>
  </si>
  <si>
    <t>IPR000719/IPR001245/IPR008271/IPR011009/IPR017441/</t>
  </si>
  <si>
    <t>Protein_kinase,_ATP_binding_site/Protein_kinase-like_domain_superfamily/Protein_kinase_domain/Serine-threonine/tyrosine-protein_kinase,_catalytic_domain/Serine/threonine-protein_kinase,_active_site/</t>
  </si>
  <si>
    <t>Kinase-like_dom_sf/Prot_kinase_dom/Protein_kinase_ATP_BS/Ser-Thr/Tyr_kinase_cat_dom/Ser/Thr_kinase_AS/</t>
  </si>
  <si>
    <t>note=contains_similarity_to_Pfam_domain_PF07714_Protein_tyrosine_kinase_contains_similarity_to_Interpro_domains_IPR002290_(Serine/threonine/dual_specificity_protein_kinase,_catalytic_domain),_IPR011009_(Protein_kinase-like_domain),_IPR001245_(Serine-threonine/tyrosine-protein_kinase_catalytic_domain)</t>
  </si>
  <si>
    <t>7209.EFO25978.1</t>
  </si>
  <si>
    <t>4.9e-173</t>
  </si>
  <si>
    <t>614.0</t>
  </si>
  <si>
    <t>GO:0000165,GO:0000186,GO:0001704,GO:0001706,GO:0001708,GO:0001709,GO:0001711,GO:0001714,GO:0001932,GO:0001934,GO:0003674,GO:0003824,GO:0004672,GO:0004674,GO:0004709,GO:0005488,GO:0005515,GO:0006464,GO:0006468,GO:0006793,GO:0006796,GO:0006807,GO:0007154,GO:0007165,GO:0007166,GO:0007267,GO:0007275,GO:0007369,GO:0007492,GO:0008104,GO:0008150,GO:0008152,GO:0008356,GO:0009653,GO:0009790,GO:0009887,GO:0009888,GO:0009893,GO:0009966,GO:0009967,GO:0009987,GO:0010562,GO:0010604,GO:0010646,GO:0010647,GO:0016055,GO:0016301,GO:0016310,GO:0016740,GO:0016772,GO:0016773,GO:0018107,GO:0018193,GO:0018210,GO:0019220,GO:0019222,GO:0019538,GO:0023014,GO:0023051,GO:0023052,GO:0023056,GO:0030154,GO:0031323,GO:0031325,GO:0031399,GO:0031401,GO:0032147,GO:0032268,GO:0032270,GO:0032501,GO:0032502,GO:0033036,GO:0033674,GO:0035239,GO:0035295,GO:0035556,GO:0035987,GO:0036211,GO:0042325,GO:0042327,GO:0042692,GO:0042693,GO:0042694,GO:0043085,GO:0043170,GO:0043405,GO:0043406,GO:0043408,GO:0043410,GO:0043412,GO:0043549,GO:0044093,GO:0044237,GO:0044238,GO:0044260,GO:0044267,GO:0044333,GO:0045165,GO:0045167,GO:0045859,GO:0045860,GO:0045937,GO:0046777,GO:0048513,GO:0048518,GO:0048522,GO:0048546,GO:0048557,GO:0048562,GO:0048565,GO:0048566,GO:0048568,GO:0048583,GO:0048584,GO:0048598,GO:0048646,GO:0048731,GO:0048856,GO:0048869,GO:0050789,GO:0050790,GO:0050794,GO:0050896,GO:0051171,GO:0051173,GO:0051174,GO:0051179,GO:0051246,GO:0051247,GO:0051301,GO:0051338,GO:0051347,GO:0051716,GO:0055123,GO:0060255,GO:0060795,GO:0061061,GO:0065007,GO:0065009,GO:0071704,GO:0071900,GO:0071902,GO:0080090,GO:0140096,GO:0198738,GO:1901564,GO:1902531,GO:1902533,GO:1905114</t>
  </si>
  <si>
    <t>2.7.11.25</t>
  </si>
  <si>
    <t>ko:K04427</t>
  </si>
  <si>
    <t>ko04010,ko04013,ko04064,ko04140,ko04152,ko04214,ko04310,ko04380,ko04520,ko04620,ko04621,ko04622,ko04624,ko04657,ko04660,ko04668,ko05140,ko05145,ko05162,ko05168,ko05169,ko05418,map04010,map04013,map04064,map04140,map04152,map04214,map04310,map04380,map04520,map04620,map04621,map04622,map04624,map04657,map04660,map04668,map05140,map05145,map05162,map05168,map05169,map05418</t>
  </si>
  <si>
    <t>M00686,M00688,M00689</t>
  </si>
  <si>
    <t>ko00000,ko00001,ko00002,ko01000,ko01001</t>
  </si>
  <si>
    <t>1KWNJ@119089,38GTX@33154,3BCCX@33208,3CT2Z@33213,40EC1@6231,COG0515@1,KOG0192@2759</t>
  </si>
  <si>
    <t>Part of the Wnt signaling pathway essential for the specification of the mesodermal cell fate in early embryos. Stimulates the wrm-1 lit-1-dependent phosphorylation of pop-1 and plays a role in the initial nuclear accumulation of wrm-1</t>
  </si>
  <si>
    <t>Bm8921</t>
  </si>
  <si>
    <t>WBGene00229182</t>
  </si>
  <si>
    <t>IPR014876/</t>
  </si>
  <si>
    <t>DEK,_C-terminal/</t>
  </si>
  <si>
    <t>DEK_C/</t>
  </si>
  <si>
    <t>note=contains_similarity_to_Pfam_domain_PF08766_DEK_C_terminal_domain_contains_similarity_to_Interpro_domains_IPR014876_(DEK,_C-terminal),_IPR009057_(Homeodomain-like)</t>
  </si>
  <si>
    <t>7209.EFO28267.1</t>
  </si>
  <si>
    <t>1.2e-110</t>
  </si>
  <si>
    <t>406.8</t>
  </si>
  <si>
    <t>38HXT@33154,3BDKX@33208,3CVSR@33213,KOG2266@1,KOG2266@2759</t>
  </si>
  <si>
    <t>Protein DEK isoform</t>
  </si>
  <si>
    <t>Bm9277</t>
  </si>
  <si>
    <t>WBGene00229538</t>
  </si>
  <si>
    <t>IPR003347/IPR041667/</t>
  </si>
  <si>
    <t>Cupin-like_domain_8/JmjC_domain/</t>
  </si>
  <si>
    <t>Cupin_8/JmjC_dom/</t>
  </si>
  <si>
    <t>note=contains_similarity_to_Pfam_domain_PF13621_Cupin-like_domain_contains_similarity_to_Interpro_domains_IPR013296_(HSPB1-associated_protein_1),_IPR003347_(JmjC_domain)</t>
  </si>
  <si>
    <t>7209.EFO22270.2</t>
  </si>
  <si>
    <t>4.7e-163</t>
  </si>
  <si>
    <t>39FCN@33154,3B9P1@33208,3CW37@33213,KOG2132@1,KOG2132@2759</t>
  </si>
  <si>
    <t>BT</t>
  </si>
  <si>
    <t>Cupin superfamily protein</t>
  </si>
  <si>
    <t>Bm1961</t>
  </si>
  <si>
    <t>WBGene00222222</t>
  </si>
  <si>
    <t>/GO:0003676/</t>
  </si>
  <si>
    <t>/nucleic_acid_binding/</t>
  </si>
  <si>
    <t>/"Interacting_selectively_and_non-covalently_with_any_nucleic_acid."_[GOC:jl]/</t>
  </si>
  <si>
    <t>/IPR012337/IPR013520/IPR034922/IPR036397/</t>
  </si>
  <si>
    <t>/Exonuclease,_RNase_T/DNA_polymerase_III/RNA_exonuclease_1-like,_exonuclease_domain/Ribonuclease_H-like_superfamily/Ribonuclease_H_superfamily/</t>
  </si>
  <si>
    <t>/Exonuclease_RNaseT/DNA_pol3/REX1-like_exo/RNaseH-like_sf/RNaseH_sf/</t>
  </si>
  <si>
    <t>note=contains_similarity_to_Pfam_domain_PF00929_Exonuclease_contains_similarity_to_Interpro_domains_IPR013520_(Exonuclease,_RNase_T/DNA_polymerase_III),_IPR006055_(Exonuclease),_IPR012337_(Ribonuclease_H-like_domain)</t>
  </si>
  <si>
    <t>7209.EJD76767.1</t>
  </si>
  <si>
    <t>7e-254</t>
  </si>
  <si>
    <t>883.2</t>
  </si>
  <si>
    <t>ko:K14570</t>
  </si>
  <si>
    <t>ko03008,map03008</t>
  </si>
  <si>
    <t>ko00000,ko00001,ko01000,ko03009</t>
  </si>
  <si>
    <t>1KVE3@119089,38HUD@33154,3BGUM@33208,3D2T8@33213,40CSF@6231,COG0847@1,KOG2248@2759</t>
  </si>
  <si>
    <t>Exonuclease</t>
  </si>
  <si>
    <t>9,53125/9,6875</t>
  </si>
  <si>
    <t>9,0625/9,21875</t>
  </si>
  <si>
    <t>WBGene00015462</t>
  </si>
  <si>
    <t>27.6562</t>
  </si>
  <si>
    <t>Bm10722</t>
  </si>
  <si>
    <t>WBGene00230983</t>
  </si>
  <si>
    <t>IPR013907/</t>
  </si>
  <si>
    <t>Sds3-like/</t>
  </si>
  <si>
    <t>Sds3/</t>
  </si>
  <si>
    <t>note=contains_similarity_to_Pfam_domain_PF08598_Sds3-like_contains_similarity_to_Interpro_domain_IPR013907_(Sds3-like)</t>
  </si>
  <si>
    <t>7209.EFO19957.2</t>
  </si>
  <si>
    <t>1.4e-37</t>
  </si>
  <si>
    <t>162.9</t>
  </si>
  <si>
    <t>KOG4466@1,KOG4466@2759</t>
  </si>
  <si>
    <t>histone deacetylation</t>
  </si>
  <si>
    <t>Bm4539</t>
  </si>
  <si>
    <t>WBGene00224800</t>
  </si>
  <si>
    <t>GO:0003677/GO:0003899/GO:0006351/GO:0046983/</t>
  </si>
  <si>
    <t>DNA-directed_5'-3'_RNA_polymerase_activity/DNA_binding/protein_dimerization_activity/transcription,_DNA-templated/</t>
  </si>
  <si>
    <t>Any_molecular_function_by_which_a_gene_product_interacts_selectively_and_non-covalently_with_DNA_(deoxyribonucleic_acid)._[GOC:dph,_GOC:jl,_GOC:tb,_GOC:vw]/"Catalysis_of_the_reaction:_nucleoside_triphosphate_+_RNA(n)_=_diphosphate_+_RNA(n+1)._Utilizes_a_DNA_template,_i.e._the_catalysis_of_DNA-template-directed_extension_of_the_3'-end_of_an_RNA_strand_by_one_nucleotide_at_a_time._Can_initiate_a_chain_'de_novo'."_[EC:2.7.7.6,_GOC:pf]/"The_cellular_synthesis_of_RNA_on_a_template_of_DNA."_[GOC:jl,_GOC:txnOH]/"The_formation_of_a_protein_dimer,_a_macromolecular_structure_consists_of_two_noncovalently_associated_identical_or_nonidentical_subunits."_[ISBN:0198506732]/</t>
  </si>
  <si>
    <t>IPR008193/IPR009025/IPR033898/IPR036603/</t>
  </si>
  <si>
    <t>DNA-directed_RNA_polymerase,_RBP11-like_dimerisation_domain/DNA-directed_RNA_polymerase_Rpb11,_13-16kDa_subunit,_conserved_site/DNA-directed_RNA_polymerases_I_and_III_subunit_AC19/RNA_polymerase,_RBP11-like_subunit/</t>
  </si>
  <si>
    <t>RBP11-like/RBP11-like_dimer/RNAP_AC19/RNA_pol_Rpb11_13-16kDa_CS/</t>
  </si>
  <si>
    <t>note=B._malayi_BMA-RPAC-19_protein,_contains_similarity_to_Pfam_domain_PF13656_RNA_polymerase_Rpb3/Rpb11_dimerisation_domain_contains_similarity_to_Interpro_domain_IPR009025_(DNA-directed_RNA_polymerase,_RBP11-like_dimerisation_domain)</t>
  </si>
  <si>
    <t>7209.EFO26089.1</t>
  </si>
  <si>
    <t>1.8e-48</t>
  </si>
  <si>
    <t>198.4</t>
  </si>
  <si>
    <t>GO:0000428,GO:0005575,GO:0005622,GO:0005623,GO:0005634,GO:0005654,GO:0005666,GO:0005730,GO:0005736,GO:0030880,GO:0031974,GO:0031981,GO:0032991,GO:0043226,GO:0043227,GO:0043228,GO:0043229,GO:0043231,GO:0043232,GO:0043233,GO:0044422,GO:0044424,GO:0044428,GO:0044446,GO:0044451,GO:0044452,GO:0044464,GO:0055029,GO:0061695,GO:0070013,GO:1902494,GO:1990234</t>
  </si>
  <si>
    <t>ko:K03020</t>
  </si>
  <si>
    <t>ko00230,ko00240,ko01100,ko03020,ko04623,ko05169,map00230,map00240,map01100,map03020,map04623,map05169</t>
  </si>
  <si>
    <t>M00181,M00182</t>
  </si>
  <si>
    <t>R00435,R00441,R00442,R00443</t>
  </si>
  <si>
    <t>RC02795</t>
  </si>
  <si>
    <t>br01611,ko00000,ko00001,ko00002,ko03021</t>
  </si>
  <si>
    <t>1KX02@119089,3A631@33154,3BRJ8@33208,3D90W@33213,40ENP@6231,COG1761@1,KOG3438@2759</t>
  </si>
  <si>
    <t>DNA-dependent RNA polymerase catalyzes the transcription of DNA into RNA using the four ribonucleoside triphosphates as substrates. Common core component of RNA polymerases I and III which synthesize ribosomal RNA precursors and small RNAs, such as 5S rRNA and tRNAs, respectively (By similarity)</t>
  </si>
  <si>
    <t>99,115/99,115</t>
  </si>
  <si>
    <t>49,5575/50,4425</t>
  </si>
  <si>
    <t>WBGene00010230</t>
  </si>
  <si>
    <t>57.5221</t>
  </si>
  <si>
    <t>Bm6979</t>
  </si>
  <si>
    <t>WBGene00227240</t>
  </si>
  <si>
    <t>GO:0000166/GO:0005524/GO:0005739/GO:0006412/GO:0006450/GO:0016874/GO:0016884/GO:0030956/GO:0032543/GO:0050567/GO:0070681/</t>
  </si>
  <si>
    <t>ATP_binding/carbon-nitrogen_ligase_activity,_with_glutamine_as_amido-N-donor/glutaminyl-tRNAGln_biosynthesis_via_transamidation/glutaminyl-tRNA_synthase_(glutamine-hydrolyzing)_activity/glutamyl-tRNA(Gln)_amidotransferase_complex/ligase_activity/mitochondrial_translation/mitochondrion/nucleotide_binding/regulation_of_translational_fidelity/translation/</t>
  </si>
  <si>
    <t>A_protein_complex_that_possesses_glutamyl-tRNA(Gln)_amidotransferase_activity,_and_therefore_creates_Gln-tRNA_by_amidating_Glu-tRNA;_usually_composed_of_3_subunits:_A,_B,_and_C._Note_that_the_C_subunit_may_not_be_required_in_all_organisms._[GOC:mlg]/"A_semiautonomous,_self_replicating_organelle_that_occurs_in_varying_numbers,_shapes,_and_sizes_in_the_cytoplasm_of_virtually_all_eukaryotic_cells._It_is_notably_the_site_of_tissue_respiration."_[GOC:giardia,_ISBN:0198506732]/"A_tRNA_aminoacylation_process_in_which_glutaminyl-tRNAGln_is_formed_by_a_tRNA-dependent_two-step_pathway._In_the_first_step_a_non-discriminating_glutamyl-tRNAGlx_synthetase_generates_the_misacylated_L-glutamyl-tRNAGln_species,_and_in_the_second_step_it_is_amidated_to_the_correctly_charged_L-glutaminyl-tRNAGln_by_a_glutamyl-tRNAGln_amidotransferase."_[GOC:mah,_MetaCyc:PWY-5921]/"Any_process_that_modulates_the_ability_of_the_translational_apparatus_to_interpret_the_genetic_code."_[GOC:dph,_GOC:tb]/"Catalysis_of_the_joining_of_two_substances,_or_two_groups_within_a_single_molecule,_with_the_concomitant_hydrolysis_of_the_diphosphate_bond_in_ATP_or_a_similar_triphosphate."_[EC:6,_GOC:mah]/"Catalysis_of_the_reaction:_L-glutamine_+_glutamyl-tRNA(Gln)_+_ATP_=_L-glutamate_+_glutaminyl-tRNA(Gln)_+_phosphate_+_ADP."_[EC:6.3.5.7,_MetaCyc:6.3.5.7-RXN]/"Catalysis_of_the_transfer_of_the_amide_nitrogen_of_glutamine_to_a_variety_of_substrates._GATases_catalyze_two_separate_reactions_at_two_active_sites,_which_are_located_either_on_a_single_polypeptide_chain_or_on_different_subunits._In_the_glutaminase_reaction,_glutamine_is_hydrolyzed_to_glutamate_and_ammonia,_which_is_added_to_an_acceptor_substrate_in_the_synthase_reaction."_[PMID:12360532]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he_cellular_metabolic_process_in_which_a_protein_is_formed,_using_the_sequence_of_a_mature_mRNA_or_circRNA_molecule_to_specify_the_sequence_of_amino_acids_in_a_polypeptide_chain._Translation_is_mediated_by_the_ribosome,_and_begins_with_the_formation_of_a_ternary_complex_between_aminoacylated_initiator_methionine_tRNA,_GTP,_and_initiation_factor_2,_which_subsequently_associates_with_the_small_subunit_of_the_ribosome_and_an_mRNA_or_circRNA._Translation_ends_with_the_release_of_a_polypeptide_chain_from_the_ribosome."_[GOC:go_curators]/"The_chemical_reactions_and_pathways_resulting_in_the_formation_of_a_protein_in_a_mitochondrion._This_is_a_ribosome-mediated_process_in_which_the_information_in_messenger_RNA_(mRNA)_is_used_to_specify_the_sequence_of_amino_acids_in_the_protein;_the_mitochondrion_has_its_own_ribosomes_and_transfer_RNAs,_and_uses_a_genetic_code_that_differs_from_the_nuclear_code."_[GOC:go_curators]/</t>
  </si>
  <si>
    <t>IPR003837/IPR036113/</t>
  </si>
  <si>
    <t>Glu-tRNAGln_amidotransferase_C_subunit/Glu-tRNAGln_amidotransferase_superfamily,_subunit_C/</t>
  </si>
  <si>
    <t>Asp/Glu-ADT_csu/Asp/Glu-ADT_sf_sub_c/</t>
  </si>
  <si>
    <t>note=contains_similarity_to_Pfam_domain_PF02686_Glu-tRNAGln_amidotransferase_C_subunit_contains_similarity_to_Interpro_domain_IPR003837_(Aspartyl/glutamyl-tRNA(Asn/Gln)_amidotransferase,_C_subunit)</t>
  </si>
  <si>
    <t>7209.EFO24057.1</t>
  </si>
  <si>
    <t>3.5e-71</t>
  </si>
  <si>
    <t>274.6</t>
  </si>
  <si>
    <t>6.3.5.6,6.3.5.7</t>
  </si>
  <si>
    <t>ko:K02435</t>
  </si>
  <si>
    <t>ko00970,ko01100,map00970,map01100</t>
  </si>
  <si>
    <t>R03905,R04212</t>
  </si>
  <si>
    <t>RC00010</t>
  </si>
  <si>
    <t>ko00000,ko00001,ko01000,ko03029</t>
  </si>
  <si>
    <t>1KZWN@119089,3A6A6@33154,3BR4I@33208,3D6GI@33213,40EYB@6231,KOG4247@1,KOG4247@2759</t>
  </si>
  <si>
    <t>Allows the formation of correctly charged Gln-tRNA(Gln) through the transamidation of misacylated Glu-tRNA(Gln) in the mitochondria. The reaction takes place in the presence of glutamine and ATP through an activated gamma-phospho-Glu- tRNA(Gln)</t>
  </si>
  <si>
    <t>26,1538/27,1795</t>
  </si>
  <si>
    <t>WBGene00013433</t>
  </si>
  <si>
    <t>32.3077</t>
  </si>
  <si>
    <t>Bm9595</t>
  </si>
  <si>
    <t>WBGene00229856</t>
  </si>
  <si>
    <t>GO:0000387/GO:0005829/GO:0005886/GO:0006821/GO:0006884/GO:0034709/GO:0034715/</t>
  </si>
  <si>
    <t>cell_volume_homeostasis/chloride_transport/cytosol/methylosome/pICln-Sm_protein_complex/plasma_membrane/spliceosomal_snRNP_assembly/</t>
  </si>
  <si>
    <t>A_large_(20_S)_protein_complex_that_possesses_protein_arginine_methyltransferase_activity_and_modifies_specific_arginines_to_dimethylarginines_in_the_arginine-_and_glycine-rich_domains_of_several_spliceosomal_Sm_proteins,_thereby_targeting_these_proteins_to_the_survival_of_motor_neurons_(SMN)_complex_for_assembly_into_small_nuclear_ribonucleoprotein_(snRNP)_core_particles._Proteins_found_in_the_methylosome_include_the_methyltransferase_JBP1_(PRMT5),_pICln_(CLNS1A),_MEP50_(WDR77),_and_unmethylated_forms_of_SM_proteins_that_have_RG_domains._[PMID:11713266,_PMID:11756452]/"A_protein_complex_that_contains_pICln_(CLNS1A)_and_several_Sm_proteins,_including_SmD1,_SmD2,_SmE,_SmF,_and_SmG."_[GOC:mah,_PMID:11713266]/"Any_process_involved_in_maintaining_the_steady_state_of_a_cell's_volume._The_cell's_volume_refers_to_the_three-dimensional_space_occupied_by_a_cell."_[GOC:dph,_GOC:go_curators,_GOC:tb]/"The_aggregation,_arrangement_and_bonding_together_of_one_or_more_snRNA_and_multiple_protein_components_to_form_a_ribonucleoprotein_complex_that_is_involved_in_formation_of_the_spliceosome."_[GOC:krc,_GOC:mah,_ISBN:0879695897]/"The_directed_movement_of_chloride_into,_out_of_or_within_a_cell,_or_between_cells,_by_means_of_some_agent_such_as_a_transporter_or_pore."_[GOC:krc]/"The_membrane_surrounding_a_cell_that_separates_the_cell_from_its_external_environment._It_consists_of_a_phospholipid_bilayer_and_associated_proteins."_[ISBN:0716731363]/"The_part_of_the_cytoplasm_that_does_not_contain_organelles_but_which_does_contain_other_particulate_matter,_such_as_protein_complexes."_[GOC:hjd,_GOC:jl]/</t>
  </si>
  <si>
    <t>IPR003521/IPR011993/IPR039924/</t>
  </si>
  <si>
    <t>ICln/ICln/Lot5/PH-like_domain_superfamily/</t>
  </si>
  <si>
    <t>ICln/ICln/Lot5/PH-like_dom_sf/</t>
  </si>
  <si>
    <t>note=contains_similarity_to_Pfam_domain_PF03517_Regulator_of_volume_decrease_after_cellular_swelling_contains_similarity_to_Interpro_domain_IPR003521_(ICln)</t>
  </si>
  <si>
    <t>7209.EFO16052.2</t>
  </si>
  <si>
    <t>2.7e-25</t>
  </si>
  <si>
    <t>121.3</t>
  </si>
  <si>
    <t>ko:K05019</t>
  </si>
  <si>
    <t>ko03013,map03013</t>
  </si>
  <si>
    <t>1.A.47</t>
  </si>
  <si>
    <t>1KX8Z@119089,38BRQ@33154,3BEXE@33208,3CYVH@33213,40F7I@6231,KOG3238@1,KOG3238@2759</t>
  </si>
  <si>
    <t>Regulator of volume decrease after cellular swelling</t>
  </si>
  <si>
    <t>Bm8893</t>
  </si>
  <si>
    <t>WBGene00229154</t>
  </si>
  <si>
    <t>7209.EFO25355.1</t>
  </si>
  <si>
    <t>4.5e-145</t>
  </si>
  <si>
    <t>520.8</t>
  </si>
  <si>
    <t>30,2548/25,1592</t>
  </si>
  <si>
    <t>49,0446/48,4076/44,9045</t>
  </si>
  <si>
    <t>35,3503/22,6115/49,0446</t>
  </si>
  <si>
    <t>45,2229/46,4968</t>
  </si>
  <si>
    <t>Bm5981</t>
  </si>
  <si>
    <t>WBGene00226242</t>
  </si>
  <si>
    <t>7.7e-165</t>
  </si>
  <si>
    <t>587.4</t>
  </si>
  <si>
    <t>11,4887/12,4595/12,7832/8,41424/10,0324/12,945/8,41424</t>
  </si>
  <si>
    <t>WBGene00020758</t>
  </si>
  <si>
    <t>13.4304</t>
  </si>
  <si>
    <t>Bm2389</t>
  </si>
  <si>
    <t>WBGene00222650</t>
  </si>
  <si>
    <t>GO:0003677/GO:0003700/GO:0003707/GO:0005634/GO:0006355/GO:0006970/GO:0008270/GO:0009792/GO:0009886/GO:0043401/GO:0043565/GO:0046872/</t>
  </si>
  <si>
    <t>DNA-binding_transcription_factor_activity/DNA_binding/embryo_development_ending_in_birth_or_egg_hatching/metal_ion_binding/nucleus/post-embryonic_animal_morphogenesis/regulation_of_transcription,_DNA-templated/response_to_osmotic_stress/sequence-specific_DNA_binding/steroid_hormone_mediated_signaling_pathway/steroid_hormone_receptor_activity/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</si>
  <si>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_series_of_molecular_signals_mediated_by_a_steroid_hormone_binding_to_a_receptor."_[PMID:12606724]/"Any_molecular_function_by_which_a_gene_product_interacts_selectively_and_non-covalently_with_DNA_(deoxyribonucleic_acid)."_[GOC:dph,_GOC:jl,_GOC:tb,_GOC:vw]/"Any_process_that_modulates_the_frequency,_rate_or_extent_of_cellular_DNA-templated_transcription."_[GOC:go_curators,_GOC:txnOH]/"Any_process_that_results_in_a_change_in_state_or_activity_of_a_cell_or_an_organism_(in_terms_of_movement,_secretion,_enzyme_production,_gene_expression,_etc.)_as_a_result_of_a_stimulus_indicating_an_increase_or_decrease_in_the_concentration_of_solutes_outside_the_organism_or_cell."_[GOC:jl]/"Combining_with_a_steroid_hormone_and_transmitting_the_signal_within_the_cell_to_initiate_a_change_in_cell_activity_or_function."_[GOC:signaling,_PMID:14708019]/"Interacting_selectively_and_non-covalently_with_DNA_of_a_specific_nucleotide_composition,_e.g._GC-rich_DNA_binding,_or_with_a_specific_sequence_motif_or_type_of_DNA_e.g._promotor_binding_or_rDNA_binding."_[GOC:jl]/"Interacting_selectively_and_non-covalently_with_any_metal_ion."_[GOC:ai]/"Interacting_selectively_and_non-covalently_with_zinc_(Zn)_ions."_[GOC:ai]/"The_process,_occurring_after_animal_embryonic_development,_by_which_anatomical_structures_are_generated_and_organized."_[GOC:go_curators]/"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
  </si>
  <si>
    <t>IPR000536/IPR001628/IPR001723/IPR013088/IPR016355/IPR035500/</t>
  </si>
  <si>
    <t>Nuclear_hormone_receptor/Nuclear_hormone_receptor,_ligand-binding_domain/Nuclear_hormone_receptor-like_domain_superfamily/Nuclear_hormone_receptor_family_5/Zinc_finger,_NHR/GATA-type/Zinc_finger,_nuclear_hormone_receptor-type/</t>
  </si>
  <si>
    <t>NHR_like_dom_sf/NR5_fam/Nucl_hrmn_rcpt_lig-bd/Nuclear_hrmn_rcpt/Znf_NHR/GATA/Znf_hrmn_rcpt/</t>
  </si>
  <si>
    <t>note=B._malayi_BMA-NHR-31_protein,_contains_similarity_to_Pfam_domain_PF00104_Ligand-binding_domain_of_nuclear_hormone_receptor_contains_similarity_to_Interpro_domains_IPR008946_(Nuclear_hormone_receptor,_ligand-binding),_IPR000536_(Nuclear_hormone_receptor,_ligand-binding,_core),_IPR001723_(Steroid_hormone_receptor),_IPR016355_(Nuclear_hormone_receptor_family_5)</t>
  </si>
  <si>
    <t>7209.EFO27408.1</t>
  </si>
  <si>
    <t>7.1e-234</t>
  </si>
  <si>
    <t>816.6</t>
  </si>
  <si>
    <t>GO:0006950,GO:0006970,GO:0007275,GO:0008150,GO:0009628,GO:0009653,GO:0009790,GO:0009791,GO:0009792,GO:0009886,GO:0032501,GO:0032502,GO:0048856,GO:0050896</t>
  </si>
  <si>
    <t>1KU3T@119089,39Y3F@33154,3BK0R@33208,3D4HT@33213,40C2D@6231,KOG3575@1,KOG3575@2759</t>
  </si>
  <si>
    <t>Ligand-binding domain of nuclear hormone receptor</t>
  </si>
  <si>
    <t>48,3126/39,4316</t>
  </si>
  <si>
    <t>22,0249/21,8472/40,675/19,5382/22,3801</t>
  </si>
  <si>
    <t>15,9858/16,6963</t>
  </si>
  <si>
    <t>16,5187/15,6306</t>
  </si>
  <si>
    <t>16,6963/16,1634/15,6306/16,1634</t>
  </si>
  <si>
    <t>WBGene00003625</t>
  </si>
  <si>
    <t>53.4636</t>
  </si>
  <si>
    <t>Bm1718</t>
  </si>
  <si>
    <t>WBGene00221979</t>
  </si>
  <si>
    <t>/GO:0040024/</t>
  </si>
  <si>
    <t>/dauer_larval_development/</t>
  </si>
  <si>
    <t>/"The_process_whose_specific_outcome_is_the_progression_of_the_dauer_larva_over_time,_through_the_facultative_diapause_of_the_dauer_(enduring)_larval_stage,_with_specialized_traits_adapted_for_dispersal_and_long-term_survival,_with_elevated_stress_resistance_and_without_feeding."_[GOC:ems,_ISBN:087969307X]/</t>
  </si>
  <si>
    <t>/biological_process/</t>
  </si>
  <si>
    <t>IPR000182/IPR016181/</t>
  </si>
  <si>
    <t>Acyl-CoA_N-acyltransferase/GNAT_domain/</t>
  </si>
  <si>
    <t>Acyl_CoA_acyltransferase/GNAT_dom/</t>
  </si>
  <si>
    <t>note=contains_similarity_to_Pfam_domain_PF00583_Acetyltransferase_(GNAT)_family_contains_similarity_to_Interpro_domains_IPR000182_(GNAT_domain),_IPR016181_(Acyl-CoA_N-acyltransferase)</t>
  </si>
  <si>
    <t>7209.EFO23980.2</t>
  </si>
  <si>
    <t>8.4e-121</t>
  </si>
  <si>
    <t>439.9</t>
  </si>
  <si>
    <t>GO:0002119,GO:0002164,GO:0003674,GO:0003824,GO:0004596,GO:0005575,GO:0005622,GO:0005623,GO:0005737,GO:0006464,GO:0006473,GO:0006474,GO:0006807,GO:0007275,GO:0008080,GO:0008150,GO:0008152,GO:0009791,GO:0009987,GO:0010467,GO:0016407,GO:0016410,GO:0016740,GO:0016746,GO:0016747,GO:0017196,GO:0018193,GO:0018206,GO:0019538,GO:0031248,GO:0031365,GO:0031414,GO:0031417,GO:0032501,GO:0032502,GO:0032991,GO:0034212,GO:0036211,GO:0040024,GO:0043170,GO:0043412,GO:0043543,GO:0044237,GO:0044238,GO:0044260,GO:0044267,GO:0044424,GO:0044444,GO:0044464,GO:0048856,GO:0051604,GO:0071704,GO:1901564,GO:1902493,GO:1902494,GO:1990234</t>
  </si>
  <si>
    <t>2.3.1.256</t>
  </si>
  <si>
    <t>ko:K00670</t>
  </si>
  <si>
    <t>ko00000,ko01000,ko04131</t>
  </si>
  <si>
    <t>1KWP3@119089,38I1W@33154,3BKJ9@33208,3CV14@33213,40DKP@6231,COG0456@1,KOG3139@2759</t>
  </si>
  <si>
    <t>Acetyltransferase (GNAT) domain</t>
  </si>
  <si>
    <t>35,1449/18,1159</t>
  </si>
  <si>
    <t>29,7101/32,6087</t>
  </si>
  <si>
    <t>WBGene00015074</t>
  </si>
  <si>
    <t>41.3043</t>
  </si>
  <si>
    <t>Bm17586</t>
  </si>
  <si>
    <t>WBGene00268729</t>
  </si>
  <si>
    <t>Bm1738</t>
  </si>
  <si>
    <t>WBGene00221999</t>
  </si>
  <si>
    <t>GO:0006508/GO:0008237/GO:0008270/GO:0016020/GO:0016021/</t>
  </si>
  <si>
    <t>integral_component_of_membrane/membrane/metallopeptidase_activity/proteolysis/zinc_ion_binding/</t>
  </si>
  <si>
    <t>A_lipid_bilayer_along_with_all_the_proteins_and_protein_complexes_embedded_in_it_an_attached_to_it._[GOC:dos,_GOC:mah,_ISBN:0815316194]/"Catalysis_of_the_hydrolysis_of_peptide_bonds_by_a_mechanism_in_which_water_acts_as_a_nucleophile,_one_or_two_metal_ions_hold_the_water_molecule_in_place,_and_charged_amino_acid_side_chains_are_ligands_for_the_metal_ions."_[GOC:mah,_http://merops.sanger.ac.uk/about/glossary.htm#CATTYPE]/"Interacting_selectively_and_non-covalently_with_zinc_(Zn)_ions."_[GOC:ai]/"The_component_of_a_membrane_consisting_of_the_gene_products_and_protein_complexes_having_at_least_some_part_of_their_peptide_sequence_embedded_in_the_hydrophobic_region_of_the_membrane."_[GOC:dos,_GOC:go_curators]/"The_hydrolysis_of_proteins_into_smaller_polypeptides_and/or_amino_acids_by_cleavage_of_their_peptide_bonds."_[GOC:bf,_GOC:mah]/</t>
  </si>
  <si>
    <t>IPR001930/IPR014782/</t>
  </si>
  <si>
    <t>Peptidase_M1,_alanine_aminopeptidase/leukotriene_A4_hydrolase/Peptidase_M1,_membrane_alanine_aminopeptidase/</t>
  </si>
  <si>
    <t>Peptidase_M1/Peptidase_M1_dom/</t>
  </si>
  <si>
    <t>note=B._malayi_BMA-MNP-1_protein,_contains_similarity_toPfam_domain_PF01433_Peptidase_family_M1_containssimilarity_to_Interpro_domains_IPR014782_(Peptidase_M1,membrane_alanine_aminopeptidase,_N-terminal),_IPR001930(Peptidase_M1,_alanine_aminopeptidase/leukotriene_A4hydrolase)</t>
  </si>
  <si>
    <t>7209.EJD74573.1</t>
  </si>
  <si>
    <t>1305.0</t>
  </si>
  <si>
    <t>1KW84@119089,3A5FR@33154,3BSAW@33208,3D91C@33213,40DPU@6231,COG0308@1,KOG1046@2759</t>
  </si>
  <si>
    <t>EO</t>
  </si>
  <si>
    <t>metalloaminopeptidase activity</t>
  </si>
  <si>
    <t>0,757576/1,38889</t>
  </si>
  <si>
    <t>13,6364/10,9848/14,1414/14,5202/11,3636/13,3838/13,1313/12,7525/14,2677/13,3838/14,7727/13,3838</t>
  </si>
  <si>
    <t>15,404/22,4747/14,6465/13,8889</t>
  </si>
  <si>
    <t>14,0152/14,7727/14,3939/8,20707/8,33333/14,1414/14,6465</t>
  </si>
  <si>
    <t>14,3939/14,2677/9,21717/8,33333/13,6364/14,5202</t>
  </si>
  <si>
    <t>11,6162/6,81818/13,7626/14,899/8,71212/8,4596/13,8889/13,5101/13,6364/13,6364</t>
  </si>
  <si>
    <t>Bm14668</t>
  </si>
  <si>
    <t>WBGene00234929</t>
  </si>
  <si>
    <t>GO:0016020/GO:0016021/GO:0042981/</t>
  </si>
  <si>
    <t>integral_component_of_membrane/membrane/regulation_of_apoptotic_process/</t>
  </si>
  <si>
    <t>A_lipid_bilayer_along_with_all_the_proteins_and_protein_complexes_embedded_in_it_an_attached_to_it._[GOC:dos,_GOC:mah,_ISBN:0815316194]/"Any_process_that_modulates_the_occurrence_or_rate_of_cell_death_by_apoptotic_process."_[GOC:jl,_GOC:mtg_apoptosis]/"The_component_of_a_membrane_consisting_of_the_gene_products_and_protein_complexes_having_at_least_some_part_of_their_peptide_sequence_embedded_in_the_hydrophobic_region_of_the_membrane."_[GOC:dos,_GOC:go_curators]/</t>
  </si>
  <si>
    <t>IPR002475/IPR026298/IPR036834/</t>
  </si>
  <si>
    <t>Bcl2-like/Blc2-like_superfamily/Blc2_family/</t>
  </si>
  <si>
    <t>Bcl2-like/Blc2-like_sf/Blc2_fam/</t>
  </si>
  <si>
    <t>note=contains_similarity_to_Pfam_domain_PF00452_Apoptosis_regulator_proteins,_Bcl-2_family_contains_similarity_to_Interpro_domain_IPR026298_(Blc2_family)</t>
  </si>
  <si>
    <t>7209.EFO25659.1</t>
  </si>
  <si>
    <t>1e-93</t>
  </si>
  <si>
    <t>GO:0000003,GO:0000422,GO:0003674,GO:0005096,GO:0005488,GO:0005515,GO:0005575,GO:0005622,GO:0005623,GO:0005737,GO:0005739,GO:0005740,GO:0005741,GO:0006508,GO:0006807,GO:0006914,GO:0006915,GO:0006950,GO:0006952,GO:0006974,GO:0006996,GO:0007005,GO:0007010,GO:0007015,GO:0007154,GO:0007165,GO:0007166,GO:0008047,GO:0008150,GO:0008152,GO:0008154,GO:0008219,GO:0008630,GO:0009056,GO:0009605,GO:0009607,GO:0009617,GO:0009987,GO:0010467,GO:0010635,GO:0010636,GO:0010638,GO:0010821,GO:0010822,GO:0010941,GO:0012501,GO:0016020,GO:0016043,GO:0016485,GO:0019538,GO:0019867,GO:0022411,GO:0022414,GO:0022603,GO:0023052,GO:0030029,GO:0030036,GO:0030042,GO:0030234,GO:0030695,GO:0031090,GO:0031966,GO:0031967,GO:0031968,GO:0031975,GO:0032501,GO:0032502,GO:0032504,GO:0032984,GO:0033043,GO:0033554,GO:0035556,GO:0036477,GO:0038034,GO:0040019,GO:0042742,GO:0042802,GO:0042803,GO:0042981,GO:0043025,GO:0043066,GO:0043067,GO:0043069,GO:0043085,GO:0043087,GO:0043170,GO:0043207,GO:0043226,GO:0043227,GO:0043229,GO:0043231,GO:0043547,GO:0043624,GO:0043900,GO:0043902,GO:0043933,GO:0044093,GO:0044237,GO:0044238,GO:0044248,GO:0044297,GO:0044422,GO:0044424,GO:0044429,GO:0044444,GO:0044446,GO:0044456,GO:0044464,GO:0044703,GO:0044706,GO:0045202,GO:0045995,GO:0046662,GO:0046982,GO:0046983,GO:0048471,GO:0048518,GO:0048519,GO:0048520,GO:0048522,GO:0048523,GO:0048609,GO:0048856,GO:0050789,GO:0050790,GO:0050793,GO:0050794,GO:0050795,GO:0050803,GO:0050807,GO:0050829,GO:0050896,GO:0051094,GO:0051128,GO:0051130,GO:0051239,GO:0051240,GO:0051261,GO:0051336,GO:0051345,GO:0051604,GO:0051704,GO:0051707,GO:0051716,GO:0060378,GO:0060548,GO:0060589,GO:0061726,GO:0061919,GO:0065007,GO:0065008,GO:0065009,GO:0071704,GO:0071840,GO:0080154,GO:0090727,GO:0097190,GO:0097191,GO:0097192,GO:0097193,GO:0097435,GO:0097458,GO:0098542,GO:0098588,GO:0098772,GO:0098793,GO:0098805,GO:1901046,GO:1901564,GO:1902742,GO:1903008,GO:1905516,GO:1905806,GO:1905808,GO:2000026,GO:2000241,GO:2000243</t>
  </si>
  <si>
    <t>ko:K20094</t>
  </si>
  <si>
    <t>ko04215,map04215</t>
  </si>
  <si>
    <t>1.A.21.2.1</t>
  </si>
  <si>
    <t>1KZNQ@119089,395EX@33154,3BT67@33208,3DZF5@33213,40GYC@6231,KOG4728@1,KOG4728@2759</t>
  </si>
  <si>
    <t>Plays a major role in programmed cell death (PCD, apoptosis). egl-1 binds to and directly inhibits the activity of ced-9, releasing the cell death activator ced-4 from a ced-9 ced-4 containing protein complex and allowing ced-4 to activate the cell-killing caspase ced-3. During larval development, required for the elimination of transient presynaptic components downstream of egl-1 and upstream of ced-4 and ced-3 apoptotic pathway</t>
  </si>
  <si>
    <t>Bm6892</t>
  </si>
  <si>
    <t>WBGene00227153</t>
  </si>
  <si>
    <t>GO:0003676/GO:0046872/</t>
  </si>
  <si>
    <t>metal_ion_binding/nucleic_acid_binding/</t>
  </si>
  <si>
    <t>Interacting_selectively_and_non-covalently_with_any_metal_ion._[GOC:ai]/"Interacting_selectively_and_non-covalently_with_any_nucleic_acid."_[GOC:jl]/</t>
  </si>
  <si>
    <t>IPR000571/IPR006941/IPR012337/IPR036397/</t>
  </si>
  <si>
    <t>Ribonuclease_CAF1/Ribonuclease_H-like_superfamily/Ribonuclease_H_superfamily/Zinc_finger,_CCCH-type/</t>
  </si>
  <si>
    <t>RNaseH-like_sf/RNaseH_sf/RNase_CAF1/Znf_CCCH/</t>
  </si>
  <si>
    <t>note=B._malayi_BMA-PARN-2_protein,_contains_similarity_to_Pfam_domain_PF04857_CAF1_family_ribonuclease_contains_similarity_to_Interpro_domains_IPR006941_(Ribonuclease_CAF1),_IPR012337_(Ribonuclease_H-like_domain)</t>
  </si>
  <si>
    <t>7209.EFO22525.1</t>
  </si>
  <si>
    <t>2.7e-224</t>
  </si>
  <si>
    <t>784.6</t>
  </si>
  <si>
    <t>ko:K13202</t>
  </si>
  <si>
    <t>ko00000,ko03041</t>
  </si>
  <si>
    <t>1KWNG@119089,38CXW@33154,3BH5I@33208,3CW3M@33213,40EEN@6231,KOG1990@1,KOG1990@2759</t>
  </si>
  <si>
    <t>CAF1 family ribonuclease</t>
  </si>
  <si>
    <t>31,8637/31,4629</t>
  </si>
  <si>
    <t>WBGene00013265</t>
  </si>
  <si>
    <t>35.4709</t>
  </si>
  <si>
    <t>Bm18206</t>
  </si>
  <si>
    <t>WBGene00269354</t>
  </si>
  <si>
    <t>GO:0003924/GO:0005525/</t>
  </si>
  <si>
    <t>GTP_binding/GTPase_activity/</t>
  </si>
  <si>
    <t>Catalysis_of_the_reaction:_GTP_+_H2O_=_GDP_+_phosphate._[ISBN:0198547684]/"Interacting_selectively_and_non-covalently_with_GTP,_guanosine_triphosphate."_[GOC:ai]/</t>
  </si>
  <si>
    <t>IPR001806/IPR027417/</t>
  </si>
  <si>
    <t>P-loop_containing_nucleoside_triphosphate_hydrolase/Small_GTPase/</t>
  </si>
  <si>
    <t>P-loop_NTPase/Small_GTPase/</t>
  </si>
  <si>
    <t>Bm17889</t>
  </si>
  <si>
    <t>WBGene00269031</t>
  </si>
  <si>
    <t>46,2222/45,3333</t>
  </si>
  <si>
    <t>49,7778/37,7778</t>
  </si>
  <si>
    <t>Bm10531</t>
  </si>
  <si>
    <t>WBGene00230792</t>
  </si>
  <si>
    <t>IPR000408/IPR009091/</t>
  </si>
  <si>
    <t>Regulator_of_chromosome_condensation,_RCC1/Regulator_of_chromosome_condensation_1/beta-lactamase-inhibitor_protein_II/</t>
  </si>
  <si>
    <t>RCC1/BLIP-II/Reg_chr_condens/</t>
  </si>
  <si>
    <t>note=contains_similarity_to_Pfam_domain_PF00415_Regulator_of_chromosome_condensation_(RCC1)_repeat_contains_similarity_to_Interpro_domains_IPR009091_(Regulator_of_chromosome_condensation_1/beta-lactamase-inhibitor_protein_II),_IPR000408_(Regulator_of_chromosome_condensation,_RCC1)</t>
  </si>
  <si>
    <t>7209.EJD76611.1</t>
  </si>
  <si>
    <t>3.3e-292</t>
  </si>
  <si>
    <t>1010.7</t>
  </si>
  <si>
    <t>38G25@33154,3BBF7@33208,3CZP7@33213,40ECN@6231,COG4642@1,COG5184@1,KOG0231@2759,KOG1426@2759</t>
  </si>
  <si>
    <t>Vacuolar sorting protein 9 (VPS9) domain</t>
  </si>
  <si>
    <t>13,807/19,437</t>
  </si>
  <si>
    <t>Bm11476</t>
  </si>
  <si>
    <t>WBGene00231737</t>
  </si>
  <si>
    <t>IPR006028/IPR006029/IPR006201/IPR006202/IPR036719/IPR036734/</t>
  </si>
  <si>
    <t>Gamma-aminobutyric_acid_A_receptor/Glycine_receptor_alpha/Neurotransmitter-gated_ion-channel/Neurotransmitter-gated_ion-channel_ligand-binding_domain/Neurotransmitter-gated_ion-channel_ligand-binding_domain_superfamily/Neurotransmitter-gated_ion-channel_transmembrane_domain/Neurotransmitter-gated_ion-channel_transmembrane_domain_superfamily/</t>
  </si>
  <si>
    <t>GABAA/Glycine_rcpt/Neur_chan_lig-bd/Neur_chan_lig-bd_sf/Neur_channel/Neuro-gated_channel_TM_sf/Neurotrans-gated_channel_TM/</t>
  </si>
  <si>
    <t>note=contains_similarity_to_Interpro_domains_IPR006201_(Neurotransmitter-gated_ion-channel),_IPR006202_(Neurotransmitter-gated_ion-channel_ligand-binding_domain)</t>
  </si>
  <si>
    <t>7209.EFO21304.2</t>
  </si>
  <si>
    <t>1e-202</t>
  </si>
  <si>
    <t>712.6</t>
  </si>
  <si>
    <t>1KUWT@119089,39C20@33154,3BN1V@33208,3D5FD@33213,40B9Z@6231,KOG3644@1,KOG3644@2759</t>
  </si>
  <si>
    <t>28,1481/41,4815</t>
  </si>
  <si>
    <t>59,0123/58,0247</t>
  </si>
  <si>
    <t>WBGene00012099</t>
  </si>
  <si>
    <t>64.1975</t>
  </si>
  <si>
    <t>Bm2058</t>
  </si>
  <si>
    <t>WBGene00222319</t>
  </si>
  <si>
    <t>GO:0000166/GO:0000932/GO:0003676/GO:0004386/GO:0005524/GO:0007276/GO:0008340/GO:0010494/GO:0016020/GO:0016021/GO:0016071/GO:0016787/GO:0017148/GO:0033962/GO:0043066/GO:0043186/GO:0043229/GO:1990124/GO:1990904/</t>
  </si>
  <si>
    <t>ATP_binding/P-body/P_granule/cytoplasmic_mRNA_processing_body_assembly/cytoplasmic_stress_granule/determination_of_adult_lifespan/gamete_generation/helicase_activity/hydrolase_activity/integral_component_of_membrane/intracellular_organelle/mRNA_metabolic_process/membrane/messenger_ribonucleoprotein_complex/negative_regulation_of_apoptotic_process/negative_regulation_of_translation/nucleic_acid_binding/nucleotide_binding/ribonucleoprotein_complex/</t>
  </si>
  <si>
    <t>A_dense_aggregation_in_the_cytosol_composed_of_proteins_and_RNAs_that_appear_when_the_cell_is_under_stress._[GOC:ans,_PMID:17284590,_PMID:17601829,_PMID:17967451,_PMID:20368989]/"A_focus_in_the_cytoplasm_where_mRNAs_may_become_inactivated_by_decapping_or_some_other_mechanism._Protein_and_RNA_localized_to_these_foci_are_involved_in_mRNA_degradation,_nonsense-mediated_mRNA_decay_(NMD),_translational_repression,_and_RNA-mediated_gene_silencing."_[GOC:clt,_PMID:12730603]/"A_lipid_bilayer_along_with_all_the_proteins_and_protein_complexes_embedded_in_it_an_attached_to_it."_[GOC:dos,_GOC:mah,_ISBN:0815316194]/"A_macromolecular_complex_containing_both_protein_and_RNA_molecules."_[GOC:vesicles]/"A_ribonucleoprotein_complex_containing_both_protein_and_messenger_RNA_(mRNA)_molecules."_[GOC:bf,_PMID:15574591,_PMID:21915786]/"A_small_cytoplasmic,_non-membranous_RNA/protein_complex_aggregates_in_the_primordial_germ_cells_of_many_higher_eukaryotes."_[GOC:dph,_GOC:kmv,_PMID:11262230]/"Any_process_that_stops,_prevents,_or_reduces_the_frequency,_rate_or_extent_of_cell_death_by_apoptotic_process."_[GOC:jl,_GOC:mtg_apoptosis]/"Any_process_that_stops,_prevents,_or_reduces_the_frequency,_rate_or_extent_of_the_chemical_reactions_and_pathways_resulting_in_the_formation_of_proteins_by_the_translation_of_mRNA_or_circRNA."_[GOC:isa_complete]/"Catalysis_of_the_hydrolysis_of_various_bonds,_e.g._C-O,_C-N,_C-C,_phosphoric_anhydride_bonds,_etc._Hydrolase_is_the_systematic_name_for_any_enzyme_of_EC_class_3."_[ISBN:0198506732]/"Catalysis_of_the_reaction:_NTP_+_H2O_=_NDP_+_phosphate,_to_drive_the_unwinding_of_a_DNA_or_RNA_helix."_[GOC:mah,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y_nucleic_acid."_[GOC:jl]/"Organized_structure_of_distinctive_morphology_and_function,_occurring_within_the_cell._Includes_the_nucleus,_mitochondria,_plastids,_vacuoles,_vesicles,_ribosomes_and_the_cytoskeleton._Excludes_the_plasma_membrane."_[GOC:go_curators]/"The_aggregation,_arrangement_and_bonding_together_of_proteins_and_RNA_molecules_to_form_a_cytoplasmic_mRNA_processing_body."_[GOC:mah,_PMID:17429074]/"The_chemical_reactions_and_pathways_involving_mRNA,_messenger_RNA,_which_is_responsible_for_carrying_the_coded_genetic_'message',_transcribed_from_DNA,_to_sites_of_protein_assembly_at_the_ribosomes."_[ISBN:0198506732]/"The_component_of_a_membrane_consisting_of_the_gene_products_and_protein_complexes_having_at_least_some_part_of_their_peptide_sequence_embedded_in_the_hydrophobic_region_of_the_membrane."_[GOC:dos,_GOC:go_curators]/"The_control_of_viability_and_duration_in_the_adult_phase_of_the_life-cycle."_[GOC:ems]/"The_generation_and_maintenance_of_gametes_in_a_multicellular_organism._A_gamete_is_a_haploid_reproductive_cell."_[GOC:ems,_GOC:mtg_sensu]/</t>
  </si>
  <si>
    <t>IPR000629/IPR001650/IPR011545/IPR014001/IPR014014/IPR027417/</t>
  </si>
  <si>
    <t>ATP-dependent_RNA_helicase_DEAD-box,_conserved_site/DEAD/DEAH_box_helicase_domain/Helicase,_C-terminal/Helicase_superfamily_1/2,_ATP-binding_domain/P-loop_containing_nucleoside_triphosphate_hydrolase/RNA_helicase,_DEAD-box_type,_Q_motif/</t>
  </si>
  <si>
    <t>DEAD/DEAH_box_helicase_dom/Helicase_ATP-bd/Helicase_C/P-loop_NTPase/RNA-helicase_DEAD-box_CS/RNA_helicase_DEAD_Q_motif/</t>
  </si>
  <si>
    <t>note=B._malayi_BMA-CGH-1_protein,_contains_similarity_toPfam_domains_PF00270_(DEAD/DEAH_box_helicase),_PF00271(Helicase_conserved_C-terminal_domain)_contains_similarityto_Interpro_domains_IPR011545_(DEAD/DEAH_box_helicasedomain),_IPR027417_(P-loop_containing_nucleosidetriphosphate_hydrolase),_IPR014001_(Helicase_superfamily1/2,_ATP-binding_domain),_IPR001650_(Helicase,C-terminal)</t>
  </si>
  <si>
    <t>7209.EFO25790.1</t>
  </si>
  <si>
    <t>2.7e-242</t>
  </si>
  <si>
    <t>844.3</t>
  </si>
  <si>
    <t>GO:0000003,GO:0000932,GO:0003674,GO:0003724,GO:0003824,GO:0004386,GO:0005488,GO:0005515,GO:0005575,GO:0005622,GO:0005623,GO:0005737,GO:0006139,GO:0006417,GO:0006725,GO:0006807,GO:0006996,GO:0007275,GO:0007276,GO:0007568,GO:0008150,GO:0008152,GO:0008340,GO:0009889,GO:0009890,GO:0009892,GO:0009987,GO:0010259,GO:0010468,GO:0010494,GO:0010556,GO:0010558,GO:0010605,GO:0010608,GO:0010629,GO:0010941,GO:0016043,GO:0016070,GO:0016071,GO:0016462,GO:0016787,GO:0016817,GO:0016818,GO:0017111,GO:0017148,GO:0019222,GO:0019953,GO:0022414,GO:0022607,GO:0022613,GO:0022618,GO:0031323,GO:0031324,GO:0031326,GO:0031327,GO:0032268,GO:0032269,GO:0032501,GO:0032502,GO:0032504,GO:0032991,GO:0033962,GO:0034248,GO:0034249,GO:0034622,GO:0034641,GO:0035770,GO:0036464,GO:0042981,GO:0043066,GO:0043067,GO:0043069,GO:0043170,GO:0043186,GO:0043226,GO:0043228,GO:0043229,GO:0043232,GO:0043933,GO:0044085,GO:0044237,GO:0044238,GO:0044424,GO:0044444,GO:0044464,GO:0044703,GO:0045495,GO:0046483,GO:0048519,GO:0048523,GO:0048609,GO:0048856,GO:0050789,GO:0050794,GO:0051171,GO:0051172,GO:0051246,GO:0051248,GO:0051704,GO:0060255,GO:0060293,GO:0060548,GO:0065003,GO:0065007,GO:0070925,GO:0071704,GO:0071826,GO:0071840,GO:0080090,GO:0090304,GO:0140098,GO:1901360,GO:1990124,GO:1990904,GO:2000112,GO:2000113</t>
  </si>
  <si>
    <t>ko:K12614</t>
  </si>
  <si>
    <t>ko00000,ko00001,ko00002,ko01000,ko03019,ko03036</t>
  </si>
  <si>
    <t>1KV9I@119089,38DGD@33154,3BB9C@33208,3CUXR@33213,40AJX@6231,COG0513@1,KOG0326@2759</t>
  </si>
  <si>
    <t>34,3949/47,983</t>
  </si>
  <si>
    <t>54,3524/48,4076/28,4501</t>
  </si>
  <si>
    <t>50,5308/68,3652/69,8514</t>
  </si>
  <si>
    <t>70,7006/70,7006</t>
  </si>
  <si>
    <t>56,2633/52,6539</t>
  </si>
  <si>
    <t>WBGene00000479</t>
  </si>
  <si>
    <t>71.7622</t>
  </si>
  <si>
    <t>Bm1741</t>
  </si>
  <si>
    <t>WBGene00222002</t>
  </si>
  <si>
    <t>note=B._malayi_BMA-NTL-2_protein,_contains_similarity_toPfam_domain_PF04153_NOT2_/_NOT3_/_NOT5_family_containssimilarity_to_Interpro_domain_IPR007282_(NOT2/NOT3/NOT5)</t>
  </si>
  <si>
    <t>3.6e-197</t>
  </si>
  <si>
    <t>694.1</t>
  </si>
  <si>
    <t>39,0957/43,883</t>
  </si>
  <si>
    <t>41,2234/41,2234</t>
  </si>
  <si>
    <t>41,2234/37,766/37,766/41,2234</t>
  </si>
  <si>
    <t>17,2872/29,7872/11,7021/15,1596/21,5426/20,2128/17,2872</t>
  </si>
  <si>
    <t>35,1064/21,0106</t>
  </si>
  <si>
    <t>WBGene00003825</t>
  </si>
  <si>
    <t>50.266</t>
  </si>
  <si>
    <t>Bm8327</t>
  </si>
  <si>
    <t>WBGene00228588</t>
  </si>
  <si>
    <t>Bm2342</t>
  </si>
  <si>
    <t>WBGene00222603</t>
  </si>
  <si>
    <t>GO:0097428/</t>
  </si>
  <si>
    <t>protein_maturation_by_iron-sulfur_cluster_transfer/</t>
  </si>
  <si>
    <t>The_transfer_of_an_assembled_iron-sulfur_cluster_from_a_scaffold_protein_to_an_acceptor_protein_that_contributes_to_the_attainment_of_the_full_functional_capacity_of_a_protein._[GOC:al,_GOC:mah,_PMID:11939799,_PMID:18322036,_PMID:21977977]/</t>
  </si>
  <si>
    <t>IPR016024/IPR029240/IPR039920/</t>
  </si>
  <si>
    <t>Armadillo-type_fold/DNA_repair/transcription_protein_MET18/MMS19/MMS19,_N-terminal/</t>
  </si>
  <si>
    <t>ARM-type_fold/MET18/MMS19/MMS19_N/</t>
  </si>
  <si>
    <t>note=B._malayi_BMA-MMS-19_protein,_contains_similarity_to_Pfam_domain_PF14500_Dos2-interacting_transcription_regulator_of_RNA-Pol-II_contains_similarity_to_Interpro_domains_IPR011989_(Armadillo-like_helical),_IPR016024_(Armadillo-type_fold)</t>
  </si>
  <si>
    <t>7209.EFO17200.1</t>
  </si>
  <si>
    <t>4.8e-262</t>
  </si>
  <si>
    <t>911.0</t>
  </si>
  <si>
    <t>KOG1967@1,KOG1967@2759</t>
  </si>
  <si>
    <t>positive regulation of double-strand break repair via homologous recombination</t>
  </si>
  <si>
    <t>10,9731/6,10766/4,7619</t>
  </si>
  <si>
    <t>WBGene00016060</t>
  </si>
  <si>
    <t>22.4638</t>
  </si>
  <si>
    <t>Bm17635</t>
  </si>
  <si>
    <t>WBGene00268777</t>
  </si>
  <si>
    <t>Bm17630</t>
  </si>
  <si>
    <t>WBGene00268772</t>
  </si>
  <si>
    <t>9685.ENSFCAP00000018902</t>
  </si>
  <si>
    <t>4.3e-13</t>
  </si>
  <si>
    <t>83.2</t>
  </si>
  <si>
    <t>Carnivora</t>
  </si>
  <si>
    <t>39VBS@33154,3BF31@33208,3D190@33213,3EP8H@33554,3JDTI@40674,485BU@7711,48Y2G@7742,KOG3575@1,KOG3575@2759</t>
  </si>
  <si>
    <t>Bile acid receptor-like</t>
  </si>
  <si>
    <t>12,5/21,6071</t>
  </si>
  <si>
    <t>Bm9225</t>
  </si>
  <si>
    <t>WBGene00229486</t>
  </si>
  <si>
    <t>Bm6319</t>
  </si>
  <si>
    <t>WBGene00226580</t>
  </si>
  <si>
    <t>/GO:0000242/GO:0000932/GO:0005737/GO:0005783/GO:0005819/GO:0043186/GO:0051233/GO:1990124/GO:1990904/</t>
  </si>
  <si>
    <t>/P-body/P_granule/cytoplasm/endoplasmic_reticulum/messenger_ribonucleoprotein_complex/pericentriolar_material/ribonucleoprotein_complex/spindle/spindle_midzone/</t>
  </si>
  <si>
    <t>/"A_focus_in_the_cytoplasm_where_mRNAs_may_become_inactivated_by_decapping_or_some_other_mechanism._Protein_and_RNA_localized_to_these_foci_are_involved_in_mRNA_degradation,_nonsense-mediated_mRNA_decay_(NMD),_translational_repression,_and_RNA-mediated_gene_silencing."_[GOC:clt,_PMID:12730603]/"A_macromolecular_complex_containing_both_protein_and_RNA_molecules."_[GOC:vesicles]/"A_network_of_small_fibers_that_surrounds_the_centrioles_in_cells;_contains_the_microtubule_nucleating_activity_of_the_centrosome."_[GOC:clt,_ISBN:0815316194]/"A_ribonucleoprotein_complex_containing_both_protein_and_messenger_RNA_(mRNA)_molecules."_[GOC:bf,_PMID:15574591,_PMID:21915786]/"A_small_cytoplasmic,_non-membranous_RNA/protein_complex_aggregates_in_the_primordial_germ_cells_of_many_higher_eukaryotes."_[GOC:dph,_GOC:kmv,_PMID:11262230]/"All_of_the_contents_of_a_cell_excluding_the_plasma_membrane_and_nucleus,_but_including_other_subcellular_structures."_[ISBN:0198547684]/"The_area_in_the_center_of_the_spindle_where_the_spindle_microtubules_from_opposite_poles_overlap."_[GOC:ai,_PMID:15296749]/"The_array_of_microtubules_and_associated_molecules_that_forms_between_opposite_poles_of_a_eukaryotic_cell_during_mitosis_or_meiosis_and_serves_to_move_the_duplicated_chromosomes_apart."_[ISBN:0198547684]/"The_irregular_network_of_unit_membranes,_visible_only_by_electron_microscopy,_that_occurs_in_the_cytoplasm_of_many_eukaryotic_cells._The_membranes_form_a_complex_meshwork_of_tubular_channels,_which_are_often_expanded_into_slitlike_cavities_called_cisternae._The_ER_takes_two_forms,_rough_(or_granular),_with_ribosomes_adhering_to_the_outer_surface,_and_smooth_(with_no_ribosomes_attached)."_[ISBN:0198506732]/</t>
  </si>
  <si>
    <t>IPR010920/IPR019050/IPR025609/IPR025761/IPR025762/IPR025768/</t>
  </si>
  <si>
    <t>DFDF_domain/FDF_domain/FFD_box/LSM_domain_superfamily/Lsm14-like,_N-terminal/TFG_box/</t>
  </si>
  <si>
    <t>DFDF/FDF_dom/FFD_box/LSM_dom_sf/Lsm14-like_N/TFG_box/</t>
  </si>
  <si>
    <t>note=B._malayi_BMA-CAR-1_protein,_contains_similarity_toPfam_domains_PF12701_(Scd6-like_Sm_domain),_PF09532_(FDFdomain)_contains_similarity_to_Interpro_domains_IPR025609(Lsm14_N-terminal),_IPR010920_(Like-Sm_(LSM)_domain),IPR019050_(FDF_domain)</t>
  </si>
  <si>
    <t>7209.EFO21336.1</t>
  </si>
  <si>
    <t>GO:0000242,GO:0000932,GO:0003674,GO:0005488,GO:0005515,GO:0005575,GO:0005622,GO:0005623,GO:0005737,GO:0005813,GO:0005815,GO:0005819,GO:0005856,GO:0015630,GO:0032991,GO:0035770,GO:0036464,GO:0043186,GO:0043226,GO:0043228,GO:0043229,GO:0043232,GO:0044422,GO:0044424,GO:0044430,GO:0044444,GO:0044446,GO:0044450,GO:0044464,GO:0045495,GO:0051233,GO:0060293,GO:1990124,GO:1990904</t>
  </si>
  <si>
    <t>ko:K18749</t>
  </si>
  <si>
    <t>1KVQH@119089,38HND@33154,3BFD4@33208,3CYJ9@33213,40DAZ@6231,KOG1073@1,KOG1073@2759</t>
  </si>
  <si>
    <t>FDF</t>
  </si>
  <si>
    <t>29,9065/32,243</t>
  </si>
  <si>
    <t>28,5047/28,0374/15,6542/26,8692</t>
  </si>
  <si>
    <t>28,972/29,4393/28,7383/28,271/28,5047/28,271</t>
  </si>
  <si>
    <t>29,6729/28,0374</t>
  </si>
  <si>
    <t>WBGene00012484</t>
  </si>
  <si>
    <t>41.1215</t>
  </si>
  <si>
    <t>meiosis_mitoticspindleorganization</t>
  </si>
  <si>
    <t>Bm3284</t>
  </si>
  <si>
    <t>WBGene00223545</t>
  </si>
  <si>
    <t>GO:0005515/GO:0007062/GO:0008278/</t>
  </si>
  <si>
    <t>cohesin_complex/protein_binding/sister_chromatid_cohesion/</t>
  </si>
  <si>
    <t>A_protein_complex_that_is_required_for_sister_chromatid_cohesion_in_eukaryotes._The_cohesin_complex_forms_a_molecular_ring_complex,_and_is_composed_of_structural_maintenance_of_chromosomes_(SMC)_and_kleisin_proteins._For_example,_in_yeast,_the_complex_is_composed_of_the_SMC_proteins_Smc1p_and_Smc3p,_and_the_kleisin_protein_Scc1p._In_vertebrates,_the_complex_is_composed_of_the_SMC1_(SMC1A_or_SMC1B)_and_SMC3_heterodimer_attached_via_their_hinge_domains_to_a_kleisin_(RAD21,_REC8_or_RAD21L)_which_links_them,_and_one_STAG_protein_(STAG1,_STAG2_or_STAG3)._[GOC:jl,_GOC:sp,_GOC:vw,_PMID:9887095]/"Interacting_selectively_and_non-covalently_with_any_protein_or_protein_complex_(a_complex_of_two_or_more_proteins_that_may_include_other_nonprotein_molecules)."_[GOC:go_curators]/"The_cell_cycle_process_in_which_the_sister_chromatids_of_a_replicated_chromosome_become_tethered_to_each_other."_[GOC:jh,_GOC:mah,_ISBN:0815316194]/</t>
  </si>
  <si>
    <t>IPR006909/IPR006910/IPR036390/IPR039781/</t>
  </si>
  <si>
    <t>Rad21/Rec8-like_protein/Rad21/Rec8-like_protein,_C-terminal,_eukaryotic/Rad21/Rec8-like_protein,_N-terminal/Winged_helix_DNA-binding_domain_superfamily/</t>
  </si>
  <si>
    <t>Rad21/Rec8-like/Rad21/Rec8_C_eu/Rad21_Rec8_N/WH_DNA-bd_sf/</t>
  </si>
  <si>
    <t>note=contains_similarity_to_Pfam_domains_PF04824_(Conserved_region_of_Rad21_/_Rec8_like_protein),_PF04825_(N_terminus_of_Rad21_/_Rec8_like_protein)_contains_similarity_to_Interpro_domains_IPR023093_(Rad21/Rec8-like_protein,_C-terminal),_IPR006909_(Rad21/Rec8-like_protein,_C-terminal,_eukaryotic),_IPR006910_(Rad21/Rec8-like_protein,_N-terminal)</t>
  </si>
  <si>
    <t>7209.EFO17919.2</t>
  </si>
  <si>
    <t>1075.8</t>
  </si>
  <si>
    <t>ko:K06670</t>
  </si>
  <si>
    <t>ko04110,ko04111,map04110,map04111</t>
  </si>
  <si>
    <t>ko00000,ko00001,ko03036</t>
  </si>
  <si>
    <t>1KVGN@119089,38H3N@33154,3BCQ9@33208,3CV7T@33213,40CV7@6231,KOG1213@1,KOG1213@2759</t>
  </si>
  <si>
    <t>N terminus of Rad21 / Rec8 like protein</t>
  </si>
  <si>
    <t>92,7609/91,0774</t>
  </si>
  <si>
    <t>39,899/22,5589/39,3939/25,2525</t>
  </si>
  <si>
    <t>28,4512/18,1818</t>
  </si>
  <si>
    <t>28,7879/17,5084</t>
  </si>
  <si>
    <t>14,8148/13,468</t>
  </si>
  <si>
    <t>Bm348</t>
  </si>
  <si>
    <t>WBGene00220609</t>
  </si>
  <si>
    <t>GO:0003676/GO:0006470/GO:0008138/GO:0016311/GO:0016791/</t>
  </si>
  <si>
    <t>dephosphorylation/nucleic_acid_binding/phosphatase_activity/protein_dephosphorylation/protein_tyrosine/serine/threonine_phosphatase_activity/</t>
  </si>
  <si>
    <t>Catalysis_of_the_hydrolysis_of_phosphoric_monoesters,_releasing_inorganic_phosphate._[EC:3.1.3,_EC:3.1.3.41,_GOC:curators,_GOC:pg]/"Catalysis_of_the_reactions:_protein_serine_+_H2O_=_protein_serine_+_phosphate;_protein_threonine_phosphate_+_H2O_=_protein_threonine_+_phosphate;_and_protein_tyrosine_phosphate_+_H2O_=_protein_tyrosine_+_phosphate."_[GOC:mah]/"Interacting_selectively_and_non-covalently_with_any_nucleic_acid."_[GOC:jl]/"The_process_of_removing_one_or_more_phosphoric_(ester_or_anhydride)_residues_from_a_molecule."_[ISBN:0198506732]/"The_process_of_removing_one_or_more_phosphoric_residues_from_a_protein."_[GOC:hb]/</t>
  </si>
  <si>
    <t>IPR000340/IPR000387/IPR013087/IPR016278/IPR020422/IPR024950/IPR029021/</t>
  </si>
  <si>
    <t>Dual_specificity_phosphatase/Dual_specificity_phosphatase,_catalytic_domain/Dual_specificity_protein_phosphatase_12/Dual_specificity_protein_phosphatase_domain/Protein-tyrosine_phosphatase-like/Tyrosine_specific_protein_phosphatases_domain/Zinc_finger_C2H2-type/</t>
  </si>
  <si>
    <t>DUSP/DUSP12/Dual-sp_phosphatase_cat-dom/Prot-tyrosine_phosphatase-like/TYR_PHOSPHATASE_DUAL_dom/TYR_PHOSPHATASE_dom/Znf_C2H2_type/</t>
  </si>
  <si>
    <t>note=contains_similarity_to_Interpro_domains_IPR029021_(Protein-tyrosine_phosphatase-like),_IPR024950_(Dual_specificity_phosphatase)</t>
  </si>
  <si>
    <t>7209.EFO17978.2</t>
  </si>
  <si>
    <t>2.3e-128</t>
  </si>
  <si>
    <t>465.3</t>
  </si>
  <si>
    <t>3.1.3.16,3.1.3.48</t>
  </si>
  <si>
    <t>ko:K14819</t>
  </si>
  <si>
    <t>ko00000,ko01000,ko01009,ko03009</t>
  </si>
  <si>
    <t>1KWQV@119089,38DF8@33154,3BE7W@33208,3CSN0@33213,40E8H@6231,COG2453@1,KOG1716@2759</t>
  </si>
  <si>
    <t>Dual specificity phosphatase, catalytic domain</t>
  </si>
  <si>
    <t>13,9752/17,0807</t>
  </si>
  <si>
    <t>13,354/17,0807/16,1491/14,2857/13,6646/14,5963/12,7329/16,4596/16,1491/17,3913/15,2174/10,8696/16,7702/13,354/12,1118/15,8385/10,559/16,7702/16,1491/15,2174/7,45342</t>
  </si>
  <si>
    <t>12,7329/17,3913/16,7702/14,2857/13,6646/13,354/13,0435/16,4596/16,1491/16,7702/16,1491/10,8696/15,8385/12,7329/12,7329/14,9068/11,8012/16,4596/16,1491/15,8385/8,38509</t>
  </si>
  <si>
    <t>10,559/13,6646/11,4907/11,1801/11,1801/12,4224/13,354/14,9068/10,2484/2,79503/11,1801/2,79503/15,2174/13,6646/13,9752/12,1118/16,1491/15,8385/15,8385/17,3913/16,7702/10,559/15,528/17,0807/15,2174/17,0807</t>
  </si>
  <si>
    <t>WBGene00015807</t>
  </si>
  <si>
    <t>14.2857</t>
  </si>
  <si>
    <t>Bm2109</t>
  </si>
  <si>
    <t>WBGene00222370</t>
  </si>
  <si>
    <t>GO:0016740/GO:0017183/</t>
  </si>
  <si>
    <t>peptidyl-diphthamide_biosynthetic_process_from_peptidyl-histidine/transferase_activity/</t>
  </si>
  <si>
    <t>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The_modification_of_peptidyl-histidine_to_2'-(3-carboxamido-3-(trimethylammonio)propyl)-L-histidine,_known_as_diphthamide,_found_in_translation_elongation_factor_EF-2._The_process_occurs_in_eukaryotes_and_archaea_but_not_eubacteria."_[GOC:pde,_PMID:20559380,_RESID:AA0040]/</t>
  </si>
  <si>
    <t>IPR010014/IPR016435/</t>
  </si>
  <si>
    <t>Diphthamide_synthesis_DHP2,_eukaryotes/Diphthamide_synthesis_DPH1/DPH2/</t>
  </si>
  <si>
    <t>DHP2_euk/DPH1/DPH2/</t>
  </si>
  <si>
    <t>note=B._malayi_BMA-DPH-2_protein,_contains_similarity_toPfam_domain_PF01866_Putative_diphthamide_synthesis_proteincontains_similarity_to_Interpro_domains_IPR016435(Diphthamide_synthesis_DPH1/DPH2),_IPR010014_(Diphthamidesynthesis_DHP2,_eukaryotic)</t>
  </si>
  <si>
    <t>7209.EFO23169.2</t>
  </si>
  <si>
    <t>3.9e-225</t>
  </si>
  <si>
    <t>787.3</t>
  </si>
  <si>
    <t>ko:K17866</t>
  </si>
  <si>
    <t>ko00000,ko03012</t>
  </si>
  <si>
    <t>1KU5I@119089,38FXZ@33154,3BG2P@33208,3CXQE@33213,40CK9@6231,COG1736@1,KOG2648@2759</t>
  </si>
  <si>
    <t>Required for the first step in the synthesis of diphthamide, a post-translational modification of histidine which occurs in translation elongation factor 2</t>
  </si>
  <si>
    <t>WBGene00007488</t>
  </si>
  <si>
    <t>37.4737</t>
  </si>
  <si>
    <t>Bm10066</t>
  </si>
  <si>
    <t>WBGene00230327</t>
  </si>
  <si>
    <t>note=contains_similarity_to_Pfam_domain_PF00012_Hsp70_protein_contains_similarity_to_Interpro_domain_IPR013126_(Heat_shock_protein_70_family)</t>
  </si>
  <si>
    <t>Bm8909</t>
  </si>
  <si>
    <t>WBGene00229170</t>
  </si>
  <si>
    <t>Bm3566</t>
  </si>
  <si>
    <t>WBGene00223827</t>
  </si>
  <si>
    <t>GO:0004326/GO:0005524/GO:0006730/GO:0009058/GO:0009396/GO:0016874/GO:0046901/</t>
  </si>
  <si>
    <t>ATP_binding/biosynthetic_process/folic_acid-containing_compound_biosynthetic_process/ligase_activity/one-carbon_metabolic_process/tetrahydrofolylpolyglutamate_biosynthetic_process/tetrahydrofolylpolyglutamate_synthase_activity/</t>
  </si>
  <si>
    <t>Catalysis_of_the_joining_of_two_substances,_or_two_groups_within_a_single_molecule,_with_the_concomitant_hydrolysis_of_the_diphosphate_bond_in_ATP_or_a_similar_triphosphate._[EC:6,_GOC:mah]/"Catalysis_of_the_reaction:_ATP_+_tetrahydrofolyl-(Glu)(n)_+_L-glutamate_=_ADP_+_phosphate_+_tetrahydrofolyl-(Glu)(n+1)."_[EC:6.3.2.17]/"Interacting_selectively_and_non-covalently_with_ATP,_adenosine_5'-triphosphate,_a_universally_important_coenzyme_and_enzyme_regulator."_[ISBN:0198506732]/"The_chemical_reactions_and_pathways_involving_the_transfer_of_one-carbon_units_in_various_oxidation_states."_[GOC:hjd,_GOC:mah,_GOC:pde]/"The_chemical_reactions_and_pathways_resulting_in_the_formation_of_folic_acid_and_its_derivatives."_[GOC:ai]/"The_chemical_reactions_and_pathways_resulting_in_the_formation_of_substances;_typically_the_energy-requiring_part_of_metabolism_in_which_simpler_substances_are_transformed_into_more_complex_ones."_[GOC:curators,_ISBN:0198547684]/"The_chemical_reactions_and_pathways_resulting_in_the_formation_of_tetrahydrofolylpolyglutamate,_a_folate_derivative_comprising_tetrahydrofolate_attached_to_a_chain_of_glutamate_residues."_[GOC:ai]/</t>
  </si>
  <si>
    <t>IPR001645/IPR013221/IPR018109/IPR023600/IPR036565/IPR036615/</t>
  </si>
  <si>
    <t>Folylpolyglutamate_synthase,_eukaryota/Folylpolyglutamate_synthetase/Folylpolyglutamate_synthetase,_conserved_site/Mur-like,_catalytic_domain_superfamily/Mur_ligase,_C-terminal_domain_superfamily/Mur_ligase,_central/</t>
  </si>
  <si>
    <t>Folylpolyglutamate_synth/Folylpolyglutamate_synth_CS/Folylpolyglutamate_synth_euk/Mur-like_cat_sf/Mur_ligase_C_dom_sf/Mur_ligase_cen/</t>
  </si>
  <si>
    <t>note=contains_similarity_to_Pfam_domain_PF08245_Mur_ligase_middle_domain_contains_similarity_to_Interpro_domains_IPR004101_(Mur_ligase,_C-terminal),_IPR001645_(Folylpolyglutamate_synthetase),_IPR023600_(Folylpolyglutamate_synthase,_eukaryota),_IPR013221_(Mur_ligase,_central)</t>
  </si>
  <si>
    <t>7209.EFO23898.2</t>
  </si>
  <si>
    <t>1.3e-259</t>
  </si>
  <si>
    <t>902.1</t>
  </si>
  <si>
    <t>6.3.2.17</t>
  </si>
  <si>
    <t>ko:K01930</t>
  </si>
  <si>
    <t>ko00790,ko01100,ko01523,map00790,map01100,map01523</t>
  </si>
  <si>
    <t>R00942,R02237,R04241</t>
  </si>
  <si>
    <t>RC00064,RC00090,RC00162</t>
  </si>
  <si>
    <t>1KXQI@119089,38DEV@33154,3BD99@33208,3CRS4@33213,40CT6@6231,COG0285@1,KOG2525@2759</t>
  </si>
  <si>
    <t>Catalyzes conversion of folates to polyglutamate derivatives allowing concentration of folate compounds in the cell and the intracellular retention of these cofactors, which are important substrates for most of the folate-dependent enzymes that are involved in one-carbon transfer reactions involved in purine, pyrimidine and amino acid synthesis</t>
  </si>
  <si>
    <t>47,1731/20,1413</t>
  </si>
  <si>
    <t>18,7279/18,0212</t>
  </si>
  <si>
    <t>34,629/38,5159/34,9823</t>
  </si>
  <si>
    <t>22,4382/14,841</t>
  </si>
  <si>
    <t>29,1519/26,1484</t>
  </si>
  <si>
    <t>WBGene00017777</t>
  </si>
  <si>
    <t>39.2226</t>
  </si>
  <si>
    <t>Bm6758</t>
  </si>
  <si>
    <t>WBGene00227019</t>
  </si>
  <si>
    <t>GO:0005634/GO:0006355/GO:0008270/GO:0040024/</t>
  </si>
  <si>
    <t>dauer_larval_development/nucleus/regulation_of_transcription,_DNA-templated/zinc_ion_binding/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</si>
  <si>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process_that_modulates_the_frequency,_rate_or_extent_of_cellular_DNA-templated_transcription."_[GOC:go_curators,_GOC:txnOH]/"Interacting_selectively_and_non-covalently_with_zinc_(Zn)_ions."_[GOC:ai]/"The_process_whose_specific_outcome_is_the_progression_of_the_dauer_larva_over_time,_through_the_facultative_diapause_of_the_dauer_(enduring)_larval_stage,_with_specialized_traits_adapted_for_dispersal_and_long-term_survival,_with_elevated_stress_resistance_and_without_feeding."_[GOC:ems,_ISBN:087969307X]/</t>
  </si>
  <si>
    <t>IPR009349/IPR039128/</t>
  </si>
  <si>
    <t>Activating_signal_cointegrator_1-like/Zinc_finger,_C2HC5-type/</t>
  </si>
  <si>
    <t>TRIP4-like/Znf_C2HC5/</t>
  </si>
  <si>
    <t>note=B._malayi_BMA-ASC-1_protein,_contains_similarity_toPfam_domain_PF06221_Putative_zinc_finger_motif,_C2HC5-typecontains_similarity_to_Interpro_domain_IPR009349_(Zincfinger,_C2HC5-type)</t>
  </si>
  <si>
    <t>7209.EJD75696.1</t>
  </si>
  <si>
    <t>3.4e-191</t>
  </si>
  <si>
    <t>674.5</t>
  </si>
  <si>
    <t>GO:0002119,GO:0002164,GO:0007275,GO:0008150,GO:0009791,GO:0032501,GO:0032502,GO:0040024,GO:0048856</t>
  </si>
  <si>
    <t>1KVVE@119089,38GSP@33154,3BHJY@33208,3CTRT@33213,40D3A@6231,KOG2845@1,KOG2845@2759</t>
  </si>
  <si>
    <t>Putative zinc finger motif, C2HC5-type</t>
  </si>
  <si>
    <t>75,8465/75,8465</t>
  </si>
  <si>
    <t>23,702/23,2506</t>
  </si>
  <si>
    <t>WBGene00000208</t>
  </si>
  <si>
    <t>32.5056</t>
  </si>
  <si>
    <t>Bm4725</t>
  </si>
  <si>
    <t>WBGene00224986</t>
  </si>
  <si>
    <t>GO:0005622/GO:0042254/</t>
  </si>
  <si>
    <t>intracellular/ribosome_biogenesis/</t>
  </si>
  <si>
    <t>A_cellular_process_that_results_in_the_biosynthesis_of_constituent_macromolecules,_assembly,_and_arrangement_of_constituent_parts_of_ribosome_subunits;_includes_transport_to_the_sites_of_protein_synthesis._[GOC:ma,_PMID:26404467,_Wikipedia:Ribosome_biogenesis]/"The_living_contents_of_a_cell;_the_matter_contained_within_(but_not_including)_the_plasma_membrane,_usually_taken_to_exclude_large_vacuoles_and_masses_of_secretory_or_ingested_material._In_eukaryotes_it_includes_the_nucleus_and_cytoplasm."_[ISBN:0198506732]/</t>
  </si>
  <si>
    <t>IPR001790/</t>
  </si>
  <si>
    <t>Ribosomal_protein_L10P/</t>
  </si>
  <si>
    <t>Ribosomal_L10P/</t>
  </si>
  <si>
    <t>note=B._malayi_BMA-MRPL-10_protein</t>
  </si>
  <si>
    <t>7209.EJD74853.1</t>
  </si>
  <si>
    <t>6.3e-118</t>
  </si>
  <si>
    <t>430.3</t>
  </si>
  <si>
    <t>ko:K02864</t>
  </si>
  <si>
    <t>ko03010,map03010</t>
  </si>
  <si>
    <t>M00178,M00179</t>
  </si>
  <si>
    <t>br01610,ko00000,ko00001,ko00002,ko03011</t>
  </si>
  <si>
    <t>1KWJS@119089,3A853@33154,3BTGS@33208,3DABA@33213,40EBP@6231,KOG4241@1,KOG4241@2759</t>
  </si>
  <si>
    <t>mitochondrial translation</t>
  </si>
  <si>
    <t>WBGene00010458</t>
  </si>
  <si>
    <t>33.1984</t>
  </si>
  <si>
    <t>Bm9803</t>
  </si>
  <si>
    <t>WBGene00230064</t>
  </si>
  <si>
    <t>7209.EFO19129.1</t>
  </si>
  <si>
    <t>1.9e-19</t>
  </si>
  <si>
    <t>102.1</t>
  </si>
  <si>
    <t>1KXG7@119089,2D0MS@1,2SEQZ@2759,3ABME@33154,3BWMB@33208,3DCKX@33213,40F33@6231</t>
  </si>
  <si>
    <t>Bm8920</t>
  </si>
  <si>
    <t>WBGene00229181</t>
  </si>
  <si>
    <t>Bm5573</t>
  </si>
  <si>
    <t>WBGene00225834</t>
  </si>
  <si>
    <t>7209.EFO24455.1</t>
  </si>
  <si>
    <t>1M06N@119089,2EYM9@1,2T03N@2759,398AU@33154,3CCJ5@33208,3DA6Q@33213,40H7U@6231</t>
  </si>
  <si>
    <t>Bm17737</t>
  </si>
  <si>
    <t>WBGene00268879</t>
  </si>
  <si>
    <t>IPR007702/IPR038596/</t>
  </si>
  <si>
    <t>Janus/Janus_superfamily/</t>
  </si>
  <si>
    <t>Janus/Janus_sf/</t>
  </si>
  <si>
    <t>7209.EFO27823.1</t>
  </si>
  <si>
    <t>5.9e-34</t>
  </si>
  <si>
    <t>3.9.1.3</t>
  </si>
  <si>
    <t>ko:K01112</t>
  </si>
  <si>
    <t>1KWJ4@119089,2CUCZ@1,2S4DR@2759,3A611@33154,3BT9Q@33208,3D9EE@33213,40E2H@6231</t>
  </si>
  <si>
    <t>Janus/Ocnus family (Ocnus)</t>
  </si>
  <si>
    <t>53,4483/51,7241</t>
  </si>
  <si>
    <t>56,8966/37,931</t>
  </si>
  <si>
    <t>29,3103/30,1724/45,6897/31,8966</t>
  </si>
  <si>
    <t>39,6552/41,3793</t>
  </si>
  <si>
    <t>WBGene00009455</t>
  </si>
  <si>
    <t>49.1379</t>
  </si>
  <si>
    <t>Bm3036</t>
  </si>
  <si>
    <t>WBGene00223297</t>
  </si>
  <si>
    <t>GO:0005515/GO:0010468/GO:0046872/GO:0071557/GO:0071558/</t>
  </si>
  <si>
    <t>histone_H3-K27_demethylation/histone_demethylase_activity_(H3-K27_specific)/metal_ion_binding/protein_binding/regulation_of_gene_expression/</t>
  </si>
  <si>
    <t>Any_process_that_modulates_the_frequency,_rate_or_extent_of_gene_expression._Gene_expression_is_the_process_in_which_a_gene's_coding_sequence_is_converted_into_a_mature_gene_product_or_products_(proteins_or_RNA)._This_includes_the_production_of_an_RNA_transcript_as_well_as_any_processing_to_produce_a_mature_RNA_product_or_an_mRNA_or_circRNA_(for_protein-coding_genes)_and_the_translation_of_that_mRNA_or_circRNA_into_protein._Protein_maturation_is_included_when_required_to_form_an_active_form_of_a_product_from_an_inactive_precursor_form._[GOC:dph,_GOC:tb]/"Catalysis_of_the_removal_of_a_methyl_group_from_lysine_at_position_27_of_the_histone_H3_protein."_[GOC:sp,_PMID:20622853]/"Interacting_selectively_and_non-covalently_with_any_metal_ion."_[GOC:ai]/"Interacting_selectively_and_non-covalently_with_any_protein_or_protein_complex_(a_complex_of_two_or_more_proteins_that_may_include_other_nonprotein_molecules)."_[GOC:go_curators]/"The_modification_of_histone_H3_by_the_removal_of_a_methyl_group_from_lysine_at_position_27_of_the_histone."_[GOC:sp,_PMID:20023638]/</t>
  </si>
  <si>
    <t>IPR003347/IPR011990/IPR013026/IPR019734/IPR029516/</t>
  </si>
  <si>
    <t>Histone_demethylase_UTY/JmjC_domain/Tetratricopeptide-like_helical_domain_superfamily/Tetratricopeptide_repeat/Tetratricopeptide_repeat-containing_domain/</t>
  </si>
  <si>
    <t>JmjC_dom/KDM6C/TPR-contain_dom/TPR-like_helical_dom_sf/TPR_repeat/</t>
  </si>
  <si>
    <t>note=B._malayi_BMA-UTX-1_protein,_contains_similarity_toPfam_domains_PF02373_(JmjC_domain,_hydroxylase),_PF13414(TPR_repeat)_contains_similarity_to_Interpro_domainsIPR003347_(JmjC_domain),_IPR011990_(Tetratricopeptide-likehelical_domain),_IPR019734_(Tetratricopeptide_repeat)</t>
  </si>
  <si>
    <t>7209.EJD75340.1</t>
  </si>
  <si>
    <t>1479.2</t>
  </si>
  <si>
    <t>GO:0001708,GO:0005575,GO:0005622,GO:0005623,GO:0005634,GO:0005654,GO:0006325,GO:0006464,GO:0006482,GO:0006807,GO:0006996,GO:0008150,GO:0008152,GO:0008214,GO:0009987,GO:0016043,GO:0016569,GO:0016570,GO:0016577,GO:0019538,GO:0030154,GO:0031974,GO:0031981,GO:0032502,GO:0032991,GO:0034708,GO:0035097,GO:0036211,GO:0043170,GO:0043226,GO:0043227,GO:0043229,GO:0043231,GO:0043233,GO:0043412,GO:0044237,GO:0044238,GO:0044260,GO:0044267,GO:0044422,GO:0044424,GO:0044428,GO:0044446,GO:0044451,GO:0044464,GO:0044666,GO:0045165,GO:0048869,GO:0051276,GO:0070013,GO:0070076,GO:0070988,GO:0071557,GO:0071704,GO:0071840,GO:1901564,GO:1902494,GO:1990234</t>
  </si>
  <si>
    <t>ko:K11447</t>
  </si>
  <si>
    <t>ko00000,ko00001,ko01000,ko03036</t>
  </si>
  <si>
    <t>1M8I2@119089,38CAZ@33154,3BB09@33208,3CTXB@33213,40RDR@6231,COG0055@1,COG0457@1,KOG1124@2759,KOG1246@2759</t>
  </si>
  <si>
    <t>A domain family that is part of the cupin metalloenzyme superfamily.</t>
  </si>
  <si>
    <t>18,0734/76,6055</t>
  </si>
  <si>
    <t>44,5872/22,2936</t>
  </si>
  <si>
    <t>44,9541/11,0092/41,8349</t>
  </si>
  <si>
    <t>24,6789/21,4679/22,0183/6,23853/4,95413/35,6881</t>
  </si>
  <si>
    <t>5,50459/4,77064</t>
  </si>
  <si>
    <t>4,12844/7,24771</t>
  </si>
  <si>
    <t>27,7064/39,633/38,6239</t>
  </si>
  <si>
    <t>27,5229/39,633/36,6972</t>
  </si>
  <si>
    <t>28,7156/29,1743/40,2752</t>
  </si>
  <si>
    <t>WBGene00007813</t>
  </si>
  <si>
    <t>13.945</t>
  </si>
  <si>
    <t>Bm2737</t>
  </si>
  <si>
    <t>WBGene00222998</t>
  </si>
  <si>
    <t>GO:0005634/GO:0005737/GO:0016480/</t>
  </si>
  <si>
    <t>cytoplasm/negative_regulation_of_transcription_by_RNA_polymerase_III/nucleus/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</si>
  <si>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ll_of_the_contents_of_a_cell_excluding_the_plasma_membrane_and_nucleus,_but_including_other_subcellular_structures."_[ISBN:0198547684]/"Any_process_that_stops,_prevents,_or_reduces_the_frequency,_rate_or_extent_of_transcription_mediated_by_RNA_polymerase_III."_[GOC:go_curators]/</t>
  </si>
  <si>
    <t>IPR015257/IPR038564/</t>
  </si>
  <si>
    <t>Repressor_of_RNA_polymerase_III_transcription_Maf1_superfamily/Repressor_of_RNA_polymerase_III_transcription__Maf1/</t>
  </si>
  <si>
    <t>Maf1/Maf1_sf/</t>
  </si>
  <si>
    <t>note=B._malayi_BMA-MAFR-1_protein,_contains_similarity_to_Pfam_domain_PF09174_Maf1_regulator_contains_similarity_to_Interpro_domain_IPR015257_(Repressor_of_RNA_polymerase_III_transcription_Maf1)</t>
  </si>
  <si>
    <t>7209.EFO27351.1</t>
  </si>
  <si>
    <t>2.2e-131</t>
  </si>
  <si>
    <t>474.9</t>
  </si>
  <si>
    <t>GO:0005575,GO:0005622,GO:0005623,GO:0005634,GO:0005737,GO:0043226,GO:0043227,GO:0043229,GO:0043231,GO:0044424,GO:0044464</t>
  </si>
  <si>
    <t>1KWIR@119089,38HBA@33154,3BG38@33208,3CSZK@33213,40E3U@6231,COG5046@1,KOG3104@2759</t>
  </si>
  <si>
    <t>Element of the TORC1 signaling pathway that acts as a mediator of diverse signals and that represses RNA polymerase III transcription. Inhibits the de novo assembly of TFIIIB onto DNA</t>
  </si>
  <si>
    <t>41,0042/41,0042</t>
  </si>
  <si>
    <t>36,8201/16,7364</t>
  </si>
  <si>
    <t>32,636/35,1464</t>
  </si>
  <si>
    <t>WBGene00016622</t>
  </si>
  <si>
    <t>37.6569</t>
  </si>
  <si>
    <t>Bm8668</t>
  </si>
  <si>
    <t>WBGene00228929</t>
  </si>
  <si>
    <t>GO:0008270/GO:0046872/</t>
  </si>
  <si>
    <t>metal_ion_binding/zinc_ion_binding/</t>
  </si>
  <si>
    <t>Interacting_selectively_and_non-covalently_with_any_metal_ion._[GOC:ai]/"Interacting_selectively_and_non-covalently_with_zinc_(Zn)_ions."_[GOC:ai]/</t>
  </si>
  <si>
    <t>note=contains_similarity_to_Pfam_domain_PF12906_RING-variant_domain_contains_similarity_to_Interpro_domains_IPR013083_(Zinc_finger,_RING/FYVE/PHD-type),_IPR011016_(Zinc_finger,_RING-CH-type)</t>
  </si>
  <si>
    <t>7209.EFO21533.2</t>
  </si>
  <si>
    <t>1.6e-88</t>
  </si>
  <si>
    <t>332.4</t>
  </si>
  <si>
    <t>KOG3053@1,KOG3053@2759</t>
  </si>
  <si>
    <t>ubiquitin-protein transferase activity</t>
  </si>
  <si>
    <t>Bm10949</t>
  </si>
  <si>
    <t>WBGene00231210</t>
  </si>
  <si>
    <t>7209.EJD75530.1</t>
  </si>
  <si>
    <t>1556.2</t>
  </si>
  <si>
    <t>1KVB8@119089,28NE0@1,2RWKG@2759,39MHH@33154,3BKKK@33208,3E58G@33213,40BZ4@6231</t>
  </si>
  <si>
    <t>19,7342/19,7342</t>
  </si>
  <si>
    <t>2,76074/3,47648</t>
  </si>
  <si>
    <t>WBGene00044698</t>
  </si>
  <si>
    <t>34.9693</t>
  </si>
  <si>
    <t>Bm6004</t>
  </si>
  <si>
    <t>WBGene00226265</t>
  </si>
  <si>
    <t>GO:0005215/GO:0016020/GO:0016021/GO:0055085/</t>
  </si>
  <si>
    <t>integral_component_of_membrane/membrane/transmembrane_transport/transporter_activity/</t>
  </si>
  <si>
    <t>A_lipid_bilayer_along_with_all_the_proteins_and_protein_complexes_embedded_in_it_an_attached_to_it._[GOC:dos,_GOC:mah,_ISBN:0815316194]/"Enables_the_directed_movement_of_substances_(such_as_macromolecules,_small_molecules,_ions)_into,_out_of_or_within_a_cell,_or_between_cells."_[GOC:ai,_GOC:dgf]/"The_component_of_a_membrane_consisting_of_the_gene_products_and_protein_complexes_having_at_least_some_part_of_their_peptide_sequence_embedded_in_the_hydrophobic_region_of_the_membrane."_[GOC:dos,_GOC:go_curators]/"The_process_in_which_a_solute_is_transported_across_a_lipid_bilayer,_from_one_side_of_a_membrane_to_the_other."_[GOC:dph,_GOC:jid]/</t>
  </si>
  <si>
    <t>IPR001958/IPR005829/IPR011701/IPR020846/IPR036259/</t>
  </si>
  <si>
    <t>MFS_transporter_superfamily/Major_facilitator_superfamily/Major_facilitator_superfamily_domain/Sugar_transporter,_conserved_site/Tetracycline_resistance_protein_TetA/multidrug_resistance_protein_MdtG/</t>
  </si>
  <si>
    <t>MFS/MFS_dom/MFS_trans_sf/Sugar_transporter_CS/Tet-R_TetA/multi-R_MdtG/</t>
  </si>
  <si>
    <t>note=contains_similarity_to_Pfam_domain_PF07690_Major_Facilitator_Superfamily_contains_similarity_to_Interpro_domains_IPR001958_(Tetracycline_resistance_protein,_TetA/multidrug_resistance_protein_MdtG),_IPR011701_(Major_facilitator_superfamily),_IPR020846_(Major_facilitator_superfamily_domain)</t>
  </si>
  <si>
    <t>7209.EFO20757.1</t>
  </si>
  <si>
    <t>1.5e-264</t>
  </si>
  <si>
    <t>918.3</t>
  </si>
  <si>
    <t>1KUZ6@119089,38F80@33154,3BE5E@33208,3CU61@33213,40BKE@6231,KOG2816@1,KOG2816@2759</t>
  </si>
  <si>
    <t>transporter activity</t>
  </si>
  <si>
    <t>65,2439/81,9106</t>
  </si>
  <si>
    <t>38,0081/51,2195</t>
  </si>
  <si>
    <t>57,1138/57,3171/24,187/49,7967</t>
  </si>
  <si>
    <t>47,9675/38,4146/30,0813/31,3008</t>
  </si>
  <si>
    <t>52,6423/52,439/50,2033/14,0244</t>
  </si>
  <si>
    <t>52,8455/21,3415/47,561</t>
  </si>
  <si>
    <t>51,2195/52,439/51,626</t>
  </si>
  <si>
    <t>11,3821/11,3821/8,13008/11,7886/9,34959/16,8699/10,7724/10,7724/10,5691/10,5691/10,1626/6,50407/7,11382/9,7561/8,53659/6,50407</t>
  </si>
  <si>
    <t>WBGene00020798</t>
  </si>
  <si>
    <t>66.2602</t>
  </si>
  <si>
    <t>Bm7552</t>
  </si>
  <si>
    <t>WBGene00227813</t>
  </si>
  <si>
    <t>GO:0006644/GO:0016020/GO:0016021/GO:0016746/</t>
  </si>
  <si>
    <t>integral_component_of_membrane/membrane/phospholipid_metabolic_process/transferase_activity,_transferring_acyl_groups/</t>
  </si>
  <si>
    <t>A_lipid_bilayer_along_with_all_the_proteins_and_protein_complexes_embedded_in_it_an_attached_to_it._[GOC:dos,_GOC:mah,_ISBN:0815316194]/"Catalysis_of_the_transfer_of_an_acyl_group_from_one_compound_(donor)_to_another_(acceptor)."_[GOC:jl,_ISBN:0198506732]/"The_chemical_reactions_and_pathways_involving_phospholipids,_any_lipid_containing_phosphoric_acid_as_a_mono-_or_diester."_[ISBN:0198506732]/"The_component_of_a_membrane_consisting_of_the_gene_products_and_protein_complexes_having_at_least_some_part_of_their_peptide_sequence_embedded_in_the_hydrophobic_region_of_the_membrane."_[GOC:dos,_GOC:go_curators]/</t>
  </si>
  <si>
    <t>IPR000872/IPR002123/</t>
  </si>
  <si>
    <t>Phospholipid/glycerol_acyltransferase/Tafazzin/</t>
  </si>
  <si>
    <t>Plipid/glycerol_acylTrfase/Tafazzin/</t>
  </si>
  <si>
    <t>note=B._malayi_BMA-ACL-3_protein</t>
  </si>
  <si>
    <t>7209.EFO25315.1</t>
  </si>
  <si>
    <t>2e-130</t>
  </si>
  <si>
    <t>471.9</t>
  </si>
  <si>
    <t>ko:K13511</t>
  </si>
  <si>
    <t>ko00564,map00564</t>
  </si>
  <si>
    <t>R09037</t>
  </si>
  <si>
    <t>RC00004,RC00037</t>
  </si>
  <si>
    <t>ko00000,ko00001,ko01000,ko01004</t>
  </si>
  <si>
    <t>1KVSR@119089,38FYN@33154,3BCQT@33208,3CWXC@33213,40D93@6231,KOG2847@1,KOG2847@2759</t>
  </si>
  <si>
    <t>Phosphate acyltransferases</t>
  </si>
  <si>
    <t>48,4375/48,4375/48,8281</t>
  </si>
  <si>
    <t>WBGene00006491</t>
  </si>
  <si>
    <t>48.0469</t>
  </si>
  <si>
    <t>Bm329</t>
  </si>
  <si>
    <t>WBGene00220590</t>
  </si>
  <si>
    <t>Bm10442</t>
  </si>
  <si>
    <t>WBGene00230703</t>
  </si>
  <si>
    <t>GO:0000166/GO:0005524/GO:0006813/GO:0008556/GO:0015267/GO:0016020/GO:0016021/GO:0016787/GO:0055085/GO:0071805/GO:0099132/</t>
  </si>
  <si>
    <t>ATP_binding/ATP_hydrolysis_coupled_cation_transmembrane_transport/channel_activity/hydrolase_activity/integral_component_of_membrane/membrane/nucleotide_binding/potassium-transporting_ATPase_activity/potassium_ion_transmembrane_transport/potassium_ion_transport/transmembrane_transport/</t>
  </si>
  <si>
    <t>A_lipid_bilayer_along_with_all_the_proteins_and_protein_complexes_embedded_in_it_an_attached_to_it._[GOC:dos,_GOC:mah,_ISBN:0815316194]/"A_process_in_which_a_potassium_ion_is_transported_from_one_side_of_a_membrane_to_the_other."_[GOC:mah]/"Catalysis_of_the_hydrolysis_of_various_bonds,_e.g._C-O,_C-N,_C-C,_phosphoric_anhydride_bonds,_etc._Hydrolase_is_the_systematic_name_for_any_enzyme_of_EC_class_3."_[ISBN:0198506732]/"Enables_the_energy-independent_facilitated_diffusion,_mediated_by_passage_of_a_solute_through_a_transmembrane_aqueous_pore_or_channel._Stereospecificity_is_not_exhibited_but_this_transport_may_be_specific_for_a_particular_molecular_species_or_class_of_molecules."_[GOC:mtg_transport,_ISBN:0815340729,_TC:1.-.-.-.-]/"Enables_the_transfer_of_a_solute_or_solutes_from_one_side_of_a_membrane_to_the_other_according_to_the_reaction:_ATP_+_H2O_+_K+(out)_=_ADP_+_phosphate_+_K+(in)."_[EC:3.6.3.12]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he_component_of_a_membrane_consisting_of_the_gene_products_and_protein_complexes_having_at_least_some_part_of_their_peptide_sequence_embedded_in_the_hydrophobic_region_of_the_membrane."_[GOC:dos,_GOC:go_curators]/"The_directed_movement_of_potassium_ions_(K+)_into,_out_of_or_within_a_cell,_or_between_cells,_by_means_of_some_agent_such_as_a_transporter_or_pore."_[GOC:ai]/"The_process_in_which_a_solute_is_transported_across_a_lipid_bilayer,_from_one_side_of_a_membrane_to_the_other."_[GOC:dph,_GOC:jid]/"The_transport_of_an_inorganic_cation_across_a_membrane_and_against_an_electrochemical_gradient,_using_energy_from_ATP_hydrolysis."_[GOC:BHF]/</t>
  </si>
  <si>
    <t>IPR000425/IPR001757/IPR004014/IPR005775/IPR006068/IPR008250/IPR018303/IPR023214/IPR023271/IPR023298/IPR023299/IPR036412/</t>
  </si>
  <si>
    <t>Aquaporin-like/Cation-transporting_P-type_ATPase,_C-terminal/Cation-transporting_P-type_ATPase,_N-terminal/HAD-like_superfamily/HAD_superfamily/Major_intrinsic_protein/P-type_ATPase/P-type_ATPase,_A_domain_superfamily/P-type_ATPase,_cytoplasmic_domain_N/P-type_ATPase,_phosphorylation_site/P-type_ATPase,_transmembrane_domain_superfamily/P-type_ATPase_subfamily_IIC,_subunit_alpha/</t>
  </si>
  <si>
    <t>ATPase_P-typ_P_site/ATPase_P-typ_TM_dom_sf/ATPase_P-typ_cation-transptr_C/ATPase_P-typ_cation-transptr_N/ATPase_P-typ_cyto_dom_N/ATPase_P-typ_transduc_dom_A_sf/Aquaporin-like/HAD-like_sf/HAD_sf/MIP/P-type_ATPase_IIC/P_typ_ATPase/</t>
  </si>
  <si>
    <t>note=B._malayi_BMA-CATP-4_protein,_contains_similarity_to_Pfam_domains_PF00690_(Cation_transporter/ATPase,_N-terminus),_PF00689_(Cation_transporting_ATPase,_C-terminus),_PF00122_(E1-E2_ATPase),_PF00702_(haloacid_dehalogenase-like_hydrolase),_PF00230_(Major_intrinsic_protein)_contains_similarity_to_Interpro_domains_IPR023298_(P-type_ATPase,_transmembrane_domain),_IPR005775_(P-type_ATPase,_subfamily_IIC),_IPR008250_(P-type_ATPase,_A_domain),_IPR023214_(HAD-like_domain),_IPR023271_(Aquaporin-like),_IPR004014_(Cation-transporting_P-type_ATPase,_N-terminal),_IPR001757_(P-type_ATPase),_IPR006068_(Cation-transporting_P-type_ATPase,_C-terminal),_IPR000425_(Major_intrinsic_protein),_IPR023299_(P-type_ATPase,_cytoplasmic_domain_N)</t>
  </si>
  <si>
    <t>7209.EJD75689.1</t>
  </si>
  <si>
    <t>1773.1</t>
  </si>
  <si>
    <t>3.6.3.9</t>
  </si>
  <si>
    <t>ko:K01539</t>
  </si>
  <si>
    <t>ko04022,ko04024,ko04260,ko04261,ko04911,ko04918,ko04919,ko04925,ko04960,ko04961,ko04964,ko04970,ko04971,ko04972,ko04973,ko04974,ko04976,ko04978,map04022,map04024,map04260,map04261,map04911,map04918,map04919,map04925,map04960,map04961,map04964,map04970,map04971,map04972,map04973,map04974,map04976,map04978</t>
  </si>
  <si>
    <t>ko00000,ko00001,ko01000,ko04147</t>
  </si>
  <si>
    <t>3.A.3.1</t>
  </si>
  <si>
    <t>1KU1I@119089,39WX8@33154,3BM92@33208,3D60S@33213,40BHS@6231,COG0474@1,KOG0203@2759</t>
  </si>
  <si>
    <t>Belongs to the cation transport ATPase (P-type) (TC 3.A.3) family</t>
  </si>
  <si>
    <t>87,7486/87,7486</t>
  </si>
  <si>
    <t>9,70565/25,537</t>
  </si>
  <si>
    <t>19,1726/12,8878/39,1408/13,8425/13,8425/44,3914/19,0135/14,3198/19,0931</t>
  </si>
  <si>
    <t>19,2522/13,2856/38,9817/13,922/13,5243/44,3914/19,3317/14,3994/19,4113</t>
  </si>
  <si>
    <t>13,7629/43,9936/44,471/43,755/9,7852</t>
  </si>
  <si>
    <t>12,6492/13,0469</t>
  </si>
  <si>
    <t>WBGene00007248</t>
  </si>
  <si>
    <t>44.6301</t>
  </si>
  <si>
    <t>Bm7510</t>
  </si>
  <si>
    <t>WBGene00227771</t>
  </si>
  <si>
    <t>IPR008560/</t>
  </si>
  <si>
    <t>Protein_of_unknown_function_DUF842,_eukaryotic/</t>
  </si>
  <si>
    <t>DUF842_euk/</t>
  </si>
  <si>
    <t>note=contains_similarity_to_Pfam_domain_PF05811_Eukaryotic_protein_of_unknown_function_(DUF842)_contains_similarity_to_Interpro_domain_IPR008560_(Protein_of_unknown_function_DUF842,_eukaryotic)</t>
  </si>
  <si>
    <t>7209.EFO25787.2</t>
  </si>
  <si>
    <t>1.9e-71</t>
  </si>
  <si>
    <t>275.0</t>
  </si>
  <si>
    <t>1KWEQ@119089,3A1IK@33154,3BQKG@33208,3DA9U@33213,40EDU@6231,KOG3377@1,KOG3377@2759</t>
  </si>
  <si>
    <t>Eukaryotic protein of unknown function (DUF842)</t>
  </si>
  <si>
    <t>30,2817/20,4225/23,9437</t>
  </si>
  <si>
    <t>30,2817/28,169</t>
  </si>
  <si>
    <t>WBGene00014022</t>
  </si>
  <si>
    <t>47.8873</t>
  </si>
  <si>
    <t>Bm14116</t>
  </si>
  <si>
    <t>WBGene00234377</t>
  </si>
  <si>
    <t>GO:0005623/GO:0016020/GO:0016021/GO:0045454/</t>
  </si>
  <si>
    <t>cell/cell_redox_homeostasis/integral_component_of_membrane/membrane/</t>
  </si>
  <si>
    <t>A_lipid_bilayer_along_with_all_the_proteins_and_protein_complexes_embedded_in_it_an_attached_to_it._[GOC:dos,_GOC:mah,_ISBN:0815316194]/"Any_process_that_maintains_the_redox_environment_of_a_cell_or_compartment_within_a_cell."_[GOC:ai,_GOC:dph,_GOC:tb]/"The_basic_structural_and_functional_unit_of_all_organisms._Includes_the_plasma_membrane_and_any_external_encapsulating_structures_such_as_the_cell_wall_and_cell_envelope."_[GOC:go_curators]/"The_component_of_a_membrane_consisting_of_the_gene_products_and_protein_complexes_having_at_least_some_part_of_their_peptide_sequence_embedded_in_the_hydrophobic_region_of_the_membrane."_[GOC:dos,_GOC:go_curators]/</t>
  </si>
  <si>
    <t>/IPR013766/IPR036249/</t>
  </si>
  <si>
    <t>/Thioredoxin-like_superfamily/Thioredoxin_domain/</t>
  </si>
  <si>
    <t>/Thioredoxin-like_sf/Thioredoxin_domain/</t>
  </si>
  <si>
    <t>7209.EFO17750.1</t>
  </si>
  <si>
    <t>4.9e-135</t>
  </si>
  <si>
    <t>487.3</t>
  </si>
  <si>
    <t>1KVWN@119089,38DDE@33154,3BFDJ@33208,3CRSD@33213,40DE6@6231,KOG0914@1,KOG0914@2759</t>
  </si>
  <si>
    <t>Thioredoxin</t>
  </si>
  <si>
    <t>95,1852/95,1852</t>
  </si>
  <si>
    <t>37,4074/33,7037</t>
  </si>
  <si>
    <t>32,2222/9,62963</t>
  </si>
  <si>
    <t>31,4815/34,0741</t>
  </si>
  <si>
    <t>WBGene00016446</t>
  </si>
  <si>
    <t>47.7778</t>
  </si>
  <si>
    <t>Bm6801</t>
  </si>
  <si>
    <t>WBGene00227062</t>
  </si>
  <si>
    <t>GO:0000166/GO:0005525/</t>
  </si>
  <si>
    <t>GTP_binding/nucleotide_binding/</t>
  </si>
  <si>
    <t>Interacting_selectively_and_non-covalently_with_GTP,_guanosine_triphosphate._[GOC:ai]/"Interacting_selectively_and_non-covalently_with_a_nucleotide,_any_compound_consisting_of_a_nucleoside_that_is_esterified_with_(ortho)phosphate_or_an_oligophosphate_at_any_hydroxyl_group_on_the_ribose_or_deoxyribose."_[GOC:mah,_ISBN:0198547684]/</t>
  </si>
  <si>
    <t>IPR005225/IPR006689/IPR027417/</t>
  </si>
  <si>
    <t>P-loop_containing_nucleoside_triphosphate_hydrolase/Small_GTP-binding_protein_domain/Small_GTPase_superfamily,_ARF/SAR_type/</t>
  </si>
  <si>
    <t>P-loop_NTPase/Small_GTP-bd_dom/Small_GTPase_ARF/SAR/</t>
  </si>
  <si>
    <t>note=contains_similarity_to_Pfam_domain_PF00025_ADP-ribosylation_factor_family_contains_similarity_to_Interpro_domains_IPR005225_(Small_GTP-binding_protein_domain),_IPR027417_(P-loop_containing_nucleoside_triphosphate_hydrolase),_IPR006689_(Small_GTPase_superfamily,_ARF/SAR_type)</t>
  </si>
  <si>
    <t>7209.EFO23250.1</t>
  </si>
  <si>
    <t>1.5e-98</t>
  </si>
  <si>
    <t>365.5</t>
  </si>
  <si>
    <t>ko:K07952</t>
  </si>
  <si>
    <t>ko00000,ko04031,ko04131</t>
  </si>
  <si>
    <t>1KX6Y@119089,38HBT@33154,3BE8U@33208,3CRBE@33213,40DYM@6231,KOG0076@1,KOG0076@2759</t>
  </si>
  <si>
    <t>Gtr1/RagA G protein conserved region</t>
  </si>
  <si>
    <t>37,1134/36,5979</t>
  </si>
  <si>
    <t>WBGene00021841</t>
  </si>
  <si>
    <t>53.6082</t>
  </si>
  <si>
    <t>Bm9513</t>
  </si>
  <si>
    <t>WBGene00229774</t>
  </si>
  <si>
    <t>IPR001251/IPR036598/IPR036865/</t>
  </si>
  <si>
    <t>CRAL-TRIO_lipid_binding_domain/CRAL-TRIO_lipid_binding_domain_superfamily/GOLD_domain_superfamily/</t>
  </si>
  <si>
    <t>CRAL-TRIO_dom/CRAL-TRIO_dom_sf/GOLD_dom_sf/</t>
  </si>
  <si>
    <t>note=contains_similarity_to_Pfam_domain_PF00650_CRAL/TRIO_domain_contains_similarity_to_Interpro_domains_IPR001251_(CRAL-TRIO_domain),_IPR009038_(GOLD)</t>
  </si>
  <si>
    <t>7209.EFO26572.1</t>
  </si>
  <si>
    <t>3.3e-190</t>
  </si>
  <si>
    <t>671.0</t>
  </si>
  <si>
    <t>1M7Z2@119089,38H26@33154,3BB1Q@33208,3CUPE@33213,40GR1@6231,KOG1471@1,KOG1471@2759</t>
  </si>
  <si>
    <t>Domain in homologues of a S. cerevisiae phosphatidylinositol transfer protein (Sec14p)</t>
  </si>
  <si>
    <t>33,7662/32,2078</t>
  </si>
  <si>
    <t>31,1688/30,6494</t>
  </si>
  <si>
    <t>31,6883/31,6883/31,9481</t>
  </si>
  <si>
    <t>22,0779/17,1429/12,987/20,7792/11,9481/17,6623/20,2597</t>
  </si>
  <si>
    <t>20,2597/17,4026/12,987/20,2597/17,1429/20,2597</t>
  </si>
  <si>
    <t>13,5065/1,81818/9,09091/11,1688/12,2078/17,4026</t>
  </si>
  <si>
    <t>WBGene00020847</t>
  </si>
  <si>
    <t>34.026</t>
  </si>
  <si>
    <t>Bm2349</t>
  </si>
  <si>
    <t>WBGene00222610</t>
  </si>
  <si>
    <t>GO:0005739/GO:0006508/GO:0006627/GO:0008233/GO:0008236/GO:0016020/</t>
  </si>
  <si>
    <t>membrane/mitochondrion/peptidase_activity/protein_processing_involved_in_protein_targeting_to_mitochondrion/proteolysis/serine-type_peptidase_activity/</t>
  </si>
  <si>
    <t>A_lipid_bilayer_along_with_all_the_proteins_and_protein_complexes_embedded_in_it_an_attached_to_it._[GOC:dos,_GOC:mah,_ISBN:0815316194]/"A_semiautonomous,_self_replicating_organelle_that_occurs_in_varying_numbers,_shapes,_and_sizes_in_the_cytoplasm_of_virtually_all_eukaryotic_cells._It_is_notably_the_site_of_tissue_respiration."_[GOC:giardia,_ISBN:0198506732]/"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peptide_bonds_in_a_polypeptide_chain_by_a_catalytic_mechanism_that_involves_a_catalytic_triad_consisting_of_a_serine_nucleophile_that_is_activated_by_a_proton_relay_involving_an_acidic_residue_(e.g._aspartate_or_glutamate)_and_a_basic_residue_(usually_histidine)."_[http://merops.sanger.ac.uk/about/glossary.htm#CATTYPE,_ISBN:0716720094]/"The_cleavage_of_peptide_bonds_in_proteins,_usually_near_the_N_terminus,_contributing_to_the_process_of_import_into_the_mitochondrion._Several_different_peptidases_mediate_cleavage_of_proteins_destined_for_different_mitochondrial_compartments."_[GOC:mcc,_PMID:12191769]/"The_hydrolysis_of_proteins_into_smaller_polypeptides_and/or_amino_acids_by_cleavage_of_their_peptide_bonds."_[GOC:bf,_GOC:mah]/</t>
  </si>
  <si>
    <t>IPR000223/IPR015927/IPR026730/IPR036286/</t>
  </si>
  <si>
    <t>LexA/Signal_peptidase-like_superfamily/Mitochondrial_inner_membrane_protease_subunit_1/Peptidase_S24/S26A/S26B/S26C/Peptidase_S26A,_signal_peptidase_I/</t>
  </si>
  <si>
    <t>LexA/Signal_pep-like_sf/Mitochondrial_IMP1/Pept_S26A_signal_pept_1/Peptidase_S24_S26A/B/C/</t>
  </si>
  <si>
    <t>note=B._malayi_BMA-IMMP-1_protein,_contains_similarity_to_Pfam_domain_PF00717_Peptidase_S24-like_contains_similarity_to_Interpro_domains_IPR019759_(Peptidase_S24/S26A/S26B),_IPR015927_(Peptidase_S24/S26A/S26B/S26C),_IPR000223_(Peptidase_S26A,_signal_peptidase_I),_IPR028360_(Peptidase_S24/S26,_beta-ribbon_domain)</t>
  </si>
  <si>
    <t>7209.EFO21483.1</t>
  </si>
  <si>
    <t>7e-86</t>
  </si>
  <si>
    <t>323.2</t>
  </si>
  <si>
    <t>ko:K09647</t>
  </si>
  <si>
    <t>ko03060,map03060</t>
  </si>
  <si>
    <t>ko00000,ko00001,ko01000,ko01002,ko03029</t>
  </si>
  <si>
    <t>1KWD6@119089,395CK@33154,3BK5H@33208,3CT1V@33213,40E25@6231,COG0681@1,KOG0171@2759</t>
  </si>
  <si>
    <t>Peptidase S24-like</t>
  </si>
  <si>
    <t>28,75/29,375</t>
  </si>
  <si>
    <t>WBGene00007021</t>
  </si>
  <si>
    <t>Bm3127</t>
  </si>
  <si>
    <t>WBGene00223388</t>
  </si>
  <si>
    <t>IPR000717/IPR005062/</t>
  </si>
  <si>
    <t>Proteasome_component_(PCI)_domain/SAC3/GANP/THP3/</t>
  </si>
  <si>
    <t>PCI_dom/SAC3/GANP/THP3/</t>
  </si>
  <si>
    <t>note=B._malayi_BMA-HPO-10_protein,_contains_similarity_to_Pfam_domain_PF03399_SAC3/GANP/Nin1/mts3/eIF-3_p25_family_contains_similarity_to_Interpro_domain_IPR005062_(SAC3/GANP/Nin1/mts3/eIF-3_p25)</t>
  </si>
  <si>
    <t>7209.EFO20078.1</t>
  </si>
  <si>
    <t>1186.8</t>
  </si>
  <si>
    <t>hpo-10</t>
  </si>
  <si>
    <t>1KVPX@119089,38BJF@33154,3BHIH@33208,3CZTZ@33213,40D7V@6231,KOG1861@1,KOG1861@2759</t>
  </si>
  <si>
    <t>SAC3/GANP family</t>
  </si>
  <si>
    <t>57,8723/24,2553</t>
  </si>
  <si>
    <t>22,1277/18,8652</t>
  </si>
  <si>
    <t>31,4894/17,7305/11,3475/20,7092</t>
  </si>
  <si>
    <t>WBGene00017158</t>
  </si>
  <si>
    <t>17.4468</t>
  </si>
  <si>
    <t>Bm13715</t>
  </si>
  <si>
    <t>WBGene00233976</t>
  </si>
  <si>
    <t>GO:0000235/GO:0004721/GO:0005737/GO:0005938/GO:0006470/GO:0016787/GO:0030590/GO:0030866/GO:0040001/</t>
  </si>
  <si>
    <t>astral_microtubule/cell_cortex/cortical_actin_cytoskeleton_organization/cytoplasm/establishment_of_mitotic_spindle_localization/first_cell_cycle_pseudocleavage/hydrolase_activity/phosphoprotein_phosphatase_activity/protein_dephosphorylation/</t>
  </si>
  <si>
    <t>A_process_that_is_carried_out_at_the_cellular_level_which_results_in_the_assembly,_arrangement_of_constituent_parts,_or_disassembly_of_actin-based_cytoskeletal_structures_in_the_cell_cortex,_i.e._just_beneath_the_plasma_membrane._[GOC:dph,_GOC:jl,_GOC:mah,_GOC:pf]/"A_process_that_occurs_during_the_first_cell_cycle_in_an_embryo,_in_which_anterior_cortical_contractions_culminate_in_a_single_partial_constriction_of_the_embryo_called_the_pseudocleavage_furrow._An_example_of_this_process_is_found_in_nematode_worms."_[GOC:mtg_sensu,_PMID:7729583]/"All_of_the_contents_of_a_cell_excluding_the_plasma_membrane_and_nucleus,_but_including_other_subcellular_structures."_[ISBN:0198547684]/"Any_of_the_spindle_microtubules_that_radiate_in_all_directions_from_the_spindle_poles_and_are_thought_to_contribute_to_the_forces_that_separate_the_poles_and_position_them_in_relation_to_the_rest_of_the_cell."_[ISBN:0815316194]/"Catalysis_of_the_hydrolysis_of_various_bonds,_e.g._C-O,_C-N,_C-C,_phosphoric_anhydride_bonds,_etc._Hydrolase_is_the_systematic_name_for_any_enzyme_of_EC_class_3."_[ISBN:0198506732]/"Catalysis_of_the_reaction:_a_phosphoprotein_+_H2O_=_a_protein_+_phosphate._Together_with_protein_kinases,_these_enzymes_control_the_state_of_phosphorylation_of_cell_proteins_and_thereby_provide_an_important_mechanism_for_regulating_cellular_activity."_[EC:3.1.3.16,_ISBN:0198547684]/"The_cell_cycle_process_in_which_the_directed_movement_of_the_mitotic_spindle_to_a_specific_location_in_the_cell_occurs."_[GOC:ai]/"The_process_of_removing_one_or_more_phosphoric_residues_from_a_protein."_[GOC:hb]/"The_region_of_a_cell_that_lies_just_beneath_the_plasma_membrane_and_often,_but_not_always,_contains_a_network_of_actin_filaments_and_associated_proteins."_[GOC:mah,_ISBN:0815316194]/</t>
  </si>
  <si>
    <t>note=B._malayi_BMA-PPH-6_protein,_contains_similarity_toPfam_domain_PF00149_Calcineurin-like_phosphoesterasecontains_similarity_to_Interpro_domains_IPR029052(Metallo-dependent_phosphatase-like),_IPR004843(Calcineurin-like_phosphoesterase_domain,_apaH_type),IPR006186_(Serine/threonine-specific_proteinphosphatase/bis(5-nucleosyl)-tetraphosphatase)</t>
  </si>
  <si>
    <t>7209.EJD76338.1</t>
  </si>
  <si>
    <t>1.9e-200</t>
  </si>
  <si>
    <t>704.9</t>
  </si>
  <si>
    <t>GO:0000226,GO:0000235,GO:0000278,GO:0005575,GO:0005622,GO:0005623,GO:0005737,GO:0005818,GO:0005819,GO:0005856,GO:0005874,GO:0005876,GO:0005881,GO:0005938,GO:0006996,GO:0007010,GO:0007017,GO:0007049,GO:0007275,GO:0008150,GO:0009790,GO:0009987,GO:0015630,GO:0016043,GO:0022402,GO:0030029,GO:0030036,GO:0030588,GO:0030590,GO:0030865,GO:0030866,GO:0032501,GO:0032502,GO:0040001,GO:0043226,GO:0043228,GO:0043229,GO:0043232,GO:0044422,GO:0044424,GO:0044430,GO:0044444,GO:0044446,GO:0044464,GO:0048856,GO:0051179,GO:0051234,GO:0051293,GO:0051640,GO:0051641,GO:0051649,GO:0051653,GO:0051656,GO:0071840,GO:0071944,GO:0099080,GO:0099081,GO:0099512,GO:0099513,GO:0099568,GO:1902850,GO:1903047</t>
  </si>
  <si>
    <t>ko:K15498</t>
  </si>
  <si>
    <t>ko00000,ko01000,ko01009,ko03400</t>
  </si>
  <si>
    <t>1KVC6@119089,39WHN@33154,3BCQR@33208,3CXI0@33213,40C9E@6231,COG0639@1,KOG0373@2759</t>
  </si>
  <si>
    <t>DT</t>
  </si>
  <si>
    <t>50,1401/19,3277/14,8459/28,8515</t>
  </si>
  <si>
    <t>39,4958/39,4958</t>
  </si>
  <si>
    <t>WBGene00007922</t>
  </si>
  <si>
    <t>53.5014</t>
  </si>
  <si>
    <t>Bm8799</t>
  </si>
  <si>
    <t>WBGene00229060</t>
  </si>
  <si>
    <t>GO:0051018/GO:0060828/</t>
  </si>
  <si>
    <t>protein_kinase_A_binding/regulation_of_canonical_Wnt_signaling_pathway/</t>
  </si>
  <si>
    <t>Any_process_that_modulates_the_rate,_frequency,_or_extent_of_the_Wnt_signaling_pathway_through_beta-catenin,_the_series_of_molecular_signals_initiated_by_binding_of_a_Wnt_protein_to_a_frizzled_family_receptor_on_the_surface_of_the_target_cell,_followed_by_propagation_of_the_signal_via_beta-catenin,_and_ending_with_a_change_in_transcription_of_target_genes._[GOC:dph,_GOC:sdb_2009,_GOC:tb]/"Interacting_selectively_and_non-covalently_with_any_subunit_of_protein_kinase_A."_[GOC:ai]/</t>
  </si>
  <si>
    <t>IPR007967/IPR023231/IPR037395/</t>
  </si>
  <si>
    <t>GSK3B-interacting_protein/GSKIP_domain/GSKIP_domain_superfamily/</t>
  </si>
  <si>
    <t>GSKIP/GSKIP_dom/GSKIP_dom_sf/</t>
  </si>
  <si>
    <t>note=contains_similarity_to_Pfam_domain_PF05303_Protein_of_unknown_function_(DUF727)_contains_similarity_to_Interpro_domains_IPR007967_(Protein_of_unknown_function_DUF727),_IPR023231_(GSKIP_domain)</t>
  </si>
  <si>
    <t>7209.EFO14021.1</t>
  </si>
  <si>
    <t>1.9e-65</t>
  </si>
  <si>
    <t>255.4</t>
  </si>
  <si>
    <t>1KZIN@119089,3A8KT@33154,3BTZ1@33208,3DARH@33213,40GEY@6231,KOG3965@1,KOG3965@2759</t>
  </si>
  <si>
    <t>Protein of unknown function (DUF727)</t>
  </si>
  <si>
    <t>35,5422/34,3373</t>
  </si>
  <si>
    <t>WBGene00020782</t>
  </si>
  <si>
    <t>Bm17585</t>
  </si>
  <si>
    <t>WBGene00268728</t>
  </si>
  <si>
    <t>IPR001534/IPR038479/</t>
  </si>
  <si>
    <t>Transthyretin-like/Transthyretin-like_superfamily/</t>
  </si>
  <si>
    <t>Transthyretin-like/Transthyretin-like_sf/</t>
  </si>
  <si>
    <t>6238.CBG05087</t>
  </si>
  <si>
    <t>6e-24</t>
  </si>
  <si>
    <t>119.0</t>
  </si>
  <si>
    <t>1KZCX@119089,2BY1G@1,2SQTW@2759,3AND1@33154,3C1NX@33208,3DHTJ@33213,40GMT@6231,411PF@6236</t>
  </si>
  <si>
    <t>Transthyretin-like family</t>
  </si>
  <si>
    <t>24,2105/24,2105</t>
  </si>
  <si>
    <t>Bm4604</t>
  </si>
  <si>
    <t>WBGene00224865</t>
  </si>
  <si>
    <t>GO:0003841/GO:0006629/GO:0008654/GO:0016020/GO:0016021/GO:0016740/GO:0016746/</t>
  </si>
  <si>
    <t>1-acylglycerol-3-phosphate_O-acyltransferase_activity/integral_component_of_membrane/lipid_metabolic_process/membrane/phospholipid_biosynthetic_process/transferase_activity/transferase_activity,_transferring_acyl_groups/</t>
  </si>
  <si>
    <t>A_lipid_bilayer_along_with_all_the_proteins_and_protein_complexes_embedded_in_it_an_attached_to_it._[GOC:dos,_GOC:mah,_ISBN:0815316194]/"Catalysis_of_the_reaction:_acyl-CoA_+_1-acyl-sn-glycerol-3-phosphate_=_CoA_+_1,2-diacyl-sn-glycerol-3-phosphate."_[EC:2.3.1.51,_GOC:ab]/"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n_acyl_group_from_one_compound_(donor)_to_another_(acceptor)."_[GOC:jl,_ISBN:0198506732]/"The_chemical_reactions_and_pathways_involving_lipids,_compounds_soluble_in_an_organic_solvent_but_not,_or_sparingly,_in_an_aqueous_solvent._Includes_fatty_acids;_neutral_fats,_other_fatty-acid_esters,_and_soaps;_long-chain_(fatty)_alcohols_and_waxes;_sphingoids_and_other_long-chain_bases;_glycolipids,_phospholipids_and_sphingolipids;_and_carotenes,_polyprenols,_sterols,_terpenes_and_other_isoprenoids."_[GOC:ma]/"The_chemical_reactions_and_pathways_resulting_in_the_formation_of_phospholipids,_any_lipid_containing_phosphoric_acid_as_a_mono-_or_diester."_[ISBN:0198506732]/"The_component_of_a_membrane_consisting_of_the_gene_products_and_protein_complexes_having_at_least_some_part_of_their_peptide_sequence_embedded_in_the_hydrophobic_region_of_the_membrane."_[GOC:dos,_GOC:go_curators]/</t>
  </si>
  <si>
    <t>IPR002123/IPR004552/</t>
  </si>
  <si>
    <t>1-acyl-sn-glycerol-3-phosphate_acyltransferase/Phospholipid/glycerol_acyltransferase/</t>
  </si>
  <si>
    <t>AGP_acyltrans/Plipid/glycerol_acylTrfase/</t>
  </si>
  <si>
    <t>note=B._malayi_BMA-ACL-1_protein,_contains_similarity_toPfam_domain_PF01553_Acyltransferase_contains_similarity_toInterpro_domains_IPR004552_(1-acyl-sn-glycerol-3-phosphateacyltransferase),_IPR002123_(Phospholipid/glycerolacyltransferase)</t>
  </si>
  <si>
    <t>7209.EFO20052.1</t>
  </si>
  <si>
    <t>7e-107</t>
  </si>
  <si>
    <t>393.7</t>
  </si>
  <si>
    <t>ko:K13509</t>
  </si>
  <si>
    <t>ko00561,ko00564,ko01100,ko01110,ko04072,ko04975,map00561,map00564,map01100,map01110,map04072,map04975</t>
  </si>
  <si>
    <t>R02241,R09381</t>
  </si>
  <si>
    <t>1KW7C@119089,38GE5@33154,3BC07@33208,3CWDI@33213,40DGZ@6231,COG0204@1,KOG2848@2759</t>
  </si>
  <si>
    <t>17,2932/19,9248</t>
  </si>
  <si>
    <t>30,8271/21,0526</t>
  </si>
  <si>
    <t>30,4511/27,8195</t>
  </si>
  <si>
    <t>29,6992/29,3233</t>
  </si>
  <si>
    <t>WBGene00010339</t>
  </si>
  <si>
    <t>Bm1877</t>
  </si>
  <si>
    <t>WBGene00222138</t>
  </si>
  <si>
    <t>IPR002110/IPR020683/IPR021832/IPR036770/</t>
  </si>
  <si>
    <t>Ankyrin_repeat/Ankyrin_repeat-containing_domain/Ankyrin_repeat-containing_domain_superfamily/Ankyrin_repeat_domain-containing_protein_13/</t>
  </si>
  <si>
    <t>ANKRD13/Ankyrin_rpt/Ankyrin_rpt-contain_dom/Ankyrin_rpt-contain_sf/</t>
  </si>
  <si>
    <t>note=contains_similarity_to_Pfam_domains_PF12796_(Ankyrin_repeats_(3_copies)),_PF11904_(GPCR-chaperone)_contains_similarity_to_Interpro_domains_IPR020683_(Ankyrin_repeat-containing_domain),_IPR021832_(Ankyrin_repeat_domain-containing_protein_13),_IPR002110_(Ankyrin_repeat)</t>
  </si>
  <si>
    <t>7209.EFO21513.1</t>
  </si>
  <si>
    <t>5e-235</t>
  </si>
  <si>
    <t>820.1</t>
  </si>
  <si>
    <t>ko:K21437</t>
  </si>
  <si>
    <t>1KUC1@119089,38CG8@33154,3BCNI@33208,3CTWV@33213,40BGD@6231,KOG0522@1,KOG0522@2759</t>
  </si>
  <si>
    <t>GPCR-chaperone</t>
  </si>
  <si>
    <t>17,3516/44,7489</t>
  </si>
  <si>
    <t>34,4749/27,3973/12,7854/25,3425/9,58904</t>
  </si>
  <si>
    <t>40,8676/40,6393</t>
  </si>
  <si>
    <t>50,2283/21,2329</t>
  </si>
  <si>
    <t>WBGene00015301</t>
  </si>
  <si>
    <t>62.3288</t>
  </si>
  <si>
    <t>Bm7156</t>
  </si>
  <si>
    <t>WBGene00227417</t>
  </si>
  <si>
    <t>GO:0000922/GO:0004672/GO:0005524/GO:0005737/GO:0005813/GO:0005876/GO:0006468/GO:0007026/GO:0008017/GO:0015630/GO:0035556/GO:0040001/</t>
  </si>
  <si>
    <t>ATP_binding/centrosome/cytoplasm/establishment_of_mitotic_spindle_localization/intracellular_signal_transduction/microtubule_binding/microtubule_cytoskeleton/negative_regulation_of_microtubule_depolymerization/protein_kinase_activity/protein_phosphorylation/spindle_microtubule/spindle_pole/</t>
  </si>
  <si>
    <t>A_structure_comprised_of_a_core_structure_(in_most_organisms,_a_pair_of_centrioles)_and_peripheral_material_from_which_a_microtubule-based_structure,_such_as_a_spindle_apparatus,_is_organized._Centrosomes_occur_close_to_the_nucleus_during_interphase_in_many_eukaryotic_cells,_though_in_animal_cells_it_changes_continually_during_the_cell-division_cycle._[GOC:mah,_ISBN:0198547684]/"All_of_the_contents_of_a_cell_excluding_the_plasma_membrane_and_nucleus,_but_including_other_subcellular_structures."_[ISBN:0198547684]/"Any_microtubule_that_is_part_of_a_mitotic_or_meiotic_spindle;_anchored_at_one_spindle_pole."_[ISBN:0815316194]/"Any_process_that_stops,_prevents,_or_reduces_the_frequency,_rate_or_extent_of_microtubule_depolymerization;_prevention_of_depolymerization_of_a_microtubule_can_result_from_binding_by_'capping'_at_the_plus_end_(e.g._by_interaction_with_another_cellular_protein_of_structure)_or_by_exposing_microtubules_to_a_stabilizing_drug_such_as_taxol."_[GOC:mah,_ISBN:0815316194]/"Catalysis_of_the_phosphorylation_of_an_amino_acid_residue_in_a_protein,_usually_according_to_the_reaction:_a_protein_+_ATP_=_a_phosphoprotein_+_ADP."_[MetaCyc:PROTEIN-KINASE-RXN]/"Either_of_the_ends_of_a_spindle,_where_spindle_microtubules_are_organized;_usually_contains_a_microtubule_organizing_center_and_accessory_molecules,_spindle_microtubules_and_astral_microtubules."_[GOC:clt]/"Interacting_selectively_and_non-covalently_with_ATP,_adenosine_5'-triphosphate,_a_universally_important_coenzyme_and_enzyme_regulator."_[ISBN:0198506732]/"Interacting_selectively_and_non-covalently_with_microtubules,_filaments_composed_of_tubulin_monomers."_[GOC:krc]/"The_cell_cycle_process_in_which_the_directed_movement_of_the_mitotic_spindle_to_a_specific_location_in_the_cell_occurs."_[GOC:ai]/"The_part_of_the_cytoskeleton_(the_internal_framework_of_a_cell)_composed_of_microtubules_and_associated_proteins."_[GOC:jl,_ISBN:0395825172]/"The_process_in_which_a_signal_is_passed_on_to_downstream_components_within_the_cell,_which_become_activated_themselves_to_further_propagate_the_signal_and_finally_trigger_a_change_in_the_function_or_state_of_the_cell."_[GOC:bf,_GOC:jl,_GOC:signaling,_ISBN:3527303782]/"The_process_of_introducing_a_phosphate_group_on_to_a_protein."_[GOC:hb]/</t>
  </si>
  <si>
    <t>IPR000719/IPR003533/IPR008271/IPR011009/IPR017441/IPR036572/</t>
  </si>
  <si>
    <t>Doublecortin_domain/Doublecortin_domain_superfamily/Protein_kinase,_ATP_binding_site/Protein_kinase-like_domain_superfamily/Protein_kinase_domain/Serine/threonine-protein_kinase,_active_site/</t>
  </si>
  <si>
    <t>Doublecortin_dom/Doublecortin_dom_sf/Kinase-like_dom_sf/Prot_kinase_dom/Protein_kinase_ATP_BS/Ser/Thr_kinase_AS/</t>
  </si>
  <si>
    <t>note=B._malayi_BMA-ZYG-8_protein,_contains_similarity_toPfam_domains_PF03607_(Doublecortin),_PF00069_(Proteinkinase_domain)_contains_similarity_to_Interpro_domainsIPR002290_(Serine/threonine/dual_specificity_proteinkinase,_catalytic_domain),_IPR011009_(Protein_kinase-likedomain),_IPR000719_(Protein_kinase_domain),_IPR020636(Calcium/calmodulin-dependent/calcium-dependent_proteinkinase),_IPR003533_(Doublecortin_domain)</t>
  </si>
  <si>
    <t>7209.EFO18845.2</t>
  </si>
  <si>
    <t>1194.5</t>
  </si>
  <si>
    <t>GO:0000226,GO:0000278,GO:0003674,GO:0003824,GO:0004672,GO:0005488,GO:0005515,GO:0005575,GO:0005622,GO:0005623,GO:0005737,GO:0005813,GO:0005815,GO:0005856,GO:0006464,GO:0006468,GO:0006793,GO:0006796,GO:0006807,GO:0006996,GO:0007010,GO:0007017,GO:0007026,GO:0007049,GO:0008017,GO:0008092,GO:0008150,GO:0008152,GO:0009987,GO:0010639,GO:0015630,GO:0015631,GO:0016043,GO:0016301,GO:0016310,GO:0016740,GO:0016772,GO:0016773,GO:0019538,GO:0022402,GO:0031110,GO:0031111,GO:0031114,GO:0032886,GO:0033043,GO:0036211,GO:0040001,GO:0043170,GO:0043226,GO:0043228,GO:0043229,GO:0043232,GO:0043242,GO:0043244,GO:0043412,GO:0044237,GO:0044238,GO:0044260,GO:0044267,GO:0044422,GO:0044424,GO:0044430,GO:0044446,GO:0044464,GO:0048519,GO:0048523,GO:0050789,GO:0050794,GO:0051128,GO:0051129,GO:0051179,GO:0051234,GO:0051293,GO:0051493,GO:0051494,GO:0051640,GO:0051641,GO:0051649,GO:0051653,GO:0051656,GO:0065007,GO:0070507,GO:0071704,GO:0071840,GO:0140096,GO:1901564,GO:1901879,GO:1901880,GO:1902850,GO:1902903,GO:1902904,GO:1903047</t>
  </si>
  <si>
    <t>ko:K08805</t>
  </si>
  <si>
    <t>ko00000,ko01000,ko01001</t>
  </si>
  <si>
    <t>1KY1Q@119089,38EPX@33154,3BBQ1@33208,3CSN9@33213,40FWG@6231,KOG0032@1,KOG0032@2759,KOG3757@1,KOG3757@2759</t>
  </si>
  <si>
    <t>Domain in the Doublecortin (DCX) gene product</t>
  </si>
  <si>
    <t>5,05992/23,1691</t>
  </si>
  <si>
    <t>22,5033/18,775/1,99734/20,7723/1,99734</t>
  </si>
  <si>
    <t>9,32091/6,9241/8,92144</t>
  </si>
  <si>
    <t>12,6498/11,5846/15,9787/13,4487/36,8842/36,0852/14,1145</t>
  </si>
  <si>
    <t>11,984/11,5846/15,3129/13,4487/36,751/35,9521/14,2477</t>
  </si>
  <si>
    <t>12,2503/12,2503/36,6178/7,19041/35,5526/33,1558/13,5819/13,3156</t>
  </si>
  <si>
    <t>8,38881/11,1851/12,9161/15,7124/14,9134</t>
  </si>
  <si>
    <t>WBGene00006993</t>
  </si>
  <si>
    <t>43.2756</t>
  </si>
  <si>
    <t>Bm3240</t>
  </si>
  <si>
    <t>WBGene00223501</t>
  </si>
  <si>
    <t>/IPR000884/IPR036383/IPR038877/</t>
  </si>
  <si>
    <t>/Thrombospondin_type-1_(TSP1)_repeat/Thrombospondin_type-1_(TSP1)_repeat_superfamily/Thrombospondin_type-1_domain-containing_protein_1/</t>
  </si>
  <si>
    <t>/THSD1/TSP1_rpt/TSP1_rpt_sf/</t>
  </si>
  <si>
    <t>note=contains_similarity_to_Pfam_domain_PF00090_Thrombospondin_type_1_domain_contains_similarity_to_Interpro_domain_IPR000884_(Thrombospondin,_type_1_repeat)</t>
  </si>
  <si>
    <t>7209.EFO14103.1</t>
  </si>
  <si>
    <t>1.8e-79</t>
  </si>
  <si>
    <t>303.5</t>
  </si>
  <si>
    <t>1KZS3@119089,28REK@1,2QY3P@2759,38BZK@33154,3BDAK@33208,3CRZA@33213,40GP2@6231</t>
  </si>
  <si>
    <t>Thrombospondin type-1 domain-containing protein 1</t>
  </si>
  <si>
    <t>8,96414/6,97211/7,96813/8,36653/6,97211</t>
  </si>
  <si>
    <t>8,96414/7,17131/8,16733/8,16733/6,77291</t>
  </si>
  <si>
    <t>8,36653/8,16733/8,76494/7,37052/10,1594/9,96016/10,3586/7,56972/7,76892</t>
  </si>
  <si>
    <t>WBGene00017309</t>
  </si>
  <si>
    <t>30.4781</t>
  </si>
  <si>
    <t>Bm4984</t>
  </si>
  <si>
    <t>WBGene00225245</t>
  </si>
  <si>
    <t>GO:0005515/GO:0005634/GO:0006325/GO:0006351/GO:0006355/</t>
  </si>
  <si>
    <t>chromatin_organization/nucleus/protein_binding/regulation_of_transcription,_DNA-templated/transcription,_DNA-templated/</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</si>
  <si>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process_that_modulates_the_frequency,_rate_or_extent_of_cellular_DNA-templated_transcription."_[GOC:go_curators,_GOC:txnOH]/"Any_process_that_results_in_the_specification,_formation_or_maintenance_of_the_physical_structure_of_eukaryotic_chromatin."_[GOC:mah,_GOC:vw,_PMID:20404130]/"Interacting_selectively_and_non-covalently_with_any_protein_or_protein_complex_(a_complex_of_two_or_more_proteins_that_may_include_other_nonprotein_molecules)."_[GOC:go_curators]/"The_cellular_synthesis_of_RNA_on_a_template_of_DNA."_[GOC:jl,_GOC:txnOH]/</t>
  </si>
  <si>
    <t>IPR001680/IPR011494/IPR015943/IPR017986/IPR019775/IPR031120/IPR036322/</t>
  </si>
  <si>
    <t>TUP1-like_enhancer_of_split/WD40-repeat-containing_domain/WD40-repeat-containing_domain_superfamily/WD40/YVTN_repeat-like-containing_domain_superfamily/WD40_repeat/WD40_repeat,_conserved_site/WD_repeat_HIR1/</t>
  </si>
  <si>
    <t>HIR1/Hira/WD40/YVTN_repeat-like_dom_sf/WD40_repeat/WD40_repeat_CS/WD40_repeat_dom/WD40_repeat_dom_sf/</t>
  </si>
  <si>
    <t>note=contains_similarity_to_Pfam_domains_PF07569_(TUP1-like_enhancer_of_split),_PF00400_(WD_domain,_G-beta_repeat)_contains_similarity_to_Interpro_domains_IPR011494_(TUP1-like_enhancer_of_split),_IPR001680_(WD40_repeat),_IPR017986_(WD40-repeat-containing_domain),_IPR015943_(WD40/YVTN_repeat-like-containing_domain)</t>
  </si>
  <si>
    <t>7209.EFO27016.2</t>
  </si>
  <si>
    <t>1583.2</t>
  </si>
  <si>
    <t>ko:K11293</t>
  </si>
  <si>
    <t>1KYT4@119089,38DG9@33154,3BF0C@33208,3CYG3@33213,40CCT@6231,KOG0973@1,KOG0973@2759</t>
  </si>
  <si>
    <t>Required for replication-independent chromatin assembly and for the periodic repression of histone gene transcription during the cell cycle</t>
  </si>
  <si>
    <t>21,7822/21,6722</t>
  </si>
  <si>
    <t>12,7613/15,8416</t>
  </si>
  <si>
    <t>WBGene00019627</t>
  </si>
  <si>
    <t>28.4928</t>
  </si>
  <si>
    <t>Bm8564</t>
  </si>
  <si>
    <t>WBGene00228825</t>
  </si>
  <si>
    <t>26,3889/28,2407</t>
  </si>
  <si>
    <t>Bm2348</t>
  </si>
  <si>
    <t>WBGene00222609</t>
  </si>
  <si>
    <t>GO:0034719/</t>
  </si>
  <si>
    <t>SMN-Sm_protein_complex/</t>
  </si>
  <si>
    <t>A_protein_complex_formed_by_the_association_of_several_methylated_Sm_proteins_with_the_SMN_complex;_the_latter_contains_the_survival_motor_neuron_(SMN)_protein_and_at_least_eight_additional_integral_components,_including_the_Gemin2-8_and_unrip_proteins;_additional_proteins,_including_galectin-1_and_galectin-3,_are_also_found_in_the_SMN-SM_complex._The_SMN-Sm_complex_is_involved_in_spliceosomal_snRNP_assembly_in_the_cytoplasm._[GOC:vw,_PMID:11522829,_PMID:17401408]/</t>
  </si>
  <si>
    <t>IPR020338/</t>
  </si>
  <si>
    <t>SMN_complex,_gem-associated_protein_7/</t>
  </si>
  <si>
    <t>SMN_gemin7/</t>
  </si>
  <si>
    <t>note=contains_similarity_to_Pfam_domain_PF11095_Gem-associated_protein_7_(Gemin7)_contains_similarity_to_Interpro_domain_IPR020338_(SMN_complex,_gem-associated_protein_7)</t>
  </si>
  <si>
    <t>7209.EFO25647.2</t>
  </si>
  <si>
    <t>162.2</t>
  </si>
  <si>
    <t>2D7SQ@1,2S59N@2759,3A3HZ@33154</t>
  </si>
  <si>
    <t>Gem (nuclear organelle) associated protein 7</t>
  </si>
  <si>
    <t>WBGene00007702</t>
  </si>
  <si>
    <t>28.4404</t>
  </si>
  <si>
    <t>Bm5833</t>
  </si>
  <si>
    <t>WBGene00226094</t>
  </si>
  <si>
    <t>GO:0001764/GO:0005515/GO:0005886/GO:0005887/GO:0008045/GO:0016020/GO:0016021/GO:0016199/GO:0019904/GO:0030334/GO:0030513/GO:0031175/GO:0031253/GO:0033563/GO:0035262/GO:0035545/GO:0038007/GO:0040017/GO:0040018/GO:0042661/GO:0043235/GO:0045138/GO:0048843/GO:0051965/GO:0097374/GO:0097402/GO:1901048/GO:1905490/GO:1905812/GO:1905815/</t>
  </si>
  <si>
    <t>axon_midline_choice_point_recognition/cell_projection_membrane/determination_of_left/right_asymmetry_in_nervous_system/dorsal/ventral_axon_guidance/gonad_morphogenesis/integral_component_of_membrane/integral_component_of_plasma_membrane/membrane/motor_neuron_axon_guidance/negative_regulation_of_axon_extension_involved_in_axon_guidance/negative_regulation_of_sensory_neuron_axon_guidance/nematode_male_tail_tip_morphogenesis/netrin-activated_signaling_pathway/neuroblast_migration/neuron_migration/neuron_projection_development/plasma_membrane/positive_regulation_of_BMP_signaling_pathway/positive_regulation_of_locomotion/positive_regulation_of_multicellular_organism_growth/positive_regulation_of_synapse_assembly/protein_binding/protein_domain_specific_binding/receptor_complex/regulation_of_cell_migration/regulation_of_dorsal/ventral_axon_guidance/regulation_of_mesodermal_cell_fate_specification/regulation_of_motor_neuron_axon_guidance/sensory_neuron_axon_guidance/transforming_growth_factor_beta_receptor_signaling_pathway_involved_in_regulation_of_multicellular_organism_growth/</t>
  </si>
  <si>
    <t>A_lipid_bilayer_along_with_all_the_proteins_and_protein_complexes_embedded_in_it_an_attached_to_it._[GOC:dos,_GOC:mah,_ISBN:0815316194]/"A_series_of_molecular_events_initiated_by_the_binding_of_a_netrin_protein_to_a_receptor_on_the_surface_of_the_target_cell,_and_ending_with_regulation_of_a_downstream_cellular_process,_e.g._transcription._Netrins_can_act_as_chemoattractant_signals_for_some_cells_and_chemorepellent_signals_for_others._Netrins_also_have_roles_outside_of_cell_and_axon_guidance."_[GOC:signaling,_PMID:10399919,_PMID:15960985,_PMID:19785719,_PMID:20108323]/"A_series_of_molecular_signals_initiated_by_the_binding_of_an_extracellular_ligand_to_a_transforming_growth_factor_beta_receptor_on_the_surface_of_a_target_cell,_and_ending_with_regulation_of_a_downstream_cellular_process,_e.g._transcription,_that_modulates_the_frequency,_rate_or_extent_of_growth_of_the_body_of_an_organism_so_that_it_reaches_its_usual_body_size."_[GOC:kmv,_GOC:TermGenie,_PMID:9847239]/"Any_process_that_activates,_maintains_or_increases_the_frequency,_rate_or_extent_of_synapse_assembly,_the_aggregation,_arrangement_and_bonding_together_of_a_set_of_components_to_form_a_synapse."_[GOC:ai,_GOC:pr]/"Any_process_that_activates_or_increases_the_frequency,_rate_or_extent_of_BMP_signaling_pathway_activity."_[GOC:go_curators]/"Any_process_that_activates_or_increases_the_frequency,_rate_or_extent_of_growth_of_an_organism_to_reach_its_usual_body_size."_[GOC:dph,_GOC:go_curators,_GOC:tb]/"Any_process_that_activates_or_increases_the_frequency,_rate_or_extent_of_locomotion_of_a_cell_or_organism."_[GOC:go_curators]/"Any_process_that_modulates_the_frequency,_rate_or_extent_of_cell_migration."_[GOC:go_curators]/"Any_process_that_modulates_the_frequency,_rate_or_extent_of_dorsal/ventral_axon_guidance."_[GO_REF:0000058,_GOC:TermGenie,_PMID:18434533]/"Any_process_that_modulates_the_frequency,_rate_or_extent_of_mesoderm_cell_fate_specification."_[GOC:go_curators]/"Any_process_that_modulates_the_frequency,_rate_or_extent_of_motor_neuron_axon_guidance."_[GO_REF:0000058,_GOC:TermGenie,_PMID:18434533]/"Any_process_that_stops,_prevents,_or_reduces_the_frequency,_rate_or_extent_of_axon_extension_involved_in_axon_guidance."_[GOC:devbiol]/"Any_process_that_stops,_prevents_or_reduces_the_frequency,_rate_or_extent_of_sensory_neuron_axon_guidance."_[GO_REF:0000058,_GOC:TermGenie,_PMID:16516839]/"Any_protein_complex_that_undergoes_combination_with_a_hormone,_neurotransmitter,_drug_or_intracellular_messenger_to_initiate_a_change_in_cell_function."_[GOC:go_curators]/"Interacting_selectively_and_non-covalently_with_a_specific_domain_of_a_protein."_[GOC:go_curators]/"Interacting_selectively_and_non-covalently_with_any_protein_or_protein_complex_(a_complex_of_two_or_more_proteins_that_may_include_other_nonprotein_molecules)."_[GOC:go_curators]/"The_characteristic_movement_of_an_immature_neuron_from_germinal_zones_to_specific_positions_where_they_will_reside_as_they_mature."_[CL:0000540,_GOC:go_curators]/"The_component_of_a_membrane_consisting_of_the_gene_products_and_protein_complexes_having_at_least_some_part_of_their_peptide_sequence_embedded_in_the_hydrophobic_region_of_the_membrane."_[GOC:dos,_GOC:go_curators]/"The_component_of_the_plasma_membrane_consisting_of_the_gene_products_and_protein_complexes_having_at_least_some_part_of_their_peptide_sequence_embedded_in_the_hydrophobic_region_of_the_membrane."_[GOC:dos,_GOC:go_curators]/"The_establishment_of_the_nervous_system_with_respect_to_the_left_and_right_halves."_[GOC:kmv,_PMID:17717195,_PMID:19641012]/"The_membrane_surrounding_a_cell_that_separates_the_cell_from_its_external_environment._It_consists_of_a_phospholipid_bilayer_and_associated_proteins."_[ISBN:0716731363]/"The_orderly_movement_of_a_neuroblast_from_one_site_to_another,_often_during_the_development_of_a_multicellular_organism_or_multicellular_structure._A_neuroblast_is_any_cell_that_will_divide_and_give_rise_to_a_neuron."_[CL:0000031,_GOC:jc,_PMID:15543145]/"The_portion_of_the_plasma_membrane_surrounding_a_plasma_membrane_bounded_cell_surface_projection."_[GOC:mah]/"The_process_in_which_the_anatomical_structure_of_the_adult_male_tail_tip_is_generated_and_organized._In_some_species_of_rhabitid_nematodes,_the_male_tail_tip_undergoes_a_morphological_change_such_that_the_most_posterior_hypodermal_cells_in_the_tail_(hyp8-11_in_C._elegans)_fuse_and_retract_anteriorly,_changing_the_shape_of_the_tail_from_a_pointed,_tapered_cone,_or_spike,_to_a_rounded,_blunt_dome."_[GOC:kmv,_PMID:16806150,_PMID:18050419,_PMID:21408209,_PMID:7409314]/"The_process_in_which_the_anatomical_structures_of_the_gonads_are_generated_and_organized._A_gonad_is_an_animal_organ_producing_gametes,_e.g._the_testes_or_the_ovary_in_mammals."_[ISBN:0198612001]/"The_process_in_which_the_migration_of_an_axon_growth_cone_is_directed_to_a_specific_target_site_along_the_dorsal-ventral_body_axis_in_response_to_a_combination_of_attractive_and_repulsive_cues._The_dorsal/ventral_axis_is_defined_by_a_line_that_runs_orthogonal_to_both_the_anterior/posterior_and_left/right_axes._The_dorsal_end_is_defined_by_the_upper_or_back_side_of_an_organism._The_ventral_end_is_defined_by_the_lower_or_front_side_of_an_organism."_[GOC:dph,_GOC:kmv,_GOC:tb]/"The_process_in_which_the_migration_of_an_axon_growth_cone_of_a_motor_neuron_is_directed_to_a_specific_target_site_in_response_to_a_combination_of_attractive_and_repulsive_cues."_[CL:0000100,_GOC:pr,_ISBN:0878932437]/"The_process_in_which_the_migration_of_an_axon_growth_cone_of_a_sensory_neuron_is_directed_to_a_specific_target_site_in_response_to_a_combination_of_attractive_and_repulsive_cues._A_sensory_neuron_is_an_afferent_neuron_conveying_sensory_impulses."_[CL:0000101,_GOC:pr]/"The_process_whose_specific_outcome_is_the_progression_of_a_neuron_projection_over_time,_from_its_formation_to_the_mature_structure._A_neuron_projection_is_any_process_extending_from_a_neural_cell,_such_as_axons_or_dendrites_(collectively_called_neurites)."_[GOC:mah]/"The_recognition_of_molecules_at_the_central_nervous_system_midline_choice_point_by_an_axon_growth_cone;_this_choice_point_determines_whether_the_growth_cone_will_cross_the_midline."_[PMID:11376484]/</t>
  </si>
  <si>
    <t>IPR003598/IPR003599/IPR003961/IPR007110/IPR013098/IPR013783/IPR036116/IPR036179/</t>
  </si>
  <si>
    <t>Fibronectin_type_III/Fibronectin_type_III_superfamily/Immunoglobulin-like_domain/Immunoglobulin-like_domain_superfamily/Immunoglobulin-like_fold/Immunoglobulin_I-set/Immunoglobulin_subtype/Immunoglobulin_subtype_2/</t>
  </si>
  <si>
    <t>FN3_dom/FN3_sf/Ig-like_dom/Ig-like_dom_sf/Ig-like_fold/Ig_I-set/Ig_sub/Ig_sub2/</t>
  </si>
  <si>
    <t>note=B._malayi_BMA-UNC-40_protein,_contains_similarity_to_Pfam_domains_PF00041_(Fibronectin_type_III_domain),_PF07679_(Immunoglobulin_I-set_domain)_contains_similarity_to_Interpro_domains_IPR003598_(Immunoglobulin_subtype_2),_IPR003961_(Fibronectin_type_III),_IPR013098_(Immunoglobulin_I-set),_IPR013783_(Immunoglobulin-like_fold),_IPR003599_(Immunoglobulin_subtype)</t>
  </si>
  <si>
    <t>7209.EJD75220.1</t>
  </si>
  <si>
    <t>2586.2</t>
  </si>
  <si>
    <t>GO:0000003,GO:0000902,GO:0000904,GO:0001558,GO:0001764,GO:0003006,GO:0003674,GO:0004888,GO:0005042,GO:0005488,GO:0005515,GO:0005575,GO:0005623,GO:0005886,GO:0005887,GO:0006355,GO:0006357,GO:0006928,GO:0006935,GO:0007154,GO:0007165,GO:0007166,GO:0007167,GO:0007178,GO:0007179,GO:0007275,GO:0007368,GO:0007389,GO:0007399,GO:0007409,GO:0007411,GO:0007548,GO:0008037,GO:0008038,GO:0008045,GO:0008150,GO:0008361,GO:0008406,GO:0009605,GO:0009653,GO:0009719,GO:0009799,GO:0009855,GO:0009887,GO:0009889,GO:0009966,GO:0009967,GO:0009987,GO:0010033,GO:0010453,GO:0010468,GO:0010470,GO:0010556,GO:0010646,GO:0010647,GO:0010721,GO:0010769,GO:0010771,GO:0010975,GO:0010977,GO:0016020,GO:0016021,GO:0016043,GO:0016198,GO:0016199,GO:0016477,GO:0019219,GO:0019222,GO:0019904,GO:0022008,GO:0022414,GO:0022603,GO:0022604,GO:0023051,GO:0023052,GO:0023056,GO:0030030,GO:0030154,GO:0030182,GO:0030308,GO:0030334,GO:0030510,GO:0030513,GO:0030516,GO:0030517,GO:0031175,GO:0031224,GO:0031226,GO:0031253,GO:0031323,GO:0031326,GO:0031344,GO:0031345,GO:0032101,GO:0032102,GO:0032501,GO:0032502,GO:0032535,GO:0032879,GO:0032989,GO:0032990,GO:0032991,GO:0033563,GO:0035262,GO:0035545,GO:0038007,GO:0038023,GO:0040008,GO:0040011,GO:0040012,GO:0040013,GO:0040014,GO:0040017,GO:0040018,GO:0042221,GO:0042330,GO:0042659,GO:0042661,GO:0042995,GO:0043235,GO:0044425,GO:0044459,GO:0044463,GO:0044464,GO:0045137,GO:0045138,GO:0045595,GO:0045596,GO:0045664,GO:0045665,GO:0045926,GO:0045927,GO:0045995,GO:0046661,GO:0048468,GO:0048513,GO:0048518,GO:0048519,GO:0048522,GO:0048523,GO:0048583,GO:0048584,GO:0048585,GO:0048608,GO:0048638,GO:0048639,GO:0048640,GO:0048666,GO:0048667,GO:0048699,GO:0048731,GO:0048812,GO:0048841,GO:0048843,GO:0048856,GO:0048858,GO:0048869,GO:0048870,GO:0050767,GO:0050768,GO:0050770,GO:0050771,GO:0050789,GO:0050793,GO:0050794,GO:0050896,GO:0050920,GO:0050922,GO:0051093,GO:0051094,GO:0051128,GO:0051129,GO:0051171,GO:0051179,GO:0051239,GO:0051240,GO:0051241,GO:0051252,GO:0051270,GO:0051271,GO:0051674,GO:0051716,GO:0051960,GO:0051961,GO:0060089,GO:0060255,GO:0060284,GO:0061387,GO:0061458,GO:0061564,GO:0065007,GO:0065008,GO:0070848,GO:0070887,GO:0071310,GO:0071363,GO:0071495,GO:0071559,GO:0071560,GO:0071840,GO:0071944,GO:0080090,GO:0090066,GO:0090092,GO:0090100,GO:0090287,GO:0090598,GO:0097374,GO:0097402,GO:0097485,GO:0098590,GO:0120025,GO:0120035,GO:0120036,GO:0120038,GO:0120039,GO:1901048,GO:1902667,GO:1902668,GO:1903506,GO:1905489,GO:1905490,GO:1905770,GO:1905812,GO:1905815,GO:1905902,GO:2000026,GO:2000027,GO:2000112,GO:2000145,GO:2000380,GO:2001141</t>
  </si>
  <si>
    <t>ko:K06765</t>
  </si>
  <si>
    <t>ko04360,ko05200,ko05210,map04360,map05200,map05210</t>
  </si>
  <si>
    <t>1KU0V@119089,38DHJ@33154,3BASX@33208,3D0AX@33213,40BB6@6231,KOG4221@1,KOG4221@2759</t>
  </si>
  <si>
    <t>Fibronectin type 3 domain</t>
  </si>
  <si>
    <t>24,4369/33,5836</t>
  </si>
  <si>
    <t>10,1024/13,5836/17,6792/14,8123</t>
  </si>
  <si>
    <t>30,5802/30,4437</t>
  </si>
  <si>
    <t>31,6041/27,6451</t>
  </si>
  <si>
    <t>13,9932/12,8328</t>
  </si>
  <si>
    <t>4,64164/29,5563</t>
  </si>
  <si>
    <t>10,2389/8,53242/6,75768/32,6962</t>
  </si>
  <si>
    <t>8,7372/33,2423/10,6485/8,87372</t>
  </si>
  <si>
    <t>6,68942/8,05461/7,30375/10,4437/4,91468/12,3549/12,628</t>
  </si>
  <si>
    <t>12,4915/12,6962/12,2867/14,198/10,5119/11,8771/18,2253/12,1502/4,30034/9,28328/9,69283/10,3072/18,6348/10,9215/7,71331/11,8771/8,7372/12,0137/9,14676/11,2628/12,5597/6,62116/11,3993/3,95904/11,3311/18,7031/7,84983/12,0137/10,1024/10,0341</t>
  </si>
  <si>
    <t>12,2184/13,1741/12,3549/14,2662/10,785/11,8089/18,0205/12,0819/4,30034/9,01024/9,89761/10,4437/19,1126/10,6485/7,57679/11,6724/12,3549/8,53242/11,3311/12,8328/6,2116/11,1945/3,89078/11,6041/18,43/7,64505/11,6041/9,69283/10,0341</t>
  </si>
  <si>
    <t>5,93857/11,6041/9,69283/13,6519/12,8328/10,4437/12,6962/10,9215/3,20819/3,00341/3,07167/17,7474/18,0205/12,0137/12,4915/9,62457/3,00341/8,87372/9,82935/10,1706/2,38908/9,82935/15,2901/4,30034/5,52901/4,23208/7,09898/11,6041/9,21502/8,94198/9,62457/9,55631/11,058/11,1945/6,34812/10,785/3,95904/4,16382/5,66553/11,1945/0,887372/18,8396/6,8942/6,96246/7,78157/9,96587/11,2628/11,5358/10,6485/11,2628/9,62457</t>
  </si>
  <si>
    <t>WBGene00006776</t>
  </si>
  <si>
    <t>42.7304</t>
  </si>
  <si>
    <t>Bm6034</t>
  </si>
  <si>
    <t>WBGene00226295</t>
  </si>
  <si>
    <t>GO:0004843/GO:0005515/GO:0006508/GO:0006511/GO:0008233/GO:0008234/GO:0008270/GO:0016579/GO:0016787/GO:0036459/GO:0046872/</t>
  </si>
  <si>
    <t>cysteine-type_peptidase_activity/hydrolase_activity/metal_ion_binding/peptidase_activity/protein_binding/protein_deubiquitination/proteolysis/thiol-dependent_ubiquitin-specific_protease_activity/thiol-dependent_ubiquitinyl_hydrolase_activity/ubiquitin-dependent_protein_catabolic_process/zinc_ion_binding/</t>
  </si>
  <si>
    <t>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peptide_bonds_in_a_polypeptide_chain_by_a_mechanism_in_which_the_sulfhydryl_group_of_a_cysteine_residue_at_the_active_center_acts_as_a_nucleophile."_[GOC:mah,_http://merops.sanger.ac.uk/about/glossary.htm#CATTYPE]/"Catalysis_of_the_hydrolysis_of_various_bonds,_e.g._C-O,_C-N,_C-C,_phosphoric_anhydride_bonds,_etc._Hydrolase_is_the_systematic_name_for_any_enzyme_of_EC_class_3."_[ISBN:0198506732]/"Catalysis_of_the_thiol-dependent_hydrolysis_of_a_peptide_bond_formed_by_the_C-terminal_glycine_of_ubiquitin_and_another_protein."_[GOC:jh2,_ISBN:0120793709]/"Catalysis_of_the_thiol-dependent_hydrolysis_of_an_ester,_thioester,_amide,_peptide_or_isopeptide_bond_formed_by_the_C-terminal_glycine_of_ubiquitin."_[EC:3.4.19.12,_GOC:bf,_GOC:ka]/"Interacting_selectively_and_non-covalently_with_any_metal_ion."_[GOC:ai]/"Interacting_selectively_and_non-covalently_with_any_protein_or_protein_complex_(a_complex_of_two_or_more_proteins_that_may_include_other_nonprotein_molecules)."_[GOC:go_curators]/"Interacting_selectively_and_non-covalently_with_zinc_(Zn)_ions."_[GOC:ai]/"The_chemical_reactions_and_pathways_resulting_in_the_breakdown_of_a_protein_or_peptide_by_hydrolysis_of_its_peptide_bonds,_initiated_by_the_covalent_attachment_of_a_ubiquitin_group,_or_multiple_ubiquitin_groups,_to_the_protein."_[GOC:go_curators]/"The_hydrolysis_of_proteins_into_smaller_polypeptides_and/or_amino_acids_by_cleavage_of_their_peptide_bonds."_[GOC:bf,_GOC:mah]/"The_removal_of_one_or_more_ubiquitin_groups_from_a_protein."_[GOC:ai]/</t>
  </si>
  <si>
    <t>IPR001394/IPR001607/IPR009060/IPR013083/IPR015940/IPR016652/IPR018200/IPR028889/IPR038765/IPR041432/</t>
  </si>
  <si>
    <t>Papain-like_cysteine_peptidase_superfamily/Peptidase_C19,_ubiquitin_carboxyl-terminal_hydrolase/UBA-like_superfamily/Ubiquitin-associated_domain/Ubiquitin_specific_protease,_conserved_site/Ubiquitin_specific_protease_domain/Ubiquitinyl_hydrolase/Ubiquitinyl_hydrolase,_variant_UBP_zinc_finger/Zinc_finger,_RING/FYVE/PHD-type/Zinc_finger,_UBP-type/</t>
  </si>
  <si>
    <t>Papain_like_cys_pep_sf/Peptidase_C19_UCH/UBA/UBA-like_sf/UBP13_Znf-UBP_var/USP_CS/USP_dom/Ubiquitinyl_hydrolase/Znf_RING/FYVE/PHD/Znf_UBP/</t>
  </si>
  <si>
    <t>note=B._malayi_BMA-USP-5_protein,_contains_similarity_toPfam_domains_PF00443_(Ubiquitin_carboxyl-terminalhydrolase),_PF02148_(Zn-finger_in_ubiquitin-hydrolases_andother_protein)_contains_similarity_to_Interpro_domainsIPR001394_(Peptidase_C19,_ubiquitin_carboxyl-terminalhydrolase),_IPR013083_(Zinc_finger,_RING/FYVE/PHD-type),IPR001607_(Zinc_finger,_UBP-type)</t>
  </si>
  <si>
    <t>7209.EFO21071.2</t>
  </si>
  <si>
    <t>1302.3</t>
  </si>
  <si>
    <t>3.4.19.12</t>
  </si>
  <si>
    <t>ko:K11836</t>
  </si>
  <si>
    <t>1KXUQ@119089,38CE9@33154,3BAN4@33208,3CV35@33213,40DI4@6231,COG5207@1,KOG0944@2759</t>
  </si>
  <si>
    <t>29,2804/27,5434/28,536/13,1514/38,9578</t>
  </si>
  <si>
    <t>11,4144/8,43672</t>
  </si>
  <si>
    <t>7,56824/6,57568/6,69975/6,82382/6,57568/6,57568/6,57568/6,57568/6,57568/6,57568/6,57568/6,57568/6,57568/6,57568/6,57568/2,72953/6,57568/6,57568/6,57568/6,57568/6,57568/6,57568/6,57568/6,69975/6,57568/6,45161/6,32754/36,8486/10,1737/33,1266/6,57568/6,57568</t>
  </si>
  <si>
    <t>7,44417/36,9727/7,44417/7,81638/7,81638/7,69231/7,69231/10,67/33,2506/6,57568</t>
  </si>
  <si>
    <t>7,3201/36,3524/9,18114/33,7469</t>
  </si>
  <si>
    <t>8,56079/7,81638</t>
  </si>
  <si>
    <t>Bm3943</t>
  </si>
  <si>
    <t>WBGene00224204</t>
  </si>
  <si>
    <t>GO:0000413/GO:0000993/GO:0002119/GO:0003676/GO:0003723/GO:0003755/GO:0005634/GO:0005654/GO:0006351/GO:0032786/GO:0033120/GO:0035327/GO:0040026/GO:0048639/GO:0050685/GO:0060282/GO:1905437/GO:1905473/GO:2000543/GO:2001165/GO:2001255/</t>
  </si>
  <si>
    <t>RNA_binding/RNA_polymerase_II_complex_binding/nematode_larval_development/nucleic_acid_binding/nucleoplasm/nucleus/peptidyl-prolyl_cis-trans_isomerase_activity/positive_regulation_of_DNA-templated_transcription,_elongation/positive_regulation_of_RNA_splicing/positive_regulation_of_developmental_growth/positive_regulation_of_gastrulation/positive_regulation_of_histone_H3-K36_trimethylation/positive_regulation_of_histone_H3-K4_trimethylation/positive_regulation_of_histone_H3-K79_dimethylation/positive_regulation_of_mRNA_processing/positive_regulation_of_oocyte_development/positive_regulation_of_phosphorylation_of_RNA_polymerase_II_C-terminal_domain_serine_2_residues/positive_regulation_of_vulval_development/protein_peptidyl-prolyl_isomerization/transcription,_DNA-templated/transcriptionally_active_chromatin/</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</si>
  <si>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process_that_activates,_maintains_or_increases_the_rate_of_developmental_growth."_[GOC:go_curators]/"Any_process_that_activates_or_increases_the_frequency,_rate_or_extent_of_RNA_splicing."_[GOC:mah]/"Any_process_that_activates_or_increases_the_frequency,_rate_or_extent_of_development_of_the_vulva._Vulval_development_is_the_process_whose_specific_outcome_is_the_progression_of_the_egg-laying_organ_of_female_and_hermaphrodite_nematodes_over_time,_from_its_formation_to_the_mature_structure._In_nematodes,_the_vulva_is_formed_from_ventral_epidermal_cells_during_larval_stages_to_give_rise_to_a_fully_formed_vulva_in_the_adult."_[GOC:ems,_GOC:kmv]/"Any_process_that_activates_or_increases_the_frequency,_rate_or_extent_of_gastrulation."_[GOC:obol]/"Any_process_that_activates_or_increases_the_frequency,_rate_or_extent_of_histone_H3-K36_trimethylation."_[PMID:17948059]/"Any_process_that_activates_or_increases_the_frequency,_rate_or_extent_of_histone_H3-K4_trimethylation."_[GO_REF:0000058,_GOC:TermGenie,_PMID:27541139]/"Any_process_that_activates_or_increases_the_frequency,_rate_or_extent_of_histone_H3-K79_dimethylation."_[GO_REF:0000058,_GOC:TermGenie,_PMID:27541139]/"Any_process_that_activates_or_increases_the_frequency,_rate_or_extent_of_mRNA_processing."_[GOC:ai]/"Any_process_that_activates_or_increases_the_frequency,_rate_or_extent_of_phosphorylation_of_RNA_polymerase_II_C-terminal_domain_serine_2_residues."_[PMID:15149594]/"Any_process_that_activates_or_increases_the_frequency,_rate_or_extent_of_transcription_elongation,_the_extension_of_an_RNA_molecule_after_transcription_initiation_and_promoter_clearance_by_the_addition_of_ribonucleotides_catalyzed_by_a_DNA-dependent_RNA_polymerase."_[GOC:mah,_GOC:txnOH]/"Any_process_that_increases_the_rate_or_extent_of_the_process_whose_specific_outcome_is_the_progression_of_an_oocyte_over_time,_from_initial_commitment_of_the_cell_to_its_specific_fate,_to_the_fully_functional_differentiated_cell."_[GOC:dph,_GOC:tb]/"Catalysis_of_the_reaction:_peptidyl-proline_(omega=180)_=_peptidyl-proline_(omega=0)."_[EC:5.2.1.8]/"Interacting_selectively_and_non-covalently_with_RNA_polymerase_II_core_enzyme,_a_multisubunit_eukaryotic_nuclear_RNA_polymerase_typically_composed_of_twelve_subunits."_[GOC:txnOH]/"Interacting_selectively_and_non-covalently_with_an_RNA_molecule_or_a_portion_thereof."_[GOC:jl,_GOC:mah]/"Interacting_selectively_and_non-covalently_with_any_nucleic_acid."_[GOC:jl]/"That_part_of_the_nuclear_content_other_than_the_chromosomes_or_the_nucleolus."_[GOC:ma,_ISBN:0124325653]/"The_cellular_synthesis_of_RNA_on_a_template_of_DNA."_[GOC:jl,_GOC:txnOH]/"The_modification_of_a_protein_by_cis-trans_isomerization_of_a_proline_residue."_[GOC:krc,_PMID:16959570]/"The_ordered_and_organized_complex_of_DNA_and_protein_that_forms_regions_of_the_chromosome_that_are_being_actively_transcribed."_[GOC:sart,_PMID:17965872]/"The_process_whose_specific_outcome_is_the_progression_of_the_nematode_larva_over_time,_from_its_formation_to_the_mature_structure._Nematode_larval_development_begins_with_the_newly_hatched_first-stage_larva_(L1)_and_ends_with_the_end_of_the_last_larval_stage_(for_example_the_fourth_larval_stage_(L4)_in_C._elegans)._Each_stage_of_nematode_larval_development_is_characterized_by_proliferation_of_specific_cell_lineages_and_an_increase_in_body_size_without_alteration_of_the_basic_body_plan._Nematode_larval_stages_are_separated_by_molts_in_which_each_stage-specific_exoskeleton,_or_cuticle,_is_shed_and_replaced_anew."_[GOC:ems,_GOC:kmv]/</t>
  </si>
  <si>
    <t>IPR000504/IPR002130/IPR012677/IPR024936/IPR029000/IPR035538/IPR035542/IPR035979/</t>
  </si>
  <si>
    <t>Cyclophilin-RNA_interacting_protein/Cyclophilin-like_domain_superfamily/Cyclophilin-type_peptidyl-prolyl_cis-trans_isomerase/Cyclophilin-type_peptidyl-prolyl_cis-trans_isomerase_domain/Nucleotide-binding_alpha-beta_plait_domain_superfamily/PPIL4-like,_cyclophilin_domain/RNA-binding_domain_superfamily/RNA_recognition_motif_domain/</t>
  </si>
  <si>
    <t>CRIP/Cyclophilin-like_dom_sf/Cyclophilin-type_PPIase/Cyclophilin-type_PPIase_dom/Cyclophilin_PPIL4/Nucleotide-bd_a/b_plait_sf/RBD_domain_sf/RRM_dom/</t>
  </si>
  <si>
    <t>note=B._malayi_BMA-SIG-7_protein,_contains_similarity_toPfam_domain_PF00076_RNA_recognition_motif._(a.k.a._RRM,RBD,_or_RNP_domain)_contains_similarity_to_Interprodomains_IPR012677_(Nucleotide-binding_alpha-beta_plaitdomain),_IPR024936_(Cyclophilin-type_peptidyl-prolylcis-trans_isomerase),_IPR000504_(RNA_recognition_motifdomain)</t>
  </si>
  <si>
    <t>7209.EJD76219.1</t>
  </si>
  <si>
    <t>3.2e-202</t>
  </si>
  <si>
    <t>711.1</t>
  </si>
  <si>
    <t>GO:0000414,GO:0000416,GO:0000785,GO:0000993,GO:0001098,GO:0001099,GO:0001932,GO:0001934,GO:0002119,GO:0002164,GO:0003674,GO:0005488,GO:0005515,GO:0005575,GO:0005622,GO:0005623,GO:0005634,GO:0005654,GO:0005694,GO:0006139,GO:0006351,GO:0006355,GO:0006357,GO:0006725,GO:0006807,GO:0007275,GO:0008150,GO:0008152,GO:0009058,GO:0009059,GO:0009791,GO:0009889,GO:0009891,GO:0009893,GO:0009987,GO:0010467,GO:0010468,GO:0010470,GO:0010556,GO:0010557,GO:0010562,GO:0010604,GO:0010628,GO:0010638,GO:0010720,GO:0016070,GO:0018130,GO:0019219,GO:0019220,GO:0019222,GO:0019438,GO:0019899,GO:0022603,GO:0031056,GO:0031058,GO:0031060,GO:0031062,GO:0031323,GO:0031325,GO:0031326,GO:0031328,GO:0031399,GO:0031401,GO:0031974,GO:0031981,GO:0032268,GO:0032270,GO:0032501,GO:0032502,GO:0032774,GO:0032784,GO:0032786,GO:0033043,GO:0033044,GO:0033120,GO:0034641,GO:0034645,GO:0034654,GO:0035327,GO:0040008,GO:0040019,GO:0040026,GO:0040028,GO:0042325,GO:0042327,GO:0043170,GO:0043175,GO:0043226,GO:0043227,GO:0043228,GO:0043229,GO:0043231,GO:0043232,GO:0043233,GO:0043484,GO:0043900,GO:0043902,GO:0044237,GO:0044238,GO:0044249,GO:0044260,GO:0044271,GO:0044422,GO:0044424,GO:0044427,GO:0044428,GO:0044446,GO:0044464,GO:0044877,GO:0045595,GO:0045597,GO:0045893,GO:0045927,GO:0045935,GO:0045937,GO:0045995,GO:0046483,GO:0048518,GO:0048522,GO:0048580,GO:0048582,GO:0048638,GO:0048639,GO:0048856,GO:0050684,GO:0050685,GO:0050789,GO:0050793,GO:0050794,GO:0051094,GO:0051128,GO:0051130,GO:0051171,GO:0051173,GO:0051174,GO:0051239,GO:0051240,GO:0051246,GO:0051247,GO:0051252,GO:0051254,GO:0051569,GO:0051571,GO:0060255,GO:0060281,GO:0060282,GO:0060284,GO:0061062,GO:0061063,GO:0065007,GO:0070013,GO:0070063,GO:0071704,GO:0080090,GO:0090304,GO:0097659,GO:1901360,GO:1901362,GO:1901407,GO:1901409,GO:1901576,GO:1902275,GO:1902680,GO:1903311,GO:1903313,GO:1903506,GO:1903508,GO:1905269,GO:1905435,GO:1905437,GO:1905471,GO:1905473,GO:1905879,GO:1905881,GO:2000026,GO:2000112,GO:2000241,GO:2000243,GO:2000543,GO:2001141,GO:2001160,GO:2001162,GO:2001163,GO:2001165,GO:2001252,GO:2001253,GO:2001255</t>
  </si>
  <si>
    <t>5.2.1.8</t>
  </si>
  <si>
    <t>ko:K12735</t>
  </si>
  <si>
    <t>ko00000,ko01000,ko03041,ko03110</t>
  </si>
  <si>
    <t>1KV2N@119089,38CRB@33154,3BB91@33208,3CWTV@33213,40BHM@6231,COG0652@1,KOG0415@2759</t>
  </si>
  <si>
    <t>Cyclophilin type peptidyl-prolyl cis-trans isomerase/CLD</t>
  </si>
  <si>
    <t>54,2923/47,7958/12,529</t>
  </si>
  <si>
    <t>WBGene00000890</t>
  </si>
  <si>
    <t>54.7564</t>
  </si>
  <si>
    <t>Bm17915</t>
  </si>
  <si>
    <t>WBGene00269057</t>
  </si>
  <si>
    <t>Bm17522</t>
  </si>
  <si>
    <t>WBGene00268665</t>
  </si>
  <si>
    <t>IPR013126/IPR029048/</t>
  </si>
  <si>
    <t>Heat_shock_protein_70_family/Heat_shock_protein_70kD,_C-terminal_domain_superfamily/</t>
  </si>
  <si>
    <t>HSP70_C_sf/Hsp_70_fam/</t>
  </si>
  <si>
    <t>48698.ENSPFOP00000008261</t>
  </si>
  <si>
    <t>2.8e-15</t>
  </si>
  <si>
    <t>88.2</t>
  </si>
  <si>
    <t>38BSZ@33154,3BA18@33208,3CWU8@33213,48265@7711,48W7U@7742,49S07@7898,COG0443@1,KOG0101@2759</t>
  </si>
  <si>
    <t>heat shock</t>
  </si>
  <si>
    <t>17,5/16,6667/15,8333</t>
  </si>
  <si>
    <t>WBGene00008714</t>
  </si>
  <si>
    <t>4.16667</t>
  </si>
  <si>
    <t>Bm2606</t>
  </si>
  <si>
    <t>WBGene00222867</t>
  </si>
  <si>
    <t>GO:0005089/GO:0005515/GO:0035023/GO:0035556/</t>
  </si>
  <si>
    <t>Rho_guanyl-nucleotide_exchange_factor_activity/intracellular_signal_transduction/protein_binding/regulation_of_Rho_protein_signal_transduction/</t>
  </si>
  <si>
    <t>Any_process_that_modulates_the_frequency,_rate_or_extent_of_Rho_protein_signal_transduction._[GOC:bf]/"Interacting_selectively_and_non-covalently_with_any_protein_or_protein_complex_(a_complex_of_two_or_more_proteins_that_may_include_other_nonprotein_molecules)."_[GOC:go_curators]/"Stimulates_the_exchange_of_guanyl_nucleotides_associated_with_a_GTPase_of_the_Rho_family._Under_normal_cellular_physiological_conditions,_the_concentration_of_GTP_is_higher_than_that_of_GDP,_favoring_the_replacement_of_GDP_by_GTP_in_association_with_the_GTPase."_[GOC:mah]/"The_process_in_which_a_signal_is_passed_on_to_downstream_components_within_the_cell,_which_become_activated_themselves_to_further_propagate_the_signal_and_finally_trigger_a_change_in_the_function_or_state_of_the_cell."_[GOC:bf,_GOC:jl,_GOC:signaling,_ISBN:3527303782]/</t>
  </si>
  <si>
    <t>IPR000219/IPR000980/IPR001452/IPR001715/IPR001849/IPR002219/IPR011993/IPR035031/IPR035899/IPR036028/IPR036860/IPR036872/IPR037832/</t>
  </si>
  <si>
    <t>CH_domain_superfamily/Calponin_homology_domain/Dbl_homology_(DH)_domain/Dbl_homology_(DH)_domain_superfamily/PH-like_domain_superfamily/Pleckstrin_homology_domain/Protein_kinase_C-like,_phorbol_ester/diacylglycerol-binding_domain/SH2_domain/SH2_domain_superfamily/SH3-like_domain_superfamily/SH3_domain/Vav,_PH_domain/Vav,_SH2_domain,_invertebrate/</t>
  </si>
  <si>
    <t>CH-domain/CH_dom_sf/DBL_dom_sf/DH-domain/PE/DAG-bd/PH-like_dom_sf/PH_Vav/PH_domain/SH2/SH2_dom_sf/SH3-like_dom_sf/SH3_domain/Vav_SH2_invertebrate/</t>
  </si>
  <si>
    <t>note=B._malayi_BMA-VAV-1_protein,_contains_similarity_toPfam_domains_PF00621_(RhoGEF_domain),_PF00017_(SH2domain),_PF07653_(Variant_SH3_domain),_PF00307_(Calponinhomology_(CH)_domain),_PF00130_(Phorbolesters/diacylglycerol_binding_domain_(C1_domain))_containssimilarity_to_Interpro_domains_IPR011511_(Variant_SH3domain),_IPR001715_(Calponin_homology_domain),_IPR000219(Dbl_homology_(DH)_domain),_IPR001849_(Pleckstrin_homologydomain),_IPR001720_(PI3_kinase,_P85_regulatory_subunit),IPR002219_(Protein_kinase_C-like,_phorbolester/diacylglycerol-binding_domain),_IPR001452_(SH3domain),_IPR000980_(SH2_domain),_IPR011993_(Pleckstrinhomology-like_domain)</t>
  </si>
  <si>
    <t>7209.EJD74015.1</t>
  </si>
  <si>
    <t>1782.7</t>
  </si>
  <si>
    <t>GO:0008150,GO:0008593,GO:0009966,GO:0009968,GO:0010646,GO:0010648,GO:0023051,GO:0023057,GO:0040012,GO:0040017,GO:0040028,GO:0045746,GO:0048518,GO:0048519,GO:0048523,GO:0048580,GO:0048583,GO:0048585,GO:0050789,GO:0050793,GO:0050794,GO:0051239,GO:0061062,GO:0065007,GO:2000026</t>
  </si>
  <si>
    <t>ko:K05730</t>
  </si>
  <si>
    <t>ko04024,ko04062,ko04510,ko04650,ko04660,ko04662,ko04664,ko04666,ko04670,ko04810,map04024,map04062,map04510,map04650,map04660,map04662,map04664,map04666,map04670,map04810</t>
  </si>
  <si>
    <t>1KYNE@119089,38DEP@33154,3B9EP@33208,3CUHQ@33213,40BQT@6231,KOG2996@1,KOG2996@2759</t>
  </si>
  <si>
    <t>13,1042/68,8507</t>
  </si>
  <si>
    <t>25,7787/21,16</t>
  </si>
  <si>
    <t>9,02256/17,1858/17,6155</t>
  </si>
  <si>
    <t>29,5381/9,88185/2,7927/9,98926/8,70032/8,27068/7,30397/29,753/7,30397/4,40387/8,91514/8,27068/28,3566/8,4855/6,87433/9,02256/9,66702/9,77444/8,59291</t>
  </si>
  <si>
    <t>30,0752/9,98926/2,7927/10,4189/8,80773/8,37809/7,84103/29,6455/7,19656/4,29646/9,98926/28,8937/8,59291/8,91514/9,77444/8,05585</t>
  </si>
  <si>
    <t>29,3233/8,80773/8,59291/10,7411/6,65951/8,59291/8,80773/7,19656/9,12997/9,12997/25,2417/6,65951/29,1085/7,08915/3,97422/8,4855/10,0967/2,57787/10,0967/9,98926/9,4522/8,37809/9,12997/11,1708</t>
  </si>
  <si>
    <t>WBGene00006887</t>
  </si>
  <si>
    <t>33.7272</t>
  </si>
  <si>
    <t>Bm5630</t>
  </si>
  <si>
    <t>WBGene00225891</t>
  </si>
  <si>
    <t>GO:0004725/GO:0006470/GO:0008138/GO:0016311/GO:0035335/</t>
  </si>
  <si>
    <t>dephosphorylation/peptidyl-tyrosine_dephosphorylation/protein_dephosphorylation/protein_tyrosine/serine/threonine_phosphatase_activity/protein_tyrosine_phosphatase_activity/</t>
  </si>
  <si>
    <t>Catalysis_of_the_reaction:_protein_tyrosine_phosphate_+_H2O_=_protein_tyrosine_+_phosphate._[EC:3.1.3.48]/"Catalysis_of_the_reactions:_protein_serine_+_H2O_=_protein_serine_+_phosphate;_protein_threonine_phosphate_+_H2O_=_protein_threonine_+_phosphate;_and_protein_tyrosine_phosphate_+_H2O_=_protein_tyrosine_+_phosphate."_[GOC:mah]/"The_process_of_removing_one_or_more_phosphoric_(ester_or_anhydride)_residues_from_a_molecule."_[ISBN:0198506732]/"The_process_of_removing_one_or_more_phosphoric_residues_from_a_protein."_[GOC:hb]/"The_removal_of_phosphoric_residues_from_peptidyl-O-phospho-tyrosine_to_form_peptidyl-tyrosine."_[GOC:bf]/</t>
  </si>
  <si>
    <t>IPR000340/IPR003595/IPR014020/IPR016130/IPR029021/IPR029023/</t>
  </si>
  <si>
    <t>Dual_specificity_phosphatase,_catalytic_domain/Protein-tyrosine_phosphatase,_active_site/Protein-tyrosine_phosphatase,_catalytic/Protein-tyrosine_phosphatase-like/Tensin-type_phosphatase_domain/Tensin_phosphatase,_C2_domain/</t>
  </si>
  <si>
    <t>Dual-sp_phosphatase_cat-dom/Prot-tyrosine_phosphatase-like/Tensin_C2-dom/Tensin_phosphatase/Tyr_Pase_AS/Tyr_Pase_cat/</t>
  </si>
  <si>
    <t>note=contains_similarity_to_Pfam_domains_PF00782_(Dual_specificity_phosphatase,_catalytic_domain),_PF10409_(C2_domain_of_PTEN_tumour-suppressor_protein)_contains_similarity_to_Interpro_domains_IPR003595_(Protein-tyrosine_phosphatase,_catalytic),_IPR029021_(Protein-tyrosine_phosphatase-like),_IPR000340_(Dual_specificity_phosphatase,_catalytic_domain),_IPR014020_(Tensin_phosphatase,_C2_domain)</t>
  </si>
  <si>
    <t>7209.EFO20732.2</t>
  </si>
  <si>
    <t>1167.5</t>
  </si>
  <si>
    <t>GO:0002119,GO:0002164,GO:0003008,GO:0003674,GO:0003824,GO:0004721,GO:0004725,GO:0005488,GO:0005515,GO:0005575,GO:0005622,GO:0005623,GO:0005634,GO:0005886,GO:0006464,GO:0006470,GO:0006629,GO:0006644,GO:0006650,GO:0006793,GO:0006796,GO:0006807,GO:0006935,GO:0006950,GO:0007275,GO:0007568,GO:0007610,GO:0007611,GO:0007635,GO:0008150,GO:0008152,GO:0008340,GO:0009266,GO:0009408,GO:0009605,GO:0009628,GO:0009791,GO:0009898,GO:0009987,GO:0010259,GO:0016020,GO:0016311,GO:0016314,GO:0016787,GO:0016788,GO:0016791,GO:0019538,GO:0019637,GO:0030258,GO:0030424,GO:0030425,GO:0032101,GO:0032103,GO:0032386,GO:0032388,GO:0032501,GO:0032502,GO:0032879,GO:0032880,GO:0033157,GO:0034594,GO:0035335,GO:0036211,GO:0036477,GO:0040011,GO:0040012,GO:0040017,GO:0040024,GO:0042221,GO:0042306,GO:0042307,GO:0042330,GO:0042578,GO:0042995,GO:0043005,GO:0043025,GO:0043170,GO:0043226,GO:0043227,GO:0043229,GO:0043231,GO:0043412,GO:0044237,GO:0044238,GO:0044255,GO:0044260,GO:0044267,GO:0044297,GO:0044424,GO:0044425,GO:0044459,GO:0044463,GO:0044464,GO:0046486,GO:0046488,GO:0046822,GO:0046824,GO:0046839,GO:0046856,GO:0048518,GO:0048580,GO:0048582,GO:0048583,GO:0048584,GO:0048856,GO:0050789,GO:0050793,GO:0050877,GO:0050890,GO:0050896,GO:0050920,GO:0050921,GO:0050926,GO:0050927,GO:0051049,GO:0051050,GO:0051094,GO:0051222,GO:0051223,GO:0051239,GO:0051240,GO:0052866,GO:0060341,GO:0061062,GO:0061063,GO:0061065,GO:0061066,GO:0065007,GO:0070201,GO:0071704,GO:0071944,GO:0090087,GO:0090316,GO:0097447,GO:0097458,GO:0098552,GO:0098562,GO:0120025,GO:0120038,GO:0140096,GO:1900180,GO:1900182,GO:1901564,GO:1902074,GO:1903827,GO:1903829,GO:1904589,GO:1904591,GO:1904951,GO:2000026</t>
  </si>
  <si>
    <t>3.1.3.16,3.1.3.48,3.1.3.67</t>
  </si>
  <si>
    <t>ko:K01110</t>
  </si>
  <si>
    <t>ko00562,ko01521,ko04068,ko04070,ko04071,ko04115,ko04140,ko04150,ko04151,ko04212,ko04218,ko04510,ko04931,ko05161,ko05165,ko05200,ko05206,ko05213,ko05214,ko05215,ko05218,ko05222,ko05224,ko05225,ko05230,map00562,map01521,map04068,map04070,map04071,map04115,map04140,map04150,map04151,map04212,map04218,map04510,map04931,map05161,map05165,map05200,map05206,map05213,map05214,map05215,map05218,map05222,map05224,map05225,map05230</t>
  </si>
  <si>
    <t>R03363,R04513</t>
  </si>
  <si>
    <t>RC00078</t>
  </si>
  <si>
    <t>ko00000,ko00001,ko01000,ko01009</t>
  </si>
  <si>
    <t>1KUN8@119089,38CHA@33154,3BARF@33208,3CRCD@33213,40BBA@6231,COG2453@1,KOG2283@2759</t>
  </si>
  <si>
    <t>C2 domain of PTEN tumour-suppressor protein</t>
  </si>
  <si>
    <t>42,5648/41,4734</t>
  </si>
  <si>
    <t>42,7012/42,5648</t>
  </si>
  <si>
    <t>13,9154/16,9168/14,5975</t>
  </si>
  <si>
    <t>15,0068/16,7804</t>
  </si>
  <si>
    <t>14,8704/17,4625/18,1446</t>
  </si>
  <si>
    <t>Bm16926</t>
  </si>
  <si>
    <t>WBGene00255511</t>
  </si>
  <si>
    <t>31234.CRE10300</t>
  </si>
  <si>
    <t>1KX98@119089,2CBX4@1,2SFV3@2759,3AD5Y@33154,3BWJI@33208,3DC3Z@33213,40F0A@6231,40S9M@6236</t>
  </si>
  <si>
    <t>Putative DNA-binding (bihelical) motif predicted to be involved in chromosomal organisation</t>
  </si>
  <si>
    <t>71,1443/70,8955</t>
  </si>
  <si>
    <t>Bm2832</t>
  </si>
  <si>
    <t>WBGene00223093</t>
  </si>
  <si>
    <t>Bm2273</t>
  </si>
  <si>
    <t>WBGene00222534</t>
  </si>
  <si>
    <t>IPR011990/</t>
  </si>
  <si>
    <t>Tetratricopeptide-like_helical_domain_superfamily/</t>
  </si>
  <si>
    <t>TPR-like_helical_dom_sf/</t>
  </si>
  <si>
    <t>note=contains_similarity_to_Pfam_domain_PF13414_TPR_repeat_contains_similarity_to_Interpro_domain_IPR011990_(Tetratricopeptide-like_helical_domain)</t>
  </si>
  <si>
    <t>7209.EFO17429.2</t>
  </si>
  <si>
    <t>3.6e-139</t>
  </si>
  <si>
    <t>501.5</t>
  </si>
  <si>
    <t>1KVTG@119089,39SCA@33154,3BCJ5@33208,3CSNW@33213,40D2J@6231,COG0457@1,KOG0551@2759</t>
  </si>
  <si>
    <t>TeTratriCopeptide repeat</t>
  </si>
  <si>
    <t>18,6104/11,9107/13,8958</t>
  </si>
  <si>
    <t>WBGene00015916</t>
  </si>
  <si>
    <t>38.7097</t>
  </si>
  <si>
    <t>Bm5511</t>
  </si>
  <si>
    <t>WBGene00225772</t>
  </si>
  <si>
    <t>note=B._malayi_BMA-HCP-4_protein</t>
  </si>
  <si>
    <t>31234.CRE29605</t>
  </si>
  <si>
    <t>9.5e-10</t>
  </si>
  <si>
    <t>72.8</t>
  </si>
  <si>
    <t>GO:0000070,GO:0000278,GO:0000280,GO:0000775,GO:0000779,GO:0000793,GO:0000819,GO:0003674,GO:0005488,GO:0005515,GO:0005575,GO:0005622,GO:0005623,GO:0005634,GO:0005654,GO:0005694,GO:0005737,GO:0006996,GO:0007049,GO:0007059,GO:0007080,GO:0007088,GO:0007346,GO:0008104,GO:0008150,GO:0008608,GO:0009987,GO:0010564,GO:0010639,GO:0010948,GO:0016043,GO:0022402,GO:0022607,GO:0031974,GO:0031981,GO:0032886,GO:0033036,GO:0033043,GO:0033365,GO:0034502,GO:0034508,GO:0034613,GO:0034622,GO:0043226,GO:0043227,GO:0043228,GO:0043229,GO:0043231,GO:0043232,GO:0043233,GO:0043933,GO:0044085,GO:0044422,GO:0044424,GO:0044427,GO:0044428,GO:0044446,GO:0044464,GO:0045184,GO:0045786,GO:0045839,GO:0045930,GO:0046602,GO:0046603,GO:0046605,GO:0046606,GO:0048285,GO:0048519,GO:0048523,GO:0050000,GO:0050789,GO:0050794,GO:0051128,GO:0051129,GO:0051179,GO:0051234,GO:0051276,GO:0051303,GO:0051310,GO:0051382,GO:0051383,GO:0051493,GO:0051494,GO:0051640,GO:0051641,GO:0051649,GO:0051656,GO:0051726,GO:0051783,GO:0051784,GO:0065003,GO:0065004,GO:0065007,GO:0070013,GO:0070199,GO:0070507,GO:0070727,GO:0070925,GO:0071824,GO:0071840,GO:0072594,GO:0098687,GO:0098813,GO:0140014,GO:1903047</t>
  </si>
  <si>
    <t>1M02V@119089,2EUJR@1,2SWQN@2759,3ATZI@33154,3C42R@33208,3DJ4U@33213,40HDJ@6231,41121@6236</t>
  </si>
  <si>
    <t>12,6087/35,2174/14,5652</t>
  </si>
  <si>
    <t>24,0217/37,6087</t>
  </si>
  <si>
    <t>14,4565/7,5</t>
  </si>
  <si>
    <t>Bm4380</t>
  </si>
  <si>
    <t>WBGene00224641</t>
  </si>
  <si>
    <t>IPR011053/IPR039169/</t>
  </si>
  <si>
    <t>Simiate/Single_hybrid_motif/</t>
  </si>
  <si>
    <t>note=contains_similarity_to_Interpro_domain_IPR011053_(Single_hybrid_motif)</t>
  </si>
  <si>
    <t>7209.EFO21512.1</t>
  </si>
  <si>
    <t>1.4e-73</t>
  </si>
  <si>
    <t>282.3</t>
  </si>
  <si>
    <t>1KWUK@119089,3AB5J@33154,3BUBE@33208,3E471@33213,40EFP@6231,KOG3266@1,KOG3266@2759</t>
  </si>
  <si>
    <t>mitochondrial gene expression</t>
  </si>
  <si>
    <t>39,3939/39,3939</t>
  </si>
  <si>
    <t>WBGene00018835</t>
  </si>
  <si>
    <t>36.9697</t>
  </si>
  <si>
    <t>Bm9284</t>
  </si>
  <si>
    <t>WBGene00229545</t>
  </si>
  <si>
    <t>64,8294/51,1811</t>
  </si>
  <si>
    <t>Bm4780</t>
  </si>
  <si>
    <t>WBGene00225041</t>
  </si>
  <si>
    <t>GO:0005634/GO:0006352/GO:0009792/GO:0009794/GO:0045944/</t>
  </si>
  <si>
    <t>DNA-templated_transcription,_initiation/embryo_development_ending_in_birth_or_egg_hatching/nucleus/positive_regulation_of_transcription_by_RNA_polymerase_II/regulation_of_mitotic_cell_cycle,_embryonic/</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</si>
  <si>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process_involved_in_the_assembly_of_the_RNA_polymerase_preinitiation_complex_(PIC)_at_the_core_promoter_region_of_a_DNA_template,_resulting_in_the_subsequent_synthesis_of_RNA_from_that_promoter._The_initiation_phase_includes_PIC_assembly_and_the_formation_of_the_first_few_bonds_in_the_RNA_chain,_including_abortive_initiation,_which_occurs_when_the_first_few_nucleotides_are_repeatedly_synthesized_and_then_released._The_initiation_phase_ends_just_before_and_does_not_include_promoter_clearance,_or_release,_which_is_the_transition_between_the_initiation_and_elongation_phases_of_transcription."_[GOC:jid,_GOC:txnOH,_PMID:18280161]/"Any_process_that_activates_or_increases_the_frequency,_rate_or_extent_of_transcription_from_an_RNA_polymerase_II_promoter."_[GOC:go_curators,_GOC:txnOH]/"Any_process_that_modulates_the_frequency,_rate_or_extent_of_replication_and_segregation_of_genetic_material_in_the_embryo."_[GOC:dph,_GOC:go_curators,_GOC:tb]/"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
  </si>
  <si>
    <t>IPR003923/</t>
  </si>
  <si>
    <t>Transcription_initiation_factor_TFIID,_23-30kDa_subunit/</t>
  </si>
  <si>
    <t>TFIID_30kDa/</t>
  </si>
  <si>
    <t>note=B._malayi_BMA-TAF-10_protein,_contains_similarity_to_Pfam_domain_PF03540_Transcription_initiation_factor_TFIID_23-30kDa_subunit_contains_similarity_to_Interpro_domain_IPR003923_(Transcription_initiation_factor_TFIID,_23-30kDa_subunit)</t>
  </si>
  <si>
    <t>7209.EFO20411.1</t>
  </si>
  <si>
    <t>5.7e-75</t>
  </si>
  <si>
    <t>287.0</t>
  </si>
  <si>
    <t>GO:0005575,GO:0005622,GO:0005623,GO:0005634,GO:0006355,GO:0006357,GO:0007275,GO:0007346,GO:0008150,GO:0009790,GO:0009792,GO:0009794,GO:0009889,GO:0009891,GO:0009893,GO:0010468,GO:0010556,GO:0010557,GO:0010604,GO:0010628,GO:0019219,GO:0019222,GO:0031323,GO:0031325,GO:0031326,GO:0031328,GO:0032501,GO:0032502,GO:0043226,GO:0043227,GO:0043229,GO:0043231,GO:0044424,GO:0044464,GO:0045893,GO:0045935,GO:0045944,GO:0045995,GO:0048518,GO:0048522,GO:0048856,GO:0050789,GO:0050793,GO:0050794,GO:0051171,GO:0051173,GO:0051239,GO:0051252,GO:0051254,GO:0051726,GO:0060255,GO:0065007,GO:0080090,GO:1902680,GO:1903506,GO:1903508,GO:2000026,GO:2000112,GO:2001141</t>
  </si>
  <si>
    <t>ko:K03134</t>
  </si>
  <si>
    <t>ko03022,ko05168,map03022,map05168</t>
  </si>
  <si>
    <t>ko00000,ko00001,ko03021,ko03036</t>
  </si>
  <si>
    <t>1KZJ4@119089,3A6XY@33154,3BREK@33208,3D88B@33213,40GIT@6231,COG5162@1,KOG3423@2759</t>
  </si>
  <si>
    <t>TFIID is a multimeric protein complex that plays a central role in mediating promoter responses to various activators and repressors</t>
  </si>
  <si>
    <t>33,1288/33,1288</t>
  </si>
  <si>
    <t>27,6074/30,6748</t>
  </si>
  <si>
    <t>WBGene00006392</t>
  </si>
  <si>
    <t>32.5153</t>
  </si>
  <si>
    <t>Bm2559</t>
  </si>
  <si>
    <t>WBGene00222820</t>
  </si>
  <si>
    <t>IPR000742/IPR005018/IPR013032/</t>
  </si>
  <si>
    <t>DOMON_domain/EGF-like,_conserved_site/EGF-like_domain/</t>
  </si>
  <si>
    <t>DOMON_domain/EGF-like_CS/EGF-like_dom/</t>
  </si>
  <si>
    <t>note=contains_similarity_to_Pfam_domains_PF07974_(EGF-like_domain),_PF03351_(DOMON_domain)_contains_similarity_to_Interpro_domains_IPR005018_(DOMON_domain),_IPR000742_(Epidermal_growth_factor-like_domain),_IPR013111_(EGF-like_domain,_extracellular)</t>
  </si>
  <si>
    <t>7209.EJD75614.1</t>
  </si>
  <si>
    <t>1.9e-267</t>
  </si>
  <si>
    <t>928.3</t>
  </si>
  <si>
    <t>1KUJ3@119089,28X09@1,2R3SP@2759,39YTF@33154,3CP2Y@33208,3E573@33213,40B1Y@6231</t>
  </si>
  <si>
    <t>DOMON domain</t>
  </si>
  <si>
    <t>28,6385/27,3865/28,169</t>
  </si>
  <si>
    <t>WBGene00007916</t>
  </si>
  <si>
    <t>30.0469</t>
  </si>
  <si>
    <t>Bm10281</t>
  </si>
  <si>
    <t>WBGene00230542</t>
  </si>
  <si>
    <t>Bm13086</t>
  </si>
  <si>
    <t>WBGene00233347</t>
  </si>
  <si>
    <t>IPR036259/</t>
  </si>
  <si>
    <t>MFS_transporter_superfamily/</t>
  </si>
  <si>
    <t>MFS_trans_sf/</t>
  </si>
  <si>
    <t>note=contains_similarity_to_Interpro_domain_IPR020846_(Major_facilitator_superfamily_domain)</t>
  </si>
  <si>
    <t>6239.F54F12.2a</t>
  </si>
  <si>
    <t>8.2e-07</t>
  </si>
  <si>
    <t>1M1YT@119089,2BWAV@1,2TG6K@2759,39C0I@33154,3CG1R@33208,3DXGK@33213,40INS@6231,40V9U@6236</t>
  </si>
  <si>
    <t>WBGene00010073</t>
  </si>
  <si>
    <t>23.1939</t>
  </si>
  <si>
    <t>Bm5551</t>
  </si>
  <si>
    <t>WBGene00225812</t>
  </si>
  <si>
    <t>7209.EFO26186.1</t>
  </si>
  <si>
    <t>1e-169</t>
  </si>
  <si>
    <t>602.8</t>
  </si>
  <si>
    <t>1KW2D@119089,3A3EJ@33154,3BRGW@33208,3D91M@33213,40DU8@6231,COG5599@1,KOG0789@2759</t>
  </si>
  <si>
    <t>Protein tyrosine phosphatase, catalytic domain</t>
  </si>
  <si>
    <t>31,7549/17,8273/38,7187</t>
  </si>
  <si>
    <t>WBGene00021858</t>
  </si>
  <si>
    <t>13.3705</t>
  </si>
  <si>
    <t>Bm9908</t>
  </si>
  <si>
    <t>WBGene00230169</t>
  </si>
  <si>
    <t>37,4477/11,7155</t>
  </si>
  <si>
    <t>54,8117/54,8117</t>
  </si>
  <si>
    <t>4,81172/12,9707</t>
  </si>
  <si>
    <t>Bm11550</t>
  </si>
  <si>
    <t>WBGene00231811</t>
  </si>
  <si>
    <t>note=contains_similarity_to_Pfam_domain_PF07690_Major_Facilitator_Superfamily_contains_similarity_to_Interpro_domains_IPR011701_(Major_facilitator_superfamily),_IPR020846_(Major_facilitator_superfamily_domain)</t>
  </si>
  <si>
    <t>7209.EJD73996.1</t>
  </si>
  <si>
    <t>1.9e-206</t>
  </si>
  <si>
    <t>725.3</t>
  </si>
  <si>
    <t>1KUY0@119089,38BMQ@33154,3BBSQ@33208,3CTWB@33213,40CAH@6231,COG0477@1,KOG1330@2759</t>
  </si>
  <si>
    <t>lipid transport</t>
  </si>
  <si>
    <t>42,1268/14,1104/12,0654/60,9407</t>
  </si>
  <si>
    <t>45,6033/45,8078</t>
  </si>
  <si>
    <t>23,5174/24,7444/48,2618/48,0573</t>
  </si>
  <si>
    <t>46,4213/50,5112</t>
  </si>
  <si>
    <t>12,8834/11,4519/13,9059/12,6789/11,6564/11,4519/15,1329/8,58896/13,9059</t>
  </si>
  <si>
    <t>45,8078/40,6953/45,1943</t>
  </si>
  <si>
    <t>40,2863/28,8344</t>
  </si>
  <si>
    <t>41,7178/39,0593</t>
  </si>
  <si>
    <t>33,5378/39,6728/37,0143</t>
  </si>
  <si>
    <t>40,2863/37,0143/33,5378</t>
  </si>
  <si>
    <t>33,7423/35,1738/40,0818</t>
  </si>
  <si>
    <t>WBGene00007549/WBGene00008598/WBGene00008033</t>
  </si>
  <si>
    <t>45.8078/40.6953/45.1943</t>
  </si>
  <si>
    <t>Bm4727</t>
  </si>
  <si>
    <t>WBGene00224988</t>
  </si>
  <si>
    <t>note=B._malayi_BMA-NST-1_protein</t>
  </si>
  <si>
    <t>25,4717/20,9434/16,0377</t>
  </si>
  <si>
    <t>36,9811/24,717</t>
  </si>
  <si>
    <t>8,67924/63,5849</t>
  </si>
  <si>
    <t>Bm13996</t>
  </si>
  <si>
    <t>WBGene00234257</t>
  </si>
  <si>
    <t>GO:0003676/GO:0003899/GO:0005634/GO:0005730/GO:0006351/GO:0008270/GO:0042779/GO:0046872/</t>
  </si>
  <si>
    <t>DNA-directed_5'-3'_RNA_polymerase_activity/metal_ion_binding/nucleic_acid_binding/nucleolus/nucleus/tRNA_3'-trailer_cleavage/transcription,_DNA-templated/zinc_ion_binding/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</si>
  <si>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small,_dense_body_one_or_more_of_which_are_present_in_the_nucleus_of_eukaryotic_cells._It_is_rich_in_RNA_and_protein,_is_not_bounded_by_a_limiting_membrane,_and_is_not_seen_during_mitosis._Its_prime_function_is_the_transcription_of_the_nucleolar_DNA_into_45S_ribosomal-precursor_RNA,_the_processing_of_this_RNA_into_5.8S,_18S,_and_28S_components_of_ribosomal_RNA,_and_the_association_of_these_components_with_5S_RNA_and_proteins_synthesized_outside_the_nucleolus._This_association_results_in_the_formation_of_ribonucleoprotein_precursors;_these_pass_into_the_cytoplasm_and_mature_into_the_40S_and_60S_subunits_of_the_ribosome."_[ISBN:0198506732]/"Catalysis_of_the_reaction:_nucleoside_triphosphate_+_RNA(n)_=_diphosphate_+_RNA(n+1)._Utilizes_a_DNA_template,_i.e._the_catalysis_of_DNA-template-directed_extension_of_the_3'-end_of_an_RNA_strand_by_one_nucleotide_at_a_time._Can_initiate_a_chain_'de_novo'."_[EC:2.7.7.6,_GOC:pf]/"Cleavage_of_the_3'-end_of_the_pre-tRNA_as_part_of_the_process_of_generating_the_mature_3'-end_of_the_tRNA;_may_involve_endonucleolytic_or_exonucleolytic_cleavage,_or_both."_[GOC:go_curators]/"Interacting_selectively_and_non-covalently_with_any_metal_ion."_[GOC:ai]/"Interacting_selectively_and_non-covalently_with_any_nucleic_acid."_[GOC:jl]/"Interacting_selectively_and_non-covalently_with_zinc_(Zn)_ions."_[GOC:ai]/"The_cellular_synthesis_of_RNA_on_a_template_of_DNA."_[GOC:jl,_GOC:txnOH]/</t>
  </si>
  <si>
    <t>IPR001222/IPR001529/IPR012164/IPR034014/</t>
  </si>
  <si>
    <t>DNA-directed_RNA_polymerase,_M/15kDa_subunit/DNA-directed_RNA_polymerase_subunit/transcription_factor_S/Pol_III_subunit_C11,_C-terminal_zinc_ribbon/Zinc_finger,_TFIIS-type/</t>
  </si>
  <si>
    <t>DNA-dir_RNA_pol_M/15kDasu/Rpa12/Rpb9/Rpc10/TFS/Zn_ribbon_RPC11_C/Znf_TFIIS/</t>
  </si>
  <si>
    <t>note=B._malayi_BMA-RPC-11_protein,_contains_similarity_to_Pfam_domains_PF02150_(RNA_polymerases_M/15_Kd_subunit),_PF01096_(Transcription_factor_S-II_(TFIIS))_contains_similarity_to_Interpro_domains_IPR001222_(Zinc_finger,_TFIIS-type),_IPR001529_(DNA-directed_RNA_polymerase,_M/15kDa_subunit),_IPR012164_(DNA-directed_RNA_polymerase,_subunit_C11/M/9)</t>
  </si>
  <si>
    <t>7209.EFO18617.1</t>
  </si>
  <si>
    <t>7.6e-60</t>
  </si>
  <si>
    <t>236.1</t>
  </si>
  <si>
    <t>ko:K03019</t>
  </si>
  <si>
    <t>M00181</t>
  </si>
  <si>
    <t>1KX1T@119089,3A5T1@33154,3BQDG@33208,3D7AE@33213,40EM9@6231,COG1594@1,KOG2906@2759</t>
  </si>
  <si>
    <t>DNA-dependent RNA polymerase catalyzes the transcription of DNA into RNA using the four ribonucleoside triphosphates as substrates</t>
  </si>
  <si>
    <t>WBGene00022309</t>
  </si>
  <si>
    <t>68.5185</t>
  </si>
  <si>
    <t>Bm9441</t>
  </si>
  <si>
    <t>WBGene00229702</t>
  </si>
  <si>
    <t>GO:0004003/GO:0005524/GO:0006281/GO:0006338/GO:0032508/</t>
  </si>
  <si>
    <t>ATP-dependent_DNA_helicase_activity/ATP_binding/DNA_duplex_unwinding/DNA_repair/chromatin_remodeling/</t>
  </si>
  <si>
    <t>Catalysis_of_the_reaction:_ATP_+_H2O_=_ADP_+_phosphate;_this_reaction_drives_the_unwinding_of_the_DNA_helix._[EC:3.6.1.3,_GOC:jl]/"Dynamic_structural_changes_to_eukaryotic_chromatin_occurring_throughout_the_cell_division_cycle._These_changes_range_from_the_local_changes_necessary_for_transcriptional_regulation_to_global_changes_necessary_for_chromosome_segregation."_[GOC:jid,_GOC:vw,_PMID:12697820]/"Interacting_selectively_and_non-covalently_with_ATP,_adenosine_5'-triphosphate,_a_universally_important_coenzyme_and_enzyme_regulator."_[ISBN:0198506732]/"The_process_in_which_interchain_hydrogen_bonds_between_two_strands_of_DNA_are_broken_or_'melted',_generating_a_region_of_unpaired_single_strands."_[GOC:isa_complete,_GOC:mah]/"The_process_of_restoring_DNA_after_damage._Genomes_are_subject_to_damage_by_chemical_and_physical_agents_in_the_environment_(e.g._UV_and_ionizing_radiations,_chemical_mutagens,_fungal_and_bacterial_toxins,_etc.)_and_by_free_radicals_or_alkylating_agents_endogenously_generated_in_metabolism._DNA_is_also_damaged_because_of_errors_during_its_replication._A_variety_of_different_DNA_repair_pathways_have_been_reported_that_include_direct_reversal,_base_excision_repair,_nucleotide_excision_repair,_photoreactivation,_bypass,_double-strand_break_repair_pathway,_and_mismatch_repair_pathway."_[PMID:11563486]/</t>
  </si>
  <si>
    <t>IPR000330/IPR001650/IPR002464/IPR014001/IPR027417/IPR031053/IPR038718/</t>
  </si>
  <si>
    <t>Chromodomain-helicase-DNA-binding_protein_1-like/DNA/RNA_helicase,_ATP-dependent,_DEAH-box_type,_conserved_site/Helicase,_C-terminal/Helicase_superfamily_1/2,_ATP-binding_domain/P-loop_containing_nucleoside_triphosphate_hydrolase/SNF2-like,_N-terminal_domain_superfamily/SNF2-related,_N-terminal_domain/</t>
  </si>
  <si>
    <t>ALC1/DNA/RNA_helicase_DEAH_CS/Helicase_ATP-bd/Helicase_C/P-loop_NTPase/SNF2-like_sf/SNF2_N/</t>
  </si>
  <si>
    <t>note=contains_similarity_to_Pfam_domains_PF00271_(Helicase_conserved_C-terminal_domain),_PF00176_(SNF2_family_N-terminal_domain)_contains_similarity_to_Interpro_domains_IPR000330_(SNF2-related),_IPR027417_(P-loop_containing_nucleoside_triphosphate_hydrolase),_IPR014001_(Helicase_superfamily_1/2,_ATP-binding_domain),_IPR001650_(Helicase,_C-terminal)</t>
  </si>
  <si>
    <t>7209.EFO24199.2</t>
  </si>
  <si>
    <t>1241.9</t>
  </si>
  <si>
    <t>39VI3@33154,3BBXD@33208,3CRYV@33213,COG0553@1,KOG0385@2759</t>
  </si>
  <si>
    <t>ATP-dependent DNA helicase activity</t>
  </si>
  <si>
    <t>84,6995/84,6995</t>
  </si>
  <si>
    <t>34,5355/21,7486</t>
  </si>
  <si>
    <t>12,5683/8,63388</t>
  </si>
  <si>
    <t>13,8798/8,30601</t>
  </si>
  <si>
    <t>22,4044/22,1858/11,9126/13,4426</t>
  </si>
  <si>
    <t>WBGene00000803/WBGene00010011</t>
  </si>
  <si>
    <t>13.8798/8.30601</t>
  </si>
  <si>
    <t>Bm5325</t>
  </si>
  <si>
    <t>WBGene00225586</t>
  </si>
  <si>
    <t>GO:0000703/GO:0003677/GO:0003824/GO:0003906/GO:0005634/GO:0005739/GO:0006281/GO:0006284/GO:0006285/GO:0006974/GO:0008152/GO:0016787/GO:0016798/GO:0016829/GO:0019104/GO:0034042/GO:0034043/GO:0045008/GO:0046872/GO:0051536/GO:0051539/GO:0070301/GO:0140078/</t>
  </si>
  <si>
    <t>4_iron,_4_sulfur_cluster_binding/5-formyluracil_DNA_N-glycosylase_activity/5-hydroxymethyluracil_DNA_N-glycosylase_activity/DNA-(apurinic_or_apyrimidinic_site)_endonuclease_activity/DNA_N-glycosylase_activity/DNA_binding/DNA_repair/base-excision_repair/base-excision_repair,_AP_site_formation/catalytic_activity/cellular_response_to_DNA_damage_stimulus/cellular_response_to_hydrogen_peroxide/class_I_DNA-(apurinic_or_apyrimidinic_site)_endonuclease_activity/depyrimidination/hydrolase_activity/hydrolase_activity,_acting_on_glycosyl_bonds/iron-sulfur_cluster_binding/lyase_activity/metabolic_process/metal_ion_binding/mitochondrion/nucleus/oxidized_pyrimidine_nucleobase_lesion_DNA_N-glycosylase_activit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</si>
  <si>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semiautonomous,_self_replicating_organelle_that_occurs_in_varying_numbers,_shapes,_and_sizes_in_the_cytoplasm_of_virtually_all_eukaryotic_cells._It_is_notably_the_site_of_tissue_respiration."_[GOC:giardia,_ISBN:0198506732]/"Any_molecular_function_by_which_a_gene_product_interacts_selectively_and_non-covalently_with_DNA_(deoxyribonucleic_acid)."_[GOC:dph,_GOC:jl,_GOC:tb,_GOC:vw]/"Any_process_that_results_in_a_change_in_state_or_activity_of_a_cell_(in_terms_of_movement,_secretion,_enzyme_production,_gene_expression,_etc.)_as_a_result_of_a_hydrogen_peroxide_(H2O2)_stimulus."_[CHEBI:16240,_GOC:mah]/"Any_process_that_results_in_a_change_in_state_or_activity_of_a_cell_(in_terms_of_movement,_secretion,_enzyme_production,_gene_expression,_etc.)_as_a_result_of_a_stimulus_indicating_damage_to_its_DNA_from_environmental_insults_or_errors_during_metabolism."_[GOC:go_curators]/"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Catalysis_of_the_cleavage_of_C-C,_C-O,_C-N_and_other_bonds_by_other_means_than_by_hydrolysis_or_oxidation,_or_conversely_adding_a_group_to_a_double_bond._They_differ_from_other_enzymes_in_that_two_substrates_are_involved_in_one_reaction_direction,_but_only_one_in_the_other_direction._When_acting_on_the_single_substrate,_a_molecule_is_eliminated_and_this_generates_either_a_new_double_bond_or_a_new_ring."_[EC:4.-.-.-,_ISBN:0198547684]/"Catalysis_of_the_cleavage_of_an_AP_site_3'_of_the_baseless_site_by_a_beta-lyase_mechanism,_leaving_an_unsaturated_aldehyde,_termed_a_3'-(4-hydroxy-5-phospho-2-pentenal)_residue,_and_a_5'-phosphate."_[PMID:1698278,_Wikipedia:AP_endonuclease]/"Catalysis_of_the_cleavage_of_the_C-O-P_bond_in_the_AP_site_created_when_DNA_glycosylase_removes_a_damaged_base,_involved_in_the_DNA_base_excision_repair_pathway_(BER)."_[Wikipedia:AP_endonuclease]/"Catalysis_of_the_hydrolysis_of_any_glycosyl_bond."_[GOC:jl]/"Catalysis_of_the_hydrolysis_of_various_bonds,_e.g._C-O,_C-N,_C-C,_phosphoric_anhydride_bonds,_etc._Hydrolase_is_the_systematic_name_for_any_enzyme_of_EC_class_3."_[ISBN:0198506732]/"Catalysis_of_the_removal_of_5-formyluracil_bases_by_cleaving_the_N-C1'_glycosidic_bond_between_the_oxidized_pyrimidine_and_the_deoxyribose_sugar."_[GOC:mah,_PMID:17641464]/"Catalysis_of_the_removal_of_5-hydroxymethyluracil_bases_by_cleaving_the_N-C1'_glycosidic_bond_between_the_oxidized_pyrimidine_and_the_deoxyribose_sugar."_[GOC:mah,_PMID:17641464]/"Catalysis_of_the_removal_of_damaged_bases_by_cleaving_the_N-C1'_glycosidic_bond_between_the_target_damaged_DNA_base_and_the_deoxyribose_sugar._The_reaction_releases_a_free_base_and_leaves_an_apurinic/apyrimidinic_(AP)_site."_[GOC:elh,_PMID:11554296]/"Catalysis_of_the_removal_oxidized_pyrimidine_bases_by_cleaving_the_N-C1'_glycosidic_bond_between_the_oxidized_pyrimidine_and_the_deoxyribose_sugar._The_reaction_involves_formation_of_a_covalent_enzyme-pyrimidine_base_intermediate._Release_of_the_enzyme_and_free_base_by_a_beta-elimination_or_a_beta,_gamma-elimination_mechanism_results_in_the_cleavage_of_the_DNA_backbone_3'_of_the_apyrimidinic_(AP)_site."_[GOC:elh,_PMID:11554296]/"In_base_excision_repair,_an_altered_base_is_removed_by_a_DNA_glycosylase_enzyme,_followed_by_excision_of_the_resulting_sugar_phosphate._The_small_gap_left_in_the_DNA_helix_is_filled_in_by_the_sequential_action_of_DNA_polymerase_and_DNA_ligase."_[ISBN:0815316194]/"Interacting_selectively_and_non-covalently_with_a_4_iron,_4_sulfur_(4Fe-4S)_cluster;_this_cluster_consists_of_four_iron_atoms,_with_the_inorganic_sulfur_atoms_found_between_the_irons_and_acting_as_bridging_ligands."_[GOC:ai,_PMID:15952888,_Wikipedia:Iron-sulfur_cluster]/"Interacting_selectively_and_non-covalently_with_an_iron-sulfur_cluster,_a_combination_of_iron_and_sulfur_atoms."_[GOC:ai]/"Interacting_selectively_and_non-covalently_with_any_metal_ion."_[GOC:ai]/"The_chemical_reactions_and_pathways,_including_anabolism_and_catabolism,_by_which_living_organisms_transform_chemical_substances._Metabolic_processes_typically_transform_small_molecules,_but_also_include_macromolecular_processes_such_as_DNA_repair_and_replication,_and_protein_synthesis_and_degradation."_[GOC:go_curators,_ISBN:0198547684]/"The_disruption_of_the_bond_between_the_sugar_in_the_backbone_and_the_C_or_T_base,_causing_the_base_to_be_removed_and_leaving_a_depyrimidinated_sugar."_[GOC:ai]/"The_formation_of_an_AP_site,_a_deoxyribose_sugar_with_a_missing_base,_by_DNA_glycosylase_which_recognizes_an_altered_base_in_DNA_and_catalyzes_its_hydrolytic_removal._This_sugar_phosphate_is_the_substrate_recognized_by_the_AP_endonuclease,_which_cuts_the_DNA_phosphodiester_backbone_at_the_5'_side_of_the_altered_site_to_leave_a_gap_which_is_subsequently_repaired."_[ISBN:0815316194]/"The_process_of_restoring_DNA_after_damage._Genomes_are_subject_to_damage_by_chemical_and_physical_agents_in_the_environment_(e.g._UV_and_ionizing_radiations,_chemical_mutagens,_fungal_and_bacterial_toxins,_etc.)_and_by_free_radicals_or_alkylating_agents_endogenously_generated_in_metabolism._DNA_is_also_damaged_because_of_errors_during_its_replication._A_variety_of_different_DNA_repair_pathways_have_been_reported_that_include_direct_reversal,_base_excision_repair,_nucleotide_excision_repair,_photoreactivation,_bypass,_double-strand_break_repair_pathway,_and_mismatch_repair_pathway."_[PMID:11563486]/</t>
  </si>
  <si>
    <t>IPR000445/IPR003265/IPR004036/IPR011257/IPR023170/IPR030841/</t>
  </si>
  <si>
    <t>DNA_glycosylase/Endonuclease_III-like,_conserved_site-2/Endonuclease_III-like_protein_1/Helix-hairpin-helix_motif/Helix-turn-helix,_base-excision_DNA_repair,_C-terminal/HhH-GPD_domain/</t>
  </si>
  <si>
    <t>DNA_glycosylase/Endonuclease-III-like_CS2/HTH_base_excis_C/HhH-GPD_domain/HhH_motif/NTH1/</t>
  </si>
  <si>
    <t>note=B._malayi_BMA-NTH-1_protein,_contains_similarity_toPfam_domains_PF00633_(Helix-hairpin-helix_motif),_PF00730(HhH-GPD_superfamily_base_excision_DNA_repair_protein)contains_similarity_to_Interpro_domains_IPR023170(Helix-turn-helix,_base-excision_DNA_repair,_C-terminal),IPR011257_(DNA_glycosylase),_IPR000445(Helix-hairpin-helix_motif),_IPR003265_(HhH-GPD_domain)</t>
  </si>
  <si>
    <t>7209.EJD74237.1</t>
  </si>
  <si>
    <t>2.5e-88</t>
  </si>
  <si>
    <t>332.0</t>
  </si>
  <si>
    <t>nth-1</t>
  </si>
  <si>
    <t>GO:0000302,GO:0000702,GO:0000703,GO:0003674,GO:0003824,GO:0005575,GO:0005622,GO:0005623,GO:0005634,GO:0006139,GO:0006220,GO:0006244,GO:0006259,GO:0006281,GO:0006284,GO:0006285,GO:0006304,GO:0006725,GO:0006753,GO:0006793,GO:0006796,GO:0006807,GO:0006950,GO:0006974,GO:0006979,GO:0008150,GO:0008152,GO:0009056,GO:0009058,GO:0009117,GO:0009166,GO:0009219,GO:0009223,GO:0009262,GO:0009264,GO:0009394,GO:0009636,GO:0009987,GO:0010035,GO:0016787,GO:0016798,GO:0016799,GO:0018130,GO:0019104,GO:0019438,GO:0019439,GO:0019637,GO:0019692,GO:0033554,GO:0034042,GO:0034043,GO:0034404,GO:0034599,GO:0034614,GO:0034641,GO:0034654,GO:0034655,GO:0035690,GO:0042221,GO:0042493,GO:0042542,GO:0043170,GO:0043226,GO:0043227,GO:0043229,GO:0043231,GO:0043412,GO:0044237,GO:0044238,GO:0044248,GO:0044249,GO:0044260,GO:0044270,GO:0044271,GO:0044281,GO:0044283,GO:0044424,GO:0044464,GO:0045008,GO:0046386,GO:0046434,GO:0046483,GO:0046677,GO:0046700,GO:0050896,GO:0051716,GO:0055086,GO:0070301,GO:0070887,GO:0071236,GO:0071704,GO:0072527,GO:0072529,GO:0090304,GO:0097237,GO:0140097,GO:1901135,GO:1901136,GO:1901292,GO:1901360,GO:1901361,GO:1901362,GO:1901564,GO:1901565,GO:1901575,GO:1901576,GO:1901700,GO:1901701</t>
  </si>
  <si>
    <t>4.2.99.18</t>
  </si>
  <si>
    <t>ko:K10773</t>
  </si>
  <si>
    <t>ko03410,map03410</t>
  </si>
  <si>
    <t>ko00000,ko00001,ko01000,ko03400</t>
  </si>
  <si>
    <t>1KWGN@119089,38GGU@33154,3BD9R@33208,3CTXM@33213,40E4H@6231,COG0177@1,KOG1921@2759</t>
  </si>
  <si>
    <t>Bifunctional DNA N-glycosylase with associated apurinic apyrimidinic (AP) lyase function that catalyzes the first step in base excision repair (BER), the primary repair pathway for the repair of oxidative DNA damage. The DNA N-glycosylase activity releases the damaged DNA base from DNA by cleaving the N- glycosidic bond, leaving an AP site. The AP lyase activity cleaves the phosphodiester bond 3' to the AP site by a beta-elimination. Primarily recognizes and repairs oxidative base damage of pyrimidines</t>
  </si>
  <si>
    <t>45,2107/42,1456</t>
  </si>
  <si>
    <t>47,1264/47,8927</t>
  </si>
  <si>
    <t>WBGene00011201</t>
  </si>
  <si>
    <t>47.1264</t>
  </si>
  <si>
    <t>Bm6735</t>
  </si>
  <si>
    <t>WBGene00226996</t>
  </si>
  <si>
    <t>GO:0003723/GO:0005515/GO:0005623/GO:0005634/GO:0005730/GO:0006606/GO:0061608/</t>
  </si>
  <si>
    <t>RNA_binding/cell/nuclear_import_signal_receptor_activity/nucleolus/nucleus/protein_binding/protein_import_into_nucleus/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</si>
  <si>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small,_dense_body_one_or_more_of_which_are_present_in_the_nucleus_of_eukaryotic_cells._It_is_rich_in_RNA_and_protein,_is_not_bounded_by_a_limiting_membrane,_and_is_not_seen_during_mitosis._Its_prime_function_is_the_transcription_of_the_nucleolar_DNA_into_45S_ribosomal-precursor_RNA,_the_processing_of_this_RNA_into_5.8S,_18S,_and_28S_components_of_ribosomal_RNA,_and_the_association_of_these_components_with_5S_RNA_and_proteins_synthesized_outside_the_nucleolus._This_association_results_in_the_formation_of_ribonucleoprotein_precursors;_these_pass_into_the_cytoplasm_and_mature_into_the_40S_and_60S_subunits_of_the_ribosome."_[ISBN:0198506732]/"Combining_with_a_nuclear_import_signal_(NIS)_on_a_cargo_to_be_transported,_to_mediate_transport_of_the_cargo_through_the_nuclear_pore,_from_the_cytoplasm_to_the_nuclear_lumen._The_cargo_can_be_either_a_RNA_or_a_protein."_[GOC:dph,_GOC:pg,_GOC:vw,_PMID:28713609,_Wikipedia:Nuclear_transport]/"Interacting_selectively_and_non-covalently_with_an_RNA_molecule_or_a_portion_thereof."_[GOC:jl,_GOC:mah]/"Interacting_selectively_and_non-covalently_with_any_protein_or_protein_complex_(a_complex_of_two_or_more_proteins_that_may_include_other_nonprotein_molecules)."_[GOC:go_curators]/"The_basic_structural_and_functional_unit_of_all_organisms._Includes_the_plasma_membrane_and_any_external_encapsulating_structures_such_as_the_cell_wall_and_cell_envelope."_[GOC:go_curators]/"The_directed_movement_of_a_protein_from_the_cytoplasm_to_the_nucleus."_[GOC:jl]/</t>
  </si>
  <si>
    <t>IPR002652/IPR005554/IPR024721/IPR035082/IPR035367/IPR035368/IPR035369/IPR035370/IPR035371/</t>
  </si>
  <si>
    <t>Importin-alpha,_importin-beta-binding_domain/Nrap_protein/Nrap_protein,_domain_2/Nrap_protein,_domain_3/Nrap_protein,_domain_4/Nrap_protein,_domain_5/Nrap_protein,_domain_6/Nrap_protein_domain_1/Snurportin-1,_N-terminal/</t>
  </si>
  <si>
    <t>Importin-a_IBB/Nrap/Nrap_D1/Nrap_D2/Nrap_D3/Nrap_D4/Nrap_D5/Nrap_D6/Snurportin-1_N/</t>
  </si>
  <si>
    <t>note=B._malayi_BMA-NOL-6_protein,_contains_similarity_toPfam_domain_PF03813_Nrap_protein_contains_similarity_toInterpro_domain_IPR005554_(Nrap_protein)</t>
  </si>
  <si>
    <t>7209.EJD74750.1</t>
  </si>
  <si>
    <t>2377.8</t>
  </si>
  <si>
    <t>nol-6</t>
  </si>
  <si>
    <t>GO:0000228,GO:0000793,GO:0000794,GO:0002682,GO:0002683,GO:0003674,GO:0003676,GO:0003723,GO:0005488,GO:0005575,GO:0005622,GO:0005623,GO:0005634,GO:0005694,GO:0005730,GO:0006139,GO:0006364,GO:0006396,GO:0006725,GO:0006807,GO:0008150,GO:0008152,GO:0009987,GO:0010467,GO:0016070,GO:0016072,GO:0022613,GO:0031347,GO:0031348,GO:0031974,GO:0031981,GO:0034470,GO:0034641,GO:0034660,GO:0042254,GO:0043170,GO:0043226,GO:0043227,GO:0043228,GO:0043229,GO:0043231,GO:0043232,GO:0043233,GO:0044085,GO:0044237,GO:0044238,GO:0044422,GO:0044424,GO:0044428,GO:0044446,GO:0044464,GO:0045088,GO:0045824,GO:0046483,GO:0048519,GO:0048583,GO:0048585,GO:0050776,GO:0050777,GO:0050789,GO:0065007,GO:0070013,GO:0071704,GO:0071840,GO:0080134,GO:0090304,GO:0097159,GO:1901360,GO:1901363</t>
  </si>
  <si>
    <t>ko:K14544</t>
  </si>
  <si>
    <t>ko00000,ko00001,ko03009</t>
  </si>
  <si>
    <t>1KVZ0@119089,38FNZ@33154,3BFPE@33208,3CU6T@33213,40DAN@6231,KOG2054@1,KOG2054@2759,KOG3132@1,KOG3132@2759</t>
  </si>
  <si>
    <t>Nrap protein nucleotidyltransferase domain 4</t>
  </si>
  <si>
    <t>91,773/91,1348</t>
  </si>
  <si>
    <t>10,0709/25,8865</t>
  </si>
  <si>
    <t>WBGene00021789</t>
  </si>
  <si>
    <t>18.8652</t>
  </si>
  <si>
    <t>Bm8853</t>
  </si>
  <si>
    <t>WBGene00229114</t>
  </si>
  <si>
    <t>note=contains_similarity_to_Pfam_domain_PF00536_SAM_domain_(Sterile_alpha_motif)_contains_similarity_to_Interpro_domains_IPR021129_(Sterile_alpha_motif,_type_1),_IPR013761_(Sterile_alpha_motif/pointed_domain),_IPR001660_(Sterile_alpha_motif_domain)</t>
  </si>
  <si>
    <t>7209.EFO25743.2</t>
  </si>
  <si>
    <t>1290.4</t>
  </si>
  <si>
    <t>ko:K11458</t>
  </si>
  <si>
    <t>1KZZQ@119089,2C9W6@1,2SGFN@2759,39AV3@33154,3CEXD@33208,3DWAM@33213,40HBF@6231</t>
  </si>
  <si>
    <t>Sterile alpha motif.</t>
  </si>
  <si>
    <t>8,45557/24,5039</t>
  </si>
  <si>
    <t>40,2934/14,5815</t>
  </si>
  <si>
    <t>62,7265/16,2209</t>
  </si>
  <si>
    <t>31,3201/7,07506</t>
  </si>
  <si>
    <t>Bm11204</t>
  </si>
  <si>
    <t>WBGene00231465</t>
  </si>
  <si>
    <t>IPR005301/IPR036703/</t>
  </si>
  <si>
    <t>MOB_kinase_activator_family/MOB_kinase_activator_superfamily/</t>
  </si>
  <si>
    <t>MOB_kinase_act_fam/MOB_kinase_act_sf/</t>
  </si>
  <si>
    <t>note=contains_similarity_to_Pfam_domain_PF03637_Mob1/phocein_family_contains_similarity_to_Interpro_domain_IPR005301_(Mob1/phocein)</t>
  </si>
  <si>
    <t>7209.EFO15553.2</t>
  </si>
  <si>
    <t>3.8e-122</t>
  </si>
  <si>
    <t>444.1</t>
  </si>
  <si>
    <t>1KV4M@119089,38DCU@33154,3BCV3@33208,3CUI9@33213,40CIN@6231,KOG1852@1,KOG1852@2759</t>
  </si>
  <si>
    <t>Mob1/phocein family</t>
  </si>
  <si>
    <t>68,9498/68,9498/64,8402</t>
  </si>
  <si>
    <t>61,6438/35,1598</t>
  </si>
  <si>
    <t>66,21/68,4931</t>
  </si>
  <si>
    <t>WBGene00016238</t>
  </si>
  <si>
    <t>68.9498</t>
  </si>
  <si>
    <t>meiosis_chromosome_segregation</t>
  </si>
  <si>
    <t>Bm7319</t>
  </si>
  <si>
    <t>WBGene00227580</t>
  </si>
  <si>
    <t>GO:0000413/GO:0003676/GO:0003723/GO:0003755/GO:0004518/GO:0006309/GO:0006457/GO:0006915/GO:0016853/</t>
  </si>
  <si>
    <t>RNA_binding/apoptotic_DNA_fragmentation/apoptotic_process/isomerase_activity/nuclease_activity/nucleic_acid_binding/peptidyl-prolyl_cis-trans_isomerase_activity/protein_folding/protein_peptidyl-prolyl_isomerization/</t>
  </si>
  <si>
    <t>A_programmed_cell_death_process_which_begins_when_a_cell_receives_an_internal_(e.g._DNA_damage)_or_external_signal_(e.g._an_extracellular_death_ligand),_and_proceeds_through_a_series_of_biochemical_events_(signaling_pathway_phase)_which_trigger_an_execution_phase._The_execution_phase_is_the_last_step_of_an_apoptotic_process,_and_is_typically_characterized_by_rounding-up_of_the_cell,_retraction_of_pseudopodes,_reduction_of_cellular_volume_(pyknosis),_chromatin_condensation,_nuclear_fragmentation_(karyorrhexis),_plasma_membrane_blebbing_and_fragmentation_of_the_cell_into_apoptotic_bodies._When_the_execution_phase_is_completed,_the_cell_has_died._[GOC:cjm,_GOC:dhl,_GOC:ecd,_GOC:go_curators,_GOC:mtg_apoptosis,_GOC:tb,_ISBN:0198506732,_PMID:18846107,_PMID:21494263]/"Catalysis_of_the_geometric_or_structural_changes_within_one_molecule._Isomerase_is_the_systematic_name_for_any_enzyme_of_EC_class_5."_[ISBN:0198506732]/"Catalysis_of_the_hydrolysis_of_ester_linkages_within_nucleic_acids."_[ISBN:0198547684]/"Catalysis_of_the_reaction:_peptidyl-proline_(omega=180)_=_peptidyl-proline_(omega=0)."_[EC:5.2.1.8]/"Interacting_selectively_and_non-covalently_with_an_RNA_molecule_or_a_portion_thereof."_[GOC:jl,_GOC:mah]/"Interacting_selectively_and_non-covalently_with_any_nucleic_acid."_[GOC:jl]/"The_cleavage_of_DNA_during_apoptosis,_which_usually_occurs_in_two_stages:_cleavage_into_fragments_of_about_50_kbp_followed_by_cleavage_between_nucleosomes_to_yield_200_bp_fragments."_[GOC:dph,_GOC:mah,_GOC:mtg_apoptosis,_GOC:tb,_ISBN:0721639976,_PMID:15723341,_PMID:23379520]/"The_modification_of_a_protein_by_cis-trans_isomerization_of_a_proline_residue."_[GOC:krc,_PMID:16959570]/"The_process_of_assisting_in_the_covalent_and_noncovalent_assembly_of_single_chain_polypeptides_or_multisubunit_complexes_into_the_correct_tertiary_structure."_[GOC:go_curators,_GOC:rb]/</t>
  </si>
  <si>
    <t>IPR000504/IPR002130/IPR012677/IPR016304/IPR020892/IPR024936/IPR029000/IPR034168/IPR035979/</t>
  </si>
  <si>
    <t>Cyclophilin-like_domain_superfamily/Cyclophilin-type_peptidyl-prolyl_cis-trans_isomerase/Cyclophilin-type_peptidyl-prolyl_cis-trans_isomerase,_conserved_site/Cyclophilin-type_peptidyl-prolyl_cis-trans_isomerase_domain/Nucleotide-binding_alpha-beta_plait_domain_superfamily/Peptidyl-prolyl_cis-trans_isomerase_E/Peptidyl-prolyl_cis-trans_isomerase_E,_RNA_recognition_motif/RNA-binding_domain_superfamily/RNA_recognition_motif_domain/</t>
  </si>
  <si>
    <t>Cyclophilin-like_dom_sf/Cyclophilin-type_PPIase/Cyclophilin-type_PPIase_CS/Cyclophilin-type_PPIase_dom/Nucleotide-bd_a/b_plait_sf/PPIE/PPIE_RRM/RBD_domain_sf/RRM_dom/</t>
  </si>
  <si>
    <t>note=B._malayi_BMA-CYN-13_protein,_contains_similarity_to_Pfam_domains_PF00160_(Cyclophilin_type_peptidyl-prolyl_cis-trans_isomerase/CLD),_PF00076_(RNA_recognition_motif._(a.k.a._RRM,_RBD,_or_RNP_domain))_contains_similarity_to_Interpro_domains_IPR016304_(Cyclophilin-type_peptidyl-prolyl_cis-trans_isomerase_E),_IPR002130_(Cyclophilin-type_peptidyl-prolyl_cis-trans_isomerase_domain),_IPR012677_(Nucleotide-binding_alpha-beta_plait_domain),_IPR029000_(Cyclophilin-like_domain),_IPR024936_(Cyclophilin-type_peptidyl-prolyl_cis-trans_isomerase),_IPR000504_(RNA_recognition_motif_domain)</t>
  </si>
  <si>
    <t>7209.EFO27676.1</t>
  </si>
  <si>
    <t>1e-160</t>
  </si>
  <si>
    <t>572.8</t>
  </si>
  <si>
    <t>GO:0000737,GO:0003674,GO:0003824,GO:0004518,GO:0005488,GO:0005515,GO:0006139,GO:0006259,GO:0006308,GO:0006309,GO:0006725,GO:0006807,GO:0006915,GO:0006921,GO:0008150,GO:0008152,GO:0008219,GO:0009056,GO:0009057,GO:0009987,GO:0012501,GO:0016043,GO:0016787,GO:0016788,GO:0019439,GO:0022411,GO:0030262,GO:0034641,GO:0034655,GO:0043170,GO:0044237,GO:0044238,GO:0044248,GO:0044260,GO:0044265,GO:0044270,GO:0046483,GO:0046700,GO:0071704,GO:0071840,GO:0090304,GO:0090305,GO:0097194,GO:1901360,GO:1901361,GO:1901575</t>
  </si>
  <si>
    <t>ko:K09564</t>
  </si>
  <si>
    <t>M00355</t>
  </si>
  <si>
    <t>ko00000,ko00001,ko00002,ko01000,ko03041,ko03110</t>
  </si>
  <si>
    <t>1KUP9@119089,38CAH@33154,3BA07@33208,3CSNP@33213,40AKN@6231,COG0652@1,KOG0111@2759</t>
  </si>
  <si>
    <t>PPIases accelerate the folding of proteins. It catalyzes the cis-trans isomerization of proline imidic peptide bonds in oligopeptides</t>
  </si>
  <si>
    <t>42,6791/42,9907</t>
  </si>
  <si>
    <t>69,1589/68,5358</t>
  </si>
  <si>
    <t>52,3364/35,2025</t>
  </si>
  <si>
    <t>24,9221/28,3489/27,7259/27,4143/28,0374/28,0374/28,0374/27,7259/31,4642/22,4299/29,595/54,2056</t>
  </si>
  <si>
    <t>24,9221/12,7726/25,5452/31,1526/22,4299/29,595/55,4517</t>
  </si>
  <si>
    <t>25,5452/24,6106/29,595/54,5171</t>
  </si>
  <si>
    <t>28,972/31,1526</t>
  </si>
  <si>
    <t>WBGene00000889</t>
  </si>
  <si>
    <t>67.9128</t>
  </si>
  <si>
    <t>Bm1878</t>
  </si>
  <si>
    <t>WBGene00222139</t>
  </si>
  <si>
    <t>GO:0005096/GO:0005515/GO:0005737/GO:0007165/GO:0043547/</t>
  </si>
  <si>
    <t>GTPase_activator_activity/cytoplasm/positive_regulation_of_GTPase_activity/protein_binding/signal_transduction/</t>
  </si>
  <si>
    <t>All_of_the_contents_of_a_cell_excluding_the_plasma_membrane_and_nucleus,_but_including_other_subcellular_structures._[ISBN:0198547684]/"Any_process_that_activates_or_increases_the_activity_of_a_GTPase."_[GOC:jl,_GOC:mah]/"Binds_to_and_increases_the_activity_of_a_GTPase,_an_enzyme_that_catalyzes_the_hydrolysis_of_GTP."_[GOC:mah]/"Interacting_selectively_and_non-covalently_with_any_protein_or_protein_complex_(a_complex_of_two_or_more_proteins_that_may_include_other_nonprotein_molecules)."_[GOC:go_curators]/"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
  </si>
  <si>
    <t>IPR000198/IPR004148/IPR008936/IPR027267/</t>
  </si>
  <si>
    <t>AH/BAR_domain_superfamily/BAR_domain/Rho_GTPase-activating_protein_domain/Rho_GTPase_activation_protein/</t>
  </si>
  <si>
    <t>AH/BAR_dom_sf/BAR_dom/RhoGAP_dom/Rho_GTPase_activation_prot/</t>
  </si>
  <si>
    <t>note=contains_similarity_to_Pfam_domains_PF00620_(RhoGAPdomain),_PF03114_(BAR_domain)_contains_similarity_toInterpro_domains_IPR027267_(Arfaptin_homology_(AH)domain/BAR_domain),_IPR008936_(Rho_GTPase_activationprotein),_IPR004148_(BAR_domain),_IPR000198_(RhoGTPase-activating_protein_domain)</t>
  </si>
  <si>
    <t>7209.EJD74469.1</t>
  </si>
  <si>
    <t>1184.9</t>
  </si>
  <si>
    <t>ko:K20638</t>
  </si>
  <si>
    <t>ko04530,map04530</t>
  </si>
  <si>
    <t>1KYY7@119089,38B57@33154,3BEGF@33208,3CRF0@33213,40D4F@6231,KOG4270@1,KOG4270@2759</t>
  </si>
  <si>
    <t>16,1685/12,3641</t>
  </si>
  <si>
    <t>23,6413/25,8152</t>
  </si>
  <si>
    <t>22,1467/19,9728/21,7391</t>
  </si>
  <si>
    <t>20,9239/18,75/21,6033</t>
  </si>
  <si>
    <t>22,2826/19,4293/4,8913/18,3424/22,2826/21,6033</t>
  </si>
  <si>
    <t>WBGene00021324</t>
  </si>
  <si>
    <t>24.5924</t>
  </si>
  <si>
    <t>Bm5424</t>
  </si>
  <si>
    <t>WBGene00225685</t>
  </si>
  <si>
    <t>GO:0003712/GO:0005634/GO:0006357/GO:0016592/</t>
  </si>
  <si>
    <t>mediator_complex/nucleus/regulation_of_transcription_by_RNA_polymerase_II/transcription_coregulator_activity/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</si>
  <si>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complex_that_interacts_with_the_carboxy-terminal_domain_of_the_largest_subunit_of_RNA_polymerase_II_and_plays_an_active_role_in_transducing_the_signal_from_a_transcription_factor_to_the_transcriptional_machinery._The_mediator_complex_is_required_for_activation_of_transcription_of_most_protein-coding_genes,_but_can_also_act_as_a_transcriptional_corepressor._The_Saccharomyces_complex_contains_several_identifiable_subcomplexes:_a_head_domain_comprising_Srb2,_-4,_and_-5,_Med6,_-8,_and_-11,_and_Rox3_proteins;_a_middle_domain_comprising_Med1,_-4,_and_-7,_Nut1_and_-2,_Cse2,_Rgr1,_Soh1,_and_Srb7_proteins;_a_tail_consisting_of_Gal11p,_Med2p,_Pgd1p,_and_Sin4p;_and_a_regulatory_subcomplex_comprising_Ssn2,_-3,_and_-8,_and_Srb8_proteins._Metazoan_mediator_complexes_have_similar_modular_structures_and_include_homologs_of_yeast_Srb_and_Med_proteins."_[PMID:11454195,_PMID:16168358,_PMID:17870225]/"A_protein_or_a_member_of_a_complex_that_interacts_specifically_and_non-covalently_with_a_DNA-bound_DNA-binding_transcription_factor_to_either_activate_or_repress_the_transcription_of_specific_genes._Coregulators_often_act_by_altering_chromatin_structure_and_modifications._For_example,_one_class_of_transcription_coregulators_modifies_chromatin_structure_through_covalent_modification_of_histones._A_second_ATP-dependent_class_modifies_the_conformation_of_chromatin._A_third_class_modulates_interactions_of_DNA-binding_transcription_factor_with_other_transcription_coregulators."_[GOC:txnOH-2018,_PMID:10213677,_PMID:16858867,_PMID:24203923,_PMID:25957681,_Wikipedia:Transcription_coregulator]/"Any_process_that_modulates_the_frequency,_rate_or_extent_of_transcription_mediated_by_RNA_polymerase_II."_[GOC:go_curators,_GOC:txnOH]/</t>
  </si>
  <si>
    <t>IPR019404/</t>
  </si>
  <si>
    <t>Mediator_complex,_subunit_Med11/</t>
  </si>
  <si>
    <t>Mediator_Med11/</t>
  </si>
  <si>
    <t>note=B._malayi_BMA-MDT-11_protein,_contains_similarity_to_Pfam_domain_PF10280_Mediator_complex_protein_contains_similarity_to_Interpro_domain_IPR019404_(Mediator_complex,_subunit_Med11)</t>
  </si>
  <si>
    <t>7209.EFO27449.1</t>
  </si>
  <si>
    <t>1.4e-57</t>
  </si>
  <si>
    <t>228.8</t>
  </si>
  <si>
    <t>GO:0005575,GO:0005622,GO:0005623,GO:0005634,GO:0005654,GO:0016592,GO:0031974,GO:0031981,GO:0032991,GO:0043226,GO:0043227,GO:0043229,GO:0043231,GO:0043233,GO:0044422,GO:0044424,GO:0044428,GO:0044446,GO:0044451,GO:0044464,GO:0070013</t>
  </si>
  <si>
    <t>ko:K15131</t>
  </si>
  <si>
    <t>ko00000,ko03021</t>
  </si>
  <si>
    <t>1KZXC@119089,3A5GT@33154,3BRQZ@33208,3DCT3@33213,40GT7@6231,KOG4057@1,KOG4057@2759</t>
  </si>
  <si>
    <t>Component of the Mediator complex, a coactivator involved in the regulated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 (By similarity)</t>
  </si>
  <si>
    <t>Bm12943</t>
  </si>
  <si>
    <t>WBGene00233204</t>
  </si>
  <si>
    <t>9,13743/12,8655</t>
  </si>
  <si>
    <t>Bm8878</t>
  </si>
  <si>
    <t>WBGene00229139</t>
  </si>
  <si>
    <t>IPR000884/IPR001627/IPR015943/IPR027231/IPR036352/IPR036383/</t>
  </si>
  <si>
    <t>Sema_domain/Sema_domain_superfamily/Semaphorin/Thrombospondin_type-1_(TSP1)_repeat/Thrombospondin_type-1_(TSP1)_repeat_superfamily/WD40/YVTN_repeat-like-containing_domain_superfamily/</t>
  </si>
  <si>
    <t>Semap_dom/Semap_dom_sf/Semaphorin/TSP1_rpt/TSP1_rpt_sf/WD40/YVTN_repeat-like_dom_sf/</t>
  </si>
  <si>
    <t>note=contains_similarity_to_Pfam_domain_PF01403_Sema_domain_contains_similarity_to_Interpro_domains_IPR027231_(Semaphorin),_IPR001627_(Sema_domain),_IPR015943_(WD40/YVTN_repeat-like-containing_domain)</t>
  </si>
  <si>
    <t>7209.EFO20980.2</t>
  </si>
  <si>
    <t>7.7e-249</t>
  </si>
  <si>
    <t>866.3</t>
  </si>
  <si>
    <t>KOG3611@1,KOG3611@2759</t>
  </si>
  <si>
    <t>negative chemotaxis</t>
  </si>
  <si>
    <t>13,1805/12,894/14,4699/15,043/12,894/13,6103/13,1805/12,3209/12,3209/11,6046/12,1777/11,0315/13,467/13,3238/13,0372/12,7507/13,0372/13,3238/15,1862</t>
  </si>
  <si>
    <t>13,0372/12,3209/14,4699/14,8997/12,7507/12,7507/13,0372/12,3209/12,3209/11,6046/12,7507/11,3181/13,6103/12,7507/12,6074/12,6074/13,0372/13,0372/15,616</t>
  </si>
  <si>
    <t>13,3238/12,4642/12,4642/13,3238/12,4642/12,7507/14,6132/14,8997/12,6074/13,7536/12,0344/13,3238/11,7479/13,3238/11,7479/13,1805/9,02579/4,01146/14,6132/13,3238/13,467/13,3238/11,6046/4,44126/12,894/13,3238/13,3238/13,8968</t>
  </si>
  <si>
    <t>Bm7055</t>
  </si>
  <si>
    <t>WBGene00227316</t>
  </si>
  <si>
    <t>GO:0005737/GO:0006914/GO:0016020/GO:0034045/</t>
  </si>
  <si>
    <t>autophagy/cytoplasm/membrane/phagophore_assembly_site_membrane/</t>
  </si>
  <si>
    <t>A_cellular_membrane_associated_with_the_phagophore_assembly_site._[GOC:mah,_GOC:rph,_PMID:16874040,_PMID:17382324]/"A_lipid_bilayer_along_with_all_the_proteins_and_protein_complexes_embedded_in_it_an_attached_to_it."_[GOC:dos,_GOC:mah,_ISBN:0815316194]/"All_of_the_contents_of_a_cell_excluding_the_plasma_membrane_and_nucleus,_but_including_other_subcellular_structures."_[ISBN:0198547684]/"The_cellular_catabolic_process_in_which_cells_digest_parts_of_their_own_cytoplasm;_allows_for_both_recycling_of_macromolecular_constituents_under_conditions_of_cellular_stress_and_remodeling_the_intracellular_structure_for_cell_differentiation."_[GOC:autophagy,_ISBN:0198547684,_PMID:11099404,_PMID:9412464]/</t>
  </si>
  <si>
    <t>IPR007239/</t>
  </si>
  <si>
    <t>Autophagy-related_protein_5/</t>
  </si>
  <si>
    <t>Atg5/</t>
  </si>
  <si>
    <t>note=B._malayi_BMA-ATG-5_protein,_contains_similarity_toPfam_domain_PF04106_Autophagy_protein_Apg5_containssimilarity_to_Interpro_domain_IPR007239_(Autophagy-relatedprotein_5)</t>
  </si>
  <si>
    <t>7209.EFO27237.1</t>
  </si>
  <si>
    <t>1.4e-139</t>
  </si>
  <si>
    <t>GO:0006914,GO:0008150,GO:0008152,GO:0009056,GO:0009987,GO:0044237,GO:0044248,GO:0061919</t>
  </si>
  <si>
    <t>ko:K08339</t>
  </si>
  <si>
    <t>ko04136,ko04137,ko04138,ko04140,ko04211,ko04213,ko04216,ko04621,ko04622,ko05131,map04136,map04137,map04138,map04140,map04211,map04213,map04216,map04621,map04622,map05131</t>
  </si>
  <si>
    <t>ko00000,ko00001,ko03029,ko04131</t>
  </si>
  <si>
    <t>1KWH1@119089,38FYV@33154,3BA4Q@33208,3CXKH@33213,40E0K@6231,KOG2976@1,KOG2976@2759</t>
  </si>
  <si>
    <t>involved in autophagic vesicle formation</t>
  </si>
  <si>
    <t>38,3142/38,3142/38,3142</t>
  </si>
  <si>
    <t>WBGene00022152</t>
  </si>
  <si>
    <t>34.8659</t>
  </si>
  <si>
    <t>Bm7431</t>
  </si>
  <si>
    <t>WBGene00227692</t>
  </si>
  <si>
    <t>GO:0005515/GO:0010997/GO:0097027/GO:1904668/</t>
  </si>
  <si>
    <t>anaphase-promoting_complex_binding/positive_regulation_of_ubiquitin_protein_ligase_activity/protein_binding/ubiquitin-protein_transferase_activator_activity/</t>
  </si>
  <si>
    <t>Any_process_that_activates_or_increases_the_frequency,_rate_or_extent_of_ubiquitin_protein_ligase_activity._[GO_REF:0000059,_GOC:dph,_GOC:TermGenie,_GOC:vw,_PMID:10921876,_PMID:26216882]/"Increases_the_activity_of_a_ubiquitin-protein_transferase,_an_enzyme_that_catalyzes_the_covalent_attachment_of_ubiquitin_to_lysine_in_a_substrate_protein."_[GOC:rb,_PMID:18321851]/"Interacting_selectively_and_non-covalently_with_an_anaphase-promoting_complex._A_ubiquitin_ligase_complex_that_degrades_mitotic_cyclins_and_anaphase_inhibitory_protein,_thereby_triggering_sister_chromatid_separation_and_exit_from_mitosis."_[GOC:BHF,_GOC:dph,_GOC:tb]/"Interacting_selectively_and_non-covalently_with_any_protein_or_protein_complex_(a_complex_of_two_or_more_proteins_that_may_include_other_nonprotein_molecules)."_[GOC:go_curators]/</t>
  </si>
  <si>
    <t>IPR001680/IPR011047/IPR015943/IPR017986/IPR019775/IPR024977/IPR033010/</t>
  </si>
  <si>
    <t>Anaphase-promoting_complex_subunit_4,_WD40_domain/Quinoprotein_alcohol_dehydrogenase-like_superfamily/The_WD_repeat_Cdc20/Fizzy_family/WD40-repeat-containing_domain/WD40/YVTN_repeat-like-containing_domain_superfamily/WD40_repeat/WD40_repeat,_conserved_site/</t>
  </si>
  <si>
    <t>Apc4_WD40_dom/Cdc20/Fizzy/Quinoprotein_ADH-like_supfam/WD40/YVTN_repeat-like_dom_sf/WD40_repeat/WD40_repeat_CS/WD40_repeat_dom/</t>
  </si>
  <si>
    <t>note=B._malayi_BMA-FZY-1_protein,_contains_similarity_toPfam_domain_PF00400_WD_domain,_G-beta_repeat_containssimilarity_to_Interpro_domains_IPR011047_(Quinonproteinalcohol_dehydrogenase-like_superfamily),_IPR001680_(WD40repeat),_IPR015943_(WD40/YVTN_repeat-like-containingdomain)</t>
  </si>
  <si>
    <t>7209.EFO19265.1</t>
  </si>
  <si>
    <t>1.1e-289</t>
  </si>
  <si>
    <t>1001.9</t>
  </si>
  <si>
    <t>GO:0000003,GO:0000280,GO:0000793,GO:0000910,GO:0003002,GO:0003674,GO:0005488,GO:0005515,GO:0005575,GO:0005622,GO:0005623,GO:0005694,GO:0005737,GO:0006996,GO:0007049,GO:0007143,GO:0007275,GO:0007276,GO:0007292,GO:0007389,GO:0008150,GO:0008356,GO:0009798,GO:0009948,GO:0009949,GO:0009952,GO:0009987,GO:0010564,GO:0016043,GO:0019953,GO:0022402,GO:0022412,GO:0022414,GO:0032501,GO:0032502,GO:0032504,GO:0033043,GO:0033044,GO:0033045,GO:0033206,GO:0040038,GO:0043226,GO:0043228,GO:0043229,GO:0043232,GO:0044424,GO:0044464,GO:0044703,GO:0044770,GO:0044771,GO:0044784,GO:0044785,GO:0048285,GO:0048609,GO:0048856,GO:0050789,GO:0050794,GO:0051128,GO:0051301,GO:0051321,GO:0051704,GO:0051726,GO:0051983,GO:0061640,GO:0061982,GO:0065001,GO:0065007,GO:0071840,GO:0140013,GO:1903046,GO:1990949</t>
  </si>
  <si>
    <t>ko:K03363</t>
  </si>
  <si>
    <t>ko04110,ko04111,ko04113,ko04114,ko04120,ko05166,ko05203,map04110,map04111,map04113,map04114,map04120,map05166,map05203</t>
  </si>
  <si>
    <t>M00389</t>
  </si>
  <si>
    <t>ko00000,ko00001,ko00002,ko03036,ko04121</t>
  </si>
  <si>
    <t>1KY3V@119089,38D8U@33154,3BCPV@33208,3CRM8@33213,40FSV@6231,COG2319@1,KOG0305@2759</t>
  </si>
  <si>
    <t>DO</t>
  </si>
  <si>
    <t>WD domain, G-beta repeat</t>
  </si>
  <si>
    <t>36,3107/36,1165</t>
  </si>
  <si>
    <t>6,01942/46,0194/9,12621</t>
  </si>
  <si>
    <t>12,233/14,9515</t>
  </si>
  <si>
    <t>24,0777/28,1553</t>
  </si>
  <si>
    <t>WBGene00001511</t>
  </si>
  <si>
    <t>29.5146</t>
  </si>
  <si>
    <t>Bm8057</t>
  </si>
  <si>
    <t>WBGene00228318</t>
  </si>
  <si>
    <t>Bm12865</t>
  </si>
  <si>
    <t>WBGene00233126</t>
  </si>
  <si>
    <t>GO:0035091/</t>
  </si>
  <si>
    <t>phosphatidylinositol_binding/</t>
  </si>
  <si>
    <t>Interacting_selectively_and_non-covalently_with_any_inositol-containing_glycerophospholipid,_i.e._phosphatidylinositol_(PtdIns)_and_its_phosphorylated_derivatives._[GOC:bf,_ISBN:0198506732,_PMID:11395417]/</t>
  </si>
  <si>
    <t>IPR036871/</t>
  </si>
  <si>
    <t>PX_domain_superfamily/</t>
  </si>
  <si>
    <t>PX_dom_sf/</t>
  </si>
  <si>
    <t>note=contains_similarity_to_Interpro_domain_IPR001683_(Phox_homologous_domain)</t>
  </si>
  <si>
    <t>7209.EFO25015.1</t>
  </si>
  <si>
    <t>6.9e-310</t>
  </si>
  <si>
    <t>1069.3</t>
  </si>
  <si>
    <t>GO:0003674,GO:0005488,GO:0005515,GO:0005575,GO:0005622,GO:0005623,GO:0005737,GO:0005844,GO:0032991,GO:0035770,GO:0036464,GO:0043186,GO:0043226,GO:0043228,GO:0043229,GO:0043232,GO:0044424,GO:0044444,GO:0044464,GO:0045495,GO:0060293,GO:1990904</t>
  </si>
  <si>
    <t>1M01K@119089,2FGPU@1,2TI2R@2759,39EG8@33154,3CIDJ@33208,3DZXI@33213,40HHE@6231</t>
  </si>
  <si>
    <t>43,0793/33,126</t>
  </si>
  <si>
    <t>97,0451/97,0451</t>
  </si>
  <si>
    <t>37,7916/47,5894</t>
  </si>
  <si>
    <t>Bm5114</t>
  </si>
  <si>
    <t>WBGene00225375</t>
  </si>
  <si>
    <t>GO:0003676/GO:0005515/GO:0005634/GO:0006281/GO:0043161/</t>
  </si>
  <si>
    <t>DNA_repair/nucleic_acid_binding/nucleus/proteasome-mediated_ubiquitin-dependent_protein_catabolic_process/protein_binding/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</si>
  <si>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Interacting_selectively_and_non-covalently_with_any_nucleic_acid."_[GOC:jl]/"Interacting_selectively_and_non-covalently_with_any_protein_or_protein_complex_(a_complex_of_two_or_more_proteins_that_may_include_other_nonprotein_molecules)."_[GOC:go_curators]/"The_chemical_reactions_and_pathways_resulting_in_the_breakdown_of_a_protein_or_peptide_by_hydrolysis_of_its_peptide_bonds,_initiated_by_the_covalent_attachment_of_ubiquitin,_and_mediated_by_the_proteasome."_[GOC:go_curators]/"The_process_of_restoring_DNA_after_damage._Genomes_are_subject_to_damage_by_chemical_and_physical_agents_in_the_environment_(e.g._UV_and_ionizing_radiations,_chemical_mutagens,_fungal_and_bacterial_toxins,_etc.)_and_by_free_radicals_or_alkylating_agents_endogenously_generated_in_metabolism._DNA_is_also_damaged_because_of_errors_during_its_replication._A_variety_of_different_DNA_repair_pathways_have_been_reported_that_include_direct_reversal,_base_excision_repair,_nucleotide_excision_repair,_photoreactivation,_bypass,_double-strand_break_repair_pathway,_and_mismatch_repair_pathway."_[PMID:11563486]/</t>
  </si>
  <si>
    <t>IPR004871/IPR011047/IPR015943/IPR031297/IPR036322/</t>
  </si>
  <si>
    <t>Cleavage/polyadenylation_specificity_factor,_A_subunit,_C-terminal/DNA_damage-binding_protein_1/Quinoprotein_alcohol_dehydrogenase-like_superfamily/WD40-repeat-containing_domain_superfamily/WD40/YVTN_repeat-like-containing_domain_superfamily/</t>
  </si>
  <si>
    <t>Cleavage/polyA-sp_fac_asu_C/DDB1/Quinoprotein_ADH-like_supfam/WD40/YVTN_repeat-like_dom_sf/WD40_repeat_dom_sf/</t>
  </si>
  <si>
    <t>note=B._malayi_BMA-DDB-1_protein,_contains_similarity_toPfam_domain_PF03178_CPSF_A_subunit_region_containssimilarity_to_Interpro_domain_IPR004871(Cleavage/polyadenylation_specificity_factor,_A_subunit,C-terminal)</t>
  </si>
  <si>
    <t>7209.EJD73911.1</t>
  </si>
  <si>
    <t>2194.5</t>
  </si>
  <si>
    <t>GO:0003674,GO:0005488,GO:0005515,GO:0005575,GO:0005622,GO:0005623,GO:0005634,GO:0005737,GO:0006508,GO:0006511,GO:0006807,GO:0008150,GO:0008152,GO:0009056,GO:0009057,GO:0009987,GO:0010498,GO:0019538,GO:0019941,GO:0030163,GO:0043161,GO:0043170,GO:0043226,GO:0043227,GO:0043229,GO:0043231,GO:0043632,GO:0044237,GO:0044238,GO:0044248,GO:0044257,GO:0044260,GO:0044265,GO:0044267,GO:0044424,GO:0044464,GO:0051603,GO:0071704,GO:1901564,GO:1901565,GO:1901575</t>
  </si>
  <si>
    <t>ko:K10610</t>
  </si>
  <si>
    <t>ko03420,ko04120,ko05161,ko05203,map03420,map04120,map05161,map05203</t>
  </si>
  <si>
    <t>M00385,M00386</t>
  </si>
  <si>
    <t>ko00000,ko00001,ko00002,ko03400,ko04121</t>
  </si>
  <si>
    <t>1KTQK@119089,38BHS@33154,3BB3P@33208,3CX3R@33213,40BCE@6231,KOG1897@1,KOG1897@2759</t>
  </si>
  <si>
    <t>Mono-functional DNA-alkylating methyl methanesulfonate N-term</t>
  </si>
  <si>
    <t>20,8551/42,4084</t>
  </si>
  <si>
    <t>16,3176/17,801/2,96684</t>
  </si>
  <si>
    <t>45,5497/4,7993</t>
  </si>
  <si>
    <t>3,9267/45,4625</t>
  </si>
  <si>
    <t>47,8185/47,8185/28,8831/3,4904/13,1763</t>
  </si>
  <si>
    <t>45,7243/3,31588</t>
  </si>
  <si>
    <t>17,801/49,8255</t>
  </si>
  <si>
    <t>2,96684/31,1518/14,1361</t>
  </si>
  <si>
    <t>15,8813/15,445/4,10122/18,5864/5,32286/2,00698/2,44328</t>
  </si>
  <si>
    <t>9,33682/33,7696</t>
  </si>
  <si>
    <t>17,103/33,2461</t>
  </si>
  <si>
    <t>28,0977/24,9564/25,4799</t>
  </si>
  <si>
    <t>33,1588/19,0227</t>
  </si>
  <si>
    <t>20,0698/41,8848</t>
  </si>
  <si>
    <t>WBGene00010890</t>
  </si>
  <si>
    <t>39.6161</t>
  </si>
  <si>
    <t>Bm1756</t>
  </si>
  <si>
    <t>Bm1279</t>
  </si>
  <si>
    <t>WBGene00221540</t>
  </si>
  <si>
    <t>Bm4164</t>
  </si>
  <si>
    <t>WBGene00224425</t>
  </si>
  <si>
    <t>7209.EFO18708.1</t>
  </si>
  <si>
    <t>4.8e-85</t>
  </si>
  <si>
    <t>320.5</t>
  </si>
  <si>
    <t>1KX4M@119089,2CZJ6@1,2SAMF@2759,3AB2E@33154,3BUF7@33208,3DB2F@33213,40ERI@6231</t>
  </si>
  <si>
    <t>43,1953/42,0118</t>
  </si>
  <si>
    <t>WBGene00045269</t>
  </si>
  <si>
    <t>40.2367</t>
  </si>
  <si>
    <t>Bm8232</t>
  </si>
  <si>
    <t>WBGene00228493</t>
  </si>
  <si>
    <t>78,75/32,5</t>
  </si>
  <si>
    <t>Bm1900</t>
  </si>
  <si>
    <t>WBGene00222161</t>
  </si>
  <si>
    <t>note=B._malayi_BMA-ADT-1_protein,_contains_similarity_toInterpro_domain_IPR000884_(Thrombospondin,_type_1_repeat)</t>
  </si>
  <si>
    <t>6239.C02B4.1</t>
  </si>
  <si>
    <t>2.2e-15</t>
  </si>
  <si>
    <t>88.6</t>
  </si>
  <si>
    <t>adt-1</t>
  </si>
  <si>
    <t>1KUDH@119089,39WR6@33154,3BH2R@33208,3CZ22@33213,40CB4@6231,40WXD@6236,KOG3538@1,KOG3538@2759</t>
  </si>
  <si>
    <t>Reprolysin family propeptide</t>
  </si>
  <si>
    <t>Bm14288</t>
  </si>
  <si>
    <t>WBGene00234549</t>
  </si>
  <si>
    <t>Bm8545</t>
  </si>
  <si>
    <t>WBGene00228806</t>
  </si>
  <si>
    <t>68,8596/75,4386/71,0526</t>
  </si>
  <si>
    <t>30,7018/28,0702</t>
  </si>
  <si>
    <t>Bm10258</t>
  </si>
  <si>
    <t>WBGene00230519</t>
  </si>
  <si>
    <t>Bm9360</t>
  </si>
  <si>
    <t>WBGene00229621</t>
  </si>
  <si>
    <t>note=contains_similarity_to_Pfam_domain_PF01391_Collagentriple_helix_repeat_(20_copies)_contains_similarity_toInterpro_domain_IPR008160_(Collagen_triple_helix_repeat)</t>
  </si>
  <si>
    <t>33,3333/50,6667</t>
  </si>
  <si>
    <t>Bm10352</t>
  </si>
  <si>
    <t>WBGene00230613</t>
  </si>
  <si>
    <t>GO:0005634/GO:0045892/</t>
  </si>
  <si>
    <t>negative_regulation_of_transcription,_DNA-templated/nucleus/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</si>
  <si>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process_that_stops,_prevents,_or_reduces_the_frequency,_rate_or_extent_of_cellular_DNA-templated_transcription."_[GOC:go_curators,_GOC:txnOH]/</t>
  </si>
  <si>
    <t>IPR006942/</t>
  </si>
  <si>
    <t>TH1_protein/</t>
  </si>
  <si>
    <t>TH1/</t>
  </si>
  <si>
    <t>note=contains_similarity_to_Pfam_domain_PF04858_TH1_protein_contains_similarity_to_Interpro_domain_IPR006942_(TH1_protein)</t>
  </si>
  <si>
    <t>7209.EFO22838.1</t>
  </si>
  <si>
    <t>3.3e-165</t>
  </si>
  <si>
    <t>588.2</t>
  </si>
  <si>
    <t>ko:K15181</t>
  </si>
  <si>
    <t>1KYEH@119089,28HGD@1,2QPUE@2759,38BBU@33154,3BCYY@33208,3CS4Q@33213,40G1W@6231</t>
  </si>
  <si>
    <t>TH1 protein</t>
  </si>
  <si>
    <t>58,6283/0,663717</t>
  </si>
  <si>
    <t>22,5664/9,0708/20,354</t>
  </si>
  <si>
    <t>Bm1519</t>
  </si>
  <si>
    <t>WBGene00221780</t>
  </si>
  <si>
    <t>GO:0007218/</t>
  </si>
  <si>
    <t>neuropeptide_signaling_pathway/</t>
  </si>
  <si>
    <t>The_series_of_molecular_signals_generated_as_a_consequence_of_a_peptide_neurotransmitter_binding_to_a_cell_surface_receptor._[GOC:mah,_ISBN:0815316194]/</t>
  </si>
  <si>
    <t>IPR002544/</t>
  </si>
  <si>
    <t>FMRFamide-related_peptide-like/</t>
  </si>
  <si>
    <t>FMRFamid-related_peptide-like/</t>
  </si>
  <si>
    <t>note=contains_similarity_to_Pfam_domain_PF01581_FMRFamide_related_peptide_family_contains_similarity_to_Interpro_domain_IPR002544_(FMRFamide-related_peptide-like)</t>
  </si>
  <si>
    <t>Bm4017</t>
  </si>
  <si>
    <t>WBGene00224278</t>
  </si>
  <si>
    <t>7209.EJD75383.1</t>
  </si>
  <si>
    <t>2.1e-49</t>
  </si>
  <si>
    <t>202.6</t>
  </si>
  <si>
    <t>1KZM9@119089,2ETJ0@1,2SVVV@2759,3AQX6@33154,3C2G7@33208,3DIUQ@33213,40GVS@6231</t>
  </si>
  <si>
    <t>48,75/48,75</t>
  </si>
  <si>
    <t>37,5/31,6667</t>
  </si>
  <si>
    <t>32,9167/32,9167/29,5833</t>
  </si>
  <si>
    <t>27,0833/27,9167</t>
  </si>
  <si>
    <t>WBGene00009470/WBGene00009031</t>
  </si>
  <si>
    <t>27.0833/27.9167</t>
  </si>
  <si>
    <t>Bm80</t>
  </si>
  <si>
    <t>WBGene00220341</t>
  </si>
  <si>
    <t>/GO:0016579/GO:0036459/</t>
  </si>
  <si>
    <t>/protein_deubiquitination/thiol-dependent_ubiquitinyl_hydrolase_activity/</t>
  </si>
  <si>
    <t>/"Catalysis_of_the_thiol-dependent_hydrolysis_of_an_ester,_thioester,_amide,_peptide_or_isopeptide_bond_formed_by_the_C-terminal_glycine_of_ubiquitin."_[EC:3.4.19.12,_GOC:bf,_GOC:ka]/"The_removal_of_one_or_more_ubiquitin_groups_from_a_protein."_[GOC:ai]/</t>
  </si>
  <si>
    <t>/IPR001394/IPR028889/IPR038765/</t>
  </si>
  <si>
    <t>/Papain-like_cysteine_peptidase_superfamily/Peptidase_C19,_ubiquitin_carboxyl-terminal_hydrolase/Ubiquitin_specific_protease_domain/</t>
  </si>
  <si>
    <t>/Papain_like_cys_pep_sf/Peptidase_C19_UCH/USP_dom/</t>
  </si>
  <si>
    <t>note=contains_similarity_to_Pfam_domain_PF00443_Ubiquitin_carboxyl-terminal_hydrolase_contains_similarity_to_Interpro_domain_IPR001394_(Peptidase_C19,_ubiquitin_carboxyl-terminal_hydrolase)</t>
  </si>
  <si>
    <t>Bm7069</t>
  </si>
  <si>
    <t>WBGene00227330</t>
  </si>
  <si>
    <t>IPR036915/IPR039890/</t>
  </si>
  <si>
    <t>Cyclin-like_superfamily/Cyclin_N-terminal_domain-containing_protein_1/</t>
  </si>
  <si>
    <t>CNTD1/Cyclin-like_sf/</t>
  </si>
  <si>
    <t>note=B._malayi_BMA-COSA-1_protein,_contains_similarity_to_Interpro_domain_IPR013763_(Cyclin-like)</t>
  </si>
  <si>
    <t>7209.EFO24984.1</t>
  </si>
  <si>
    <t>3.2e-165</t>
  </si>
  <si>
    <t>587.8</t>
  </si>
  <si>
    <t>GO:0000003,GO:0000280,GO:0005575,GO:0005622,GO:0005623,GO:0005694,GO:0006139,GO:0006259,GO:0006310,GO:0006725,GO:0006807,GO:0006996,GO:0007049,GO:0007127,GO:0007131,GO:0008150,GO:0008152,GO:0009987,GO:0016043,GO:0022402,GO:0022414,GO:0034641,GO:0035825,GO:0035861,GO:0043170,GO:0043226,GO:0043228,GO:0043229,GO:0043232,GO:0044237,GO:0044238,GO:0044260,GO:0044422,GO:0044424,GO:0044427,GO:0044446,GO:0044464,GO:0046483,GO:0048285,GO:0051321,GO:0061982,GO:0071704,GO:0071840,GO:0090304,GO:0090734,GO:0140013,GO:1901360,GO:1903046</t>
  </si>
  <si>
    <t>1KX3Z@119089,28NZP@1,2QVK8@2759,39WTE@33154,3CAUD@33208,3DS25@33213,40EW9@6231</t>
  </si>
  <si>
    <t>35,9517/36,2538</t>
  </si>
  <si>
    <t>WBGene00022172</t>
  </si>
  <si>
    <t>28.7009</t>
  </si>
  <si>
    <t>Bm8846</t>
  </si>
  <si>
    <t>WBGene00229107</t>
  </si>
  <si>
    <t>Bm10758</t>
  </si>
  <si>
    <t>WBGene00231019</t>
  </si>
  <si>
    <t>Bm17899</t>
  </si>
  <si>
    <t>WBGene00269041</t>
  </si>
  <si>
    <t>Bm12308</t>
  </si>
  <si>
    <t>WBGene00232569</t>
  </si>
  <si>
    <t>/IPR013087/IPR036236/</t>
  </si>
  <si>
    <t>/Zinc_finger_C2H2-type/Zinc_finger_C2H2_superfamily/</t>
  </si>
  <si>
    <t>/Znf_C2H2_sf/Znf_C2H2_type/</t>
  </si>
  <si>
    <t>Bm18009</t>
  </si>
  <si>
    <t>WBGene00269151</t>
  </si>
  <si>
    <t>Bm1532</t>
  </si>
  <si>
    <t>WBGene00221793</t>
  </si>
  <si>
    <t>Bm8880</t>
  </si>
  <si>
    <t>WBGene00229141</t>
  </si>
  <si>
    <t>49,2236/56,9876</t>
  </si>
  <si>
    <t>60,7143/25</t>
  </si>
  <si>
    <t>20,1863/30,7453/29,9689</t>
  </si>
  <si>
    <t>15,2174/10,7143</t>
  </si>
  <si>
    <t>51,2422/17,0807</t>
  </si>
  <si>
    <t>Bm10927</t>
  </si>
  <si>
    <t>WBGene00231188</t>
  </si>
  <si>
    <t>32,5826/57,958</t>
  </si>
  <si>
    <t>18,4685/32,5826</t>
  </si>
  <si>
    <t>Bm2087</t>
  </si>
  <si>
    <t>WBGene00222348</t>
  </si>
  <si>
    <t>GO:0005892/</t>
  </si>
  <si>
    <t>acetylcholine-gated_channel_complex/</t>
  </si>
  <si>
    <t>A_homo-_or_hetero-pentameric_protein_complex_that_forms_a_transmembrane_channel_through_which_ions_may_pass_in_response_to_acetylcholine_binding._[GOC:bf,_GOC:mah,_PMID:12381728,_PMID:15579462]/</t>
  </si>
  <si>
    <t>IPR033438/</t>
  </si>
  <si>
    <t>Modulator_of_levamisole_receptor-1/</t>
  </si>
  <si>
    <t>MOLO1/</t>
  </si>
  <si>
    <t>6326.BUX.s00422.137</t>
  </si>
  <si>
    <t>9.2e-33</t>
  </si>
  <si>
    <t>1KXG2@119089,2D17G@1,2SGZW@2759,3ADWU@33154,3BVVM@33208,3DCSN@33213,40EXH@6231</t>
  </si>
  <si>
    <t>Modulator of levamisole receptor-1</t>
  </si>
  <si>
    <t>42,3313/42,3313</t>
  </si>
  <si>
    <t>WBGene00015622</t>
  </si>
  <si>
    <t>43.5583</t>
  </si>
  <si>
    <t>Bm1325</t>
  </si>
  <si>
    <t>WBGene00221586</t>
  </si>
  <si>
    <t>Bm17955</t>
  </si>
  <si>
    <t>WBGene00269097</t>
  </si>
  <si>
    <t>Bm5804</t>
  </si>
  <si>
    <t>WBGene00226065</t>
  </si>
  <si>
    <t>GO:0004930/GO:0007186/GO:0008528/GO:0016020/GO:0016021/</t>
  </si>
  <si>
    <t>G_protein-coupled_peptide_receptor_activity/G_protein-coupled_receptor_activity/G_protein-coupled_receptor_signaling_pathway/integral_component_of_membrane/membrane/</t>
  </si>
  <si>
    <t>A_lipid_bilayer_along_with_all_the_proteins_and_protein_complexes_embedded_in_it_an_attached_to_it._[GOC:dos,_GOC:mah,_ISBN:0815316194]/"A_series_of_molecular_signals_that_proceeds_with_an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or_for_basal_GPCR_signaling_the_pathway_begins_with_the_receptor_activating_its_G_protein_in_the_absence_of_an_agonist,_and_ends_with_regulation_of_a_downstream_cellular_process,_e.g._transcription.__The_pathway_can_start_from_the_plasma_membrane,_Golgi_or_nuclear_membrane_(PMID:24568158_and_PMID:16902576)."_[GOC:bf,_GOC:mah,_PMID:16902576,_PMID:24568158,_Wikipedia:G_protein-coupled_receptor]/"Combining_with_a_peptide_and_transmitting_the_signal_across_the_membrane_by_activating_an_associated_G-protein;_promotes_the_exchange_of_GDP_for_GTP_on_the_alpha_subunit_of_a_heterotrimeric_G-protein_complex."_[GOC:dph,_GOC:tb]/"Combining_with_an_extracellular_signal_and_transmitting_the_signal_across_the_membrane_by_activating_an_associated_G-protein;_promotes_the_exchange_of_GDP_for_GTP_on_the_alpha_subunit_of_a_heterotrimeric_G-protein_complex."_[GOC:bf,_http://www.iuphar-db.org,_Wikipedia:GPCR]/"The_component_of_a_membrane_consisting_of_the_gene_products_and_protein_complexes_having_at_least_some_part_of_their_peptide_sequence_embedded_in_the_hydrophobic_region_of_the_membrane."_[GOC:dos,_GOC:go_curators]/</t>
  </si>
  <si>
    <t>note=B._malayi_BMA-DMSR-2_protein,_contains_similarity_to_Pfam_domain_PF10324_Serpentine_type_7TM_GPCR_chemoreceptor_Srw_contains_similarity_to_Interpro_domains_IPR019427_(7TM_GPCR,_serpentine_receptor_class_w_(Srw)),_IPR000276_(G_protein-coupled_receptor,_rhodopsin-like)</t>
  </si>
  <si>
    <t>6239.Y23H5B.4</t>
  </si>
  <si>
    <t>9.6e-85</t>
  </si>
  <si>
    <t>1KW9V@119089,2BWNV@1,2S2WV@2759,3A4HQ@33154,3BS93@33208,3D8ZB@33213,40DIG@6231,40YK9@6236</t>
  </si>
  <si>
    <t>30,7692/56,213/55,0296</t>
  </si>
  <si>
    <t>WBGene00021275</t>
  </si>
  <si>
    <t>49.1124</t>
  </si>
  <si>
    <t>Bm3174</t>
  </si>
  <si>
    <t>WBGene00223435</t>
  </si>
  <si>
    <t>GO:0004553/GO:0005576/GO:0005975/GO:0006030/GO:0008061/GO:0008152/GO:0016787/GO:0016798/</t>
  </si>
  <si>
    <t>carbohydrate_metabolic_process/chitin_binding/chitin_metabolic_process/extracellular_region/hydrolase_activity/hydrolase_activity,_acting_on_glycosyl_bonds/hydrolase_activity,_hydrolyzing_O-glycosyl_compounds/metabolic_process/</t>
  </si>
  <si>
    <t>Catalysis_of_the_hydrolysis_of_any_O-glycosyl_bond._[GOC:mah]/"Catalysis_of_the_hydrolysis_of_any_glycosyl_bond."_[GOC:jl]/"Catalysis_of_the_hydrolysis_of_various_bonds,_e.g._C-O,_C-N,_C-C,_phosphoric_anhydride_bonds,_etc._Hydrolase_is_the_systematic_name_for_any_enzyme_of_EC_class_3."_[ISBN:0198506732]/"Interacting_selectively_and_non-covalently_with_chitin,_a_linear_polysaccharide_consisting_of_beta-(1-&gt;4)-linked_N-acetyl-D-glucosamine_residues."_[GOC:jl,_ISBN:0198506732]/"The_chemical_reactions_and_pathways,_including_anabolism_and_catabolism,_by_which_living_organisms_transform_chemical_substances._Metabolic_processes_typically_transform_small_molecules,_but_also_include_macromolecular_processes_such_as_DNA_repair_and_replication,_and_protein_synthesis_and_degradation."_[GOC:go_curators,_ISBN:0198547684]/"The_chemical_reactions_and_pathways_involving_carbohydrates,_any_of_a_group_of_organic_compounds_based_of_the_general_formula_Cx(H2O)y._Includes_the_formation_of_carbohydrate_derivatives_by_the_addition_of_a_carbohydrate_residue_to_another_molecule."_[GOC:mah,_ISBN:0198506732]/"The_chemical_reactions_and_pathways_involving_chitin,_a_linear_polysaccharide_consisting_of_beta-(1-&gt;4)-linked_N-acetyl-D-glucosamine_residues."_[GOC:jl,_ISBN:0198506732]/"The_space_external_to_the_outermost_structure_of_a_cell._For_cells_without_external_protective_or_external_encapsulating_structures_this_refers_to_space_outside_of_the_plasma_membrane._This_term_covers_the_host_cell_environment_outside_an_intracellular_parasite."_[GOC:go_curators]/</t>
  </si>
  <si>
    <t>IPR001223/IPR001579/IPR002557/IPR011583/IPR017853/IPR029070/IPR036508/</t>
  </si>
  <si>
    <t>Chitin_binding_domain/Chitin_binding_domain_superfamily/Chitinase_II/Chitinase_insertion_domain_superfamily/Glycoside_hydrolase,_chitinase_active_site/Glycoside_hydrolase_family_18,_catalytic_domain/Glycoside_hydrolase_superfamily/</t>
  </si>
  <si>
    <t>Chitin-bd_dom/Chitin-bd_dom_sf/Chitinase_II/Chitinase_insertion_sf/Glyco_hydro18_cat/Glyco_hydro_18_chit_AS/Glycoside_hydrolase_SF/</t>
  </si>
  <si>
    <t>note=contains_similarity_to_Pfam_domain_PF01607_Chitin_binding_Peritrophin-A_domain_contains_similarity_to_Interpro_domains_IPR017853_(Glycoside_hydrolase_superfamily),_IPR002557_(Chitin_binding_domain),_IPR013781_(Glycoside_hydrolase,_catalytic_domain)</t>
  </si>
  <si>
    <t>2.1e-184</t>
  </si>
  <si>
    <t>652.1</t>
  </si>
  <si>
    <t>17,1154/35,9615/27,6923/15/18,6538</t>
  </si>
  <si>
    <t>14,4231/33,4615/41,5385</t>
  </si>
  <si>
    <t>52,6923/47,5/47,3077/26,7308/62,5</t>
  </si>
  <si>
    <t>65,1923/58,6538</t>
  </si>
  <si>
    <t>8,84615/8,07692</t>
  </si>
  <si>
    <t>11,7308/34,0385/8,65385/12,8846</t>
  </si>
  <si>
    <t>23,4615/24,6154/27,1154/24,2308/22,8846/24,8077/26,7308</t>
  </si>
  <si>
    <t>32,3077/24,2308</t>
  </si>
  <si>
    <t>30,9615/33,2692</t>
  </si>
  <si>
    <t>34,2308/32,8846</t>
  </si>
  <si>
    <t>27,6923/28,4615</t>
  </si>
  <si>
    <t>26,9231/26,3462</t>
  </si>
  <si>
    <t>35.5769</t>
  </si>
  <si>
    <t>Bm10607</t>
  </si>
  <si>
    <t>WBGene00230868</t>
  </si>
  <si>
    <t>2.5e-238</t>
  </si>
  <si>
    <t>831.6</t>
  </si>
  <si>
    <t>24,4776/7,91045/21,6418</t>
  </si>
  <si>
    <t>Bm17886</t>
  </si>
  <si>
    <t>WBGene00269028</t>
  </si>
  <si>
    <t>3.7e-31</t>
  </si>
  <si>
    <t>141.4</t>
  </si>
  <si>
    <t>Bm14173</t>
  </si>
  <si>
    <t>WBGene00234434</t>
  </si>
  <si>
    <t>Bm1044</t>
  </si>
  <si>
    <t>WBGene00221305</t>
  </si>
  <si>
    <t>Bm2724</t>
  </si>
  <si>
    <t>WBGene00222985</t>
  </si>
  <si>
    <t>50,3448/48,2759</t>
  </si>
  <si>
    <t>44,1379/41,3793</t>
  </si>
  <si>
    <t>41,3793/41,3793/41,3793/41,3793</t>
  </si>
  <si>
    <t>Bm3605</t>
  </si>
  <si>
    <t>WBGene00223866</t>
  </si>
  <si>
    <t>GO:0001172/GO:0003968/</t>
  </si>
  <si>
    <t>RNA-directed_5'-3'_RNA_polymerase_activity/transcription,_RNA-templated/</t>
  </si>
  <si>
    <t>Catalysis_of_the_reaction:_nucleoside_triphosphate_+_RNA(n)_=_diphosphate_+_RNA(n+1);_uses_an_RNA_template,_i.e._the_catalysis_of_RNA-template-directed_extension_of_the_3'-end_of_an_RNA_strand_by_one_nucleotide_at_a_time._[EC:2.7.7.48,_GOC:mah,_GOC:pf]/"The_cellular_synthesis_of_RNA_on_a_template_of_RNA."_[GOC:txnOH]/</t>
  </si>
  <si>
    <t>IPR007855/</t>
  </si>
  <si>
    <t>RNA-dependent_RNA_polymerase,_eukaryotic-type/</t>
  </si>
  <si>
    <t>RNA-dep_RNA_pol_euk-typ/</t>
  </si>
  <si>
    <t>note=contains_similarity_to_Pfam_domain_PF05183_RNA_dependent_RNA_polymerase_contains_similarity_to_Interpro_domain_IPR007855_(RNA-dependent_RNA_polymerase,_eukaryotic-type)</t>
  </si>
  <si>
    <t>7209.EJD73758.1</t>
  </si>
  <si>
    <t>1809.7</t>
  </si>
  <si>
    <t>rrf-1</t>
  </si>
  <si>
    <t>GO:0000003,GO:0000228,GO:0000578,GO:0000793,GO:0000794,GO:0001172,GO:0003002,GO:0003006,GO:0003674,GO:0003824,GO:0003968,GO:0005488,GO:0005515,GO:0005575,GO:0005622,GO:0005623,GO:0005634,GO:0005694,GO:0005737,GO:0005844,GO:0006139,GO:0006396,GO:0006725,GO:0006807,GO:0006996,GO:0006997,GO:0007028,GO:0007275,GO:0007276,GO:0007281,GO:0007283,GO:0007292,GO:0007308,GO:0007309,GO:0007314,GO:0007315,GO:0007350,GO:0007351,GO:0007389,GO:0007548,GO:0008104,GO:0008150,GO:0008152,GO:0008358,GO:0008406,GO:0008595,GO:0009058,GO:0009059,GO:0009653,GO:0009790,GO:0009798,GO:0009880,GO:0009887,GO:0009892,GO:0009948,GO:0009952,GO:0009987,GO:0009994,GO:0010033,GO:0010467,GO:0010468,GO:0010605,GO:0010608,GO:0010629,GO:0014070,GO:0016043,GO:0016070,GO:0016246,GO:0016441,GO:0016458,GO:0016740,GO:0016772,GO:0016779,GO:0017151,GO:0018130,GO:0019222,GO:0019438,GO:0019899,GO:0019953,GO:0021700,GO:0022412,GO:0022414,GO:0022607,GO:0022613,GO:0022618,GO:0030154,GO:0030422,GO:0030719,GO:0031047,GO:0031050,GO:0031081,GO:0031503,GO:0031974,GO:0031981,GO:0032501,GO:0032502,GO:0032504,GO:0032774,GO:0032991,GO:0033036,GO:0034062,GO:0034613,GO:0034622,GO:0034629,GO:0034641,GO:0034654,GO:0035112,GO:0035194,GO:0035262,GO:0035282,GO:0035770,GO:0036464,GO:0040029,GO:0040035,GO:0042221,GO:0043170,GO:0043186,GO:0043226,GO:0043227,GO:0043228,GO:0043229,GO:0043231,GO:0043232,GO:0043233,GO:0043331,GO:0043933,GO:0044085,GO:0044237,GO:0044238,GO:0044249,GO:0044271,GO:0044422,GO:0044424,GO:0044428,GO:0044444,GO:0044446,GO:0044464,GO:0044703,GO:0045137,GO:0045495,GO:0046483,GO:0048232,GO:0048468,GO:0048469,GO:0048471,GO:0048477,GO:0048513,GO:0048519,GO:0048599,GO:0048608,GO:0048609,GO:0048731,GO:0048806,GO:0048815,GO:0048856,GO:0048869,GO:0050789,GO:0050896,GO:0051179,GO:0051641,GO:0051664,GO:0051668,GO:0051704,GO:0051716,GO:0060255,GO:0060293,GO:0061458,GO:0065003,GO:0065007,GO:0070013,GO:0070090,GO:0070727,GO:0070887,GO:0070918,GO:0070925,GO:0071310,GO:0071359,GO:0071407,GO:0071704,GO:0071826,GO:0071840,GO:0090304,GO:0097659,GO:0097747,GO:0140098,GO:1901360,GO:1901362,GO:1901576,GO:1901698,GO:1901699,GO:1903863,GO:1990633,GO:1990904</t>
  </si>
  <si>
    <t>1KV3B@119089,38HE1@33154,3BDIT@33208,3D4YB@33213,40CFW@6231,KOG0988@1,KOG0988@2759</t>
  </si>
  <si>
    <t>RNA-directed 5'-3' RNA polymerase activity</t>
  </si>
  <si>
    <t>7,48175/8,27251</t>
  </si>
  <si>
    <t>29,3796/28,528</t>
  </si>
  <si>
    <t>24,7567/29,5012/26,8856</t>
  </si>
  <si>
    <t>25,1217/25,1825/10,7664/30,5961/27,0681</t>
  </si>
  <si>
    <t>11,8613/7,17762</t>
  </si>
  <si>
    <t>33,455/11,0097/29,2579/5,71776</t>
  </si>
  <si>
    <t>34,7324/30,5353</t>
  </si>
  <si>
    <t>30,1095/32,5426/11,4355/30,0487/36,0706/29,7445</t>
  </si>
  <si>
    <t>28,528/32,4818/26,4599/28,2847</t>
  </si>
  <si>
    <t>26,2165/10,2798</t>
  </si>
  <si>
    <t>7,3601/4,80535/15,7543/9,24574/9,61071</t>
  </si>
  <si>
    <t>34,1849/33,7591/36,0706</t>
  </si>
  <si>
    <t>WBGene00004508/WBGene00004509/WBGene00001214</t>
  </si>
  <si>
    <t>34.1849/33.7591/36.0706</t>
  </si>
  <si>
    <t>Bm10650</t>
  </si>
  <si>
    <t>WBGene00230911</t>
  </si>
  <si>
    <t>note=contains_similarity_to_Pfam_domains_PF00096_(Zinc_finger,_C2H2_type),_PF13894_(C2H2-type_zinc_finger)_contains_similarity_to_Interpro_domains_IPR015880_(Zinc_finger,_C2H2-like),_IPR013087_(Zinc_finger_C2H2-type/integrase_DNA-binding_domain),_IPR007087_(Zinc_finger,_C2H2)</t>
  </si>
  <si>
    <t>2.4e-24</t>
  </si>
  <si>
    <t>119.8</t>
  </si>
  <si>
    <t>52,6154/39,0769/13,5385</t>
  </si>
  <si>
    <t>Bm17888</t>
  </si>
  <si>
    <t>WBGene00269030</t>
  </si>
  <si>
    <t>Bm18117</t>
  </si>
  <si>
    <t>WBGene00269257</t>
  </si>
  <si>
    <t>GO:0004867/GO:0010951/GO:0016020/GO:0016021/</t>
  </si>
  <si>
    <t>integral_component_of_membrane/membrane/negative_regulation_of_endopeptidase_activity/serine-type_endopeptidase_inhibitor_activity/</t>
  </si>
  <si>
    <t>A_lipid_bilayer_along_with_all_the_proteins_and_protein_complexes_embedded_in_it_an_attached_to_it._[GOC:dos,_GOC:mah,_ISBN:0815316194]/"Any_process_that_decreases_the_frequency,_rate_or_extent_of_endopeptidase_activity,_the_endohydrolysis_of_peptide_bonds_within_proteins."_[GOC:dph,_GOC:tb]/"Stops,_prevents_or_reduces_the_activity_of_serine-type_endopeptidases,_enzymes_that_catalyze_the_hydrolysis_of_nonterminal_peptide_bonds_in_a_polypeptide_chain;_a_serine_residue_(and_a_histidine_residue)_are_at_the_active_center_of_the_enzyme."_[GOC:ai]/"The_component_of_a_membrane_consisting_of_the_gene_products_and_protein_complexes_having_at_least_some_part_of_their_peptide_sequence_embedded_in_the_hydrophobic_region_of_the_membrane."_[GOC:dos,_GOC:go_curators]/</t>
  </si>
  <si>
    <t>IPR002223/IPR028150/IPR036880/</t>
  </si>
  <si>
    <t>Lustrin,_cysteine-rich_repeated/Pancreatic_trypsin_inhibitor_Kunitz_domain/Pancreatic_trypsin_inhibitor_Kunitz_domain_superfamily/</t>
  </si>
  <si>
    <t>Kunitz_BPTI/Kunitz_BPTI_sf/Lustrin_cystein/</t>
  </si>
  <si>
    <t>7209.EFO18056.2</t>
  </si>
  <si>
    <t>2.8e-51</t>
  </si>
  <si>
    <t>KOG4295@1,KOG4295@2759</t>
  </si>
  <si>
    <t>serine-type endopeptidase inhibitor activity</t>
  </si>
  <si>
    <t>93,9547/0,251889</t>
  </si>
  <si>
    <t>0,251889/10,0756</t>
  </si>
  <si>
    <t>0,251889/18,8917</t>
  </si>
  <si>
    <t>0,251889/0,251889</t>
  </si>
  <si>
    <t>0,503778/0,503778</t>
  </si>
  <si>
    <t>0,251889/0/0/0/1,51134/0,503778/0,503778/0/0,503778/1,00756/1,25945</t>
  </si>
  <si>
    <t>0,251889/0/0/0/1,51134/0,503778/0,503778/0,503778/0/0,503778/1,25945/1,00756</t>
  </si>
  <si>
    <t>0,251889/0,251889/0/0/1,51134/0,251889/1,00756/0,503778/1,25945/0,755668/1,51134</t>
  </si>
  <si>
    <t>Bm18153</t>
  </si>
  <si>
    <t>WBGene00269293</t>
  </si>
  <si>
    <t>6326.BUX.s01513.142</t>
  </si>
  <si>
    <t>8.2e-58</t>
  </si>
  <si>
    <t>230.3</t>
  </si>
  <si>
    <t>1KYDJ@119089,2EEWY@1,2SK7J@2759,3AFW6@33154,3BWVN@33208,3DEB9@33213,40FCM@6231</t>
  </si>
  <si>
    <t>Bm9001</t>
  </si>
  <si>
    <t>WBGene00229262</t>
  </si>
  <si>
    <t>IPR017452/IPR019420/IPR040158/</t>
  </si>
  <si>
    <t>7TM_GPCR,_nematode_serpentine_receptor_Sru/Srbc/7TM_GPCR,_serpentine_receptor_class_bc_(Srbc)/GPCR,_rhodopsin-like,_7TM/</t>
  </si>
  <si>
    <t>7TM_GPCR_serpentine_rcpt_Srbc/GPCR_Rhodpsn_7TM/Serpentine_recept_Sru/Srbc/</t>
  </si>
  <si>
    <t>note=contains_similarity_to_Pfam_domain_PF10316_Serpentine_type_7TM_GPCR_chemoreceptor_Srbc_contains_similarity_to_Interpro_domain_IPR019420_(7TM_GPCR,_serpentine_receptor_class_bc_(Srbc))</t>
  </si>
  <si>
    <t>281687.CJA07711</t>
  </si>
  <si>
    <t>8.3e-14</t>
  </si>
  <si>
    <t>84.7</t>
  </si>
  <si>
    <t>1M3D9@119089,2DA1C@1,2TH2F@2759,39D5S@33154,3CH5B@33208,3DYN5@33213,40K10@6231,4101S@6236</t>
  </si>
  <si>
    <t>Serpentine type 7TM GPCR chemoreceptor Srbc</t>
  </si>
  <si>
    <t>79,1798/79,8107</t>
  </si>
  <si>
    <t>Bm1635</t>
  </si>
  <si>
    <t>WBGene00221896</t>
  </si>
  <si>
    <t>Bm2220</t>
  </si>
  <si>
    <t>WBGene00222481</t>
  </si>
  <si>
    <t>7209.EFO23072.2</t>
  </si>
  <si>
    <t>8.2e-52</t>
  </si>
  <si>
    <t>211.5</t>
  </si>
  <si>
    <t>2D6JN@1,2T28E@2759</t>
  </si>
  <si>
    <t>WBGene00015795</t>
  </si>
  <si>
    <t>22.807</t>
  </si>
  <si>
    <t>Bm10605</t>
  </si>
  <si>
    <t>WBGene00230866</t>
  </si>
  <si>
    <t>IPR000436/IPR035976/</t>
  </si>
  <si>
    <t>Sushi/SCR/CCP_domain/Sushi/SCR/CCP_superfamily/</t>
  </si>
  <si>
    <t>Sushi/SCR/CCP_sf/Sushi_SCR_CCP_dom/</t>
  </si>
  <si>
    <t>note=contains_similarity_to_Interpro_domain_IPR000436_(Sushi/SCR/CCP_domain)</t>
  </si>
  <si>
    <t>1561998.Csp11.Scaffold629.g9795.t1</t>
  </si>
  <si>
    <t>1.6e-12</t>
  </si>
  <si>
    <t>80.1</t>
  </si>
  <si>
    <t>1KVKG@119089,2CXPJ@1,2RYWD@2759,3A1DY@33154,3BPX8@33208,3D6GY@33213,40D0W@6231,40Z5F@6236</t>
  </si>
  <si>
    <t>Domain abundant in complement control proteins; SUSHI repeat; short complement-like repeat (SCR)</t>
  </si>
  <si>
    <t>50,1992/50,1992</t>
  </si>
  <si>
    <t>25,498/21,1155</t>
  </si>
  <si>
    <t>Bm8950</t>
  </si>
  <si>
    <t>WBGene00229211</t>
  </si>
  <si>
    <t>Bm9336</t>
  </si>
  <si>
    <t>WBGene00229597</t>
  </si>
  <si>
    <t>GO:0004553/GO:0005576/GO:0005975/GO:0006030/GO:0008061/</t>
  </si>
  <si>
    <t>carbohydrate_metabolic_process/chitin_binding/chitin_metabolic_process/extracellular_region/hydrolase_activity,_hydrolyzing_O-glycosyl_compounds/</t>
  </si>
  <si>
    <t>Catalysis_of_the_hydrolysis_of_any_O-glycosyl_bond._[GOC:mah]/"Interacting_selectively_and_non-covalently_with_chitin,_a_linear_polysaccharide_consisting_of_beta-(1-&gt;4)-linked_N-acetyl-D-glucosamine_residues."_[GOC:jl,_ISBN:0198506732]/"The_chemical_reactions_and_pathways_involving_carbohydrates,_any_of_a_group_of_organic_compounds_based_of_the_general_formula_Cx(H2O)y._Includes_the_formation_of_carbohydrate_derivatives_by_the_addition_of_a_carbohydrate_residue_to_another_molecule."_[GOC:mah,_ISBN:0198506732]/"The_chemical_reactions_and_pathways_involving_chitin,_a_linear_polysaccharide_consisting_of_beta-(1-&gt;4)-linked_N-acetyl-D-glucosamine_residues."_[GOC:jl,_ISBN:0198506732]/"The_space_external_to_the_outermost_structure_of_a_cell._For_cells_without_external_protective_or_external_encapsulating_structures_this_refers_to_space_outside_of_the_plasma_membrane._This_term_covers_the_host_cell_environment_outside_an_intracellular_parasite."_[GOC:go_curators]/</t>
  </si>
  <si>
    <t>note=contains_similarity_to_Pfam_domains_PF01607_(Chitinbinding_Peritrophin-A_domain),_PF00704_(Glycosylhydrolases_family_18)_contains_similarity_to_Interprodomains_IPR011583_(Chitinase_II),_IPR017853_(Glycosidehydrolase_superfamily),_IPR001223_(Glycoside_hydrolase,family_18,_catalytic_domain),_IPR013781_(Glycosidehydrolase,_catalytic_domain),_IPR029070_(Chitinaseinsertion_domain),_IPR002557_(Chitin_binding_domain)</t>
  </si>
  <si>
    <t>5.1e-128</t>
  </si>
  <si>
    <t>464.5</t>
  </si>
  <si>
    <t>17,6587/37,1032/28,7698/15,4762/19,246</t>
  </si>
  <si>
    <t>14,881/34,5238/42,4603</t>
  </si>
  <si>
    <t>54,5635/48,8095/48,8095/27,5794/64,0873</t>
  </si>
  <si>
    <t>68,0556/60,119</t>
  </si>
  <si>
    <t>9,12698/8,33333</t>
  </si>
  <si>
    <t>12,1032/35,5159/8,92857/13,2937</t>
  </si>
  <si>
    <t>24,2063/25,5952/28,373/25,1984/23,0159/25/27,9762</t>
  </si>
  <si>
    <t>33,5317/24,8016</t>
  </si>
  <si>
    <t>31,3492/33,7302</t>
  </si>
  <si>
    <t>34,7222/32,9365</t>
  </si>
  <si>
    <t>28,373/29,3651</t>
  </si>
  <si>
    <t>27,5794/27,1825</t>
  </si>
  <si>
    <t>36.1111</t>
  </si>
  <si>
    <t>Bm6937</t>
  </si>
  <si>
    <t>WBGene00227198</t>
  </si>
  <si>
    <t>IPR000595/IPR021010/</t>
  </si>
  <si>
    <t>Cyclic_nucleotide-binding_domain/Cytosolic_motility_protein/</t>
  </si>
  <si>
    <t>Cytosolic_motility_protein/cNMP-bd_dom/</t>
  </si>
  <si>
    <t>note=contains_similarity_to_Pfam_domain_PF12150_Cytosolic_motility_protein_contains_similarity_to_Interpro_domain_IPR021010_(Cytosolic_motility_protein)</t>
  </si>
  <si>
    <t>7209.EFO22448.1</t>
  </si>
  <si>
    <t>1.9e-214</t>
  </si>
  <si>
    <t>751.5</t>
  </si>
  <si>
    <t>1KUF8@119089,2CN1M@1,2QTBD@2759,39YS6@33154,3BYIK@33208,3D61C@33213,40AJN@6231</t>
  </si>
  <si>
    <t>35,0924/21,8997/92,0844</t>
  </si>
  <si>
    <t>78,3641/77,8364</t>
  </si>
  <si>
    <t>Bm13534</t>
  </si>
  <si>
    <t>WBGene00233795</t>
  </si>
  <si>
    <t>IPR008737/</t>
  </si>
  <si>
    <t>Peptidase_aspartic,_putative/</t>
  </si>
  <si>
    <t>Peptidase_asp_put/</t>
  </si>
  <si>
    <t>2.1e-85</t>
  </si>
  <si>
    <t>9,20502/23,8494</t>
  </si>
  <si>
    <t>1,46444/13,5983/13,8075/1,46444</t>
  </si>
  <si>
    <t>Bm2555</t>
  </si>
  <si>
    <t>WBGene00222816</t>
  </si>
  <si>
    <t>6326.BUX.s00713.407</t>
  </si>
  <si>
    <t>8.4e-17</t>
  </si>
  <si>
    <t>94.4</t>
  </si>
  <si>
    <t>1KXR2@119089,2EDGN@1,2SJ40@2759,3AH3D@33154,3BZ0K@33208,3DFKM@33213,40FHH@6231</t>
  </si>
  <si>
    <t>3,93701/5,11811/22,0472</t>
  </si>
  <si>
    <t>22,4409/47,2441/44,0945/22,4409/36,2205</t>
  </si>
  <si>
    <t>Bm9973</t>
  </si>
  <si>
    <t>WBGene00230234</t>
  </si>
  <si>
    <t>IPR021010/</t>
  </si>
  <si>
    <t>Cytosolic_motility_protein/</t>
  </si>
  <si>
    <t>7209.EFO22753.2</t>
  </si>
  <si>
    <t>1.2e-181</t>
  </si>
  <si>
    <t>642.5</t>
  </si>
  <si>
    <t>WBGene00010682</t>
  </si>
  <si>
    <t>31.2668</t>
  </si>
  <si>
    <t>Bm17494</t>
  </si>
  <si>
    <t>WBGene00268637</t>
  </si>
  <si>
    <t>Bm9757</t>
  </si>
  <si>
    <t>WBGene00230018</t>
  </si>
  <si>
    <t>10,6814/64,4567</t>
  </si>
  <si>
    <t>10,8656/54,6961</t>
  </si>
  <si>
    <t>Bm11048</t>
  </si>
  <si>
    <t>WBGene00231309</t>
  </si>
  <si>
    <t>IPR036866/</t>
  </si>
  <si>
    <t>Ribonuclease_Z/Hydroxyacylglutathione_hydrolase-like/</t>
  </si>
  <si>
    <t>RibonucZ/Hydroxyglut_hydro/</t>
  </si>
  <si>
    <t>note=contains_similarity_to_Interpro_domain_IPR001279_(Beta-lactamase-like)</t>
  </si>
  <si>
    <t>7209.EFO18773.2</t>
  </si>
  <si>
    <t>616.7</t>
  </si>
  <si>
    <t>GO:0000003,GO:0000723,GO:0003674,GO:0003676,GO:0003677,GO:0003697,GO:0003824,GO:0004518,GO:0004527,GO:0005488,GO:0005575,GO:0005622,GO:0005623,GO:0005634,GO:0006139,GO:0006259,GO:0006278,GO:0006281,GO:0006289,GO:0006725,GO:0006807,GO:0006950,GO:0006974,GO:0006996,GO:0007004,GO:0008150,GO:0008152,GO:0008408,GO:0009058,GO:0009059,GO:0009892,GO:0009987,GO:0010605,GO:0010639,GO:0010833,GO:0016043,GO:0016787,GO:0016788,GO:0018130,GO:0019219,GO:0019222,GO:0019438,GO:0031323,GO:0031324,GO:0032200,GO:0032204,GO:0032205,GO:0033043,GO:0033044,GO:0033554,GO:0034641,GO:0034645,GO:0034654,GO:0042162,GO:0042592,GO:0043047,GO:0043170,GO:0043226,GO:0043227,GO:0043229,GO:0043231,GO:0043565,GO:0044237,GO:0044238,GO:0044249,GO:0044260,GO:0044271,GO:0044424,GO:0044464,GO:0045934,GO:0046483,GO:0048519,GO:0048523,GO:0050789,GO:0050794,GO:0050896,GO:0051052,GO:0051053,GO:0051128,GO:0051129,GO:0051171,GO:0051172,GO:0051276,GO:0051716,GO:0060249,GO:0060255,GO:0061730,GO:0065007,GO:0065008,GO:0071704,GO:0071840,GO:0071897,GO:0080090,GO:0090304,GO:0090305,GO:0097159,GO:0098847,GO:1901360,GO:1901362,GO:1901363,GO:1901576,GO:1904356,GO:1904357,GO:2001251</t>
  </si>
  <si>
    <t>ko:K15341</t>
  </si>
  <si>
    <t>ko00000,ko01000,ko03400</t>
  </si>
  <si>
    <t>1KZPY@119089,38USP@33154,3BGM1@33208,3CZ8Y@33213,40EIF@6231,COG1236@1,KOG1361@2759</t>
  </si>
  <si>
    <t>single-stranded telomeric DNA binding</t>
  </si>
  <si>
    <t>3,79747/3,61664/18,8065</t>
  </si>
  <si>
    <t>WBGene00007065/WBGene00010195/WBGene00045237</t>
  </si>
  <si>
    <t>3.79747/3.61664/18.8065</t>
  </si>
  <si>
    <t>Bm13247</t>
  </si>
  <si>
    <t>WBGene00233508</t>
  </si>
  <si>
    <t>Bm7630</t>
  </si>
  <si>
    <t>WBGene00227891</t>
  </si>
  <si>
    <t>GO:0000712/GO:0005524/GO:0005634/GO:0006298/GO:0007131/GO:0009792/GO:0030983/GO:0045143/GO:0051026/</t>
  </si>
  <si>
    <t>ATP_binding/chiasma_assembly/embryo_development_ending_in_birth_or_egg_hatching/homologous_chromosome_segregation/mismatch_repair/mismatched_DNA_binding/nucleus/reciprocal_meiotic_recombination/resolution_of_meiotic_recombination_intermediates/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</si>
  <si>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system_for_the_correction_of_errors_in_which_an_incorrect_base,_which_cannot_form_hydrogen_bonds_with_the_corresponding_base_in_the_parent_strand,_is_incorporated_into_the_daughter_strand._The_mismatch_repair_system_promotes_genomic_fidelity_by_repairing_base-base_mismatches,_insertion-deletion_loops_and_heterologies_generated_during_DNA_replication_and_recombination."_[ISBN:0198506732,_PMID:11687886]/"Interacting_selectively_and_non-covalently_with_ATP,_adenosine_5'-triphosphate,_a_universally_important_coenzyme_and_enzyme_regulator."_[ISBN:0198506732]/"Interacting_selectively_and_non-covalently_with_double-stranded_DNA_containing_one_or_more_mismatches."_[GOC:mah]/"The_cell_cycle_process_in_which_a_connection_between_chromatids_assembles,_indicating_where_an_exchange_of_homologous_segments_has_taken_place_by_the_crossing-over_of_non-sister_chromatids."_[http://www.onelook.com]/"The_cell_cycle_process_in_which_double_strand_breaks_are_formed_and_repaired_through_a_double_Holliday_junction_intermediate._This_results_in_the_equal_exchange_of_genetic_material_between_non-sister_chromatids_in_a_pair_of_homologous_chromosomes._These_reciprocal_recombinant_products_ensure_the_proper_segregation_of_homologous_chromosomes_during_meiosis_I_and_create_genetic_diversity."_[PMID:2087779]/"The_cell_cycle_process_in_which_replicated_homologous_chromosomes_are_organized_and_then_physically_separated_and_apportioned_to_two_sets_during_the_first_division_of_the_meiotic_cell_cycle._Each_replicated_chromosome,_composed_of_two_sister_chromatids,_aligns_at_the_cell_equator,_paired_with_its_homologous_partner;_this_pairing_off,_referred_to_as_synapsis,_permits_genetic_recombination._One_homolog_(both_sister_chromatids)_of_each_morphologic_type_goes_into_each_of_the_resulting_chromosome_sets."_[GOC:ai,_ISBN:0815316194]/"The_cleavage_and_rejoining_of_intermediates,_such_as_Holliday_junctions,_formed_during_meiotic_recombination_to_produce_two_intact_molecules_in_which_genetic_material_has_been_exchanged."_[GOC:elh,_PMID:11733053]/"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
  </si>
  <si>
    <t>IPR000432/IPR007696/IPR007860/IPR007861/IPR011184/IPR027417/IPR036187/IPR036678/</t>
  </si>
  <si>
    <t>DNA_mismatch_repair_Msh2-type/DNA_mismatch_repair_protein_MutS,_C-terminal/DNA_mismatch_repair_protein_MutS,_clamp/DNA_mismatch_repair_protein_MutS,_connector_domain/DNA_mismatch_repair_protein_MutS,_core/DNA_mismatch_repair_protein_MutS,_core_domain_superfamily/MutS,_connector_domain_superfamily/P-loop_containing_nucleoside_triphosphate_hydrolase/</t>
  </si>
  <si>
    <t>DNA_mismatch_repair_Msh2/DNA_mismatch_repair_MutS_C/DNA_mismatch_repair_MutS_clamp/DNA_mismatch_repair_MutS_core/DNA_mismatch_repair_MutS_sf/DNA_mmatch_repair_MutS_con_dom/MutS_con_dom_sf/P-loop_NTPase/</t>
  </si>
  <si>
    <t>note=B._malayi_BMA-HIM-14_protein,_contains_similarity_to_Pfam_domains_PF05188_(MutS_domain_II),_PF00488_(MutS_domain_V),_PF05192_(MutS_domain_III),_PF05190_(MutS_family_domain_IV)_contains_similarity_to_Interpro_domains_IPR007861_(DNA_mismatch_repair_protein_MutS,_clamp),_IPR007696_(DNA_mismatch_repair_protein_MutS,_core),_IPR011184_(DNA_mismatch_repair_MutS),_IPR007860_(DNA_mismatch_repair_protein_MutS,_connector_domain),_IPR027417_(P-loop_containing_nucleoside_triphosphate_hydrolase),_IPR000432_(DNA_mismatch_repair_protein_MutS,_C-terminal)</t>
  </si>
  <si>
    <t>7209.EFO23027.1</t>
  </si>
  <si>
    <t>1404.8</t>
  </si>
  <si>
    <t>GO:0000003,GO:0000280,GO:0000712,GO:0003674,GO:0005488,GO:0005515,GO:0005575,GO:0005622,GO:0005623,GO:0005634,GO:0006139,GO:0006259,GO:0006310,GO:0006725,GO:0006807,GO:0006996,GO:0007049,GO:0007059,GO:0007127,GO:0007129,GO:0007131,GO:0007275,GO:0008150,GO:0008152,GO:0009790,GO:0009792,GO:0009987,GO:0016043,GO:0022402,GO:0022414,GO:0022607,GO:0032501,GO:0032502,GO:0034641,GO:0035825,GO:0043170,GO:0043226,GO:0043227,GO:0043229,GO:0043231,GO:0044085,GO:0044237,GO:0044238,GO:0044260,GO:0044424,GO:0044464,GO:0045132,GO:0045143,GO:0046483,GO:0048285,GO:0048856,GO:0051026,GO:0051276,GO:0051304,GO:0051307,GO:0051321,GO:0061982,GO:0070192,GO:0071704,GO:0071840,GO:0090304,GO:0098813,GO:0140013,GO:1901360,GO:1903046</t>
  </si>
  <si>
    <t>ko:K08740</t>
  </si>
  <si>
    <t>1KTRM@119089,38GMT@33154,3BFC4@33208,3CTG2@33213,40AQU@6231,COG0249@1,KOG0220@2759</t>
  </si>
  <si>
    <t>DNA-binding domain of DNA mismatch repair MUTS family</t>
  </si>
  <si>
    <t>56,7073/20,4878</t>
  </si>
  <si>
    <t>19,1463/7,68293/7,31707</t>
  </si>
  <si>
    <t>26,5854/31,3415/19,1463/14,0244</t>
  </si>
  <si>
    <t>WBGene00001872</t>
  </si>
  <si>
    <t>25.3659</t>
  </si>
  <si>
    <t>Bm9607</t>
  </si>
  <si>
    <t>WBGene00229868</t>
  </si>
  <si>
    <t>3.5e-21</t>
  </si>
  <si>
    <t>108.6</t>
  </si>
  <si>
    <t>Bm8842</t>
  </si>
  <si>
    <t>WBGene00229103</t>
  </si>
  <si>
    <t>Bm628</t>
  </si>
  <si>
    <t>WBGene00220889</t>
  </si>
  <si>
    <t>7209.EFO18910.1</t>
  </si>
  <si>
    <t>1.4e-13</t>
  </si>
  <si>
    <t>COG3325@1,KOG2806@2759</t>
  </si>
  <si>
    <t>Bm9585</t>
  </si>
  <si>
    <t>WBGene00229846</t>
  </si>
  <si>
    <t>GO:0005886/GO:0005921/GO:0006811/GO:0016020/GO:0016021/GO:0030054/</t>
  </si>
  <si>
    <t>cell_junction/gap_junction/integral_component_of_membrane/ion_transport/membrane/plasma_membrane/</t>
  </si>
  <si>
    <t>A_cell-cell_junction_composed_of_pannexins_or_innexins_and_connexins,_two_different_families_of_channel-forming_proteins._[GOC:mah,_GOC:mtg_muscle,_http://en.wikipedia.org/wiki/Gap_junction,_http://www.vivo.colostate.edu/hbooks/cmb/cells/pmemb/junctions_g.html,_ISBN:0815332181,_PMID:22366062]/"A_cellular_component_that_forms_a_specialized_region_of_connection_between_two_or_more_cells_or_between_a_cell_and_the_extracellular_matrix._At_a_cell_junction,_anchoring_proteins_extend_through_the_plasma_membrane_to_link_cytoskeletal_proteins_in_one_cell_to_cytoskeletal_proteins_in_neighboring_cells_or_to_proteins_in_the_extracellular_matrix."_[GOC:mah,_http://www.vivo.colostate.edu/hbooks/cmb/cells/pmemb/junctions_a.html,_ISBN:0198506732]/"A_lipid_bilayer_along_with_all_the_proteins_and_protein_complexes_embedded_in_it_an_attached_to_it."_[GOC:dos,_GOC:mah,_ISBN:0815316194]/"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he_membrane_surrounding_a_cell_that_separates_the_cell_from_its_external_environment._It_consists_of_a_phospholipid_bilayer_and_associated_proteins."_[ISBN:0716731363]/</t>
  </si>
  <si>
    <t>note=B._malayi_BMA-INX-14_protein,_contains_similarity_to_Pfam_domain_PF00876_Innexin_contains_similarity_to_Interpro_domain_IPR000990_(Innexin)</t>
  </si>
  <si>
    <t>135651.CBN29799</t>
  </si>
  <si>
    <t>6.9e-37</t>
  </si>
  <si>
    <t>GO:0005575,GO:0005911,GO:0005921,GO:0030054</t>
  </si>
  <si>
    <t>1KUJP@119089,2BWHM@1,2QU1C@2759,39X3N@33154,3BJDA@33208,3D45Z@33213,40BQ0@6231,40Z36@6236</t>
  </si>
  <si>
    <t>17,1642/16,6667/18,6567/18,1592/17,4129/19,6517</t>
  </si>
  <si>
    <t>Bm2178</t>
  </si>
  <si>
    <t>WBGene00222439</t>
  </si>
  <si>
    <t>note=B._malayi_BMA-HOT-6_protein</t>
  </si>
  <si>
    <t>7209.EFO22319.1</t>
  </si>
  <si>
    <t>9.6e-69</t>
  </si>
  <si>
    <t>266.5</t>
  </si>
  <si>
    <t>hot-6</t>
  </si>
  <si>
    <t>1KZPQ@119089,2CAVC@1,2STZP@2759,3AR4J@33154,3C2RS@33208,3DIVP@33213,40GZW@6231</t>
  </si>
  <si>
    <t>Caenorhabditis elegans ly-6-related protein</t>
  </si>
  <si>
    <t>WBGene00001991</t>
  </si>
  <si>
    <t>30.8081</t>
  </si>
  <si>
    <t>Bm17727</t>
  </si>
  <si>
    <t>WBGene00268869</t>
  </si>
  <si>
    <t>Bm18011</t>
  </si>
  <si>
    <t>WBGene00269153</t>
  </si>
  <si>
    <t>Bm8624</t>
  </si>
  <si>
    <t>WBGene00228885</t>
  </si>
  <si>
    <t>Bm2769</t>
  </si>
  <si>
    <t>WBGene00223030</t>
  </si>
  <si>
    <t>note=B._malayi_BMA-LET-4_protein,_contains_similarity_toPfam_domains_PF13855_(Leucine_rich_repeat),_PF13306(Leucine_rich_repeats_(6_copies))_contains_similarity_toInterpro_domains_IPR001611_(Leucine-rich_repeat),IPR026906_(Leucine_rich_repeat_5),_IPR003591_(Leucine-richrepeat,_typical_subtype)</t>
  </si>
  <si>
    <t>7209.EFO22130.1</t>
  </si>
  <si>
    <t>2.6e-151</t>
  </si>
  <si>
    <t>543.1</t>
  </si>
  <si>
    <t>1KUNV@119089,39VSK@33154,3BG7P@33208,3D57N@33213,40CGB@6231,COG4886@1,KOG0619@2759</t>
  </si>
  <si>
    <t>33,3333/38,0805</t>
  </si>
  <si>
    <t>37,5645/28,0702</t>
  </si>
  <si>
    <t>8,97833/31,7853</t>
  </si>
  <si>
    <t>26,7286/26,8318/17,1311/29,4118</t>
  </si>
  <si>
    <t>5,98555/6,50155/8,15273/11,2487/5,05676/9,08153/10,0103/14,3447/9,08153/5,77915/11,7647</t>
  </si>
  <si>
    <t>3,81837/3,92157/7,53354/9,08153/9,59752/10,5263/7,63674/7,84314/4,23117/10,0103/8,56553/6,50155/8,25593/6,19195/8,77193/10,5263/4,12797/10,8359/11,4551/8,66873</t>
  </si>
  <si>
    <t>3,50877/3,81837/7,22394/9,18473/10,0103/10,3199/6,29515/8,77193/4,54076/10,1135/8,56553/6,50155/8,25593/6,39835/9,39112/11,2487/4,12797/10,3199/7,94634/10,8359/8,56553/9,18473</t>
  </si>
  <si>
    <t>4,02477/10,0103/9,28793/8,77193/8,46233/9,08153/9,18473/9,08153/8,15273/9,18473/6,81115/8,35913/5,98555/10,6295/10,2167/7,84314/6,70795/13,3127/0,412797/8,04954/8,35913/8,04954/8,25593/0,309598/0,309598/0,309598/7,73994/3,81837/6,39835/10,7327/11,1455/11,1455/6,08875/9,49432/10,9391/9,18473/5,67595/9,39112/4,23117/4,23117</t>
  </si>
  <si>
    <t>WBGene00002282</t>
  </si>
  <si>
    <t>30.7534</t>
  </si>
  <si>
    <t>Bm17940</t>
  </si>
  <si>
    <t>WBGene00269082</t>
  </si>
  <si>
    <t>Bm8600</t>
  </si>
  <si>
    <t>WBGene00228861</t>
  </si>
  <si>
    <t>8.9e-07</t>
  </si>
  <si>
    <t>60.1</t>
  </si>
  <si>
    <t>46,875/44,5312</t>
  </si>
  <si>
    <t>Bm9733</t>
  </si>
  <si>
    <t>WBGene00229994</t>
  </si>
  <si>
    <t>Bm17468</t>
  </si>
  <si>
    <t>WBGene00268611</t>
  </si>
  <si>
    <t>2.9e-22</t>
  </si>
  <si>
    <t>113.6</t>
  </si>
  <si>
    <t>1,63043/18,2971/19,5652/1,63043/16,6667/16,6667/17,2101/17,7536/17,9348/1,26812/17,7536/17,2101</t>
  </si>
  <si>
    <t>16,3043/0,905797/14,8551/17,3913/16,3043/11,7754/17,5725/1,81159/16,8478/16,6667/2,89855/17,5725/16,6667/15,2174/17,7536/1,44928/13,587/17,5725/16,8478/17,9348/1,26812/2,71739/17,2101/17,9348/16,3043/17,5725/11,9565/16,8478/1,63043/17,5725/17,9348/11,0507/1,81159/1,08696/3,26087/17,5725/3,07971/17,029/0,905797/0,905797/3,26087/13,4058/16,8478/15,7609/12,3188/17,5725/15,942/17,5725/17,9348/17,7536/2,89855/13,4058/2,35507/16,8478/18,2971/13,2246/17,5725</t>
  </si>
  <si>
    <t>14,8551/9,60145/18,1159/18,2971/13,9493/16,8478/9,23913/13,4058/18,2971/18,1159/19,0217/19,2029/17,9348/19,0217/18,6594/19,0217/18,6594/17,9348/13,4058/18,4783/18,2971/18,2971/18,4783/18,2971/16,8478/17,029/19,7464/17,7536/19,2029/19,7464/19,3841/19,3841/17,5725/17,5725/15,0362/16,4855/14,3116/11,5942/14,4928/14,1304/14,6739/16,1232/15,7609/15,942/16,3043/14,8551/14,8551/13,7681/9,96377/15,7609/17,029/17,029/17,029/17,029/17,2101/18,4783/18,2971/18,2971/18,2971/18,2971/18,4783/18,1159/18,4783/18,4783/18,8406/18,4783/18,2971/17,2101/18,4783/18,4783/18,6594/18,8406/18,4783/18,4783/18,4783/17,5725/19,3841/17,2101/17,2101/18,6594/18,4783/18,4783/18,4783/19,0217/18,6594/18,8406/18,4783/18,4783/13,4058/12,3188/16,6667/16,3043/16,6667/18,1159/18,1159/18,4783/18,1159/16,6667/16,3043/17,029/17,2101/19,3841/19,2029/18,1159/16,1232/16,4855/18,1159/7,6087/16,3043/9,42029/17,029/10,6884/15,942/15,942/14,1304/15,0362/18,2971/13,587/14,8551/17,9348/19,2029/15,3986/15,3986/13,7681/3,44203/13,7681/15,942/18,8406/12,3188/10,6884/17,5725/17,5725/17,3913/16,3043/15,5797/16,4855/15,0362/17,9348/10,6884/17,2101/14,6739/10,8696/13,7681/12,8623/12,5/19,7464/12,3188/16,8478/15,7609/11,0507/13,7681/15,0362/10,6884/15,0362</t>
  </si>
  <si>
    <t>Bm17901</t>
  </si>
  <si>
    <t>WBGene00269043</t>
  </si>
  <si>
    <t>Bm9504</t>
  </si>
  <si>
    <t>WBGene00229765</t>
  </si>
  <si>
    <t>note=B._malayi_BMA-DPY-8_protein,_contains_similarity_toPfam_domain_PF01391_Collagen_triple_helix_repeat_(20copies)_contains_similarity_to_Interpro_domain_IPR008160(Collagen_triple_helix_repeat)</t>
  </si>
  <si>
    <t>Bm6183</t>
  </si>
  <si>
    <t>WBGene00226444</t>
  </si>
  <si>
    <t>IPR012674/</t>
  </si>
  <si>
    <t>Calycin/</t>
  </si>
  <si>
    <t>note=B._malayi_BMA-LPR-6_protein,_contains_similarity_toInterpro_domains_IPR012674_(Calycin),_IPR011038(Calycin-like)</t>
  </si>
  <si>
    <t>7209.EFO23707.1</t>
  </si>
  <si>
    <t>3.2e-134</t>
  </si>
  <si>
    <t>484.6</t>
  </si>
  <si>
    <t>GO:0005575,GO:0005576,GO:0006810,GO:0006869,GO:0008150,GO:0010876,GO:0033036,GO:0051179,GO:0051234,GO:0071702</t>
  </si>
  <si>
    <t>1KVFZ@119089,2A8CD@1,2RYG7@2759,3A09F@33154,3BPUK@33208,3D6E5@33213,40CUV@6231</t>
  </si>
  <si>
    <t>55,7143/53,2143/41,0714/54,2857/51,7857/52,8571</t>
  </si>
  <si>
    <t>36,7857/25,7143</t>
  </si>
  <si>
    <t>WBGene00012255</t>
  </si>
  <si>
    <t>53.9286</t>
  </si>
  <si>
    <t>Bm6314</t>
  </si>
  <si>
    <t>WBGene00226575</t>
  </si>
  <si>
    <t>note=B._malayi_BMA-PTR-17_protein,_contains_similarity_to_Pfam_domain_PF02460_Patched_family_contains_similarity_to_Interpro_domain_IPR003392_(Patched)</t>
  </si>
  <si>
    <t>135651.CBN04306</t>
  </si>
  <si>
    <t>1.1e-204</t>
  </si>
  <si>
    <t>720.3</t>
  </si>
  <si>
    <t>ptr-17</t>
  </si>
  <si>
    <t>1KYKF@119089,3AFKZ@33154,3BWXG@33208,3DF8U@33213,40FYZ@6231,40ZSD@6236,KOG1934@1,KOG1934@2759</t>
  </si>
  <si>
    <t>11,3063/4,39078/12,0746</t>
  </si>
  <si>
    <t>26,8935/6,25686/15,697/24,4786/18,112/27,8814/23,82</t>
  </si>
  <si>
    <t>24,0395/14,7091/24,3688/27,8814/31,7234/27,2228/24,0395/27,2228/19,6487</t>
  </si>
  <si>
    <t>WBGene00004231</t>
  </si>
  <si>
    <t>44.0176</t>
  </si>
  <si>
    <t>Bm10018</t>
  </si>
  <si>
    <t>WBGene00230279</t>
  </si>
  <si>
    <t>Bm1035</t>
  </si>
  <si>
    <t>WBGene00221296</t>
  </si>
  <si>
    <t>Bm13010</t>
  </si>
  <si>
    <t>WBGene00233271</t>
  </si>
  <si>
    <t>Bm17713</t>
  </si>
  <si>
    <t>WBGene00268855</t>
  </si>
  <si>
    <t>GO:0005509/GO:0005515/GO:0007154/GO:0007275/GO:0016020/GO:0016021/</t>
  </si>
  <si>
    <t>calcium_ion_binding/cell_communication/integral_component_of_membrane/membrane/multicellular_organism_development/protein_binding/</t>
  </si>
  <si>
    <t>A_lipid_bilayer_along_with_all_the_proteins_and_protein_complexes_embedded_in_it_an_attached_to_it._[GOC:dos,_GOC:mah,_ISBN:0815316194]/"Any_process_that_mediates_interactions_between_a_cell_and_its_surroundings._Encompasses_interactions_such_as_signaling_or_attachment_between_one_cell_and_another_cell,_between_a_cell_and_an_extracellular_matrix,_or_between_a_cell_and_any_other_aspect_of_its_environment."_[GOC:mah]/"Interacting_selectively_and_non-covalently_with_any_protein_or_protein_complex_(a_complex_of_two_or_more_proteins_that_may_include_other_nonprotein_molecules)."_[GOC:go_curators]/"Interacting_selectively_and_non-covalently_with_calcium_ions_(Ca2+)."_[GOC:ai]/"The_biological_process_whose_specific_outcome_is_the_progression_of_a_multicellular_organism_over_time_from_an_initial_condition_(e.g._a_zygote_or_a_young_adult)_to_a_later_condition_(e.g._a_multicellular_animal_or_an_aged_adult)."_[GOC:dph,_GOC:ems,_GOC:isa_complete,_GOC:tb]/"The_component_of_a_membrane_consisting_of_the_gene_products_and_protein_complexes_having_at_least_some_part_of_their_peptide_sequence_embedded_in_the_hydrophobic_region_of_the_membrane."_[GOC:dos,_GOC:go_curators]/</t>
  </si>
  <si>
    <t>IPR000742/IPR001007/IPR001774/IPR001881/IPR013032/</t>
  </si>
  <si>
    <t>Delta/Serrate/lag-2_(DSL)_protein/EGF-like,_conserved_site/EGF-like_calcium-binding_domain/EGF-like_domain/VWFC_domain/</t>
  </si>
  <si>
    <t>DSL/EGF-like_CS/EGF-like_Ca-bd_dom/EGF-like_dom/VWF_dom/</t>
  </si>
  <si>
    <t>7209.EJD74486.1</t>
  </si>
  <si>
    <t>2.6e-116</t>
  </si>
  <si>
    <t>426.4</t>
  </si>
  <si>
    <t>GO:0000578,GO:0002009,GO:0003002,GO:0007154,GO:0007267,GO:0007275,GO:0007350,GO:0007351,GO:0007389,GO:0008150,GO:0008595,GO:0009653,GO:0009790,GO:0009798,GO:0009880,GO:0009888,GO:0009948,GO:0009952,GO:0009987,GO:0016331,GO:0023052,GO:0030154,GO:0032501,GO:0032502,GO:0035282,GO:0040028,GO:0045165,GO:0045168,GO:0046331,GO:0048580,GO:0048598,GO:0048729,GO:0048856,GO:0048869,GO:0050789,GO:0050793,GO:0051239,GO:0060429,GO:0061062,GO:0065007,GO:2000026</t>
  </si>
  <si>
    <t>ko:K06051</t>
  </si>
  <si>
    <t>ko01522,ko04330,ko04658,ko05200,ko05224,map01522,map04330,map04658,map05200,map05224</t>
  </si>
  <si>
    <t>M00682</t>
  </si>
  <si>
    <t>ko00000,ko00001,ko00002,ko04516</t>
  </si>
  <si>
    <t>1KZRM@119089,3AC8V@33154,3C29V@33208,3DIDD@33213,40GRD@6231,KOG1217@1,KOG1217@2759</t>
  </si>
  <si>
    <t>14,6099/17,5887</t>
  </si>
  <si>
    <t>14,7518/17,5887</t>
  </si>
  <si>
    <t>Bm4356</t>
  </si>
  <si>
    <t>WBGene00224617</t>
  </si>
  <si>
    <t>IPR004087/IPR036612/</t>
  </si>
  <si>
    <t>K_Homology_domain/K_Homology_domain,_type_1_superfamily/</t>
  </si>
  <si>
    <t>KH_dom/KH_dom_type_1_sf/</t>
  </si>
  <si>
    <t>note=contains_similarity_to_Interpro_domains_IPR004087_(K_Homology_domain),_IPR004088_(K_Homology_domain,_type_1)</t>
  </si>
  <si>
    <t>7209.EFO22249.1</t>
  </si>
  <si>
    <t>9e-90</t>
  </si>
  <si>
    <t>336.7</t>
  </si>
  <si>
    <t>ko:K14945</t>
  </si>
  <si>
    <t>1KZF7@119089,3ANAD@33154,3C1CI@33208,3DHTZ@33213,40GJY@6231,COG5176@1,KOG1588@2759</t>
  </si>
  <si>
    <t>K homology RNA-binding domain</t>
  </si>
  <si>
    <t>30,3419/32,906/29,0598</t>
  </si>
  <si>
    <t>30,3419/36,3248</t>
  </si>
  <si>
    <t>34,188/34,188/34,188</t>
  </si>
  <si>
    <t>43,5897/43,5897</t>
  </si>
  <si>
    <t>16,6667/15,3846/16,6667/16,2393/16,6667/16,6667/17,094/14,9573</t>
  </si>
  <si>
    <t>19,2308/20,5128</t>
  </si>
  <si>
    <t>18,8034/20,5128</t>
  </si>
  <si>
    <t>31,6239/17,5214/19,6581/20,0855</t>
  </si>
  <si>
    <t>WBGene00010046</t>
  </si>
  <si>
    <t>30.3419</t>
  </si>
  <si>
    <t>Bm1956</t>
  </si>
  <si>
    <t>WBGene00222217</t>
  </si>
  <si>
    <t>GO:0003677/GO:0005634/GO:0006355/GO:0007275/</t>
  </si>
  <si>
    <t>DNA_binding/multicellular_organism_development/nucleus/regulation_of_transcription,_DNA-templated/</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</si>
  <si>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Any_process_that_modulates_the_frequency,_rate_or_extent_of_cellular_DNA-templated_transcription."_[GOC:go_curators,_GOC:txnOH]/"The_biological_process_whose_specific_outcome_is_the_progression_of_a_multicellular_organism_over_time_from_an_initial_condition_(e.g._a_zygote_or_a_young_adult)_to_a_later_condition_(e.g._a_multicellular_animal_or_an_aged_adult)."_[GOC:dph,_GOC:ems,_GOC:isa_complete,_GOC:tb]/</t>
  </si>
  <si>
    <t>IPR001523/IPR009057/IPR036388/</t>
  </si>
  <si>
    <t>Homeobox-like_domain_superfamily/Paired_domain/Winged_helix-like_DNA-binding_domain_superfamily/</t>
  </si>
  <si>
    <t>Homeobox-like_sf/Paired_dom/WH-like_DNA-bd_sf/</t>
  </si>
  <si>
    <t>note=contains_similarity_to_Pfam_domain_PF00292_'Paired_box'_domain_contains_similarity_to_Interpro_domains_IPR011991_(Winged_helix-turn-helix_DNA-binding_domain),_IPR001523_(Paired_domain),_IPR009057_(Homeodomain-like)</t>
  </si>
  <si>
    <t>7209.EFO28340.2</t>
  </si>
  <si>
    <t>1.1e-133</t>
  </si>
  <si>
    <t>483.0</t>
  </si>
  <si>
    <t>GO:0000003,GO:0000976,GO:0000977,GO:0001012,GO:0001067,GO:0001708,GO:0002119,GO:0002164,GO:0003006,GO:0003674,GO:0003676,GO:0003677,GO:0003690,GO:0003700,GO:0005488,GO:0005575,GO:0005622,GO:0005623,GO:0005634,GO:0006355,GO:0006357,GO:0007275,GO:0007548,GO:0008150,GO:0009653,GO:0009790,GO:0009791,GO:0009792,GO:0009889,GO:0009891,GO:0009893,GO:0009987,GO:0010468,GO:0010556,GO:0010557,GO:0010604,GO:0010628,GO:0019219,GO:0019222,GO:0022414,GO:0030154,GO:0031323,GO:0031325,GO:0031326,GO:0031328,GO:0032501,GO:0032502,GO:0040025,GO:0043226,GO:0043227,GO:0043229,GO:0043231,GO:0043565,GO:0044212,GO:0044424,GO:0044464,GO:0045138,GO:0045165,GO:0045893,GO:0045935,GO:0045944,GO:0046661,GO:0048513,GO:0048518,GO:0048522,GO:0048569,GO:0048608,GO:0048731,GO:0048856,GO:0048869,GO:0050789,GO:0050794,GO:0051171,GO:0051173,GO:0051252,GO:0051254,GO:0060065,GO:0060255,GO:0061458,GO:0065007,GO:0080090,GO:0090598,GO:0097159,GO:0140110,GO:1901363,GO:1902680,GO:1903506,GO:1903508,GO:1990837,GO:2000112,GO:2001141</t>
  </si>
  <si>
    <t>ko:K09383,ko:K15608</t>
  </si>
  <si>
    <t>ko00000,ko00001,ko03000,ko03036,ko04131</t>
  </si>
  <si>
    <t>1KVQ3@119089,38RYK@33154,3BDFE@33208,3CVQQ@33213,40D5H@6231,KOG0849@1,KOG3862@2759</t>
  </si>
  <si>
    <t>37,9939/36,7781/37,0821</t>
  </si>
  <si>
    <t>36,7781/37,386</t>
  </si>
  <si>
    <t>3,64742/3,64742/4,25532/31,9149/1,51976/1,51976/3,03951/25,228/38,6018/3,34347/10,0304/4,55927/41,0334/2,12766/2,43161/2,12766/4,86322/3,64742/3,03951/2,43161/1,21581/1,21581</t>
  </si>
  <si>
    <t>4,25532/31,9149/1,51976/1,21581/3,64742/24,924/38,9058/3,03951/5,77508/4,55927/40,7295/9,42249/2,12766/3,03951/4,55927/3,64742/3,34347/2,43161/3,34347/3,64742/0,607903/1,82371/2,12766/3,03951</t>
  </si>
  <si>
    <t>31,9149/7,59878/32,5228/0,607903/0,911854/0,911854/38,2979/1,82371/39,5137/3,34347/2,12766/3,64742/3,03951/3,34347/4,25532</t>
  </si>
  <si>
    <t>WBGene00003938/WBGene00001204</t>
  </si>
  <si>
    <t>36.7781/37.386</t>
  </si>
  <si>
    <t>Bm17375</t>
  </si>
  <si>
    <t>WBGene00268518</t>
  </si>
  <si>
    <t>Bm17913</t>
  </si>
  <si>
    <t>WBGene00269055</t>
  </si>
  <si>
    <t>Bm9388</t>
  </si>
  <si>
    <t>WBGene00229649</t>
  </si>
  <si>
    <t>Bm9995</t>
  </si>
  <si>
    <t>WBGene00230256</t>
  </si>
  <si>
    <t>Bm2536</t>
  </si>
  <si>
    <t>WBGene00222797</t>
  </si>
  <si>
    <t>note=contains_similarity_to_Pfam_domain_PF00046_Homeoboxdomain_contains_similarity_to_Interpro_domains_IPR000047(Helix-turn-helix_motif),_IPR020479_(Homeodomain,metazoa),_IPR001356_(Homeobox_domain),_IPR009057(Homeodomain-like)</t>
  </si>
  <si>
    <t>7209.EJD73918.1</t>
  </si>
  <si>
    <t>1.6e-73</t>
  </si>
  <si>
    <t>283.1</t>
  </si>
  <si>
    <t>ceh-31</t>
  </si>
  <si>
    <t>ko:K09360</t>
  </si>
  <si>
    <t>1KZK5@119089,38CMZ@33154,3BA4Z@33208,3CUSB@33213,40DXP@6231,KOG0488@1,KOG0488@2759</t>
  </si>
  <si>
    <t>86,1538/83,6923</t>
  </si>
  <si>
    <t>38,7692/41,5385</t>
  </si>
  <si>
    <t>36,9231/33,8462</t>
  </si>
  <si>
    <t>28,9231/27,0769</t>
  </si>
  <si>
    <t>16,6154/15,0769</t>
  </si>
  <si>
    <t>16,6154/16</t>
  </si>
  <si>
    <t>17,8462/16,3077</t>
  </si>
  <si>
    <t>WBGene00000452/WBGene00000451</t>
  </si>
  <si>
    <t>36.9231/33.8462</t>
  </si>
  <si>
    <t>Bm1099</t>
  </si>
  <si>
    <t>WBGene00221360</t>
  </si>
  <si>
    <t>Bm13462</t>
  </si>
  <si>
    <t>WBGene00233723</t>
  </si>
  <si>
    <t>Bm3608</t>
  </si>
  <si>
    <t>WBGene00223869</t>
  </si>
  <si>
    <t>IPR001766/IPR018122/IPR030456/IPR036388/IPR036390/</t>
  </si>
  <si>
    <t>Fork_head_domain/Fork_head_domain_conserved_site1/Fork_head_domain_conserved_site_2/Winged_helix-like_DNA-binding_domain_superfamily/Winged_helix_DNA-binding_domain_superfamily/</t>
  </si>
  <si>
    <t>Fork_head_dom/TF_fork_head_CS_1/TF_fork_head_CS_2/WH-like_DNA-bd_sf/WH_DNA-bd_sf/</t>
  </si>
  <si>
    <t>note=B._malayi_BMA-LET-381_protein,_contains_similarity_to_Pfam_domain_PF00250_Fork_head_domain_contains_similarity_to_Interpro_domains_IPR011991_(Winged_helix-turn-helix_DNA-binding_domain),_IPR001766_(Transcription_factor,_fork_head)</t>
  </si>
  <si>
    <t>7209.EFO20096.1</t>
  </si>
  <si>
    <t>1.3e-138</t>
  </si>
  <si>
    <t>499.2</t>
  </si>
  <si>
    <t>let-381</t>
  </si>
  <si>
    <t>GO:0001704,GO:0001707,GO:0001708,GO:0001710,GO:0002119,GO:0002164,GO:0003674,GO:0003676,GO:0003677,GO:0005488,GO:0005575,GO:0005622,GO:0005623,GO:0005634,GO:0007275,GO:0007369,GO:0007498,GO:0007501,GO:0008150,GO:0009653,GO:0009790,GO:0009791,GO:0009888,GO:0009987,GO:0010453,GO:0010455,GO:0010470,GO:0022603,GO:0030154,GO:0032501,GO:0032502,GO:0040019,GO:0042659,GO:0042660,GO:0042661,GO:0043226,GO:0043227,GO:0043229,GO:0043231,GO:0043565,GO:0044424,GO:0044464,GO:0045165,GO:0045595,GO:0045597,GO:0045995,GO:0048332,GO:0048333,GO:0048337,GO:0048518,GO:0048522,GO:0048598,GO:0048646,GO:0048729,GO:0048856,GO:0048869,GO:0050789,GO:0050793,GO:0050794,GO:0051094,GO:0051239,GO:0051240,GO:0060795,GO:0065007,GO:0097159,GO:1901363,GO:1905770,GO:1905772,GO:1905902,GO:1905904,GO:2000026,GO:2000027,GO:2000380,GO:2000382,GO:2000543</t>
  </si>
  <si>
    <t>ko:K09399</t>
  </si>
  <si>
    <t>1KX71@119089,39T4H@33154,3BET4@33208,3CUCG@33213,40EDC@6231,COG5025@1,KOG2294@2759</t>
  </si>
  <si>
    <t>FORKHEAD</t>
  </si>
  <si>
    <t>17,3913/18,7291</t>
  </si>
  <si>
    <t>12,3746/14,0468/9,0301</t>
  </si>
  <si>
    <t>27,0903/11,3712/20,4013/18,7291/18,7291/18,3946/18,0602/18,7291/20,0669/15,3846/20,7358/15,0502/18,0602/21,0702/14,7157/13,7124/16,0535/10,0334</t>
  </si>
  <si>
    <t>27,0903/5,68562/21,0702/20,7358/15,3846/20,7358/15,7191/18,0602/21,0702/14,7157/13,3779/15,7191/10,7023</t>
  </si>
  <si>
    <t>27,7592/17,0569/17,7258/19,7324/19,0635/14,3813/14,0468/16,388/20,4013/15,7191/17,3913/14,7157/12,3746</t>
  </si>
  <si>
    <t>WBGene00002601</t>
  </si>
  <si>
    <t>29.7659</t>
  </si>
  <si>
    <t>Bm7742</t>
  </si>
  <si>
    <t>WBGene00228003</t>
  </si>
  <si>
    <t>31,9008/30,9091</t>
  </si>
  <si>
    <t>Bm741</t>
  </si>
  <si>
    <t>WBGene00221002</t>
  </si>
  <si>
    <t>7209.EFO15412.2</t>
  </si>
  <si>
    <t>1e-87</t>
  </si>
  <si>
    <t>1KW2C@119089,2BDQY@1,2S136@2759,3A4N0@33154,3BRI9@33208,3D8PP@33213,40DV2@6231</t>
  </si>
  <si>
    <t>Bm7679</t>
  </si>
  <si>
    <t>WBGene00227940</t>
  </si>
  <si>
    <t>IPR000169/IPR000668/IPR013128/IPR013201/IPR015644/IPR025660/IPR025661/IPR038765/IPR039417/</t>
  </si>
  <si>
    <t>Cathepsin_propeptide_inhibitor_domain_(I29)/Cysteine_peptidase,_asparagine_active_site/Cysteine_peptidase,_cysteine_active_site/Cysteine_peptidase,_histidine_active_site/Papain-like_cysteine_endopeptidase/Papain-like_cysteine_peptidase_superfamily/Peptidase_C1A/Peptidase_C1A,_cathepsin_K/Peptidase_C1A,_papain_C-terminal/</t>
  </si>
  <si>
    <t>Papain_like_cys_pep_sf/Pept_asp_AS/Pept_cys_AS/Pept_his_AS/Peptidase_C1A/Peptidase_C1A_C/Peptidase_C1A_cathepsin-K/Peptidase_C1A_papain-like/Prot_inhib_I29/</t>
  </si>
  <si>
    <t>note=contains_similarity_to_Pfam_domain_PF08246_Cathepsin_propeptide_inhibitor_domain_(I29)_contains_similarity_to_Interpro_domains_IPR013128_(Peptidase_C1A),_IPR013201_(Proteinase_inhibitor_I29,_cathepsin_propeptide)</t>
  </si>
  <si>
    <t>1.6e-123</t>
  </si>
  <si>
    <t>449.5</t>
  </si>
  <si>
    <t>19,2308/9,74359/22,5641</t>
  </si>
  <si>
    <t>21,7949/21,0256/23,8462/24,1026/24,359/24,6154/20,5128/22,0513/21,2821/26,6667</t>
  </si>
  <si>
    <t>22,0513/26,1538/27,9487/24,1026/27,4359</t>
  </si>
  <si>
    <t>22,0513/21,0256</t>
  </si>
  <si>
    <t>22,8205/22,0513/22,3077/26,9231/26,4103</t>
  </si>
  <si>
    <t>28,9744/29,7436/21,0256</t>
  </si>
  <si>
    <t>25,1282/25,641/16,6667</t>
  </si>
  <si>
    <t>23,0769/14,8718</t>
  </si>
  <si>
    <t>23,8462/18,4615/5,38462</t>
  </si>
  <si>
    <t>24,1026/18,4615/22,8205/18,4615/16,9231/17,1795/14,359/16,9231/24,6154/20,5128/11,7949/18,9744/20/20,2564/26,1538/14,8718/26,1538/21,7949/16,1538</t>
  </si>
  <si>
    <t>28,4615/25,3846/26,6667</t>
  </si>
  <si>
    <t>24.1026/18.4615/22.8205/18.4615/16.9231/17.1795/14.359/16.9231/24.6154/20.5128/11.7949/18.9744/20/20.2564/26.1538/14.8718/26.1538/21.7949/16.1538</t>
  </si>
  <si>
    <t>Bm10087</t>
  </si>
  <si>
    <t>WBGene00230348</t>
  </si>
  <si>
    <t>Bm17069</t>
  </si>
  <si>
    <t>WBGene00255727</t>
  </si>
  <si>
    <t>7209.EFO28226.2</t>
  </si>
  <si>
    <t>3.6e-146</t>
  </si>
  <si>
    <t>524.6</t>
  </si>
  <si>
    <t>2.7.11.26</t>
  </si>
  <si>
    <t>ko:K03083</t>
  </si>
  <si>
    <t>ko01521,ko04012,ko04062,ko04110,ko04150,ko04151,ko04310,ko04340,ko04341,ko04360,ko04390,ko04510,ko04550,ko04657,ko04660,ko04662,ko04711,ko04722,ko04728,ko04910,ko04916,ko04917,ko04919,ko04931,ko04932,ko04934,ko05010,ko05160,ko05162,ko05164,ko05165,ko05166,ko05167,ko05169,ko05200,ko05210,ko05213,ko05215,ko05217,ko05224,ko05225,ko05226,map01521,map04012,map04062,map04110,map04150,map04151,map04310,map04340,map04341,map04360,map04390,map04510,map04550,map04657,map04660,map04662,map04711,map04722,map04728,map04910,map04916,map04917,map04919,map04931,map04932,map04934,map05010,map05160,map05162,map05164,map05165,map05166,map05167,map05169,map05200,map05210,map05213,map05215,map05217,map05224,map05225,map05226</t>
  </si>
  <si>
    <t>ko00000,ko00001,ko00002,ko01000,ko01001,ko03036</t>
  </si>
  <si>
    <t>1KZ2H@119089,3AK9R@33154,3BZPK@33208,3DG55@33213,40G6I@6231,COG0515@1,KOG0658@2759</t>
  </si>
  <si>
    <t>phosphotransferase activity, alcohol group as acceptor</t>
  </si>
  <si>
    <t>37,9501/38,7812</t>
  </si>
  <si>
    <t>23,2687/22,7147/21,3296/21,8837/19,1136/22,1607/26,3158/24,9307</t>
  </si>
  <si>
    <t>23,2687/23,5457/21,3296/21,8837/19,1136/22,4377/26,0388/24,9307</t>
  </si>
  <si>
    <t>23,8227/24,3767/23,2687/21,8837/21,6066/18,8366/22,9917/26,0388/25,2078/24,0997</t>
  </si>
  <si>
    <t>23,8227/21,3296</t>
  </si>
  <si>
    <t>WBGene00007977/WBGene00013705</t>
  </si>
  <si>
    <t>37.9501/38.7812</t>
  </si>
  <si>
    <t>Bm5567</t>
  </si>
  <si>
    <t>WBGene00225828</t>
  </si>
  <si>
    <t>IPR001680/IPR015943/IPR017986/IPR019775/IPR020472/IPR036322/IPR040066/</t>
  </si>
  <si>
    <t>G-protein_beta_WD-40_repeat/WD40-repeat-containing_domain/WD40-repeat-containing_domain_superfamily/WD40/YVTN_repeat-like-containing_domain_superfamily/WD40_repeat/WD40_repeat,_conserved_site/WD_repeat-containing_protein_31/</t>
  </si>
  <si>
    <t>G-protein_beta_WD-40_rep/WD40/YVTN_repeat-like_dom_sf/WD40_repeat/WD40_repeat_CS/WD40_repeat_dom/WD40_repeat_dom_sf/WDR31/</t>
  </si>
  <si>
    <t>note=contains_similarity_to_Pfam_domain_PF00400_WD_domain,_G-beta_repeat_contains_similarity_to_Interpro_domains_IPR001680_(WD40_repeat),_IPR020472_(G-protein_beta_WD-40_repeat),_IPR017986_(WD40-repeat-containing_domain),_IPR015943_(WD40/YVTN_repeat-like-containing_domain)</t>
  </si>
  <si>
    <t>7209.EFO27222.1</t>
  </si>
  <si>
    <t>1.1e-185</t>
  </si>
  <si>
    <t>656.0</t>
  </si>
  <si>
    <t>1KVW7@119089,39MYS@33154,3BIB3@33208,3CY2X@33213,40D2B@6231,KOG0279@1,KOG0279@2759</t>
  </si>
  <si>
    <t>36,5535/37,0757/28,9817</t>
  </si>
  <si>
    <t>WBGene00020231</t>
  </si>
  <si>
    <t>31.8538</t>
  </si>
  <si>
    <t>Bm13570</t>
  </si>
  <si>
    <t>WBGene00233831</t>
  </si>
  <si>
    <t>GO:0004222/GO:0006508/GO:0008233/GO:0008237/GO:0008270/GO:0016787/GO:0043050/GO:0046872/GO:0060465/</t>
  </si>
  <si>
    <t>hydrolase_activity/metal_ion_binding/metalloendopeptidase_activity/metallopeptidase_activity/peptidase_activity/pharyngeal_pumping/pharynx_development/proteolysis/zinc_ion_binding/</t>
  </si>
  <si>
    <t>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internal,_alpha-peptide_bonds_in_a_polypeptide_chain_by_a_mechanism_in_which_water_acts_as_a_nucleophile,_one_or_two_metal_ions_hold_the_water_molecule_in_place,_and_charged_amino_acid_side_chains_are_ligands_for_the_metal_ions."_[GOC:mah,_http://merops.sanger.ac.uk/about/glossary.htm#CATTYPE,_http://merops.sanger.ac.uk/about/glossary.htm#ENDOPEPTIDASE]/"Catalysis_of_the_hydrolysis_of_peptide_bonds_by_a_mechanism_in_which_water_acts_as_a_nucleophile,_one_or_two_metal_ions_hold_the_water_molecule_in_place,_and_charged_amino_acid_side_chains_are_ligands_for_the_metal_ions."_[GOC:mah,_http://merops.sanger.ac.uk/about/glossary.htm#CATTYPE]/"Catalysis_of_the_hydrolysis_of_various_bonds,_e.g._C-O,_C-N,_C-C,_phosphoric_anhydride_bonds,_etc._Hydrolase_is_the_systematic_name_for_any_enzyme_of_EC_class_3."_[ISBN:0198506732]/"Interacting_selectively_and_non-covalently_with_any_metal_ion."_[GOC:ai]/"Interacting_selectively_and_non-covalently_with_zinc_(Zn)_ions."_[GOC:ai]/"The_biological_process_whose_specific_outcome_is_the_progression_of_a_pharynx_from_an_initial_condition_to_its_mature_state._The_pharynx_is_the_part_of_the_digestive_system_immediately_posterior_to_the_mouth."_[GOC:dph,_GOC:rk]/"The_contraction_and_relaxation_movements_of_the_pharyngeal_muscle_that_mediate_feeding_in_nematodes."_[GOC:cab1,_PMID:2181052]/"The_hydrolysis_of_proteins_into_smaller_polypeptides_and/or_amino_acids_by_cleavage_of_their_peptide_bonds."_[GOC:bf,_GOC:mah]/</t>
  </si>
  <si>
    <t>note=contains_similarity_to_Pfam_domain_PF01683_EB_module_contains_similarity_to_Interpro_domain_IPR006149_(EB_domain)</t>
  </si>
  <si>
    <t>7209.EJD74845.1</t>
  </si>
  <si>
    <t>3.5e-183</t>
  </si>
  <si>
    <t>647.5</t>
  </si>
  <si>
    <t>GO:0007275,GO:0007610,GO:0007631,GO:0008150,GO:0032501,GO:0032502,GO:0035295,GO:0042755,GO:0043050,GO:0048565,GO:0048731,GO:0048856,GO:0055123,GO:0060465</t>
  </si>
  <si>
    <t>1KUBG@119089,39TYY@33154,3BNPT@33208,3D394@33213,40AVB@6231,KOG3714@1,KOG3714@2759</t>
  </si>
  <si>
    <t>73,1214/89,0173</t>
  </si>
  <si>
    <t>35,2601/43,9306</t>
  </si>
  <si>
    <t>23,6994/30,9249/23,6994/18,4971</t>
  </si>
  <si>
    <t>38,7283/35,2601</t>
  </si>
  <si>
    <t>38,7283/40,4624</t>
  </si>
  <si>
    <t>WBGene00003526</t>
  </si>
  <si>
    <t>55.4913</t>
  </si>
  <si>
    <t>Bm17101</t>
  </si>
  <si>
    <t>WBGene00268245</t>
  </si>
  <si>
    <t>IPR012337/IPR040676/</t>
  </si>
  <si>
    <t>Domain_of_unknown_function_DUF5641/Ribonuclease_H-like_superfamily/</t>
  </si>
  <si>
    <t>DUF5641/RNaseH-like_sf/</t>
  </si>
  <si>
    <t>2.6e-85</t>
  </si>
  <si>
    <t>322.4</t>
  </si>
  <si>
    <t>Bm5185</t>
  </si>
  <si>
    <t>WBGene00225446</t>
  </si>
  <si>
    <t>note=contains_similarity_to_Interpro_domain_IPR006150_(Cysteine-rich_repeat)</t>
  </si>
  <si>
    <t>7209.EFO26743.1</t>
  </si>
  <si>
    <t>1.7e-80</t>
  </si>
  <si>
    <t>306.6</t>
  </si>
  <si>
    <t>ko:K17279</t>
  </si>
  <si>
    <t>ko00000,ko04147</t>
  </si>
  <si>
    <t>1KWF3@119089,3A64K@33154,3BTIA@33208,3DA3E@33213,40E63@6231,COG5052@1,KOG1725@2759</t>
  </si>
  <si>
    <t>Receptor expression-enhancing protein</t>
  </si>
  <si>
    <t>24,57/23,0958</t>
  </si>
  <si>
    <t>17,6904/17,6904</t>
  </si>
  <si>
    <t>16,9533/17,4447</t>
  </si>
  <si>
    <t>18,4275/18,9189/20,1474</t>
  </si>
  <si>
    <t>20,3931/20,1474/20,3931/10,0737/21,6216/15,4791/18,4275/18,4275/19,9017/20,3931/20,3931/20,3931/21,8673/16,4619/19,9017/19,9017/19,9017/18,4275</t>
  </si>
  <si>
    <t>7,61671/8,35381/9,58231/7,37101</t>
  </si>
  <si>
    <t>7,86241/8,59951/9,58231/7,86241</t>
  </si>
  <si>
    <t>7,86241/9,09091/8,59951/13,0221/7,37101</t>
  </si>
  <si>
    <t>Bm4031</t>
  </si>
  <si>
    <t>WBGene00224292</t>
  </si>
  <si>
    <t>GO:0004721/GO:0006470/GO:0016787/GO:0046872/</t>
  </si>
  <si>
    <t>hydrolase_activity/metal_ion_binding/phosphoprotein_phosphatase_activity/protein_dephosphorylation/</t>
  </si>
  <si>
    <t>Catalysis_of_the_hydrolysis_of_various_bonds,_e.g._C-O,_C-N,_C-C,_phosphoric_anhydride_bonds,_etc._Hydrolase_is_the_systematic_name_for_any_enzyme_of_EC_class_3._[ISBN:0198506732]/"Catalysis_of_the_reaction:_a_phosphoprotein_+_H2O_=_a_protein_+_phosphate._Together_with_protein_kinases,_these_enzymes_control_the_state_of_phosphorylation_of_cell_proteins_and_thereby_provide_an_important_mechanism_for_regulating_cellular_activity."_[EC:3.1.3.16,_ISBN:0198547684]/"Interacting_selectively_and_non-covalently_with_any_metal_ion."_[GOC:ai]/"The_process_of_removing_one_or_more_phosphoric_residues_from_a_protein."_[GOC:hb]/</t>
  </si>
  <si>
    <t>IPR004843/IPR006186/IPR029052/IPR031675/</t>
  </si>
  <si>
    <t>Calcineurin-like_phosphoesterase_domain,_ApaH_type/Metallo-dependent_phosphatase-like/Serine-threonine_protein_phosphatase,_N-terminal/Serine/threonine-specific_protein_phosphatase/bis(5-nucleosyl)-tetraphosphatase/</t>
  </si>
  <si>
    <t>Calcineurin-like_PHP_ApaH/Metallo-depent_PP-like/STPPase_N/Ser/Thr-sp_prot-phosphatase/</t>
  </si>
  <si>
    <t>7209.EFO26861.1</t>
  </si>
  <si>
    <t>7.2e-183</t>
  </si>
  <si>
    <t>1KTWN@119089,39XHC@33154,3BP47@33208,3D4M6@33213,40BG0@6231,COG0639@1,KOG0374@2759</t>
  </si>
  <si>
    <t>51,1041/52,0505/52,3659</t>
  </si>
  <si>
    <t>44,4795/42,2713/16,4038/44,795/43,5331/42,5868/47,0032/38,1703</t>
  </si>
  <si>
    <t>Bm17883</t>
  </si>
  <si>
    <t>WBGene00269025</t>
  </si>
  <si>
    <t>Bm17627</t>
  </si>
  <si>
    <t>WBGene00268769</t>
  </si>
  <si>
    <t>IPR012337/IPR036397/IPR040676/</t>
  </si>
  <si>
    <t>Domain_of_unknown_function_DUF5641/Ribonuclease_H-like_superfamily/Ribonuclease_H_superfamily/</t>
  </si>
  <si>
    <t>DUF5641/RNaseH-like_sf/RNaseH_sf/</t>
  </si>
  <si>
    <t>260.0</t>
  </si>
  <si>
    <t>Bm10054</t>
  </si>
  <si>
    <t>WBGene00230315</t>
  </si>
  <si>
    <t>GO:0003677/GO:0005634/GO:0006355/GO:0007275/GO:0043565/</t>
  </si>
  <si>
    <t>DNA_binding/multicellular_organism_development/nucleus/regulation_of_transcription,_DNA-templated/sequence-specific_DNA_binding/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</si>
  <si>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Any_process_that_modulates_the_frequency,_rate_or_extent_of_cellular_DNA-templated_transcription."_[GOC:go_curators,_GOC:txnOH]/"Interacting_selectively_and_non-covalently_with_DNA_of_a_specific_nucleotide_composition,_e.g._GC-rich_DNA_binding,_or_with_a_specific_sequence_motif_or_type_of_DNA_e.g._promotor_binding_or_rDNA_binding."_[GOC:jl]/"The_biological_process_whose_specific_outcome_is_the_progression_of_a_multicellular_organism_over_time_from_an_initial_condition_(e.g._a_zygote_or_a_young_adult)_to_a_later_condition_(e.g._a_multicellular_animal_or_an_aged_adult)."_[GOC:dph,_GOC:ems,_GOC:isa_complete,_GOC:tb]/</t>
  </si>
  <si>
    <t>IPR001356/IPR001523/IPR009057/IPR017970/IPR036388/</t>
  </si>
  <si>
    <t>Homeobox,_conserved_site/Homeobox-like_domain_superfamily/Homeobox_domain/Paired_domain/Winged_helix-like_DNA-binding_domain_superfamily/</t>
  </si>
  <si>
    <t>Homeobox-like_sf/Homeobox_CS/Homeobox_dom/Paired_dom/WH-like_DNA-bd_sf/</t>
  </si>
  <si>
    <t>note=contains_similarity_to_Pfam_domains_PF00046_(Homeobox_domain),_PF00292_('Paired_box'_domain)_contains_similarity_to_Interpro_domains_IPR001523_(Paired_domain),_IPR011991_(Winged_helix-turn-helix_DNA-binding_domain),_IPR001356_(Homeobox_domain),_IPR009057_(Homeodomain-like)</t>
  </si>
  <si>
    <t>7209.EJD76269.1</t>
  </si>
  <si>
    <t>1.8e-150</t>
  </si>
  <si>
    <t>538.9</t>
  </si>
  <si>
    <t>ko:K09381</t>
  </si>
  <si>
    <t>1KYWE@119089,38GFY@33154,3BFBS@33208,3CUFX@33213,40G52@6231,KOG0849@1,KOG0849@2759</t>
  </si>
  <si>
    <t>Paired Box domain</t>
  </si>
  <si>
    <t>11,6477/9,94318/12,2159</t>
  </si>
  <si>
    <t>9,375/7,38636/7,95455/24,4318/23,0114</t>
  </si>
  <si>
    <t>9,09091/9,09091/10,2273/12,5/11,0795/30,1136/9,65909/9,375/9,375/10,2273/26,7045/27,2727/25,2841/10,2273/10,2273/12,2159/15,0568/11,6477/13,6364/26,7045/10,7955/10,7955/11,6477/11,0795/11,0795/9,375/8,80682/11,0795/11,0795/11,3636/7,67045/7,95455</t>
  </si>
  <si>
    <t>10,2273/12,5/6,53409/30,1136/9,375/9,375/9,09091/10,5114/27,2727/27,5568/25,2841/10,2273/9,09091/12,2159/12,2159/11,0795/13,6364/26,7045/15,9091/10,7955/11,3636/11,0795/11,3636/8,80682/8,80682/8,80682/8,80682/11,6477/11,6477/11,3636/10,5114/10,5114/7,67045/9,65909/9,09091/8,80682</t>
  </si>
  <si>
    <t>11,9318/11,0795/30,1136/13,3523/30,1136/9,375/5,96591/8,52273/8,52273/27,5568/27,2727/25,5682/10,5114/13,0682/12,5/13,3523/13,6364/11,0795/24,1477/10,7955/10,7955/10,2273/10,7955/10,7955/10,5114/10,2273/9,09091/8,52273/11,3636/11,0795/12,5</t>
  </si>
  <si>
    <t>Bm7764</t>
  </si>
  <si>
    <t>WBGene00228025</t>
  </si>
  <si>
    <t>Bm99</t>
  </si>
  <si>
    <t>WBGene00220360</t>
  </si>
  <si>
    <t>392.9</t>
  </si>
  <si>
    <t>19,5373/20,0514</t>
  </si>
  <si>
    <t>13,1105/20,0514/21,5938/22,6221/13,1105</t>
  </si>
  <si>
    <t>13,3676/18,7661/12,5964</t>
  </si>
  <si>
    <t>Bm17100</t>
  </si>
  <si>
    <t>WBGene00268244</t>
  </si>
  <si>
    <t>85,7143/36,3636</t>
  </si>
  <si>
    <t>Bm9913</t>
  </si>
  <si>
    <t>WBGene00230174</t>
  </si>
  <si>
    <t>IPR000719/IPR001245/IPR008266/IPR011009/IPR020635/</t>
  </si>
  <si>
    <t>Protein_kinase-like_domain_superfamily/Protein_kinase_domain/Serine-threonine/tyrosine-protein_kinase,_catalytic_domain/Tyrosine-protein_kinase,_active_site/Tyrosine-protein_kinase,_catalytic_domain/</t>
  </si>
  <si>
    <t>Kinase-like_dom_sf/Prot_kinase_dom/Ser-Thr/Tyr_kinase_cat_dom/Tyr_kinase_AS/Tyr_kinase_cat_dom/</t>
  </si>
  <si>
    <t>note=contains_similarity_to_Pfam_domain_PF07714_Protein_tyrosine_kinase_contains_similarity_to_Interpro_domains_IPR011009_(Protein_kinase-like_domain),_IPR001245_(Serine-threonine/tyrosine-protein_kinase_catalytic_domain),_IPR020635_(Tyrosine-protein_kinase,_catalytic_domain)</t>
  </si>
  <si>
    <t>7209.EFO21399.1</t>
  </si>
  <si>
    <t>2.2e-137</t>
  </si>
  <si>
    <t>496.1</t>
  </si>
  <si>
    <t>KOG0200@1,KOG0200@2759</t>
  </si>
  <si>
    <t>transmembrane receptor protein tyrosine kinase activity</t>
  </si>
  <si>
    <t>5,04202/6,38655</t>
  </si>
  <si>
    <t>8,57143/9,2437</t>
  </si>
  <si>
    <t>WBGene00012632</t>
  </si>
  <si>
    <t>12.605</t>
  </si>
  <si>
    <t>Bm9978</t>
  </si>
  <si>
    <t>WBGene00230239</t>
  </si>
  <si>
    <t>Bm9361</t>
  </si>
  <si>
    <t>WBGene00229622</t>
  </si>
  <si>
    <t>Bm12829</t>
  </si>
  <si>
    <t>WBGene00233090</t>
  </si>
  <si>
    <t>note=contains_similarity_to_Pfam_domain_PF13013_F-box-like_domain_contains_similarity_to_Interpro_domain_IPR001810_(F-box_domain)</t>
  </si>
  <si>
    <t>80,2607/11,3594</t>
  </si>
  <si>
    <t>23,4637/60,3352</t>
  </si>
  <si>
    <t>11,3594/47,8585</t>
  </si>
  <si>
    <t>Bm8172</t>
  </si>
  <si>
    <t>WBGene00228433</t>
  </si>
  <si>
    <t>GO:0002119/GO:0006508/GO:0008234/</t>
  </si>
  <si>
    <t>cysteine-type_peptidase_activity/nematode_larval_development/proteolysis/</t>
  </si>
  <si>
    <t>Catalysis_of_the_hydrolysis_of_peptide_bonds_in_a_polypeptide_chain_by_a_mechanism_in_which_the_sulfhydryl_group_of_a_cysteine_residue_at_the_active_center_acts_as_a_nucleophile._[GOC:mah,_http://merops.sanger.ac.uk/about/glossary.htm#CATTYPE]/"The_hydrolysis_of_proteins_into_smaller_polypeptides_and/or_amino_acids_by_cleavage_of_their_peptide_bonds."_[GOC:bf,_GOC:mah]/"The_process_whose_specific_outcome_is_the_progression_of_the_nematode_larva_over_time,_from_its_formation_to_the_mature_structure._Nematode_larval_development_begins_with_the_newly_hatched_first-stage_larva_(L1)_and_ends_with_the_end_of_the_last_larval_stage_(for_example_the_fourth_larval_stage_(L4)_in_C._elegans)._Each_stage_of_nematode_larval_development_is_characterized_by_proliferation_of_specific_cell_lineages_and_an_increase_in_body_size_without_alteration_of_the_basic_body_plan._Nematode_larval_stages_are_separated_by_molts_in_which_each_stage-specific_exoskeleton,_or_cuticle,_is_shed_and_replaced_anew."_[GOC:ems,_GOC:kmv]/</t>
  </si>
  <si>
    <t>note=contains_similarity_to_Pfam_domain_PF00112_Papain_family_cysteine_protease_contains_similarity_to_Interpro_domain_IPR000668_(Peptidase_C1A,_papain_C-terminal)</t>
  </si>
  <si>
    <t>8.9e-130</t>
  </si>
  <si>
    <t>470.3</t>
  </si>
  <si>
    <t>22,8883/23,7057</t>
  </si>
  <si>
    <t>16,8937/22,3433/25,0681/26,703/15,5313</t>
  </si>
  <si>
    <t>16,8937/21,5259/15,2589</t>
  </si>
  <si>
    <t>Bm9594</t>
  </si>
  <si>
    <t>WBGene00229855</t>
  </si>
  <si>
    <t>7209.EFO16148.2</t>
  </si>
  <si>
    <t>7.1e-19</t>
  </si>
  <si>
    <t>101.7</t>
  </si>
  <si>
    <t>55,7185/36,9501/25,2199</t>
  </si>
  <si>
    <t>Bm9379</t>
  </si>
  <si>
    <t>WBGene00229640</t>
  </si>
  <si>
    <t>3,87029/4,39331/8,57741</t>
  </si>
  <si>
    <t>Bm420</t>
  </si>
  <si>
    <t>WBGene00220681</t>
  </si>
  <si>
    <t>Bm9358</t>
  </si>
  <si>
    <t>WBGene00229619</t>
  </si>
  <si>
    <t>Bm11529</t>
  </si>
  <si>
    <t>WBGene00231790</t>
  </si>
  <si>
    <t>Bm6342</t>
  </si>
  <si>
    <t>WBGene00226603</t>
  </si>
  <si>
    <t>IPR021869/</t>
  </si>
  <si>
    <t>Ribonuclease_Zc3h12a-like,_NYN_domain/</t>
  </si>
  <si>
    <t>RNase_Zc3h12_NYN/</t>
  </si>
  <si>
    <t>note=contains_similarity_to_Pfam_domain_PF11977_Zc3h12a-like_Ribonuclease_NYN_domain_contains_similarity_to_Interpro_domain_IPR021869_(Ribonuclease_Zc3h12a-like)</t>
  </si>
  <si>
    <t>7209.EFO26703.2</t>
  </si>
  <si>
    <t>7.9e-217</t>
  </si>
  <si>
    <t>760.0</t>
  </si>
  <si>
    <t>1KZ0C@119089,3AKDT@33154,3BZQV@33208,3DG6Y@33213,40G77@6231,KOG3777@1,KOG3777@2759</t>
  </si>
  <si>
    <t>Zc3h12a-like Ribonuclease NYN domain</t>
  </si>
  <si>
    <t>25,2205/25,3968</t>
  </si>
  <si>
    <t>11,6402/13,0511/13,933/11,9929/12,3457/9,70018/11,1111</t>
  </si>
  <si>
    <t>12,1693/12,8748/14,2857/12,522/11,9929/10,0529/10,7584</t>
  </si>
  <si>
    <t>9,34744/12,8748/9,87654/11,2875/9,17108</t>
  </si>
  <si>
    <t>WBGene00021287/WBGene00013107</t>
  </si>
  <si>
    <t>25.2205/25.3968</t>
  </si>
  <si>
    <t>Bm7952</t>
  </si>
  <si>
    <t>WBGene00228213</t>
  </si>
  <si>
    <t>IPR007889/IPR009057/</t>
  </si>
  <si>
    <t>DNA_binding_HTH_domain,_Psq-type/Homeobox-like_domain_superfamily/</t>
  </si>
  <si>
    <t>HTH_Psq/Homeobox-like_sf/</t>
  </si>
  <si>
    <t>note=contains_similarity_to_Pfam_domain_PF04218_CENP-B_N-terminal_DNA-binding_domain_contains_similarity_to_Interpro_domains_IPR009057_(Homeodomain-like),_IPR007889_(DNA_binding_HTH_domain,_Psq-type)</t>
  </si>
  <si>
    <t>7209.EFO24493.1</t>
  </si>
  <si>
    <t>176.8</t>
  </si>
  <si>
    <t>1M068@119089,3AVRX@33154,3C4FG@33208,3DJYS@33213,40H9V@6231,KOG1721@1,KOG1721@2759</t>
  </si>
  <si>
    <t>Bm8233</t>
  </si>
  <si>
    <t>WBGene00228494</t>
  </si>
  <si>
    <t>75,8929/85,2679/73,2143</t>
  </si>
  <si>
    <t>32,1429/28,125</t>
  </si>
  <si>
    <t>Bm2785</t>
  </si>
  <si>
    <t>WBGene00223046</t>
  </si>
  <si>
    <t>40,3141/57,3298</t>
  </si>
  <si>
    <t>18,3246/51,8325</t>
  </si>
  <si>
    <t>Bm4633</t>
  </si>
  <si>
    <t>WBGene00224894</t>
  </si>
  <si>
    <t>6326.BUX.s00713.645</t>
  </si>
  <si>
    <t>3.8e-79</t>
  </si>
  <si>
    <t>302.0</t>
  </si>
  <si>
    <t>1KWMP@119089,3A6IX@33154,3BSYJ@33208,3DA2G@33213,40E47@6231,KOG3656@1,KOG3656@2759</t>
  </si>
  <si>
    <t>46,7967/46,7967</t>
  </si>
  <si>
    <t>WBGene00010375</t>
  </si>
  <si>
    <t>43.7326</t>
  </si>
  <si>
    <t>Bm10563</t>
  </si>
  <si>
    <t>WBGene00230824</t>
  </si>
  <si>
    <t>note=contains_similarity_to_Interpro_domain_IPR000884_(Thrombospondin,_type_1_repeat)</t>
  </si>
  <si>
    <t>7209.EFO27667.1</t>
  </si>
  <si>
    <t>5.3e-23</t>
  </si>
  <si>
    <t>115.9</t>
  </si>
  <si>
    <t>1KZGW@119089,2D3GY@1,2SRID@2759,3ANDW@33154,3C1F8@33208,3DH66@33213,40GG4@6231</t>
  </si>
  <si>
    <t>18,0915/5,5666</t>
  </si>
  <si>
    <t>Bm9674</t>
  </si>
  <si>
    <t>WBGene00229935</t>
  </si>
  <si>
    <t>Bm8930</t>
  </si>
  <si>
    <t>WBGene00229191</t>
  </si>
  <si>
    <t>16,3333/18,3333</t>
  </si>
  <si>
    <t>Bm10602</t>
  </si>
  <si>
    <t>WBGene00230863</t>
  </si>
  <si>
    <t>93,2127/53,8462/90,4977/54,2986</t>
  </si>
  <si>
    <t>42,9864/42,0814</t>
  </si>
  <si>
    <t>Bm2392</t>
  </si>
  <si>
    <t>WBGene00222653</t>
  </si>
  <si>
    <t>6238.CBG01710</t>
  </si>
  <si>
    <t>1.2e-59</t>
  </si>
  <si>
    <t>237.7</t>
  </si>
  <si>
    <t>1KYHK@119089,38H6D@33154,3BBCG@33208,3CS02@33213,40CY9@6231,40YTE@6236,KOG2182@1,KOG2182@2759</t>
  </si>
  <si>
    <t>serine-type peptidase activity</t>
  </si>
  <si>
    <t>29,5181/25,1004/26,9076</t>
  </si>
  <si>
    <t>26,1044/26,7068/25,7028/26,3052/4,21687/26,506/7,42972/25,9036/24,6988/23,8956</t>
  </si>
  <si>
    <t>27,1084/18,4739/10,8434/18,6747/14,4578/18,0723/19,8795</t>
  </si>
  <si>
    <t>27,9116/29,3173/24,2972</t>
  </si>
  <si>
    <t>28.7149</t>
  </si>
  <si>
    <t>Bm5691</t>
  </si>
  <si>
    <t>WBGene00225952</t>
  </si>
  <si>
    <t>GO:0005216/GO:0005515/GO:0006811/GO:0016020/GO:0016021/GO:0034220/GO:0055085/</t>
  </si>
  <si>
    <t>integral_component_of_membrane/ion_channel_activity/ion_transmembrane_transport/ion_transport/membrane/protein_binding/transmembrane_transport/</t>
  </si>
  <si>
    <t>A_lipid_bilayer_along_with_all_the_proteins_and_protein_complexes_embedded_in_it_an_attached_to_it._[GOC:dos,_GOC:mah,_ISBN:0815316194]/"A_process_in_which_an_ion_is_transported_across_a_membrane."_[GOC:mah]/"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Interacting_selectively_and_non-covalently_with_any_protein_or_protein_complex_(a_complex_of_two_or_more_proteins_that_may_include_other_nonprotein_molecules)."_[GOC:go_curators]/"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he_process_in_which_a_solute_is_transported_across_a_lipid_bilayer,_from_one_side_of_a_membrane_to_the_other."_[GOC:dph,_GOC:jid]/</t>
  </si>
  <si>
    <t>IPR002110/IPR005821/IPR020683/IPR024862/IPR036770/</t>
  </si>
  <si>
    <t>Ankyrin_repeat/Ankyrin_repeat-containing_domain/Ankyrin_repeat-containing_domain_superfamily/Ion_transport_domain/Transient_receptor_potential_cation_channel_subfamily_V/</t>
  </si>
  <si>
    <t>Ankyrin_rpt/Ankyrin_rpt-contain_dom/Ankyrin_rpt-contain_sf/Ion_trans_dom/TRPV/</t>
  </si>
  <si>
    <t>note=contains_similarity_to_Pfam_domains_PF12796_(Ankyrin_repeats_(3_copies)),_PF00023_(Ankyrin_repeat)_contains_similarity_to_Interpro_domains_IPR002110_(Ankyrin_repeat),_IPR020683_(Ankyrin_repeat-containing_domain)</t>
  </si>
  <si>
    <t>7209.EFO22755.2</t>
  </si>
  <si>
    <t>1387.5</t>
  </si>
  <si>
    <t>35,9618/42,5329</t>
  </si>
  <si>
    <t>54,0024/55,5556</t>
  </si>
  <si>
    <t>7,64636/25,3286/58,6619/50,6571</t>
  </si>
  <si>
    <t>51,2545/17,4432/23,417/51,2545</t>
  </si>
  <si>
    <t>50,2987/41,9355/50,2987</t>
  </si>
  <si>
    <t>51,135/49,8208</t>
  </si>
  <si>
    <t>4,89845/21,8638/13,6201/6,09319/9,19952/10,1553</t>
  </si>
  <si>
    <t>5,61529/8,3632/49,9403/13,3811</t>
  </si>
  <si>
    <t>18,1601/20,0717/18,7575/19,4743/19,2354/18,0406</t>
  </si>
  <si>
    <t>18,1601/19,9522/18,5185/19,2354/19,1159/17,9211</t>
  </si>
  <si>
    <t>21,147/17,2043/19,3548</t>
  </si>
  <si>
    <t>52.0908</t>
  </si>
  <si>
    <t>Bm5802</t>
  </si>
  <si>
    <t>WBGene00226063</t>
  </si>
  <si>
    <t>/GO:0002119/GO:0003677/GO:0003700/GO:0005634/GO:0006355/GO:0009792/GO:0016358/GO:0043565/GO:0045944/GO:0048665/GO:1905515/</t>
  </si>
  <si>
    <t>/DNA-binding_transcription_factor_activity/DNA_binding/dendrite_development/embryo_development_ending_in_birth_or_egg_hatching/nematode_larval_development/neuron_fate_specification/non-motile_cilium_assembly/nucleus/positive_regulation_of_transcription_by_RNA_polymerase_II/regulation_of_transcription,_DNA-templated/sequence-specific_DNA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</si>
  <si>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molecular_function_by_which_a_gene_product_interacts_selectively_and_non-covalently_with_DNA_(deoxyribonucleic_acid)."_[GOC:dph,_GOC:jl,_GOC:tb,_GOC:vw]/"Any_process_that_activates_or_increases_the_frequency,_rate_or_extent_of_transcription_from_an_RNA_polymerase_II_promoter."_[GOC:go_curators,_GOC:txnOH]/"Any_process_that_modulates_the_frequency,_rate_or_extent_of_cellular_DNA-templated_transcription."_[GOC:go_curators,_GOC:txnOH]/"Interacting_selectively_and_non-covalently_with_DNA_of_a_specific_nucleotide_composition,_e.g._GC-rich_DNA_binding,_or_with_a_specific_sequence_motif_or_type_of_DNA_e.g._promotor_binding_or_rDNA_binding."_[GOC:jl]/"The_aggregation,_arrangement_and_bonding_together_of_a_set_of_components_to_form_a_non-motile_cilium."_[GO_REF:0000079,_GOC:cilia,_GOC:kmv,_GOC:TermGenie,_PMID:14521833,_PMID:14521834]/"The_process_in_which_a_cell_becomes_capable_of_differentiating_autonomously_into_a_neuron_in_an_environment_that_is_neutral_with_respect_to_the_developmental_pathway._Upon_specification,_the_cell_fate_can_be_reversed."_[GOC:dph]/"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he_process_whose_specific_outcome_is_the_progression_of_the_dendrite_over_time,_from_its_formation_to_the_mature_structure."_[GOC:aruk,_GOC:bc,_GOC:jl,_ISBN:0198506732,_PMID:22683681]/"The_process_whose_specific_outcome_is_the_progression_of_the_nematode_larva_over_time,_from_its_formation_to_the_mature_structure._Nematode_larval_development_begins_with_the_newly_hatched_first-stage_larva_(L1)_and_ends_with_the_end_of_the_last_larval_stage_(for_example_the_fourth_larval_stage_(L4)_in_C._elegans)._Each_stage_of_nematode_larval_development_is_characterized_by_proliferation_of_specific_cell_lineages_and_an_increase_in_body_size_without_alteration_of_the_basic_body_plan._Nematode_larval_stages_are_separated_by_molts_in_which_each_stage-specific_exoskeleton,_or_cuticle,_is_shed_and_replaced_anew."_[GOC:ems,_GOC:kmv]/</t>
  </si>
  <si>
    <t>/IPR001766/IPR018122/IPR030456/IPR036388/IPR036390/</t>
  </si>
  <si>
    <t>/Fork_head_domain/Fork_head_domain_conserved_site1/Fork_head_domain_conserved_site_2/Winged_helix-like_DNA-binding_domain_superfamily/Winged_helix_DNA-binding_domain_superfamily/</t>
  </si>
  <si>
    <t>/Fork_head_dom/TF_fork_head_CS_1/TF_fork_head_CS_2/WH-like_DNA-bd_sf/WH_DNA-bd_sf/</t>
  </si>
  <si>
    <t>note=B._malayi_BMA-FKH-2_protein</t>
  </si>
  <si>
    <t>7209.EFO26308.1</t>
  </si>
  <si>
    <t>1.2e-134</t>
  </si>
  <si>
    <t>486.1</t>
  </si>
  <si>
    <t>GO:0001708,GO:0002119,GO:0002164,GO:0003674,GO:0003700,GO:0005575,GO:0005622,GO:0005623,GO:0005634,GO:0006355,GO:0006357,GO:0006996,GO:0007275,GO:0007399,GO:0008150,GO:0009790,GO:0009791,GO:0009792,GO:0009889,GO:0009891,GO:0009893,GO:0009987,GO:0010468,GO:0010556,GO:0010557,GO:0010604,GO:0010628,GO:0016043,GO:0016358,GO:0019219,GO:0019222,GO:0022008,GO:0022607,GO:0030030,GO:0030031,GO:0030154,GO:0030182,GO:0031175,GO:0031323,GO:0031325,GO:0031326,GO:0031328,GO:0032501,GO:0032502,GO:0043226,GO:0043227,GO:0043229,GO:0043231,GO:0044085,GO:0044424,GO:0044464,GO:0044782,GO:0045165,GO:0045893,GO:0045935,GO:0045944,GO:0048468,GO:0048518,GO:0048522,GO:0048663,GO:0048665,GO:0048666,GO:0048699,GO:0048731,GO:0048856,GO:0048869,GO:0050789,GO:0050794,GO:0051171,GO:0051173,GO:0051252,GO:0051254,GO:0060255,GO:0060271,GO:0065007,GO:0070925,GO:0071840,GO:0080090,GO:0120031,GO:0120036,GO:0140110,GO:1902680,GO:1903506,GO:1903508,GO:1905515,GO:2000112,GO:2001141</t>
  </si>
  <si>
    <t>ko:K09385</t>
  </si>
  <si>
    <t>ko04068,map04068</t>
  </si>
  <si>
    <t>1KWCN@119089,38C83@33154,3BDBY@33208,3CYJT@33213,40DQX@6231,COG5025@1,KOG2294@2759</t>
  </si>
  <si>
    <t>27/27,3333</t>
  </si>
  <si>
    <t>11,6667/24/22,6667/22,6667/23/22,6667/23/22,6667/22,3333/17,6667/21,3333</t>
  </si>
  <si>
    <t>5,33333/24,6667/24,6667/22/15,3333/21</t>
  </si>
  <si>
    <t>34/36</t>
  </si>
  <si>
    <t>WBGene00001434</t>
  </si>
  <si>
    <t>39.6667</t>
  </si>
  <si>
    <t>Bm10575</t>
  </si>
  <si>
    <t>WBGene00230836</t>
  </si>
  <si>
    <t>27,8057/6,86767</t>
  </si>
  <si>
    <t>Bm2910</t>
  </si>
  <si>
    <t>WBGene00223171</t>
  </si>
  <si>
    <t>IPR000557/</t>
  </si>
  <si>
    <t>Calponin_repeat/</t>
  </si>
  <si>
    <t>note=contains_similarity_to_Pfam_domain_PF00402_Calponinfamily_repeat_contains_similarity_to_Interpro_domainIPR000557_(Calponin_repeat)</t>
  </si>
  <si>
    <t>7209.EJD75423.1</t>
  </si>
  <si>
    <t>2.5e-92</t>
  </si>
  <si>
    <t>345.9</t>
  </si>
  <si>
    <t>1KVBF@119089,28IWU@1,2RPNA@2759,39D6Q@33154,3BHG4@33208,3D41M@33213,40CDC@6231</t>
  </si>
  <si>
    <t>Calponin family repeat</t>
  </si>
  <si>
    <t>45,2685/48,3376</t>
  </si>
  <si>
    <t>29,9233/29,6675</t>
  </si>
  <si>
    <t>6,13811/5,88235</t>
  </si>
  <si>
    <t>11,2532/7,16113/6,90537/11,509/11,7647/7,16113</t>
  </si>
  <si>
    <t>11,2532/7,16113/7,16113/11,509/11,7647/7,41688</t>
  </si>
  <si>
    <t>12,0205/11,7647/6,64962/8,18414/7,16113/7,41688/12,0205/12,2762/11,7647</t>
  </si>
  <si>
    <t>WBGene00016898</t>
  </si>
  <si>
    <t>50.8951</t>
  </si>
  <si>
    <t>Bm9811</t>
  </si>
  <si>
    <t>WBGene00230072</t>
  </si>
  <si>
    <t>note=B._malayi_BMA-CUTL-9_protein,_contains_similarity_to_Pfam_domain_PF00100_Zona_pellucida-like_domain_contains_similarity_to_Interpro_domain_IPR001507_(Zona_pellucida_domain)</t>
  </si>
  <si>
    <t>1561998.Csp11.Scaffold629.g8900.t1</t>
  </si>
  <si>
    <t>7.2e-48</t>
  </si>
  <si>
    <t>1KYQ3@119089,2EAZM@1,2SH5K@2759,3AG1Y@33154,3BZ7G@33208,3DEW5@33213,40FUD@6231,40T0G@6236</t>
  </si>
  <si>
    <t>Bm17331</t>
  </si>
  <si>
    <t>WBGene00268474</t>
  </si>
  <si>
    <t>IPR011993/</t>
  </si>
  <si>
    <t>PH-like_domain_superfamily/</t>
  </si>
  <si>
    <t>PH-like_dom_sf/</t>
  </si>
  <si>
    <t>7209.EFO25701.2</t>
  </si>
  <si>
    <t>1.3e-20</t>
  </si>
  <si>
    <t>106.3</t>
  </si>
  <si>
    <t>3.1.4.11</t>
  </si>
  <si>
    <t>ko:K05857</t>
  </si>
  <si>
    <t>ko00562,ko01100,ko04020,ko04070,ko04919,ko04933,map00562,map01100,map04020,map04070,map04919,map04933</t>
  </si>
  <si>
    <t>M00130</t>
  </si>
  <si>
    <t>R03332,R03435,R10952</t>
  </si>
  <si>
    <t>RC00017,RC00425</t>
  </si>
  <si>
    <t>ko00000,ko00001,ko00002,ko01000,ko04131</t>
  </si>
  <si>
    <t>1KU8S@119089,38BAR@33154,3BDCE@33208,3CRFD@33213,40B1D@6231,KOG0169@1,KOG0169@2759</t>
  </si>
  <si>
    <t>Phospholipase C, catalytic domain (part); domain Y</t>
  </si>
  <si>
    <t>Bm10952</t>
  </si>
  <si>
    <t>WBGene00231213</t>
  </si>
  <si>
    <t>GO:0005634/GO:0008270/</t>
  </si>
  <si>
    <t>nucleus/zinc_ion_binding/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</si>
  <si>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Interacting_selectively_and_non-covalently_with_zinc_(Zn)_ions."_[GOC:ai]/</t>
  </si>
  <si>
    <t>IPR010531/</t>
  </si>
  <si>
    <t>Zinc_finger_protein_NOA36/</t>
  </si>
  <si>
    <t>NOA36/</t>
  </si>
  <si>
    <t>note=contains_similarity_to_Pfam_domain_PF06524_NOA36_protein_contains_similarity_to_Interpro_domain_IPR010531_(Zinc_finger_protein_NOA36)</t>
  </si>
  <si>
    <t>7370.XP_005186981.1</t>
  </si>
  <si>
    <t>1.7e-83</t>
  </si>
  <si>
    <t>316.2</t>
  </si>
  <si>
    <t>Diptera</t>
  </si>
  <si>
    <t>2C2D9@1,2QRJT@2759,38BMP@33154,3BA1W@33208,3CYVG@33213,3SFWX@50557,41XCP@6656,44ZCE@7147</t>
  </si>
  <si>
    <t>Zinc ion binding</t>
  </si>
  <si>
    <t>19,4175/22,0065</t>
  </si>
  <si>
    <t>12,945/28,479</t>
  </si>
  <si>
    <t>Bm17151</t>
  </si>
  <si>
    <t>WBGene00268294</t>
  </si>
  <si>
    <t>292805.Wbm0374</t>
  </si>
  <si>
    <t>5e-22</t>
  </si>
  <si>
    <t>110.9</t>
  </si>
  <si>
    <t>Rickettsiales</t>
  </si>
  <si>
    <t>1R8FS@1224,2UMP3@28211,47FF8@766,COG5464@1,COG5464@2</t>
  </si>
  <si>
    <t>to TIGR01784</t>
  </si>
  <si>
    <t>Bm9853</t>
  </si>
  <si>
    <t>WBGene00230114</t>
  </si>
  <si>
    <t>Bm10717</t>
  </si>
  <si>
    <t>WBGene00230978</t>
  </si>
  <si>
    <t>Bm6030</t>
  </si>
  <si>
    <t>WBGene00226291</t>
  </si>
  <si>
    <t>GO:0004888/GO:0005216/GO:0005230/GO:0006811/GO:0016021/GO:0034220/</t>
  </si>
  <si>
    <t>extracellular_ligand-gated_ion_channel_activity/integral_component_of_membrane/ion_channel_activity/ion_transmembrane_transport/ion_transport/transmembrane_signaling_receptor_activity/</t>
  </si>
  <si>
    <t>A_process_in_which_an_ion_is_transported_across_a_membrane._[GOC:mah]/"Combining_with_an_extracellular_or_intracellular_signal_and_transmitting_the_signal_from_one_side_of_the_membrane_to_the_other_to_initiate_a_change_in_cell_activity_or_state_as_part_of_signal_transduction."_[GOC:go_curators,_Wikipedia:Transmembrane_receptor]/"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Enables_the_transmembrane_transfer_of_an_ion_by_a_channel_that_opens_when_a_specific_extracellular_ligand_has_been_bound_by_the_channel_complex_or_one_of_its_constituent_parts."_[GOC:mtg_transport,_ISBN:0815340729]/"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
  </si>
  <si>
    <t>IPR006029/IPR006201/IPR006202/IPR018000/IPR036719/IPR036734/</t>
  </si>
  <si>
    <t>Neurotransmitter-gated_ion-channel/Neurotransmitter-gated_ion-channel,_conserved_site/Neurotransmitter-gated_ion-channel_ligand-binding_domain/Neurotransmitter-gated_ion-channel_ligand-binding_domain_superfamily/Neurotransmitter-gated_ion-channel_transmembrane_domain/Neurotransmitter-gated_ion-channel_transmembrane_domain_superfamily/</t>
  </si>
  <si>
    <t>Neur_chan_lig-bd/Neur_chan_lig-bd_sf/Neur_channel/Neuro-gated_channel_TM_sf/Neurotrans-gated_channel_TM/Neurotransmitter_ion_chnl_CS/</t>
  </si>
  <si>
    <t>note=B._malayi_BMA-DES-2_protein,_contains_similarity_toPfam_domain_PF02932_Neurotransmitter-gated_ion-channeltransmembrane_region_contains_similarity_to_Interprodomains_IPR027361_(Nicotinic_acetylcholine-gated_receptor,transmembrane_domain),_IPR006201_(Neurotransmitter-gatedion-channel),_IPR006029_(Neurotransmitter-gatedion-channel_transmembrane_domain)</t>
  </si>
  <si>
    <t>135651.CBN30784</t>
  </si>
  <si>
    <t>1.8e-102</t>
  </si>
  <si>
    <t>379.8</t>
  </si>
  <si>
    <t>GO:0005575,GO:0005623,GO:0005886,GO:0005887,GO:0016020,GO:0016021,GO:0031224,GO:0031226,GO:0044425,GO:0044459,GO:0044464,GO:0071944</t>
  </si>
  <si>
    <t>1M26A@119089,39C6D@33154,3CG7F@33208,3DXNP@33213,40IVX@6231,40W1F@6236,KOG3645@1,KOG3645@2759</t>
  </si>
  <si>
    <t>13,6784/19,963</t>
  </si>
  <si>
    <t>51,2015/8,87246</t>
  </si>
  <si>
    <t>17,5601/24,9538/48,9834</t>
  </si>
  <si>
    <t>WBGene00000955</t>
  </si>
  <si>
    <t>54.8983</t>
  </si>
  <si>
    <t>Bm2569</t>
  </si>
  <si>
    <t>WBGene00222830</t>
  </si>
  <si>
    <t>GO:0000166/GO:0003924/GO:0005525/GO:0006972/GO:0007165/GO:0007186/GO:0007188/GO:0019001/GO:0031683/GO:0031849/GO:0042048/GO:0043025/GO:0060271/GO:0097730/GO:1990834/</t>
  </si>
  <si>
    <t>G-protein_beta/gamma-subunit_complex_binding/GTP_binding/GTPase_activity/G_protein-coupled_receptor_signaling_pathway/adenylate_cyclase-modulating_G_protein-coupled_receptor_signaling_pathway/cilium_assembly/guanyl_nucleotide_binding/hyperosmotic_response/neuronal_cell_body/non-motile_cilium/nucleotide_binding/olfactory_behavior/olfactory_receptor_binding/response_to_odorant/signal_transduction/</t>
  </si>
  <si>
    <t>A_cilium_which_may_have_a_variable_array_of_axonemal_microtubules_but_does_not_contain_molecular_motors._[GOC:cilia,_GOC:dgh,_GOC:kmv,_PMID:17009929,_PMID:20144998,_PMID:22118931]/"A_series_of_molecular_signals_that_proceeds_with_an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or_for_basal_GPCR_signaling_the_pathway_begins_with_the_receptor_activating_its_G_protein_in_the_absence_of_an_agonist,_and_ends_with_regulation_of_a_downstream_cellular_process,_e.g._transcription.__The_pathway_can_start_from_the_plasma_membrane,_Golgi_or_nuclear_membrane_(PMID:24568158_and_PMID:16902576)."_[GOC:bf,_GOC:mah,_PMID:16902576,_PMID:24568158,_Wikipedia:G_protein-coupled_receptor]/"Any_process_that_results_in_a_change_in_state_or_activity_of_a_cell_or_an_organism_(in_terms_of_movement,_secretion,_enzyme_production,_gene_expression,_etc.)_as_a_result_of_an_odorant_stimulus._An_odorant_is_any_substance_capable_of_stimulating_the_sense_of_smell."_[PMID:11268007]/"Any_process_that_results_in_a_change_in_state_or_activity_of_a_cell_or_an_organism_(in_terms_of_movement,_secretion,_enzyme_production,_gene_expression,_etc.)_as_a_result_of_detection_of,_or_exposure_to,_a_hyperosmotic_environment,_i.e._an_environment_with_a_higher_concentration_of_solutes_than_the_organism_or_cell."_[GOC:jl,_PMID:12142009]/"Catalysis_of_the_reaction:_GTP_+_H2O_=_GDP_+_phosphate."_[ISBN:0198547684]/"Interacting_selectively_and_non-covalently_with_GTP,_guanosine_triphosphate."_[GOC:ai]/"Interacting_selectively_and_non-covalently_with_a_complex_of_G-protein_beta/gamma_subunits."_[GOC:nln,_GOC:vw]/"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_olfactory_receptor."_[GOC:mah,_GOC:nln]/"Interacting_selectively_and_non-covalently_with_guanyl_nucleotides,_any_compound_consisting_of_guanosine_esterified_with_(ortho)phosphate."_[ISBN:0198506732]/"The_assembly_of_a_cilium,_a_specialized_eukaryotic_organelle_that_consists_of_a_filiform_extrusion_of_the_cell_surface._Each_cilium_is_bounded_by_an_extrusion_of_the_cytoplasmic_membrane,_and_contains_a_regular_longitudinal_array_of_microtubules,_anchored_basally_in_a_centriole."_[GOC:BHF,_GOC:cilia,_GOC:dph,_GOC:kmv,_GOC:pr,_GOC:vw,_ISBN:0198506732,_PMID:13978319,_PMID:27350441,_Reactome:R-HSA-5617833.2]/"The_behavior_of_an_organism_in_response_to_an_odor."_[GOC:jid,_GOC:pr]/"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he_portion_of_a_neuron_that_includes_the_nucleus,_but_excludes_cell_projections_such_as_axons_and_dendrites."_[GOC:go_curators]/"The_series_of_molecular_signals_generated_as_a_consequence_of_a_G_protein-coupled_receptor_binding_to_its_physiological_ligand,_where_the_pathway_proceeds_through_activation_or_inhibition_of_adenylyl_cyclase_activity_and_a_subsequent_change_in_the_concentration_of_cyclic_AMP_(cAMP)."_[GOC:mah,_GOC:signaling,_ISBN:0815316194]/</t>
  </si>
  <si>
    <t>IPR001019/IPR001408/IPR011025/IPR027417/</t>
  </si>
  <si>
    <t>G-protein_alpha_subunit,_group_I/G_protein_alpha_subunit,_helical_insertion/Guanine_nucleotide_binding_protein_(G-protein),_alpha_subunit/P-loop_containing_nucleoside_triphosphate_hydrolase/</t>
  </si>
  <si>
    <t>GproteinA_insert/Gprotein_alpha_I/Gprotein_alpha_su/P-loop_NTPase/</t>
  </si>
  <si>
    <t>note=B._malayi_BMA-ODR-3_protein,_contains_similarity_toPfam_domain_PF00503_G-protein_alpha_subunit_containssimilarity_to_Interpro_domains_IPR001408_(G-protein_alphasubunit,_group_I),_IPR027417_(P-loop_containing_nucleosidetriphosphate_hydrolase),_IPR001019_(Guanine_nucleotidebinding_protein_(G-protein),_alpha_subunit),_IPR011025_(Gprotein_alpha_subunit,_helical_insertion)</t>
  </si>
  <si>
    <t>7209.EFO23734.1</t>
  </si>
  <si>
    <t>1.5e-189</t>
  </si>
  <si>
    <t>668.7</t>
  </si>
  <si>
    <t>GO:0001664,GO:0003674,GO:0003824,GO:0003924,GO:0005102,GO:0005488,GO:0005515,GO:0005575,GO:0005622,GO:0005623,GO:0005834,GO:0005886,GO:0005929,GO:0006950,GO:0006970,GO:0006972,GO:0006996,GO:0007154,GO:0007165,GO:0007186,GO:0007187,GO:0007188,GO:0007610,GO:0007635,GO:0008150,GO:0009628,GO:0009898,GO:0009987,GO:0016020,GO:0016043,GO:0016462,GO:0016787,GO:0016817,GO:0016818,GO:0017111,GO:0019897,GO:0019898,GO:0022607,GO:0023052,GO:0030030,GO:0030031,GO:0031234,GO:0031683,GO:0031849,GO:0032991,GO:0036477,GO:0042048,GO:0042221,GO:0042995,GO:0043025,GO:0043226,GO:0044085,GO:0044297,GO:0044424,GO:0044425,GO:0044459,GO:0044464,GO:0044782,GO:0044877,GO:0050789,GO:0050794,GO:0050896,GO:0051716,GO:0060271,GO:0065007,GO:0070925,GO:0071840,GO:0071944,GO:0097458,GO:0097730,GO:0098552,GO:0098562,GO:0098796,GO:0098797,GO:0120025,GO:0120031,GO:0120036,GO:1902494,GO:1905360,GO:1990834</t>
  </si>
  <si>
    <t>ko:K04640</t>
  </si>
  <si>
    <t>ko00000,ko04031</t>
  </si>
  <si>
    <t>1KUZA@119089,39WH8@33154,3BP3D@33208,3D22S@33213,40C7R@6231,KOG0082@1,KOG0082@2759</t>
  </si>
  <si>
    <t>Guanine nucleotide-binding proteins (G proteins) are involved as modulators or transducers in various transmembrane signaling systems. This specific G-alpha subunit plays an important role in olfaction and in cilia morphogenesis. Involved in chemotactic responses to attractants diacetyl, pyrazine, 2,4,5- trimethylthiazole, benzaldehyde, isoamyl alcohol, butanone and 2,3-pentanedione. Displays a redundant function with gpa-3 in chemotactic responses. Involved in avoidance responses to copper, sodium dodecyl sulfate and linoleic acid. Involved in osmotic avoidance and mechanosensory responses. Involved in specifying fan-like morphology of cilia of head sensory neurons AWC</t>
  </si>
  <si>
    <t>69,6629/69,6629</t>
  </si>
  <si>
    <t>7,30337/7,86517/16,0112/18,8202</t>
  </si>
  <si>
    <t>39,3258/37,6404/38,2022/47,7528/46,6292/39,3258/48,5955/44,382</t>
  </si>
  <si>
    <t>38,2022/37,6404/38,764/48,5955/46,9101/39,0449/48,5955/44,6629</t>
  </si>
  <si>
    <t>37,6404/37,6404/37,3596/48,8764/46,3483/38,764/28,3708/39,3258/38,4831/37,0787/31,7416/17,1348/41,8539/44,1011</t>
  </si>
  <si>
    <t>WBGene00003850</t>
  </si>
  <si>
    <t>69.1011</t>
  </si>
  <si>
    <t>Bm3254</t>
  </si>
  <si>
    <t>WBGene00223515</t>
  </si>
  <si>
    <t>GO:0001172/GO:0003968/GO:0005515/GO:0031048/</t>
  </si>
  <si>
    <t>RNA-directed_5'-3'_RNA_polymerase_activity/chromatin_silencing_by_small_RNA/protein_binding/transcription,_RNA-templated/</t>
  </si>
  <si>
    <t>Catalysis_of_the_reaction:_nucleoside_triphosphate_+_RNA(n)_=_diphosphate_+_RNA(n+1);_uses_an_RNA_template,_i.e._the_catalysis_of_RNA-template-directed_extension_of_the_3'-end_of_an_RNA_strand_by_one_nucleotide_at_a_time._[EC:2.7.7.48,_GOC:mah,_GOC:pf]/"Interacting_selectively_and_non-covalently_with_any_protein_or_protein_complex_(a_complex_of_two_or_more_proteins_that_may_include_other_nonprotein_molecules)."_[GOC:go_curators]/"Repression_of_transcription_by_conversion_of_large_regions_of_DNA_into_heterochromatin,_directed_by_small_RNAs_sharing_sequence_identity_to_the_repressed_region."_[GOC:dph,_GOC:mtg_lung,_GOC:ns]/"The_cellular_synthesis_of_RNA_on_a_template_of_RNA."_[GOC:txnOH]/</t>
  </si>
  <si>
    <t>IPR003892/IPR007855/</t>
  </si>
  <si>
    <t>RNA-dependent_RNA_polymerase,_eukaryotic-type/Ubiquitin_system_component_Cue/</t>
  </si>
  <si>
    <t>CUE/RNA-dep_RNA_pol_euk-typ/</t>
  </si>
  <si>
    <t>note=B._malayi_BMA-RRF-3_protein,_contains_similarity_toPfam_domain_PF05183_RNA_dependent_RNA_polymerase_containssimilarity_to_Interpro_domain_IPR007855_(RNA-dependent_RNApolymerase,_eukaryotic-type)</t>
  </si>
  <si>
    <t>7209.EFO21905.2</t>
  </si>
  <si>
    <t>2579.7</t>
  </si>
  <si>
    <t>1KV7D@119089,38HE1@33154,3BJ41@33208,3D39E@33213,40BFF@6231,KOG0988@1,KOG0988@2759</t>
  </si>
  <si>
    <t>RNA dependent RNA polymerase</t>
  </si>
  <si>
    <t>43,5105/45,5501</t>
  </si>
  <si>
    <t>4,69716/5,93325</t>
  </si>
  <si>
    <t>9,88875/4,69716</t>
  </si>
  <si>
    <t>7,97281/25,2163</t>
  </si>
  <si>
    <t>WBGene00004510</t>
  </si>
  <si>
    <t>40.1731</t>
  </si>
  <si>
    <t>Bm13478</t>
  </si>
  <si>
    <t>WBGene00233739</t>
  </si>
  <si>
    <t>Bm2078</t>
  </si>
  <si>
    <t>WBGene00222339</t>
  </si>
  <si>
    <t>GO:0000977/GO:0003677/GO:0003700/GO:0003707/GO:0005634/GO:0006355/GO:0008270/GO:0030154/GO:0030334/GO:0035262/GO:0043401/GO:0043565/GO:0045944/GO:0046872/GO:0071158/</t>
  </si>
  <si>
    <t>DNA-binding_transcription_factor_activity/DNA_binding/RNA_polymerase_II_regulatory_region_sequence-specific_DNA_binding/cell_differentiation/gonad_morphogenesis/metal_ion_binding/nucleus/positive_regulation_of_cell_cycle_arrest/positive_regulation_of_transcription_by_RNA_polymerase_II/regulation_of_cell_migration/regulation_of_transcription,_DNA-templated/sequence-specific_DNA_binding/steroid_hormone_mediated_signaling_pathway/steroid_hormone_receptor_activity/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</si>
  <si>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_series_of_molecular_signals_mediated_by_a_steroid_hormone_binding_to_a_receptor."_[PMID:12606724]/"Any_molecular_function_by_which_a_gene_product_interacts_selectively_and_non-covalently_with_DNA_(deoxyribonucleic_acid)."_[GOC:dph,_GOC:jl,_GOC:tb,_GOC:vw]/"Any_process_that_activates_or_increases_the_frequency,_rate_or_extent_of_transcription_from_an_RNA_polymerase_II_promoter."_[GOC:go_curators,_GOC:txnOH]/"Any_process_that_increases_the_rate,_frequency,_or_extent_of_cell_cycle_arrest,_the_process_in_which_the_cell_cycle_is_halted_during_one_of_the_normal_phases."_[GOC:mah]/"Any_process_that_modulates_the_frequency,_rate_or_extent_of_cell_migration."_[GOC:go_curators]/"Any_process_that_modulates_the_frequency,_rate_or_extent_of_cellular_DNA-templated_transcription."_[GOC:go_curators,_GOC:txnOH]/"Combining_with_a_steroid_hormone_and_transmitting_the_signal_within_the_cell_to_initiate_a_change_in_cell_activity_or_function."_[GOC:signaling,_PMID:14708019]/"Interacting_selectively_and_non-covalently_with_DNA_of_a_specific_nucleotide_composition,_e.g._GC-rich_DNA_binding,_or_with_a_specific_sequence_motif_or_type_of_DNA_e.g._promotor_binding_or_rDNA_binding."_[GOC:jl]/"Interacting_selectively_and_non-covalently_with_a_specific_sequence_of_DNA_that_is_part_of_a_regulatory_region_that_controls_the_transcription_of_a_gene_or_cistron_by_RNA_polymerase_II."_[GOC:txnOH]/"Interacting_selectively_and_non-covalently_with_any_metal_ion."_[GOC:ai]/"Interacting_selectively_and_non-covalently_with_zinc_(Zn)_ions."_[GOC:ai]/"The_process_in_which_relatively_unspecialized_cells,_e.g._embryonic_or_regenerative_cells,_acquire_specialized_structural_and/or_functional_features_that_characterize_the_cells,_tissues,_or_organs_of_the_mature_organism_or_some_other_relatively_stable_phase_of_the_organism's_life_history._Differentiation_includes_the_processes_involved_in_commitment_of_a_cell_to_a_specific_fate_and_its_subsequent_development_to_the_mature_state."_[ISBN:0198506732]/"The_process_in_which_the_anatomical_structures_of_the_gonads_are_generated_and_organized._A_gonad_is_an_animal_organ_producing_gametes,_e.g._the_testes_or_the_ovary_in_mammals."_[ISBN:0198612001]/</t>
  </si>
  <si>
    <t>IPR001628/IPR001723/IPR013088/IPR035500/</t>
  </si>
  <si>
    <t>Nuclear_hormone_receptor/Nuclear_hormone_receptor-like_domain_superfamily/Zinc_finger,_NHR/GATA-type/Zinc_finger,_nuclear_hormone_receptor-type/</t>
  </si>
  <si>
    <t>NHR_like_dom_sf/Nuclear_hrmn_rcpt/Znf_NHR/GATA/Znf_hrmn_rcpt/</t>
  </si>
  <si>
    <t>note=contains_similarity_to_Pfam_domains_PF00104_(Ligand-binding_domain_of_nuclear_hormone_receptor),_PF00105_(Zinc_finger,_C4_type_(two_domains))_contains_similarity_to_Interpro_domains_IPR013088_(Zinc_finger,_NHR/GATA-type),_IPR008946_(Nuclear_hormone_receptor,_ligand-binding),_IPR001628_(Zinc_finger,_nuclear_hormone_receptor-type),_IPR000536_(Nuclear_hormone_receptor,_ligand-binding,_core),_IPR001723_(Steroid_hormone_receptor)</t>
  </si>
  <si>
    <t>7209.EFO28247.2</t>
  </si>
  <si>
    <t>4.6e-145</t>
  </si>
  <si>
    <t>GO:0000003,GO:0000976,GO:0000977,GO:0001012,GO:0001067,GO:0003006,GO:0003674,GO:0003676,GO:0003677,GO:0003690,GO:0003700,GO:0005488,GO:0005515,GO:0005575,GO:0005622,GO:0005623,GO:0005634,GO:0006355,GO:0006357,GO:0007275,GO:0007548,GO:0008150,GO:0008406,GO:0009653,GO:0009887,GO:0009889,GO:0009891,GO:0009893,GO:0009987,GO:0010468,GO:0010556,GO:0010557,GO:0010564,GO:0010604,GO:0010628,GO:0019219,GO:0019222,GO:0022414,GO:0030154,GO:0030334,GO:0031323,GO:0031325,GO:0031326,GO:0031328,GO:0032501,GO:0032502,GO:0032879,GO:0035262,GO:0040012,GO:0043226,GO:0043227,GO:0043229,GO:0043231,GO:0043565,GO:0044212,GO:0044424,GO:0044464,GO:0045137,GO:0045787,GO:0045893,GO:0045935,GO:0045944,GO:0048513,GO:0048518,GO:0048522,GO:0048608,GO:0048731,GO:0048856,GO:0048869,GO:0050789,GO:0050794,GO:0051171,GO:0051173,GO:0051252,GO:0051254,GO:0051270,GO:0051726,GO:0060255,GO:0061458,GO:0065007,GO:0071156,GO:0071158,GO:0080090,GO:0090068,GO:0097159,GO:0140110,GO:1901363,GO:1902680,GO:1903506,GO:1903508,GO:1990837,GO:2000112,GO:2000145,GO:2001141</t>
  </si>
  <si>
    <t>ko:K08545</t>
  </si>
  <si>
    <t>ko04013,map04013</t>
  </si>
  <si>
    <t>ko00000,ko00001,ko03000,ko03310</t>
  </si>
  <si>
    <t>1KX0V@119089,38EYK@33154,3BC6Q@33208,3CWKU@33213,40DNC@6231,KOG3575@1,KOG3575@2759</t>
  </si>
  <si>
    <t>17,0807/14,5963/13,354/13,354/15,8385/13,6646/14,5963/15,8385/14,5963/14,5963/15,528/15,528/16,1491/15,528/19,8758</t>
  </si>
  <si>
    <t>WBGene00003727/WBGene00003683/WBGene00020748/WBGene00015705/WBGene00015395/WBGene00015396/WBGene00015397/WBGene00003719/WBGene00003650/WBGene00003706/WBGene00008221/WBGene00017787/WBGene00019816/WBGene00007546/WBGene00003690</t>
  </si>
  <si>
    <t>17.0807/14.5963/13.354/13.354/15.8385/13.6646/14.5963/15.8385/14.5963/14.5963/15.528/15.528/16.1491/15.528/19.8758</t>
  </si>
  <si>
    <t>Bm14729</t>
  </si>
  <si>
    <t>WBGene00235064</t>
  </si>
  <si>
    <t>Bm17669</t>
  </si>
  <si>
    <t>WBGene00268811</t>
  </si>
  <si>
    <t>Bm9975</t>
  </si>
  <si>
    <t>WBGene00230236</t>
  </si>
  <si>
    <t>7209.EFO23486.1</t>
  </si>
  <si>
    <t>1.6e-177</t>
  </si>
  <si>
    <t>93,4426/89,8361</t>
  </si>
  <si>
    <t>93,4426/87,2131</t>
  </si>
  <si>
    <t>43,6066/43,6066/14,0984/43,6066/44,5902/40/45,9016/36,0656</t>
  </si>
  <si>
    <t>Bm5313</t>
  </si>
  <si>
    <t>WBGene00225574</t>
  </si>
  <si>
    <t>GO:0005381/GO:0006811/GO:0016020/GO:0016021/GO:0034755/</t>
  </si>
  <si>
    <t>integral_component_of_membrane/ion_transport/iron_ion_transmembrane_transport/iron_ion_transmembrane_transporter_activity/membrane/</t>
  </si>
  <si>
    <t>A_lipid_bilayer_along_with_all_the_proteins_and_protein_complexes_embedded_in_it_an_attached_to_it._[GOC:dos,_GOC:mah,_ISBN:0815316194]/"A_process_in_which_an_iron_ion_is_transported_from_one_side_of_a_membrane_to_the_other_by_means_of_some_agent_such_as_a_transporter_or_pore."_[GOC:mah]/"Enables_the_transfer_of_iron_(Fe)_ions_from_one_side_of_a_membrane_to_the_other."_[GOC:ai]/"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
  </si>
  <si>
    <t>IPR009716/IPR036259/</t>
  </si>
  <si>
    <t>Ferroporti-1/MFS_transporter_superfamily/</t>
  </si>
  <si>
    <t>Ferroportin-1/MFS_trans_sf/</t>
  </si>
  <si>
    <t>note=B._malayi_BMA-FPN-1.1_protein,_contains_similarity_to_Pfam_domain_PF06963_Ferroportin1_(FPN1)_contains_similarity_to_Interpro_domains_IPR009716_(Ferroporti-1),_IPR020846_(Major_facilitator_superfamily_domain)</t>
  </si>
  <si>
    <t>7209.EFO19189.2</t>
  </si>
  <si>
    <t>2.4e-167</t>
  </si>
  <si>
    <t>ko:K14685</t>
  </si>
  <si>
    <t>ko04216,ko04978,map04216,map04978</t>
  </si>
  <si>
    <t>2.A.100.1</t>
  </si>
  <si>
    <t>1KVMU@119089,39AJX@33154,3BAWR@33208,3CRU7@33213,40CX5@6231,KOG2601@1,KOG2601@2759</t>
  </si>
  <si>
    <t>iron ion transmembrane transporter activity</t>
  </si>
  <si>
    <t>48,7685/18,4729</t>
  </si>
  <si>
    <t>31,2808/33,9901/16,7488</t>
  </si>
  <si>
    <t>40,1478/25,8621</t>
  </si>
  <si>
    <t>33,0049/32,266/32,7586</t>
  </si>
  <si>
    <t>11,33/16,2562</t>
  </si>
  <si>
    <t>WBGene00019977</t>
  </si>
  <si>
    <t>30.5419</t>
  </si>
  <si>
    <t>Bm9846</t>
  </si>
  <si>
    <t>WBGene00230107</t>
  </si>
  <si>
    <t>68,8525/77,8689/66,8033</t>
  </si>
  <si>
    <t>30,3279/26,6393</t>
  </si>
  <si>
    <t>Bm10802</t>
  </si>
  <si>
    <t>WBGene00231063</t>
  </si>
  <si>
    <t>GO:0005739/GO:0005743/GO:0008121/GO:0016020/GO:0016491/GO:0016679/GO:0022900/GO:0051537/GO:0055114/GO:0070469/</t>
  </si>
  <si>
    <t>2_iron,_2_sulfur_cluster_binding/electron_transport_chain/membrane/mitochondrial_inner_membrane/mitochondrion/oxidation-reduction_process/oxidoreductase_activity/oxidoreductase_activity,_acting_on_diphenols_and_related_substances_as_donors/respiratory_chain/ubiquinol-cytochrome-c_reductase_activity/</t>
  </si>
  <si>
    <t>A_lipid_bilayer_along_with_all_the_proteins_and_protein_complexes_embedded_in_it_an_attached_to_it._[GOC:dos,_GOC:mah,_ISBN:0815316194]/"A_metabolic_process_that_results_in_the_removal_or_addition_of_one_or_more_electrons_to_or_from_a_substance,_with_or_without_the_concomitant_removal_or_addition_of_a_proton_or_protons."_[GOC:dhl,_GOC:ecd,_GOC:jh2,_GOC:jid,_GOC:mlg,_GOC:rph]/"A_process_in_which_a_series_of_electron_carriers_operate_together_to_transfer_electrons_from_donors_to_any_of_several_different_terminal_electron_acceptors_to_generate_a_transmembrane_electrochemical_gradient."_[GOC:mtg_electron_transport]/"A_semiautonomous,_self_replicating_organelle_that_occurs_in_varying_numbers,_shapes,_and_sizes_in_the_cytoplasm_of_virtually_all_eukaryotic_cells._It_is_notably_the_site_of_tissue_respiration."_[GOC:giardia,_ISBN:0198506732]/"Catalysis_of_an_oxidation-reduction_(redox)_reaction,_a_reversible_chemical_reaction_in_which_the_oxidation_state_of_an_atom_or_atoms_within_a_molecule_is_altered._One_substrate_acts_as_a_hydrogen_or_electron_donor_and_becomes_oxidized,_while_the_other_acts_as_hydrogen_or_electron_acceptor_and_becomes_reduced."_[GOC:go_curators]/"Catalysis_of_an_oxidation-reduction_(redox)_reaction_in_which_a_diphenol_or_related_substance_acts_as_a_hydrogen_or_electron_donor_and_reduces_a_hydrogen_or_electron_acceptor."_[GOC:ai]/"Enables_the_transfer_of_a_solute_or_solutes_from_one_side_of_a_membrane_to_the_other_according_to_the_reaction:_CoQH2_+_2_ferricytochrome_c_=_CoQ_+_2_ferrocytochrome_c_+_2_H+."_[EC:1.10.2.2,_ISBN:0198547684]/"Interacting_selectively_and_non-covalently_with_a_2_iron,_2_sulfur_(2Fe-2S)_cluster;_this_cluster_consists_of_two_iron_atoms,_with_two_inorganic_sulfur_atoms_found_between_the_irons_and_acting_as_bridging_ligands."_[GOC:ai,_PMID:15952888,_Wikipedia:Iron-sulfur_cluster]/"The_inner,_i.e._lumen-facing,_lipid_bilayer_of_the_mitochondrial_envelope._It_is_highly_folded_to_form_cristae."_[GOC:ai]/"The_protein_complexes_that_form_the_electron_transport_system_(the_respiratory_chain),_associated_with_a_cell_membrane,_usually_the_plasma_membrane_(in_prokaryotes)_or_the_inner_mitochondrial_membrane_(on_eukaryotes)._The_respiratory_chain_complexes_transfer_electrons_from_an_electron_donor_to_an_electron_acceptor_and_are_associated_with_a_proton_pump_to_create_a_transmembrane_electrochemical_gradient."_[GOC:ecd,_GOC:mah,_ISBN:0198547684]/</t>
  </si>
  <si>
    <t>IPR004192/IPR005805/IPR006317/IPR014349/IPR017941/IPR036922/IPR037008/</t>
  </si>
  <si>
    <t>Cytochrome_b-c1_complex_subunit_Rieske,_transmembrane_domain/Cytochrome_bc1_complex_subunit_Rieske,_transmembrane_domain_superfamily/Rieske_[2Fe-2S]_iron-sulphur_domain/Rieske_[2Fe-2S]_iron-sulphur_domain_superfamily/Rieske_iron-sulphur_protein/Rieske_iron-sulphur_protein,_C-terminal/Ubiquinol-cytochrome_c_reductase,_iron-sulphur_subunit/</t>
  </si>
  <si>
    <t>Rieske_2Fe-2S/Rieske_2Fe-2S_sf/Rieske_Fe-S_prot/Rieske_Fe-S_prot_C/Rieske_TM/Ubiquinol_cyt_c_Rdtase_Fe-S-su/bc1_Rieske_TM_sf/</t>
  </si>
  <si>
    <t>note=contains_similarity_to_Pfam_domain_PF00355_Rieske_[2Fe-2S]_domain_contains_similarity_to_Interpro_domains_IPR017941_(Rieske_[2Fe-2S]_iron-sulphur_domain),_IPR006317_(Ubiquinol-cytochrome_c_reductase,_iron-sulphur_subunit),_IPR005805_(Rieske_iron-sulphur_protein,_C-terminal),_IPR014349_(Rieske_iron-sulphur_protein),_IPR004192_(Ubiquinol_cytochrome_reductase,_transmembrane_domain)</t>
  </si>
  <si>
    <t>7209.EFO20469.2</t>
  </si>
  <si>
    <t>2.7e-105</t>
  </si>
  <si>
    <t>388.3</t>
  </si>
  <si>
    <t>GO:0001932,GO:0001933,GO:0001934,GO:0006091,GO:0006119,GO:0006122,GO:0006139,GO:0006163,GO:0006725,GO:0006753,GO:0006793,GO:0006796,GO:0006807,GO:0008150,GO:0008152,GO:0009117,GO:0009123,GO:0009126,GO:0009141,GO:0009144,GO:0009150,GO:0009161,GO:0009167,GO:0009199,GO:0009205,GO:0009259,GO:0009892,GO:0009893,GO:0009987,GO:0010468,GO:0010562,GO:0010563,GO:0010604,GO:0010605,GO:0010628,GO:0010629,GO:0015980,GO:0016310,GO:0017144,GO:0019220,GO:0019222,GO:0019637,GO:0019693,GO:0022900,GO:0022904,GO:0031323,GO:0031324,GO:0031325,GO:0031399,GO:0031400,GO:0031401,GO:0032268,GO:0032269,GO:0032270,GO:0034641,GO:0042325,GO:0042326,GO:0042327,GO:0042773,GO:0042775,GO:0044237,GO:0044238,GO:0044281,GO:0045333,GO:0045936,GO:0045937,GO:0046034,GO:0046483,GO:0048518,GO:0048519,GO:0048522,GO:0048523,GO:0048580,GO:0048582,GO:0050789,GO:0050793,GO:0050794,GO:0051094,GO:0051171,GO:0051172,GO:0051173,GO:0051174,GO:0051239,GO:0051240,GO:0051246,GO:0051247,GO:0051248,GO:0055086,GO:0055114,GO:0060255,GO:0061062,GO:0061063,GO:0065007,GO:0071704,GO:0072521,GO:0080090,GO:1901135,GO:1901360,GO:1901564,GO:2000026</t>
  </si>
  <si>
    <t>1.10.2.2</t>
  </si>
  <si>
    <t>ko:K00411</t>
  </si>
  <si>
    <t>ko00190,ko01100,ko02020,ko04260,ko04714,ko04932,ko05010,ko05012,ko05016,map00190,map01100,map02020,map04260,map04714,map04932,map05010,map05012,map05016</t>
  </si>
  <si>
    <t>M00151,M00152</t>
  </si>
  <si>
    <t>ko00000,ko00001,ko00002,ko01000</t>
  </si>
  <si>
    <t>1KVJ1@119089,38FY0@33154,3BE7D@33208,3CTBE@33213,40CYI@6231,COG0723@1,KOG1671@2759</t>
  </si>
  <si>
    <t>Component of the ubiquinol-cytochrome c reductase complex (complex III or cytochrome b-c1 complex), which is a respiratory chain that generates an electrochemical potential coupled to ATP synthesis</t>
  </si>
  <si>
    <t>30,4527/31,6872</t>
  </si>
  <si>
    <t>40,3292/40,3292/40,3292</t>
  </si>
  <si>
    <t>44,856/47,3251</t>
  </si>
  <si>
    <t>41,9753/40,7407</t>
  </si>
  <si>
    <t>WBGene00002162</t>
  </si>
  <si>
    <t>41.9753</t>
  </si>
  <si>
    <t>Bm10756</t>
  </si>
  <si>
    <t>WBGene00231017</t>
  </si>
  <si>
    <t>Bm5167</t>
  </si>
  <si>
    <t>WBGene00225428</t>
  </si>
  <si>
    <t>GO:0019825/GO:0020037/</t>
  </si>
  <si>
    <t>heme_binding/oxygen_binding/</t>
  </si>
  <si>
    <t>Interacting_selectively_and_non-covalently_with_heme,_any_compound_of_iron_complexed_in_a_porphyrin_(tetrapyrrole)_ring._[CHEBI:30413,_GOC:ai]/"Interacting_selectively_and_non-covalently_with_oxygen_(O2)."_[GOC:jl]/</t>
  </si>
  <si>
    <t>IPR009050/IPR012292/</t>
  </si>
  <si>
    <t>Globin-like_superfamily/Globin/Protoglobin/</t>
  </si>
  <si>
    <t>Globin-like_sf/Globin/Proto/</t>
  </si>
  <si>
    <t>note=B._malayi_BMA-GLB-20_protein,_contains_similarity_to_Interpro_domains_IPR012292_(Globin,_structural_domain),_IPR009050_(Globin-like)</t>
  </si>
  <si>
    <t>7209.EFO17548.1</t>
  </si>
  <si>
    <t>3.9e-108</t>
  </si>
  <si>
    <t>398.3</t>
  </si>
  <si>
    <t>1KWDK@119089,3A6DB@33154,3BSTH@33208,3DAD2@33213,40E0E@6231,KOG3378@1,KOG3378@2759</t>
  </si>
  <si>
    <t>oxygen carrier activity</t>
  </si>
  <si>
    <t>28,6501/28,6501</t>
  </si>
  <si>
    <t>WBGene00010970</t>
  </si>
  <si>
    <t>27.8237</t>
  </si>
  <si>
    <t>Bm7678</t>
  </si>
  <si>
    <t>WBGene00227939</t>
  </si>
  <si>
    <t>note=contains_similarity_to_Pfam_domain_PF00112_Papain_family_cysteine_protease_contains_similarity_to_Interpro_domains_IPR013128_(Peptidase_C1A),_IPR000668_(Peptidase_C1A,_papain_C-terminal)</t>
  </si>
  <si>
    <t>Bm2117</t>
  </si>
  <si>
    <t>WBGene00222378</t>
  </si>
  <si>
    <t>7209.EFO24681.2</t>
  </si>
  <si>
    <t>2e-172</t>
  </si>
  <si>
    <t>91,195/47,1698</t>
  </si>
  <si>
    <t>43,3962/43,0818/14,1509/45,5975/42,4528/40,2516/44,9686/38,0503</t>
  </si>
  <si>
    <t>68,239/73,5849</t>
  </si>
  <si>
    <t>74,5283/64,1509</t>
  </si>
  <si>
    <t>Bm3059</t>
  </si>
  <si>
    <t>WBGene00223320</t>
  </si>
  <si>
    <t>note=B._malayi_BMA-MARC-2_protein,_contains_similarity_to_Pfam_domain_PF12906_RING-variant_domain_contains_similarity_to_Interpro_domains_IPR013083_(Zinc_finger,_RING/FYVE/PHD-type),_IPR011016_(Zinc_finger,_RING-CH-type)</t>
  </si>
  <si>
    <t>6239.D2089.2</t>
  </si>
  <si>
    <t>2.7e-26</t>
  </si>
  <si>
    <t>125.6</t>
  </si>
  <si>
    <t>GO:0000209,GO:0003674,GO:0003824,GO:0004842,GO:0006464,GO:0006807,GO:0008150,GO:0008152,GO:0009987,GO:0016567,GO:0016740,GO:0019538,GO:0019787,GO:0032446,GO:0036211,GO:0043170,GO:0043412,GO:0044237,GO:0044238,GO:0044260,GO:0044267,GO:0070647,GO:0071704,GO:0140096,GO:1901564</t>
  </si>
  <si>
    <t>1KZX7@119089,3AD61@33154,3BVNG@33208,3DC59@33213,40GNX@6231,COG5183@1,KOG1609@2759</t>
  </si>
  <si>
    <t>Bm13432</t>
  </si>
  <si>
    <t>WBGene00233693</t>
  </si>
  <si>
    <t>Bm7579</t>
  </si>
  <si>
    <t>WBGene00227840</t>
  </si>
  <si>
    <t>GO:0000166/GO:0004383/GO:0004672/GO:0005524/GO:0006182/GO:0006468/GO:0009190/GO:0016020/GO:0016021/GO:0016048/GO:0016829/GO:0016849/GO:0031528/GO:0035556/GO:0040040/GO:0043052/GO:0044306/</t>
  </si>
  <si>
    <t>ATP_binding/cGMP_biosynthetic_process/cyclic_nucleotide_biosynthetic_process/detection_of_temperature_stimulus/guanylate_cyclase_activity/integral_component_of_membrane/intracellular_signal_transduction/lyase_activity/membrane/microvillus_membrane/neuron_projection_terminus/nucleotide_binding/phosphorus-oxygen_lyase_activity/protein_kinase_activity/protein_phosphorylation/thermosensory_behavior/thermotaxis/</t>
  </si>
  <si>
    <t>A_lipid_bilayer_along_with_all_the_proteins_and_protein_complexes_embedded_in_it_an_attached_to_it._[GOC:dos,_GOC:mah,_ISBN:0815316194]/"Behavior_that_is_dependent_upon_the_sensation_of_temperature."_[GOC:ems]/"Catalysis_of_the_cleavage_of_C-C,_C-O,_C-N_and_other_bonds_by_other_means_than_by_hydrolysis_or_oxidation,_or_conversely_adding_a_group_to_a_double_bond._They_differ_from_other_enzymes_in_that_two_substrates_are_involved_in_one_reaction_direction,_but_only_one_in_the_other_direction._When_acting_on_the_single_substrate,_a_molecule_is_eliminated_and_this_generates_either_a_new_double_bond_or_a_new_ring."_[EC:4.-.-.-,_ISBN:0198547684]/"Catalysis_of_the_cleavage_of_a_phosphorus-oxygen_bond_by_other_means_than_by_hydrolysis_or_oxidation,_or_conversely_adding_a_group_to_a_double_bond."_[GOC:jl]/"Catalysis_of_the_phosphorylation_of_an_amino_acid_residue_in_a_protein,_usually_according_to_the_reaction:_a_protein_+_ATP_=_a_phosphoprotein_+_ADP."_[MetaCyc:PROTEIN-KINASE-RXN]/"Catalysis_of_the_reaction:_GTP_=_3',5'-cyclic_GMP_+_diphosphate."_[EC:4.6.1.2]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he_chemical_reactions_and_pathways_resulting_in_the_formation_of_a_cyclic_nucleotide,_a_nucleotide_in_which_the_phosphate_group_is_in_diester_linkage_to_two_positions_on_the_sugar_residue."_[GOC:go_curators,_ISBN:0198506732]/"The_chemical_reactions_and_pathways_resulting_in_the_formation_of_cyclic_GMP,_guanosine_3',5'-phosphate."_[ISBN:0198506732]/"The_component_of_a_membrane_consisting_of_the_gene_products_and_protein_complexes_having_at_least_some_part_of_their_peptide_sequence_embedded_in_the_hydrophobic_region_of_the_membrane."_[GOC:dos,_GOC:go_curators]/"The_directed_movement_of_a_motile_cell_or_organism_in_response_to_a_temperature_gradient._Movement_may_be_towards_either_a_higher_or_lower_temperature."_[GOC:cab1,_WB_REF:cgc467]/"The_portion_of_the_plasma_membrane_surrounding_a_microvillus."_[GOC:mah]/"The_process_in_which_a_signal_is_passed_on_to_downstream_components_within_the_cell,_which_become_activated_themselves_to_further_propagate_the_signal_and_finally_trigger_a_change_in_the_function_or_state_of_the_cell."_[GOC:bf,_GOC:jl,_GOC:signaling,_ISBN:3527303782]/"The_process_of_introducing_a_phosphate_group_on_to_a_protein."_[GOC:hb]/"The_series_of_events_in_which_a_temperature_stimulus_(hot_or_cold)_is_received_and_converted_into_a_molecular_signal."_[GOC:hb]/"The_specialized,_terminal_region_of_a_neuron_projection_such_as_an_axon_or_a_dendrite."_[GOC:jl]/</t>
  </si>
  <si>
    <t>IPR000719/IPR001054/IPR001245/IPR001828/IPR011009/IPR018297/IPR028082/IPR029787/</t>
  </si>
  <si>
    <t>Adenylyl_cyclase_class-3/4/guanylyl_cyclase/Adenylyl_cyclase_class-4/guanylyl_cyclase,_conserved_site/Nucleotide_cyclase/Periplasmic_binding_protein-like_I/Protein_kinase-like_domain_superfamily/Protein_kinase_domain/Receptor,_ligand_binding_region/Serine-threonine/tyrosine-protein_kinase,_catalytic_domain/</t>
  </si>
  <si>
    <t>A/G_cyclase/A/G_cyclase_CS/ANF_lig-bd_rcpt/Kinase-like_dom_sf/Nucleotide_cyclase/Peripla_BP_I/Prot_kinase_dom/Ser-Thr/Tyr_kinase_cat_dom/</t>
  </si>
  <si>
    <t>note=B._malayi_BMA-GCY-18_protein,_contains_similarity_to_Pfam_domains_PF07714_(Protein_tyrosine_kinase),_PF00211_(Adenylate_and_Guanylate_cyclase_catalytic_domain),_PF01094_(Receptor_family_ligand_binding_region)_contains_similarity_to_Interpro_domains_IPR028082_(Periplasmic_binding_protein-like_I),_IPR011009_(Protein_kinase-like_domain),_IPR001054_(Adenylyl_cyclase_class-3/4/guanylyl_cyclase),_IPR001245_(Serine-threonine/tyrosine-protein_kinase_catalytic_domain),_IPR029787_(Nucleotide_cyclase),_IPR001828_(Extracellular_ligand-binding_receptor)</t>
  </si>
  <si>
    <t>7209.EFO23835.2</t>
  </si>
  <si>
    <t>1855.1</t>
  </si>
  <si>
    <t>GO:0003674,GO:0003824,GO:0004383,GO:0005575,GO:0005623,GO:0005886,GO:0005902,GO:0006139,GO:0006163,GO:0006164,GO:0006182,GO:0006725,GO:0006753,GO:0006793,GO:0006796,GO:0006807,GO:0007154,GO:0007165,GO:0007166,GO:0007167,GO:0007168,GO:0007610,GO:0008150,GO:0008152,GO:0009058,GO:0009117,GO:0009150,GO:0009152,GO:0009165,GO:0009187,GO:0009190,GO:0009259,GO:0009260,GO:0009266,GO:0009581,GO:0009582,GO:0009605,GO:0009628,GO:0009975,GO:0009987,GO:0016020,GO:0016048,GO:0016829,GO:0016849,GO:0018130,GO:0019438,GO:0019637,GO:0019693,GO:0023052,GO:0031253,GO:0031528,GO:0034641,GO:0034654,GO:0040011,GO:0040040,GO:0042330,GO:0042995,GO:0043005,GO:0043052,GO:0044237,GO:0044238,GO:0044249,GO:0044271,GO:0044281,GO:0044306,GO:0044425,GO:0044459,GO:0044463,GO:0044464,GO:0046068,GO:0046390,GO:0046483,GO:0050789,GO:0050794,GO:0050896,GO:0051606,GO:0051716,GO:0052652,GO:0055086,GO:0065007,GO:0071704,GO:0071944,GO:0072521,GO:0072522,GO:0090407,GO:0097458,GO:0098590,GO:0098858,GO:0120025,GO:0120038,GO:1901135,GO:1901137,GO:1901293,GO:1901360,GO:1901362,GO:1901564,GO:1901566,GO:1901576</t>
  </si>
  <si>
    <t>4.6.1.2</t>
  </si>
  <si>
    <t>ko:K01769</t>
  </si>
  <si>
    <t>ko00230,map00230</t>
  </si>
  <si>
    <t>R00434</t>
  </si>
  <si>
    <t>RC00295</t>
  </si>
  <si>
    <t>1KUTF@119089,38WXF@33154,3BMT5@33208,3D64V@33213,40BR4@6231,COG2114@1,KOG1023@2759</t>
  </si>
  <si>
    <t>6,94716/34,9315</t>
  </si>
  <si>
    <t>26,6145/23,2877</t>
  </si>
  <si>
    <t>7,82779/18,3953</t>
  </si>
  <si>
    <t>WBGene00001543</t>
  </si>
  <si>
    <t>59.589</t>
  </si>
  <si>
    <t>Bm488</t>
  </si>
  <si>
    <t>WBGene00220749</t>
  </si>
  <si>
    <t>7209.EFO20968.1</t>
  </si>
  <si>
    <t>644.8</t>
  </si>
  <si>
    <t>KOG3683@1,KOG3683@2759</t>
  </si>
  <si>
    <t>methylated histone binding</t>
  </si>
  <si>
    <t>8,98058/8,98058/6,79612</t>
  </si>
  <si>
    <t>WBGene00019712</t>
  </si>
  <si>
    <t>13.1068</t>
  </si>
  <si>
    <t>Bm1346</t>
  </si>
  <si>
    <t>WBGene00221607</t>
  </si>
  <si>
    <t>Bm9420</t>
  </si>
  <si>
    <t>WBGene00229681</t>
  </si>
  <si>
    <t>IPR036638/</t>
  </si>
  <si>
    <t>Helix-loop-helix_DNA-binding_domain_superfamily/</t>
  </si>
  <si>
    <t>HLH_DNA-bd_sf/</t>
  </si>
  <si>
    <t>Bm10165</t>
  </si>
  <si>
    <t>WBGene00230426</t>
  </si>
  <si>
    <t>85,4396/14,011</t>
  </si>
  <si>
    <t>Bm17557</t>
  </si>
  <si>
    <t>WBGene00268700</t>
  </si>
  <si>
    <t>Bm4821</t>
  </si>
  <si>
    <t>WBGene00225082</t>
  </si>
  <si>
    <t>IPR006149/IPR006150/IPR007026/</t>
  </si>
  <si>
    <t>CC_domain/Cysteine-rich_repeat/EB_domain/</t>
  </si>
  <si>
    <t>CC_domain/Cys_repeat_1/EB_dom/</t>
  </si>
  <si>
    <t>7209.EFO16867.1</t>
  </si>
  <si>
    <t>3.8e-125</t>
  </si>
  <si>
    <t>455.7</t>
  </si>
  <si>
    <t>1KWNF@119089,3A7ZT@33154,3BTJ6@33208,3D9X0@33213,40E93@6231,KOG1217@1,KOG1217@2759</t>
  </si>
  <si>
    <t>Worm-specific repeat type 1</t>
  </si>
  <si>
    <t>WBGene00010573</t>
  </si>
  <si>
    <t>36.8107</t>
  </si>
  <si>
    <t>Bm1787</t>
  </si>
  <si>
    <t>WBGene00222048</t>
  </si>
  <si>
    <t>IPR002172/IPR002181/IPR036055/IPR036056/</t>
  </si>
  <si>
    <t>Fibrinogen,_alpha/beta/gamma_chain,_C-terminal_globular_domain/Fibrinogen-like,_C-terminal/LDL_receptor-like_superfamily/Low-density_lipoprotein_(LDL)_receptor_class_A_repeat/</t>
  </si>
  <si>
    <t>Fibrinogen-like_C/Fibrinogen_a/b/g_C_dom/LDL_receptor-like_sf/LDrepeatLR_classA_rpt/</t>
  </si>
  <si>
    <t>note=contains_similarity_to_Pfam_domains_PF00147_(Fibrinogen_beta_and_gamma_chains,_C-terminal_globular_domain),_PF00057_(Low-density_lipoprotein_receptor_domain_class_A)_contains_similarity_to_Interpro_domains_IPR002172_(Low-density_lipoprotein_(LDL)_receptor_class_A_repeat),_IPR002181_(Fibrinogen,_alpha/beta/gamma_chain,_C-terminal_globular_domain),_IPR014716_(Fibrinogen,_alpha/beta/gamma_chain,_C-terminal_globular,_subdomain_1)</t>
  </si>
  <si>
    <t>7209.EFO25973.2</t>
  </si>
  <si>
    <t>3.1e-221</t>
  </si>
  <si>
    <t>774.2</t>
  </si>
  <si>
    <t>1KWNK@119089,390TY@33154,3BTRQ@33208,3D9J4@33213,40DXY@6231,KOG2579@1,KOG2579@2759</t>
  </si>
  <si>
    <t>Low-density lipoprotein receptor domain class A</t>
  </si>
  <si>
    <t>WBGene00020010</t>
  </si>
  <si>
    <t>22.9258</t>
  </si>
  <si>
    <t>Bm3141</t>
  </si>
  <si>
    <t>WBGene00223402</t>
  </si>
  <si>
    <t>note=B._malayi_BMA-DPY-6_protein</t>
  </si>
  <si>
    <t>0,847572/0,982107</t>
  </si>
  <si>
    <t>Bm10437</t>
  </si>
  <si>
    <t>WBGene00230698</t>
  </si>
  <si>
    <t>note=contains_similarity_to_Pfam_domain_PF13894_C2H2-type_zinc_finger_contains_similarity_to_Interpro_domains_IPR015880_(Zinc_finger,_C2H2-like),_IPR013087_(Zinc_finger_C2H2-type/integrase_DNA-binding_domain)</t>
  </si>
  <si>
    <t>1.5e-17</t>
  </si>
  <si>
    <t>97.1</t>
  </si>
  <si>
    <t>Bm9500</t>
  </si>
  <si>
    <t>WBGene00229761</t>
  </si>
  <si>
    <t>Bm13289</t>
  </si>
  <si>
    <t>Bm9433</t>
  </si>
  <si>
    <t>WBGene00229694</t>
  </si>
  <si>
    <t>GO:0008271/GO:0008272/GO:0015116/GO:0016020/GO:0016021/GO:0055085/GO:1902358/</t>
  </si>
  <si>
    <t>integral_component_of_membrane/membrane/secondary_active_sulfate_transmembrane_transporter_activity/sulfate_transmembrane_transport/sulfate_transmembrane_transporter_activity/sulfate_transport/transmembrane_transport/</t>
  </si>
  <si>
    <t>A_lipid_bilayer_along_with_all_the_proteins_and_protein_complexes_embedded_in_it_an_attached_to_it._[GOC:dos,_GOC:mah,_ISBN:0815316194]/"Enables_the_secondary_active_transfer_of_sulfate_from_one_side_of_a_membrane_to_the_other._Secondary_active_transport_is_the_transfer_of_a_solute_across_a_membrane,_up_its_concentration_gradient._The_transporter_binds_the_solute_and_undergoes_a_series_of_conformational_changes._Transport_works_equally_well_in_either_direction_and_is_driven_by_a_chemiosmotic_source_of_energy._Secondary_active_transporters_include_symporters_and_antiporters."_[GOC:mtg_transport]/"Enables_the_transfer_of_sulfate_ions,_SO4(2-),_from_one_side_of_a_membrane_to_the_other."_[GOC:ai]/"The_component_of_a_membrane_consisting_of_the_gene_products_and_protein_complexes_having_at_least_some_part_of_their_peptide_sequence_embedded_in_the_hydrophobic_region_of_the_membrane."_[GOC:dos,_GOC:go_curators]/"The_directed_movement_of_sulfate_across_a_membrane."_[GOC:dph,_GOC:TermGenie,_PMID:9055073]/"The_directed_movement_of_sulfate_into,_out_of_or_within_a_cell,_or_between_cells,_by_means_of_some_agent_such_as_a_transporter_or_pore."_[GOC:krc]/"The_process_in_which_a_solute_is_transported_across_a_lipid_bilayer,_from_one_side_of_a_membrane_to_the_other."_[GOC:dph,_GOC:jid]/</t>
  </si>
  <si>
    <t>IPR001902/IPR002645/IPR011547/IPR030340/IPR036513/</t>
  </si>
  <si>
    <t>Anion_transporter_SULP-6/SLC26A/SulP_transporter/SLC26A/SulP_transporter_domain/STAS_domain/STAS_domain_superfamily/</t>
  </si>
  <si>
    <t>SLC26A/SulP_dom/SLC26A/SulP_fam/STAS_dom/STAS_dom_sf/SULP-6/</t>
  </si>
  <si>
    <t>7209.EFO18567.1</t>
  </si>
  <si>
    <t>1213.4</t>
  </si>
  <si>
    <t>sulp-6</t>
  </si>
  <si>
    <t>ko:K14453</t>
  </si>
  <si>
    <t>2.A.53.2</t>
  </si>
  <si>
    <t>1KUY8@119089,38EAT@33154,3BAAN@33208,3CUG2@33213,40BWB@6231,COG0659@1,KOG0236@2759</t>
  </si>
  <si>
    <t>STAS domain</t>
  </si>
  <si>
    <t>21,3523/51,3642</t>
  </si>
  <si>
    <t>21,5896/25,6228/4,74496</t>
  </si>
  <si>
    <t>20,7592/18,2681</t>
  </si>
  <si>
    <t>20,1661/17,4377</t>
  </si>
  <si>
    <t>21,9454/23,1317/20,0474/20,6406/22,1827/21,1151/22,6572/22,1827/19,6916/23,013/21,2337</t>
  </si>
  <si>
    <t>WBGene00020914</t>
  </si>
  <si>
    <t>38.6714</t>
  </si>
  <si>
    <t>Bm7475</t>
  </si>
  <si>
    <t>WBGene00227736</t>
  </si>
  <si>
    <t>note=B._malayi_BMA-GCY-9_protein,_contains_similarity_toPfam_domains_PF07714_(Protein_tyrosine_kinase),_PF00211(Adenylate_and_Guanylate_cyclase_catalytic_domain),PF01094_(Receptor_family_ligand_binding_region)_containssimilarity_to_Interpro_domains_IPR028082_(Periplasmicbinding_protein-like_I),_IPR011009_(Protein_kinase-likedomain),_IPR001054_(Adenylyl_cyclase_class-3/4/guanylylcyclase),_IPR001245_(Serine-threonine/tyrosine-proteinkinase_catalytic_domain),_IPR029787_(Nucleotide_cyclase),IPR001828_(Extracellular_ligand-binding_receptor)</t>
  </si>
  <si>
    <t>6239.ZK455.2</t>
  </si>
  <si>
    <t>1266.5</t>
  </si>
  <si>
    <t>GO:0003008,GO:0003031,GO:0005575,GO:0005623,GO:0005929,GO:0007154,GO:0007165,GO:0007600,GO:0007606,GO:0008150,GO:0009268,GO:0009593,GO:0009628,GO:0009987,GO:0010447,GO:0010646,GO:0010647,GO:0017157,GO:0019722,GO:0019932,GO:0023051,GO:0023052,GO:0023056,GO:0031644,GO:0031646,GO:0032501,GO:0032879,GO:0035556,GO:0036477,GO:0042221,GO:0042391,GO:0042995,GO:0043025,GO:0043226,GO:0044057,GO:0044297,GO:0044464,GO:0045760,GO:0045921,GO:0048518,GO:0048522,GO:0050789,GO:0050794,GO:0050877,GO:0050896,GO:0050906,GO:0050907,GO:0051046,GO:0051047,GO:0051049,GO:0051050,GO:0051239,GO:0051240,GO:0051606,GO:0051716,GO:0051969,GO:0051971,GO:0060627,GO:0065007,GO:0065008,GO:0071214,GO:0071467,GO:0071468,GO:0097458,GO:0097730,GO:0098900,GO:0098908,GO:0104004,GO:0120025,GO:1903530,GO:1903532,GO:1904457</t>
  </si>
  <si>
    <t>1KV4B@119089,39YNF@33154,3BII0@33208,3D4KB@33213,40CMP@6231,40VHB@6236,COG2114@1,KOG1023@2759</t>
  </si>
  <si>
    <t>Adenylyl- / guanylyl cyclase, catalytic domain</t>
  </si>
  <si>
    <t>15,4139/15,2236</t>
  </si>
  <si>
    <t>58,9914/48,0495</t>
  </si>
  <si>
    <t>56,3273/10,1808/58,706/20,2664</t>
  </si>
  <si>
    <t>9,99049/9,99049/28,4491</t>
  </si>
  <si>
    <t>WBGene00001536</t>
  </si>
  <si>
    <t>59.9429</t>
  </si>
  <si>
    <t>Bm3189</t>
  </si>
  <si>
    <t>WBGene00223450</t>
  </si>
  <si>
    <t>IPR013099/</t>
  </si>
  <si>
    <t>Potassium_channel_domain/</t>
  </si>
  <si>
    <t>K_chnl_dom/</t>
  </si>
  <si>
    <t>note=B._malayi_BMA-SLO-2_protein,_contains_similarity_toPfam_domain_PF03493_Calcium-activated_BK_potassium_channelalpha_subunit_contains_similarity_to_Interpro_domainsIPR016040_(NAD(P)-binding_domain),_IPR003929_(Potassiumchannel,_calcium-activated,_BK,_alpha_subunit)</t>
  </si>
  <si>
    <t>1.2e-61</t>
  </si>
  <si>
    <t>19,9288/17,0819</t>
  </si>
  <si>
    <t>19,9288/16,726</t>
  </si>
  <si>
    <t>WBGene00004831</t>
  </si>
  <si>
    <t>52.3132</t>
  </si>
  <si>
    <t>Bm8815</t>
  </si>
  <si>
    <t>WBGene00229076</t>
  </si>
  <si>
    <t>32,6577/72,2973</t>
  </si>
  <si>
    <t>Bm1219</t>
  </si>
  <si>
    <t>WBGene00221480</t>
  </si>
  <si>
    <t>GO:0003730/GO:0006417/GO:0045182/</t>
  </si>
  <si>
    <t>mRNA_3'-UTR_binding/regulation_of_translation/translation_regulator_activity/</t>
  </si>
  <si>
    <t>Any_molecular_function_involved_in_the_initiation,_activation,_perpetuation,_repression_or_termination_of_polypeptide_synthesis_at_the_ribosome._[GOC:ai]/"Any_process_that_modulates_the_frequency,_rate_or_extent_of_the_chemical_reactions_and_pathways_resulting_in_the_formation_of_proteins_by_the_translation_of_mRNA_or_circRNA."_[GOC:isa_complete]/"Interacting_selectively_and_non-covalently_with_the_3'_untranslated_region_of_an_mRNA_molecule."_[GOC:mah]/</t>
  </si>
  <si>
    <t>IPR032296/IPR034819/IPR038446/</t>
  </si>
  <si>
    <t>CEBP,_ZZ_domain_superfamily/Cytoplasmic_polyadenylation_element-binding_protein/Cytoplasmic_polyadenylation_element-binding_protein,_ZZ_domain/</t>
  </si>
  <si>
    <t>CEBP_ZZ/CEBP_ZZ_sf/CPEB/</t>
  </si>
  <si>
    <t>7209.EFO17585.1</t>
  </si>
  <si>
    <t>2.2e-26</t>
  </si>
  <si>
    <t>125.9</t>
  </si>
  <si>
    <t>KOG0129@1,KOG0129@2759</t>
  </si>
  <si>
    <t>translation regulator activity</t>
  </si>
  <si>
    <t>Bm1294</t>
  </si>
  <si>
    <t>WBGene00221555</t>
  </si>
  <si>
    <t>54,6269/13,4328/32,5373</t>
  </si>
  <si>
    <t>60,8955/55,2239/58,806</t>
  </si>
  <si>
    <t>26,5672/17,9104/34,0299</t>
  </si>
  <si>
    <t>Bm9720</t>
  </si>
  <si>
    <t>WBGene00229981</t>
  </si>
  <si>
    <t>Bm4560</t>
  </si>
  <si>
    <t>WBGene00224821</t>
  </si>
  <si>
    <t>GO:0000166/GO:0003774/GO:0003779/GO:0005524/GO:0016459/GO:0051015/</t>
  </si>
  <si>
    <t>ATP_binding/actin_binding/actin_filament_binding/motor_activity/myosin_complex/nucleotide_binding/</t>
  </si>
  <si>
    <t>A_protein_complex,_formed_of_one_or_more_myosin_heavy_chains_plus_associated_light_chains_and_other_proteins,_that_functions_as_a_molecular_motor;_uses_the_energy_of_ATP_hydrolysis_to_move_actin_filaments_or_to_move_vesicles_or_other_cargo_on_fixed_actin_filaments;_has_magnesium-ATPase_activity_and_binds_actin._Myosin_classes_are_distinguished_based_on_sequence_features_of_the_motor,_or_head,_domain,_but_also_have_distinct_tail_regions_that_are_believed_to_bind_specific_cargoes._[GOC:mah,_http://www.mrc-lmb.cam.ac.uk/myosin/Review/Reviewframeset.html,_ISBN:96235764]/"Catalysis_of_the_generation_of_force_resulting_either_in_movement_along_a_microfilament_or_microtubule,_or_in_torque_resulting_in_membrane_scission,_coupled_to_the_hydrolysis_of_a_nucleoside_triphosphate."_[GOC:mah,_GOC:vw,_ISBN:0815316194,_PMID:11242086]/"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_actin_filament,_also_known_as_F-actin,_a_helical_filamentous_polymer_of_globular_G-actin_subunits."_[ISBN:0198506732]/"Interacting_selectively_and_non-covalently_with_monomeric_or_multimeric_forms_of_actin,_including_actin_filaments."_[GOC:clt]/</t>
  </si>
  <si>
    <t>IPR001609/IPR002928/IPR004009/IPR008989/IPR027401/IPR027417/IPR036961/</t>
  </si>
  <si>
    <t>Kinesin_motor_domain_superfamily/Myosin,_N-terminal,_SH3-like/Myosin_IQ_motif-containing_domain_superfamily/Myosin_S1_fragment,_N-terminal/Myosin_head,_motor_domain/Myosin_tail/P-loop_containing_nucleoside_triphosphate_hydrolase/</t>
  </si>
  <si>
    <t>Kinesin_motor_dom_sf/Myosin_IQ_contain_sf/Myosin_N/Myosin_S1_N/Myosin_head_motor_dom/Myosin_tail/P-loop_NTPase/</t>
  </si>
  <si>
    <t>note=B._malayi_BMA-MYO-5_protein,_contains_similarity_toPfam_domains_PF01576_(Myosin_tail),_PF02736_(MyosinN-terminal_SH3-like_domain),_PF00063_(Myosin_head_(motordomain))_contains_similarity_to_Interpro_domains_IPR027401(Myosin-like_IQ_motif-containing_domain),_IPR004009(Myosin,_N-terminal,_SH3-like),_IPR027417_(P-loopcontaining_nucleoside_triphosphate_hydrolase),_IPR002928(Myosin_tail),_IPR001609_(Myosin_head,_motor_domain)</t>
  </si>
  <si>
    <t>7209.EJD76251.1</t>
  </si>
  <si>
    <t>1650.2</t>
  </si>
  <si>
    <t>myo-5</t>
  </si>
  <si>
    <t>ko:K10352</t>
  </si>
  <si>
    <t>1KUAC@119089,38CVC@33154,3BBPR@33208,3CSM1@33213,40B8R@6231,COG5022@1,KOG0161@2759</t>
  </si>
  <si>
    <t>Belongs to the TRAFAC class myosin-kinesin ATPase superfamily. Myosin family</t>
  </si>
  <si>
    <t>6,92817/26,9485</t>
  </si>
  <si>
    <t>33,5711/33,7239</t>
  </si>
  <si>
    <t>4,22822/57,1574/18,2883/19,0015/13,1431</t>
  </si>
  <si>
    <t>6,3678/18,594</t>
  </si>
  <si>
    <t>13,9582/5,50178/34,7937/5,80744/45,2878/18,1864/14,0601/8,4055/46,052/14,0601/14,7733/18,0846/46,6123/45,8482/16,9129/46,6123/10,6979/10,8507/15,8431/45,1859/4,48293/36,3729/14,1111/14,3658</t>
  </si>
  <si>
    <t>13,8054/5,29801/34,8446/5,75649/45,5425/18,0846/14,162/8,45644/45,8991/13,8054/14,6714/16,9129/46,3576/45,8482/45,5425/16,8619/46,5614/10,596/10,8507/15,7922/45,5425/36,322/13,8054/14,2639</t>
  </si>
  <si>
    <t>35,6088/5,55273/14,7733/45,7972/45,4916/18,2374/13,9582/14,0092/8,09985/17,3714/17,5242/13,8054/14,5695/16,6582/45,7463/45,7463/34,1824/45,8991/45,8991/46,5104/16,6072/45,5425/45,5935/45,6444/45,5935/45,4916/45,5425/46,2557/9,78095/9,16964/10,3413/17,3714/13,1941/36,1691/14,8752/13,8563</t>
  </si>
  <si>
    <t>WBGene00019064</t>
  </si>
  <si>
    <t>67.244</t>
  </si>
  <si>
    <t>Bm17661</t>
  </si>
  <si>
    <t>WBGene00268803</t>
  </si>
  <si>
    <t>2.6e-16</t>
  </si>
  <si>
    <t>93.6</t>
  </si>
  <si>
    <t>Bm3954</t>
  </si>
  <si>
    <t>WBGene00224215</t>
  </si>
  <si>
    <t>IPR000276/IPR017452/IPR019427/</t>
  </si>
  <si>
    <t>7TM_GPCR,_serpentine_receptor_class_w_(Srw)/GPCR,_rhodopsin-like,_7TM/G_protein-coupled_receptor,_rhodopsin-like/</t>
  </si>
  <si>
    <t>7TM_GPCR_serpentine_rcpt_Srw/GPCR_Rhodpsn/GPCR_Rhodpsn_7TM/</t>
  </si>
  <si>
    <t>note=contains_similarity_to_Pfam_domain_PF10324_Serpentine_type_7TM_GPCR_chemoreceptor_Srw_contains_similarity_to_Interpro_domains_IPR019427_(7TM_GPCR,_serpentine_receptor_class_w_(Srw)),_IPR000276_(G_protein-coupled_receptor,_rhodopsin-like)</t>
  </si>
  <si>
    <t>7209.EFO16126.1</t>
  </si>
  <si>
    <t>1.9e-158</t>
  </si>
  <si>
    <t>565.5</t>
  </si>
  <si>
    <t>1KVB4@119089,2BXBE@1,2RAXV@2759,39SKX@33154,3BFMM@33208,3D4YI@33213,40BW7@6231</t>
  </si>
  <si>
    <t>99,1781/53,1507</t>
  </si>
  <si>
    <t>21,9178/16,9863/21,3699/24,1096/41,3699/10,411/46,5753</t>
  </si>
  <si>
    <t>WBGene00018222</t>
  </si>
  <si>
    <t>48.7671</t>
  </si>
  <si>
    <t>Bm2420</t>
  </si>
  <si>
    <t>WBGene00222681</t>
  </si>
  <si>
    <t>GO:0005515/GO:0006972/GO:0006979/GO:0008340/GO:0009408/GO:0043053/GO:0060271/GO:0097730/GO:1905798/GO:1905801/</t>
  </si>
  <si>
    <t>cilium_assembly/dauer_entry/determination_of_adult_lifespan/hyperosmotic_response/non-motile_cilium/positive_regulation_of_intraciliary_anterograde_transport/positive_regulation_of_intraciliary_retrograde_transport/protein_binding/response_to_heat/response_to_oxidative_stress/</t>
  </si>
  <si>
    <t>A_cilium_which_may_have_a_variable_array_of_axonemal_microtubules_but_does_not_contain_molecular_motors._[GOC:cilia,_GOC:dgh,_GOC:kmv,_PMID:17009929,_PMID:20144998,_PMID:22118931]/"Any_process_that_activates_or_increases_the_frequency,_rate_or_extent_of_intraciliary_anterograde_transport."_[GO_REF:0000058,_GOC:TermGenie,_PMID:27930654]/"Any_process_that_activates_or_increases_the_frequency,_rate_or_extent_of_intraciliary_retrograde_transport."_[GO_REF:0000058,_GOC:TermGenie,_PMID:27930654]/"Any_process_that_results_in_a_change_in_state_or_activity_of_a_cell_or_an_organism_(in_terms_of_movement,_secretion,_enzyme_production,_gene_expression,_etc.)_as_a_result_of_a_heat_stimulus,_a_temperature_stimulus_above_the_optimal_temperature_for_that_organism."_[GOC:lr]/"Any_process_that_results_in_a_change_in_state_or_activity_of_a_cell_or_an_organism_(in_terms_of_movement,_secretion,_enzyme_production,_gene_expression,_etc.)_as_a_result_of_detection_of,_or_exposure_to,_a_hyperosmotic_environment,_i.e._an_environment_with_a_higher_concentration_of_solutes_than_the_organism_or_cell."_[GOC:jl,_PMID:12142009]/"Any_process_that_results_in_a_change_in_state_or_activity_of_a_cell_or_an_organism_(in_terms_of_movement,_secretion,_enzyme_production,_gene_expression,_etc.)_as_a_result_of_oxidative_stress,_a_state_often_resulting_from_exposure_to_high_levels_of_reactive_oxygen_species,_e.g._superoxide_anions,_hydrogen_peroxide_(H2O2),_and_hydroxyl_radicals."_[GOC:jl,_PMID:12115731]/"Entry_into_the_facultative_diapause_of_the_dauer_(enduring)_larval_stage_of_nematode_development."_[GOC:cab1,_GOC:kmv,_PMID:10077613]/"Interacting_selectively_and_non-covalently_with_any_protein_or_protein_complex_(a_complex_of_two_or_more_proteins_that_may_include_other_nonprotein_molecules)."_[GOC:go_curators]/"The_assembly_of_a_cilium,_a_specialized_eukaryotic_organelle_that_consists_of_a_filiform_extrusion_of_the_cell_surface._Each_cilium_is_bounded_by_an_extrusion_of_the_cytoplasmic_membrane,_and_contains_a_regular_longitudinal_array_of_microtubules,_anchored_basally_in_a_centriole."_[GOC:BHF,_GOC:cilia,_GOC:dph,_GOC:kmv,_GOC:pr,_GOC:vw,_ISBN:0198506732,_PMID:13978319,_PMID:27350441,_Reactome:R-HSA-5617833.2]/"The_control_of_viability_and_duration_in_the_adult_phase_of_the_life-cycle."_[GOC:ems]/</t>
  </si>
  <si>
    <t>IPR011990/IPR015943/</t>
  </si>
  <si>
    <t>Tetratricopeptide-like_helical_domain_superfamily/WD40/YVTN_repeat-like-containing_domain_superfamily/</t>
  </si>
  <si>
    <t>TPR-like_helical_dom_sf/WD40/YVTN_repeat-like_dom_sf/</t>
  </si>
  <si>
    <t>note=B._malayi_BMA-CHE-11_protein,_contains_similarity_to_Interpro_domain_IPR011990_(Tetratricopeptide-like_helical_domain)</t>
  </si>
  <si>
    <t>7209.EFO21495.2</t>
  </si>
  <si>
    <t>1252.7</t>
  </si>
  <si>
    <t>ko:K19672</t>
  </si>
  <si>
    <t>1KTTC@119089,38CRP@33154,3BENH@33208,3CU2T@33213,40AI5@6231,KOG3617@1,KOG3617@2759</t>
  </si>
  <si>
    <t>intraflagellar transport protein 140 homolog</t>
  </si>
  <si>
    <t>18,4012/13,8763/7,69231</t>
  </si>
  <si>
    <t>7,08899/6,41026/8,37104</t>
  </si>
  <si>
    <t>10,7089/29,1855</t>
  </si>
  <si>
    <t>10,8597/29,1855</t>
  </si>
  <si>
    <t>10,4827/7,61689/18,9291</t>
  </si>
  <si>
    <t>29,4872/38,1599/2,26244/3,09201</t>
  </si>
  <si>
    <t>7,91855/19,0799</t>
  </si>
  <si>
    <t>28,5068/27,0739</t>
  </si>
  <si>
    <t>WBGene00000490</t>
  </si>
  <si>
    <t>38.914</t>
  </si>
  <si>
    <t>Bm9340</t>
  </si>
  <si>
    <t>WBGene00229601</t>
  </si>
  <si>
    <t>IPR036186/</t>
  </si>
  <si>
    <t>Serpin_superfamily/</t>
  </si>
  <si>
    <t>Serpin_sf/</t>
  </si>
  <si>
    <t>note=contains_similarity_to_Pfam_domain_PF00079_Serpin_(serine_protease_inhibitor)_contains_similarity_to_Interpro_domain_IPR023796_(Serpin_domain)</t>
  </si>
  <si>
    <t>15,4799/12,0743</t>
  </si>
  <si>
    <t>11,9195/9,13313</t>
  </si>
  <si>
    <t>12,2291/11,4551</t>
  </si>
  <si>
    <t>Bm5919</t>
  </si>
  <si>
    <t>WBGene00226180</t>
  </si>
  <si>
    <t>7209.EFO16977.2</t>
  </si>
  <si>
    <t>4.1e-177</t>
  </si>
  <si>
    <t>627.9</t>
  </si>
  <si>
    <t>39YR3@33154,COG5599@1,KOG0789@2759</t>
  </si>
  <si>
    <t>15,8954/16,2978/15,493/16,2978/16,7002/14,4869/16,0966/16,9014/9,85915/13,8833/15,6942/15,2918/15,493/16,499/14,2857</t>
  </si>
  <si>
    <t>15,8954/14,0845</t>
  </si>
  <si>
    <t>WBGene00021007/WBGene00020116</t>
  </si>
  <si>
    <t>15.8954/14.0845</t>
  </si>
  <si>
    <t>Bm8231</t>
  </si>
  <si>
    <t>WBGene00228492</t>
  </si>
  <si>
    <t>IPR000448/IPR023330/IPR023331/IPR035961/IPR040676/</t>
  </si>
  <si>
    <t>Domain_of_unknown_function_DUF5641/Rhabdovirus_nucleocapsid/Rhabdovirus_nucleocapsid,_C-terminal/Rhabdovirus_nucleocapsid,_N-terminal/Rhabdovirus_nucleoprotein-like/</t>
  </si>
  <si>
    <t>DUF5641/Rhabdo_ncapsid/Rhabdovirus_ncapsid_C/Rhabdovirus_ncapsid_N/Rhabdovirus_nucleoprotein-like/</t>
  </si>
  <si>
    <t>2.2e-37</t>
  </si>
  <si>
    <t>38,8021/50,7812/41,9271</t>
  </si>
  <si>
    <t>Bm238</t>
  </si>
  <si>
    <t>WBGene00220499</t>
  </si>
  <si>
    <t>Bm489</t>
  </si>
  <si>
    <t>WBGene00220750</t>
  </si>
  <si>
    <t>IPR012506/</t>
  </si>
  <si>
    <t>YhhN-like/</t>
  </si>
  <si>
    <t>YhhN/</t>
  </si>
  <si>
    <t>note=contains_similarity_to_Pfam_domain_PF07947_YhhN-like_protein_contains_similarity_to_Interpro_domain_IPR012506_(YhhN-like)</t>
  </si>
  <si>
    <t>6326.BUX.s01513.31</t>
  </si>
  <si>
    <t>6.3e-24</t>
  </si>
  <si>
    <t>1M06S@119089,3AT34@33154,3C49E@33208,3DJFX@33213,40H2D@6231,KOG4804@1,KOG4804@2759</t>
  </si>
  <si>
    <t>alkenylglycerophosphocholine hydrolase activity</t>
  </si>
  <si>
    <t>30,531/30,531/30,531</t>
  </si>
  <si>
    <t>35,3982/32,7434</t>
  </si>
  <si>
    <t>WBGene00010947</t>
  </si>
  <si>
    <t>25.2212</t>
  </si>
  <si>
    <t>Bm11032</t>
  </si>
  <si>
    <t>WBGene00231293</t>
  </si>
  <si>
    <t>Bm7277</t>
  </si>
  <si>
    <t>WBGene00227538</t>
  </si>
  <si>
    <t>GO:0004799/GO:0006231/GO:0032259/</t>
  </si>
  <si>
    <t>dTMP_biosynthetic_process/methylation/thymidylate_synthase_activity/</t>
  </si>
  <si>
    <t>Catalysis_of_the_reaction:_5,10-methylenetetrahydrofolate_+_dUMP_=_7,8-dihydrofolate_+_thymidylate._[EC:2.1.1.45,_RHEA:12104]/"The_chemical_reactions_and_pathways_resulting_in_the_formation_of_dTMP,_deoxyribosylthymine_monophosphate_(2'-deoxyribosylthymine_5'-phosphate)."_[ISBN:0198506732]/"The_process_in_which_a_methyl_group_is_covalently_attached_to_a_molecule."_[GOC:mah]/</t>
  </si>
  <si>
    <t>IPR000398/IPR020940/IPR023451/IPR036926/</t>
  </si>
  <si>
    <t>Thymidylate_synthase/Thymidylate_synthase,_active_site/Thymidylate_synthase/dCMP_hydroxymethylase_domain/Thymidylate_synthase/dCMP_hydroxymethylase_superfamily/</t>
  </si>
  <si>
    <t>Thymidate_synth/dCMP_Mease/Thymidate_synth/dCMP_Mease_sf/Thymidylate_synthase/Thymidylate_synthase_AS/</t>
  </si>
  <si>
    <t>note=contains_similarity_to_Pfam_domain_PF00303_Thymidylate_synthase_contains_similarity_to_Interpro_domains_IPR023451_(Thymidylate_synthase/dCMP_hydroxymethylase_domain),_IPR000398_(Thymidylate_synthase)</t>
  </si>
  <si>
    <t>7209.EFO22743.1</t>
  </si>
  <si>
    <t>6.5e-165</t>
  </si>
  <si>
    <t>586.6</t>
  </si>
  <si>
    <t>GO:0003674,GO:0003824,GO:0004799,GO:0006139,GO:0006220,GO:0006221,GO:0006231,GO:0006725,GO:0006753,GO:0006793,GO:0006796,GO:0006807,GO:0008150,GO:0008152,GO:0008168,GO:0009058,GO:0009117,GO:0009123,GO:0009124,GO:0009129,GO:0009130,GO:0009157,GO:0009162,GO:0009165,GO:0009176,GO:0009177,GO:0009219,GO:0009221,GO:0009262,GO:0009263,GO:0009265,GO:0009394,GO:0009987,GO:0016740,GO:0016741,GO:0018130,GO:0019438,GO:0019637,GO:0019692,GO:0032259,GO:0034641,GO:0034654,GO:0042083,GO:0044237,GO:0044238,GO:0044249,GO:0044271,GO:0044281,GO:0046073,GO:0046385,GO:0046483,GO:0055086,GO:0071704,GO:0072527,GO:0072528,GO:0090407,GO:1901135,GO:1901137,GO:1901293,GO:1901360,GO:1901362,GO:1901564,GO:1901566,GO:1901576</t>
  </si>
  <si>
    <t>2.1.1.45</t>
  </si>
  <si>
    <t>ko:K00560</t>
  </si>
  <si>
    <t>ko00240,ko00670,ko01100,ko01523,map00240,map00670,map01100,map01523</t>
  </si>
  <si>
    <t>R02101</t>
  </si>
  <si>
    <t>RC00219,RC00332</t>
  </si>
  <si>
    <t>1KV1Q@119089,38B8T@33154,3BBAM@33208,3CTT4@33213,40AQY@6231,COG0207@1,KOG0673@2759</t>
  </si>
  <si>
    <t>Thymidylate synthase</t>
  </si>
  <si>
    <t>53,9216/57,1895</t>
  </si>
  <si>
    <t>54,5752/19,6078</t>
  </si>
  <si>
    <t>57,1895/62,7451/62,0915</t>
  </si>
  <si>
    <t>53,268/30,719</t>
  </si>
  <si>
    <t>WBGene00022455</t>
  </si>
  <si>
    <t>61.4379</t>
  </si>
  <si>
    <t>Bm6415</t>
  </si>
  <si>
    <t>WBGene00226676</t>
  </si>
  <si>
    <t>note=B._malayi_BMA-CUTL-24_protein,_contains_similarity_to_Pfam_domain_PF00100_Zona_pellucida-like_domain_contains_similarity_to_Interpro_domain_IPR001507_(Zona_pellucida_domain)</t>
  </si>
  <si>
    <t>7209.EFO14168.1</t>
  </si>
  <si>
    <t>8e-88</t>
  </si>
  <si>
    <t>330.5</t>
  </si>
  <si>
    <t>1KWXH@119089,2CZAG@1,2S9D1@2759,3AADJ@33154,3BUWR@33208,3DB2G@33213,40EGI@6231</t>
  </si>
  <si>
    <t>Bm4144</t>
  </si>
  <si>
    <t>WBGene00224405</t>
  </si>
  <si>
    <t>note=contains_similarity_to_Interpro_domains_IPR012292_(Globin,_structural_domain),_IPR009050_(Globin-like)</t>
  </si>
  <si>
    <t>7209.EFO24075.2</t>
  </si>
  <si>
    <t>3.5e-151</t>
  </si>
  <si>
    <t>541.6</t>
  </si>
  <si>
    <t>1KVGZ@119089,3A0UY@33154,3BPUU@33208,3D6M8@33213,40CQZ@6231,KOG3378@1,KOG3378@2759</t>
  </si>
  <si>
    <t>30,9577/30,9577</t>
  </si>
  <si>
    <t>WBGene00018486</t>
  </si>
  <si>
    <t>34.2984</t>
  </si>
  <si>
    <t>Bm7595</t>
  </si>
  <si>
    <t>WBGene00227856</t>
  </si>
  <si>
    <t>GO:0004865/GO:0032515/</t>
  </si>
  <si>
    <t>negative_regulation_of_phosphoprotein_phosphatase_activity/protein_serine/threonine_phosphatase_inhibitor_activity/</t>
  </si>
  <si>
    <t>Any_process_that_stops_or_reduces_the_activity_of_a_phosphoprotein_phosphatase._[GOC:mah]/"Stops,_prevents_or_reduces_the_activity_of_a_serine/threonine_protein_phosphatase,_an_enzyme_that_catalyzes_the_reaction:_protein_serine/threonine_phosphate_+_H2O_=_protein_serine/threonine_+_phosphate."_[GOC:dph,_GOC:tb]/</t>
  </si>
  <si>
    <t>IPR011107/</t>
  </si>
  <si>
    <t>Type_1_protein_phosphatase_inhibitor/</t>
  </si>
  <si>
    <t>PPI_Ypi1/</t>
  </si>
  <si>
    <t>note=contains_similarity_to_Pfam_domain_PF07491_Protein_phosphatase_inhibitor_contains_similarity_to_Interpro_domain_IPR011107_(Protein_phosphatase_inhibitor)</t>
  </si>
  <si>
    <t>6326.BUX.s00579.622</t>
  </si>
  <si>
    <t>1.6e-23</t>
  </si>
  <si>
    <t>115.5</t>
  </si>
  <si>
    <t>1KZME@119089,3A869@33154,3BU4C@33208,3D6B9@33213,40GZ6@6231,KOG4102@1,KOG4102@2759</t>
  </si>
  <si>
    <t>protein serine/threonine phosphatase inhibitor activity</t>
  </si>
  <si>
    <t>60/54,7826</t>
  </si>
  <si>
    <t>37,3913/40</t>
  </si>
  <si>
    <t>WBGene00010763/WBGene00014170</t>
  </si>
  <si>
    <t>37.3913/40</t>
  </si>
  <si>
    <t>Bm4833</t>
  </si>
  <si>
    <t>WBGene00225094</t>
  </si>
  <si>
    <t>note=B._malayi_BMA-CUTL-16_protein,_contains_similarity_to_Pfam_domain_PF00100_Zona_pellucida-like_domain_contains_similarity_to_Interpro_domain_IPR001507_(Zona_pellucida_domain)</t>
  </si>
  <si>
    <t>7209.EJD76165.1</t>
  </si>
  <si>
    <t>2.8e-182</t>
  </si>
  <si>
    <t>645.2</t>
  </si>
  <si>
    <t>1KVHC@119089,2A3DA@1,2RY51@2759,3A1CI@33154,3BPS7@33208,3D6TV@33213,40CRH@6231</t>
  </si>
  <si>
    <t>Bm6522</t>
  </si>
  <si>
    <t>WBGene00226783</t>
  </si>
  <si>
    <t>GO:0006281/</t>
  </si>
  <si>
    <t>DNA_repair/</t>
  </si>
  <si>
    <t>The_process_of_restoring_DNA_after_damage._Genomes_are_subject_to_damage_by_chemical_and_physical_agents_in_the_environment_(e.g._UV_and_ionizing_radiations,_chemical_mutagens,_fungal_and_bacterial_toxins,_etc.)_and_by_free_radicals_or_alkylating_agents_endogenously_generated_in_metabolism._DNA_is_also_damaged_because_of_errors_during_its_replication._A_variety_of_different_DNA_repair_pathways_have_been_reported_that_include_direct_reversal,_base_excision_repair,_nucleotide_excision_repair,_photoreactivation,_bypass,_double-strand_break_repair_pathway,_and_mismatch_repair_pathway._[PMID:11563486]/</t>
  </si>
  <si>
    <t>IPR029448/</t>
  </si>
  <si>
    <t>Fanconi_anaemia_protein_FANCD2/</t>
  </si>
  <si>
    <t>FANCD2/</t>
  </si>
  <si>
    <t>note=B._malayi_BMA-FCD-2_protein,_contains_similarity_toPfam_domain_PF14631_Fanconi_anaemia_protein_FancD2nuclease_contains_similarity_to_Interpro_domain_IPR029448(Fanconi_anaemia_protein_FANCD2)</t>
  </si>
  <si>
    <t>7209.EFO26102.1</t>
  </si>
  <si>
    <t>2341.6</t>
  </si>
  <si>
    <t>GO:0005575,GO:0005622,GO:0005623,GO:0005634,GO:0006139,GO:0006259,GO:0006275,GO:0006281,GO:0006289,GO:0006725,GO:0006807,GO:0006950,GO:0006974,GO:0008150,GO:0008152,GO:0009889,GO:0009987,GO:0010556,GO:0019219,GO:0019222,GO:0031323,GO:0031326,GO:0033554,GO:0034641,GO:0043170,GO:0043226,GO:0043227,GO:0043229,GO:0043231,GO:0044237,GO:0044238,GO:0044260,GO:0044424,GO:0044464,GO:0046483,GO:0050789,GO:0050794,GO:0050896,GO:0051052,GO:0051171,GO:0051716,GO:0060255,GO:0065007,GO:0071704,GO:0080090,GO:0090304,GO:0090329,GO:1901360,GO:2000112</t>
  </si>
  <si>
    <t>ko:K10891</t>
  </si>
  <si>
    <t>ko00000,ko00001,ko03400</t>
  </si>
  <si>
    <t>1KYB8@119089,38VFB@33154,3CD5J@33208,3DMSZ@33213,40F54@6231,KOG4712@1,KOG4712@2759</t>
  </si>
  <si>
    <t>DNA polymerase binding</t>
  </si>
  <si>
    <t>14,4357/2,82152</t>
  </si>
  <si>
    <t>6,88976/13,4514</t>
  </si>
  <si>
    <t>WBGene00012767</t>
  </si>
  <si>
    <t>22.7034</t>
  </si>
  <si>
    <t>Bm3413</t>
  </si>
  <si>
    <t>WBGene00223674</t>
  </si>
  <si>
    <t>/GO:0003700/GO:0006355/GO:0006357/</t>
  </si>
  <si>
    <t>/DNA-binding_transcription_factor_activity/regulation_of_transcription,_DNA-templated/regulation_of_transcription_by_RNA_polymerase_II/</t>
  </si>
  <si>
    <t>/"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process_that_modulates_the_frequency,_rate_or_extent_of_cellular_DNA-templated_transcription."_[GOC:go_curators,_GOC:txnOH]/"Any_process_that_modulates_the_frequency,_rate_or_extent_of_transcription_mediated_by_RNA_polymerase_II."_[GOC:go_curators,_GOC:txnOH]/</t>
  </si>
  <si>
    <t>/IPR004827/IPR040223/</t>
  </si>
  <si>
    <t>/Basic-leucine_zipper_domain/PAR_basic_leucine_zipper_protein/</t>
  </si>
  <si>
    <t>/PAR_bZIP/bZIP/</t>
  </si>
  <si>
    <t>note=B._malayi_BMA-ATF-8_protein</t>
  </si>
  <si>
    <t>7209.EFO19202.1</t>
  </si>
  <si>
    <t>3.9e-39</t>
  </si>
  <si>
    <t>168.7</t>
  </si>
  <si>
    <t>1KWY3@119089,3AAB2@33154,3BUNK@33208,3DB28@33213,40EIH@6231,KOG3119@1,KOG3119@2759</t>
  </si>
  <si>
    <t>Basic region leucine zipper</t>
  </si>
  <si>
    <t>19,2029/17,3913</t>
  </si>
  <si>
    <t>17,7536/18,4783/17,7536</t>
  </si>
  <si>
    <t>18,4783/19,2029/19,5652</t>
  </si>
  <si>
    <t>18,1159/17,029/18,8406/21,7391/17,3913/15,5797</t>
  </si>
  <si>
    <t>WBGene00017535</t>
  </si>
  <si>
    <t>Bm17533</t>
  </si>
  <si>
    <t>WBGene00268676</t>
  </si>
  <si>
    <t>Bm14719</t>
  </si>
  <si>
    <t>WBGene00235054</t>
  </si>
  <si>
    <t>IPR000742/IPR000800/IPR002110/IPR013032/IPR020683/IPR035993/IPR036770/</t>
  </si>
  <si>
    <t>Ankyrin_repeat/Ankyrin_repeat-containing_domain/Ankyrin_repeat-containing_domain_superfamily/EGF-like,_conserved_site/EGF-like_domain/Notch-like_domain_superfamily/Notch_domain/</t>
  </si>
  <si>
    <t>Ankyrin_rpt/Ankyrin_rpt-contain_dom/Ankyrin_rpt-contain_sf/EGF-like_CS/EGF-like_dom/Notch-like_dom_sf/Notch_dom/</t>
  </si>
  <si>
    <t>7209.EFO23950.1</t>
  </si>
  <si>
    <t>8.3e-306</t>
  </si>
  <si>
    <t>1056.2</t>
  </si>
  <si>
    <t>1KYC0@119089,38BUP@33154,3BAFT@33208,3CRZB@33213,40FHM@6231,KOG1217@1,KOG1217@2759</t>
  </si>
  <si>
    <t>Notch signaling pathway</t>
  </si>
  <si>
    <t>6,50685/6,50685</t>
  </si>
  <si>
    <t>Bm1025</t>
  </si>
  <si>
    <t>WBGene00221286</t>
  </si>
  <si>
    <t>note=contains_similarity_to_Pfam_domain_PF00876_Innexin_contains_similarity_to_Interpro_domain_IPR000990_(Innexin)</t>
  </si>
  <si>
    <t>7209.EFO20724.2</t>
  </si>
  <si>
    <t>1.5e-144</t>
  </si>
  <si>
    <t>519.2</t>
  </si>
  <si>
    <t>393W1@33154,3BH25@33208,3D3KJ@33213,KOG3883@1,KOG3883@2759</t>
  </si>
  <si>
    <t>gap junction hemi-channel activity</t>
  </si>
  <si>
    <t>35,6546/25,9053</t>
  </si>
  <si>
    <t>21,4485/24,7911</t>
  </si>
  <si>
    <t>15,3203/17,8273/15,5989/14,2061/16,156/16,4345</t>
  </si>
  <si>
    <t>Bm10396</t>
  </si>
  <si>
    <t>WBGene00230657</t>
  </si>
  <si>
    <t>IPR000073/IPR029058/</t>
  </si>
  <si>
    <t>Alpha/Beta_hydrolase_fold/Alpha/beta_hydrolase_fold-1/</t>
  </si>
  <si>
    <t>AB_hydrolase/AB_hydrolase_1/</t>
  </si>
  <si>
    <t>note=contains_similarity_to_Pfam_domain_PF12695_Alpha/beta_hydrolase_family_contains_similarity_to_Interpro_domains_IPR029058_(Alpha/Beta_hydrolase_fold),_IPR029059_(Alpha/beta_hydrolase_fold-5)</t>
  </si>
  <si>
    <t>7209.EFO25370.1</t>
  </si>
  <si>
    <t>2.7e-181</t>
  </si>
  <si>
    <t>1KXKS@119089,3AEY6@33154,3BZ8M@33208,3DF1B@33213,40FY3@6231,COG1073@1,KOG1552@2759</t>
  </si>
  <si>
    <t>Chlamydia CHLPS protein (DUF818)</t>
  </si>
  <si>
    <t>15,6187/13,1846</t>
  </si>
  <si>
    <t>15,8215/12,9817</t>
  </si>
  <si>
    <t>10,9533/11,1562/9,53347/10,9533</t>
  </si>
  <si>
    <t>10,7505/11,5619/9,12779/10,7505</t>
  </si>
  <si>
    <t>8,31643/8,72211/9,93915</t>
  </si>
  <si>
    <t>WBGene00022140</t>
  </si>
  <si>
    <t>25.5578</t>
  </si>
  <si>
    <t>Bm11383</t>
  </si>
  <si>
    <t>WBGene00231644</t>
  </si>
  <si>
    <t>3.4e-96</t>
  </si>
  <si>
    <t>35,7372/33,4936</t>
  </si>
  <si>
    <t>Bm4185</t>
  </si>
  <si>
    <t>WBGene00224446</t>
  </si>
  <si>
    <t>IPR000014/IPR035965/</t>
  </si>
  <si>
    <t>PAS_domain/PAS_domain_superfamily/</t>
  </si>
  <si>
    <t>PAS/PAS-like_dom_sf/</t>
  </si>
  <si>
    <t>note=B._malayi_BMA-LIN-42_protein</t>
  </si>
  <si>
    <t>7209.EJD75498.1</t>
  </si>
  <si>
    <t>1209.5</t>
  </si>
  <si>
    <t>GO:0000122,GO:0001085,GO:0003674,GO:0005488,GO:0005515,GO:0005575,GO:0005622,GO:0005623,GO:0005634,GO:0005737,GO:0006355,GO:0006357,GO:0008134,GO:0008150,GO:0009889,GO:0009890,GO:0009892,GO:0010468,GO:0010556,GO:0010558,GO:0010605,GO:0010629,GO:0019219,GO:0019222,GO:0031323,GO:0031324,GO:0031326,GO:0031327,GO:0040034,GO:0043226,GO:0043227,GO:0043229,GO:0043231,GO:0044424,GO:0044464,GO:0045892,GO:0045934,GO:0048519,GO:0048523,GO:0048580,GO:0048581,GO:0050789,GO:0050793,GO:0050794,GO:0051093,GO:0051171,GO:0051172,GO:0051239,GO:0051241,GO:0051252,GO:0051253,GO:0060255,GO:0061062,GO:0061064,GO:0061065,GO:0061067,GO:0065007,GO:0080090,GO:1902679,GO:1902893,GO:1902894,GO:1903506,GO:1903507,GO:2000026,GO:2000112,GO:2000113,GO:2001141</t>
  </si>
  <si>
    <t>ko:K02633</t>
  </si>
  <si>
    <t>ko04710,ko04711,ko04713,ko05168,ko05202,ko05221,map04710,map04711,map04713,map05168,map05202,map05221</t>
  </si>
  <si>
    <t>1KX7D@119089,38BUR@33154,3BCTB@33208,3CT0F@33213,40F3A@6231,KOG3753@1,KOG3753@2759</t>
  </si>
  <si>
    <t>rhythmic process</t>
  </si>
  <si>
    <t>14,7239/18,0368/16,5644</t>
  </si>
  <si>
    <t>14,2331/17,4233/15,9509</t>
  </si>
  <si>
    <t>17,0552/15,7055/16,1963/14,6012</t>
  </si>
  <si>
    <t>WBGene00018572</t>
  </si>
  <si>
    <t>19.2638</t>
  </si>
  <si>
    <t>Bm18176</t>
  </si>
  <si>
    <t>WBGene00269316</t>
  </si>
  <si>
    <t>7209.EFO18507.2</t>
  </si>
  <si>
    <t>1e-179</t>
  </si>
  <si>
    <t>636.0</t>
  </si>
  <si>
    <t>60,0592/57,9882</t>
  </si>
  <si>
    <t>38,1657/39,0533/12,426/37,2781/37,2781/37,574/43,1953/31,6568</t>
  </si>
  <si>
    <t>25,1479/40,2367/40,5325/25,1479/38,7574</t>
  </si>
  <si>
    <t>54,142/53,8462</t>
  </si>
  <si>
    <t>WBGene00020187/WBGene00021113</t>
  </si>
  <si>
    <t>54.142/53.8462</t>
  </si>
  <si>
    <t>Bm9332</t>
  </si>
  <si>
    <t>WBGene00229593</t>
  </si>
  <si>
    <t>GO:0000139/GO:0005794/GO:0006486/GO:0008378/GO:0016020/GO:0016021/GO:0016740/GO:0016757/</t>
  </si>
  <si>
    <t>Golgi_apparatus/Golgi_membrane/galactosyltransferase_activity/integral_component_of_membrane/membrane/protein_glycosylation/transferase_activity/transferase_activity,_transferring_glycosyl_groups/</t>
  </si>
  <si>
    <t>A_compound_membranous_cytoplasmic_organelle_of_eukaryotic_cells,_consisting_of_flattened,_ribosome-free_vesicles_arranged_in_a_more_or_less_regular_stack._The_Golgi_apparatus_differs_from_the_endoplasmic_reticulum_in_often_having_slightly_thicker_membranes,_appearing_in_sections_as_a_characteristic_shallow_semicircle_so_that_the_convex_side_(cis_or_entry_face)_abuts_the_endoplasmic_reticulum,_secretory_vesicles_emerging_from_the_concave_side_(trans_or_exit_face)._In_vertebrate_cells_there_is_usually_one_such_organelle,_while_in_invertebrates_and_plants,_where_they_are_known_usually_as_dictyosomes,_there_may_be_several_scattered_in_the_cytoplasm._The_Golgi_apparatus_processes_proteins_produced_on_the_ribosomes_of_the_rough_endoplasmic_reticulum;_such_processing_includes_modification_of_the_core_oligosaccharides_of_glycoproteins,_and_the_sorting_and_packaging_of_proteins_for_transport_to_a_variety_of_cellular_locations._Three_different_regions_of_the_Golgi_are_now_recognized_both_in_terms_of_structure_and_function:_cis,_in_the_vicinity_of_the_cis_face,_trans,_in_the_vicinity_of_the_trans_face,_and_medial,_lying_between_the_cis_and_trans_regions._[ISBN:0198506732]/"A_lipid_bilayer_along_with_all_the_proteins_and_protein_complexes_embedded_in_it_an_attached_to_it."_[GOC:dos,_GOC:mah,_ISBN:0815316194]/"A_protein_modification_process_that_results_in_the_addition_of_a_carbohydrate_or_carbohydrate_derivative_unit_to_a_protein_amino_acid,_e.g._the_addition_of_glycan_chains_to_proteins."_[GOC:curators,_GOC:pr]/"Catalysis_of_the_transfer_of_a_galactosyl_group_to_an_acceptor_molecule,_typically_another_carbohydrate_or_a_lipid."_[ISBN:0198506732]/"Catalysis_of_the_transfer_of_a_glycosyl_group_from_one_compound_(donor)_to_another_(acceptor)."_[GOC:jl,_ISBN:0198506732]/"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The_component_of_a_membrane_consisting_of_the_gene_products_and_protein_complexes_having_at_least_some_part_of_their_peptide_sequence_embedded_in_the_hydrophobic_region_of_the_membrane."_[GOC:dos,_GOC:go_curators]/"The_lipid_bilayer_surrounding_any_of_the_compartments_of_the_Golgi_apparatus."_[GOC:mah]/</t>
  </si>
  <si>
    <t>IPR002659/</t>
  </si>
  <si>
    <t>Glycosyl_transferase,_family_31/</t>
  </si>
  <si>
    <t>Glyco_trans_31/</t>
  </si>
  <si>
    <t>note=contains_similarity_to_Pfam_domain_PF01762_Galactosyltransferase_contains_similarity_to_Interpro_domain_IPR002659_(Glycosyl_transferase,_family_31)</t>
  </si>
  <si>
    <t>1561998.Csp11.Scaffold516.g2698.t1</t>
  </si>
  <si>
    <t>4e-29</t>
  </si>
  <si>
    <t>2.4.1.86</t>
  </si>
  <si>
    <t>ko:K07819</t>
  </si>
  <si>
    <t>ko00601,ko01100,map00601,map01100</t>
  </si>
  <si>
    <t>M00070</t>
  </si>
  <si>
    <t>R06006</t>
  </si>
  <si>
    <t>ko00000,ko00001,ko00002,ko01000,ko01003</t>
  </si>
  <si>
    <t>GT31</t>
  </si>
  <si>
    <t>1KZNZ@119089,39UB9@33154,3BK72@33208,3D4KA@33213,40GR6@6231,40WQ6@6236,KOG2287@1,KOG2287@2759</t>
  </si>
  <si>
    <t>Galactosyltransferase</t>
  </si>
  <si>
    <t>20,7792/15,9091/14,6104/18,1818/19,1558/21,7532/16,8831/18,8312/23,7013/15,5844/14,9351/19,8052/17,8571/22,7273/16,2338/22,7273</t>
  </si>
  <si>
    <t>13,6364/21,1039/19,4805/17,8571/20,7792/20,4545</t>
  </si>
  <si>
    <t>16,8831/17,2078/17,8571/22,7273/19,1558</t>
  </si>
  <si>
    <t>17,8571/13,3117/19,8052/14,6104/14,6104/14,2857/20,1299/17,2078/17,5325/24,026/19,4805/19,4805/18,8312/24,026/13,6364/15,9091/21,4286/22,0779/14,6104/21,4286/21,4286/11,039/14,6104/11,3636/21,4286/13,961</t>
  </si>
  <si>
    <t>26,6234/27,2727/19,8052</t>
  </si>
  <si>
    <t>19,8052/20,4545</t>
  </si>
  <si>
    <t>WBGene00007104</t>
  </si>
  <si>
    <t>21.1039</t>
  </si>
  <si>
    <t>Bm8719</t>
  </si>
  <si>
    <t>WBGene00228980</t>
  </si>
  <si>
    <t>GO:0004435/GO:0006629/GO:0007165/GO:0008081/GO:0016042/GO:0016787/GO:0035556/</t>
  </si>
  <si>
    <t>hydrolase_activity/intracellular_signal_transduction/lipid_catabolic_process/lipid_metabolic_process/phosphatidylinositol_phospholipase_C_activity/phosphoric_diester_hydrolase_activity/signal_transduction/</t>
  </si>
  <si>
    <t>Catalysis_of_the_hydrolysis_of_a_phosphodiester_to_give_a_phosphomonoester_and_a_free_hydroxyl_group._[EC:3.1.4,_GOC:curators]/"Catalysis_of_the_hydrolysis_of_various_bonds,_e.g._C-O,_C-N,_C-C,_phosphoric_anhydride_bonds,_etc._Hydrolase_is_the_systematic_name_for_any_enzyme_of_EC_class_3."_[ISBN:0198506732]/"Catalysis_of_the_reaction:_1-phosphatidyl-1D-myo-inositol_4,5-bisphosphate_+_H(2)O_=_1,2-diacylglycerol_+_1D-myo-inositol_1,4,5-trisphosphate_+_H(+)."_[EC:3.1.4.11,_RHEA:23915]/"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he_chemical_reactions_and_pathways_involving_lipids,_compounds_soluble_in_an_organic_solvent_but_not,_or_sparingly,_in_an_aqueous_solvent._Includes_fatty_acids;_neutral_fats,_other_fatty-acid_esters,_and_soaps;_long-chain_(fatty)_alcohols_and_waxes;_sphingoids_and_other_long-chain_bases;_glycolipids,_phospholipids_and_sphingolipids;_and_carotenes,_polyprenols,_sterols,_terpenes_and_other_isoprenoids."_[GOC:ma]/"The_chemical_reactions_and_pathways_resulting_in_the_breakdown_of_lipids,_compounds_soluble_in_an_organic_solvent_but_not,_or_sparingly,_in_an_aqueous_solvent."_[GOC:go_curators]/"The_process_in_which_a_signal_is_passed_on_to_downstream_components_within_the_cell,_which_become_activated_themselves_to_further_propagate_the_signal_and_finally_trigger_a_change_in_the_function_or_state_of_the_cell."_[GOC:bf,_GOC:jl,_GOC:signaling,_ISBN:3527303782]/</t>
  </si>
  <si>
    <t>IPR000008/IPR000909/IPR001192/IPR001711/IPR011992/IPR017946/IPR035892/</t>
  </si>
  <si>
    <t>C2_domain/C2_domain_superfamily/EF-hand_domain_pair/PLC-like_phosphodiesterase,_TIM_beta/alpha-barrel_domain_superfamily/Phosphatidylinositol-specific_phospholipase_C,_X_domain/Phosphoinositide_phospholipase_C_family/Phospholipase_C,_phosphatidylinositol-specific,_Y_domain/</t>
  </si>
  <si>
    <t>C2_dom/C2_domain_sf/EF-hand-dom_pair/PI-PLC_fam/PLC-like_Pdiesterase_TIM-brl/PLipase_C_PInositol-sp_X_dom/PLipase_C_Pinositol-sp_Y/</t>
  </si>
  <si>
    <t>note=contains_similarity_to_Pfam_domains_PF00387_(Phosphatidylinositol-specific_phospholipase_C,_Y_domain),_PF09279_(Phosphoinositide-specific_phospholipase_C,_efhand-like),_PF00388_(Phosphatidylinositol-specific_phospholipase_C,_X_domain)_contains_similarity_to_Interpro_domains_IPR015359_(Phospholipase_C,_phosphoinositol-specific,_EF-hand-like),_IPR011992_(EF-hand_domain_pair),_IPR001192_(Phosphoinositide_phospholipase_C_family),_IPR011993_(Pleckstrin_homology-like_domain),_IPR000909_(Phospholipase_C,_phosphatidylinositol-specific,_X_domain),_IPR001711_(Phospholipase_C,_phosphatidylinositol-specific,_Y_domain),_IPR017946_(PLC-like_phosphodiesterase,_TIM_beta/alpha-barrel_domain)</t>
  </si>
  <si>
    <t>2.9e-150</t>
  </si>
  <si>
    <t>81,4558/35,3553</t>
  </si>
  <si>
    <t>22,0104/17,5043</t>
  </si>
  <si>
    <t>45,9272/39,8614</t>
  </si>
  <si>
    <t>24,9567/30,3293</t>
  </si>
  <si>
    <t>15,2513/42,8076/43,8475</t>
  </si>
  <si>
    <t>32,9289/32,2357/26,3432/28,4229/29,8094/34,8354/33,2756/30,5026/31,7158</t>
  </si>
  <si>
    <t>32,9289/32,5823/26,1698/28,9428/29,636/35,3553/33,1023/30,156/32,2357</t>
  </si>
  <si>
    <t>32,7556/33,4489/32,0624/27,0364/14,2114/33,9688/33,7955/31,8891/32,2357/27,7296/31,0225</t>
  </si>
  <si>
    <t>WBGene00004039</t>
  </si>
  <si>
    <t>46.6204</t>
  </si>
  <si>
    <t>Bm4307</t>
  </si>
  <si>
    <t>WBGene00224568</t>
  </si>
  <si>
    <t>7209.EFO21254.1</t>
  </si>
  <si>
    <t>9.1e-96</t>
  </si>
  <si>
    <t>358.2</t>
  </si>
  <si>
    <t>1KZQX@119089,2DZEF@1,2S6YT@2759,3AA6B@33154,3BV97@33208,3DAYU@33213,40EKP@6231</t>
  </si>
  <si>
    <t>WBGene00009988</t>
  </si>
  <si>
    <t>19.3505</t>
  </si>
  <si>
    <t>Bm5896</t>
  </si>
  <si>
    <t>WBGene00226157</t>
  </si>
  <si>
    <t>7209.EFO16864.1</t>
  </si>
  <si>
    <t>2.4e-64</t>
  </si>
  <si>
    <t>252.7</t>
  </si>
  <si>
    <t>COG5640@1,KOG3627@2759</t>
  </si>
  <si>
    <t>serine-type endopeptidase activity</t>
  </si>
  <si>
    <t>18,1818/16,6667/19,3939/12,7273</t>
  </si>
  <si>
    <t>17,5758/15,7576/14,8485/14,2424/14,5455/14,5455/15,4545/15,7576/14,5455/16,3636/16,6667/16,0606/15,1515/15,4545/16,3636/16,9697/16,0606/15,1515/13,6364/15,1515/13,0303/14,2424/15,4545/15,4545/11,2121/16,6667/16,6667/16,9697/15,7576/16,9697/20/18,1818/16,9697/15,7576/18,4848/15,1515</t>
  </si>
  <si>
    <t>17,5758/16,6667/16,6667</t>
  </si>
  <si>
    <t>17,2727/16,3636/18,4848/17,2727/15,7576</t>
  </si>
  <si>
    <t>15,4545/14,8485/16,3636/17,8788/16,6667/16,6667/17,2727/15,4545/15,7576/15,4545/17,2727/17,2727/14,2424/14,2424/16,3636/17,2727/16,9697/16,0606</t>
  </si>
  <si>
    <t>WBGene00020655</t>
  </si>
  <si>
    <t>Bm17149</t>
  </si>
  <si>
    <t>WBGene00268292</t>
  </si>
  <si>
    <t>1.2e-111</t>
  </si>
  <si>
    <t>411.0</t>
  </si>
  <si>
    <t>3,6/3,73333</t>
  </si>
  <si>
    <t>Bm2883</t>
  </si>
  <si>
    <t>WBGene00223144</t>
  </si>
  <si>
    <t>GO:0004867/GO:0005509/</t>
  </si>
  <si>
    <t>calcium_ion_binding/serine-type_endopeptidase_inhibitor_activity/</t>
  </si>
  <si>
    <t>Interacting_selectively_and_non-covalently_with_calcium_ions_(Ca2+)._[GOC:ai]/"Stops,_prevents_or_reduces_the_activity_of_serine-type_endopeptidases,_enzymes_that_catalyze_the_hydrolysis_of_nonterminal_peptide_bonds_in_a_polypeptide_chain;_a_serine_residue_(and_a_histidine_residue)_are_at_the_active_center_of_the_enzyme."_[GOC:ai]/</t>
  </si>
  <si>
    <t>IPR000152/IPR000742/IPR001881/IPR002223/IPR013032/IPR018097/IPR020901/IPR036880/</t>
  </si>
  <si>
    <t>EGF-like,_conserved_site/EGF-like_calcium-binding,_conserved_site/EGF-like_calcium-binding_domain/EGF-like_domain/EGF-type_aspartate/asparagine_hydroxylation_site/Pancreatic_trypsin_inhibitor_Kunitz_domain/Pancreatic_trypsin_inhibitor_Kunitz_domain_superfamily/Proteinase_inhibitor_I2,_Kunitz,_conserved_site/</t>
  </si>
  <si>
    <t>EGF-like_CS/EGF-like_Ca-bd_dom/EGF-like_dom/EGF-type_Asp/Asn_hydroxyl_site/EGF_Ca-bd_CS/Kunitz_BPTI/Kunitz_BPTI_sf/Prtase_inh_Kunz-CS/</t>
  </si>
  <si>
    <t>note=B._malayi_BMA-MEC-9_protein,_contains_similarity_toPfam_domains_PF07645_(Calcium-binding_EGF_domain),_PF00014(Kunitz/Bovine_pancreatic_trypsin_inhibitor_domain)contains_similarity_to_Interpro_domains_IPR001881(EGF-like_calcium-binding_domain),_IPR000742_(Epidermalgrowth_factor-like_domain),_IPR009030_(Insulin-like_growthfactor_binding_protein,_N-terminal),_IPR002223_(Proteinaseinhibitor_I2,_Kunitz_metazoa),_IPR023413_(Greenfluorescent_protein-like)</t>
  </si>
  <si>
    <t>6239.C50H2.3a</t>
  </si>
  <si>
    <t>5.3e-76</t>
  </si>
  <si>
    <t>292.4</t>
  </si>
  <si>
    <t>GO:0003008,GO:0005575,GO:0005576,GO:0007600,GO:0007610,GO:0007638,GO:0008150,GO:0009581,GO:0009582,GO:0009605,GO:0009612,GO:0009628,GO:0031644,GO:0031646,GO:0032101,GO:0032103,GO:0032501,GO:0044057,GO:0048518,GO:0048520,GO:0048583,GO:0048584,GO:0050789,GO:0050795,GO:0050877,GO:0050896,GO:0050906,GO:0050954,GO:0050974,GO:0050975,GO:0050976,GO:0050982,GO:0051239,GO:0051240,GO:0051606,GO:0051931,GO:0065007,GO:1905787,GO:1905789,GO:1905790,GO:1905792</t>
  </si>
  <si>
    <t>1KYE5@119089,3AHQE@33154,3BX0E@33208,3DD6E@33213,40FAV@6231,4119Q@6236,KOG4295@1,KOG4295@2759</t>
  </si>
  <si>
    <t>EGF-like domain</t>
  </si>
  <si>
    <t>18,7296/19,0554/20,0326</t>
  </si>
  <si>
    <t>20,0326/19,0554</t>
  </si>
  <si>
    <t>Bm228</t>
  </si>
  <si>
    <t>WBGene00220489</t>
  </si>
  <si>
    <t>Bm10667</t>
  </si>
  <si>
    <t>WBGene00230928</t>
  </si>
  <si>
    <t>Bm17074</t>
  </si>
  <si>
    <t>WBGene00268218</t>
  </si>
  <si>
    <t>3.8e-13</t>
  </si>
  <si>
    <t>Bm1670</t>
  </si>
  <si>
    <t>WBGene00221931</t>
  </si>
  <si>
    <t>IPR001806/IPR005225/IPR027417/</t>
  </si>
  <si>
    <t>P-loop_containing_nucleoside_triphosphate_hydrolase/Small_GTP-binding_protein_domain/Small_GTPase/</t>
  </si>
  <si>
    <t>P-loop_NTPase/Small_GTP-bd_dom/Small_GTPase/</t>
  </si>
  <si>
    <t>note=contains_similarity_to_Pfam_domain_PF00071_Ras_family_contains_similarity_to_Interpro_domains_IPR005225_(Small_GTP-binding_protein_domain),_IPR001806_(Small_GTPase_superfamily),_IPR020849_(Small_GTPase_superfamily,_Ras_type),_IPR003579_(Small_GTPase_superfamily,_Rab_type),_IPR027417_(P-loop_containing_nucleoside_triphosphate_hydrolase),_IPR003578_(Small_GTPase_superfamily,_Rho_type)</t>
  </si>
  <si>
    <t>1561998.Csp11.Scaffold629.g14096.t1</t>
  </si>
  <si>
    <t>4.6e-78</t>
  </si>
  <si>
    <t>298.5</t>
  </si>
  <si>
    <t>1KYP7@119089,39SCU@33154,3BGYG@33208,3CV9J@33213,40FW8@6231,40SGC@6236,KOG0078@1,KOG0078@2759</t>
  </si>
  <si>
    <t>Rab subfamily of small GTPases</t>
  </si>
  <si>
    <t>21,5/10,5</t>
  </si>
  <si>
    <t>34,25/34</t>
  </si>
  <si>
    <t>WBGene00007067</t>
  </si>
  <si>
    <t>39.25</t>
  </si>
  <si>
    <t>Bm8622</t>
  </si>
  <si>
    <t>WBGene00228883</t>
  </si>
  <si>
    <t>IPR036054/</t>
  </si>
  <si>
    <t>BTG-like_domain_superfamily/</t>
  </si>
  <si>
    <t>BTG-like_sf/</t>
  </si>
  <si>
    <t>3.8e-51</t>
  </si>
  <si>
    <t>31,2268/28,6245</t>
  </si>
  <si>
    <t>Bm6193</t>
  </si>
  <si>
    <t>WBGene00226454</t>
  </si>
  <si>
    <t>7209.EFO18250.1</t>
  </si>
  <si>
    <t>1112.8</t>
  </si>
  <si>
    <t>52,4194/55,8064</t>
  </si>
  <si>
    <t>11,6129/25,9677</t>
  </si>
  <si>
    <t>45/44,8387</t>
  </si>
  <si>
    <t>36,7742/40,1613</t>
  </si>
  <si>
    <t>34,0323/28,7097</t>
  </si>
  <si>
    <t>21,9355/21,2903</t>
  </si>
  <si>
    <t>48.5484</t>
  </si>
  <si>
    <t>Bm7658</t>
  </si>
  <si>
    <t>WBGene00227919</t>
  </si>
  <si>
    <t>note=B._malayi_BMA-ROL-8_protein,_contains_similarity_toPfam_domains_PF01484_(Nematode_cuticle_collagen_N-terminaldomain),_PF01391_(Collagen_triple_helix_repeat_(20copies))_contains_similarity_to_Interpro_domains_IPR002486(Nematode_cuticle_collagen,_N-terminal),_IPR008160(Collagen_triple_helix_repeat)</t>
  </si>
  <si>
    <t>7209.EFO20620.1</t>
  </si>
  <si>
    <t>1.4e-45</t>
  </si>
  <si>
    <t>1KXHR@119089,3AH5Y@33154,3BX66@33208,3DDIF@33213,40FIB@6231,KOG3544@1,KOG3544@2759</t>
  </si>
  <si>
    <t>Nematode cuticle collagen N-terminal domain</t>
  </si>
  <si>
    <t>51,682/51,0703</t>
  </si>
  <si>
    <t>44,0367/50,7645/44,0367</t>
  </si>
  <si>
    <t>49,2355/49,2355</t>
  </si>
  <si>
    <t>WBGene00004398</t>
  </si>
  <si>
    <t>51.9878</t>
  </si>
  <si>
    <t>Bm7202</t>
  </si>
  <si>
    <t>WBGene00227463</t>
  </si>
  <si>
    <t>GO:0004222/GO:0005576/GO:0006508/GO:0008233/GO:0008237/GO:0008270/GO:0016787/GO:0018996/GO:0046872/</t>
  </si>
  <si>
    <t>extracellular_region/hydrolase_activity/metal_ion_binding/metalloendopeptidase_activity/metallopeptidase_activity/molting_cycle,_collagen_and_cuticulin-based_cuticle/peptidase_activity/proteolysis/zinc_ion_binding/</t>
  </si>
  <si>
    <t>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internal,_alpha-peptide_bonds_in_a_polypeptide_chain_by_a_mechanism_in_which_water_acts_as_a_nucleophile,_one_or_two_metal_ions_hold_the_water_molecule_in_place,_and_charged_amino_acid_side_chains_are_ligands_for_the_metal_ions."_[GOC:mah,_http://merops.sanger.ac.uk/about/glossary.htm#CATTYPE,_http://merops.sanger.ac.uk/about/glossary.htm#ENDOPEPTIDASE]/"Catalysis_of_the_hydrolysis_of_peptide_bonds_by_a_mechanism_in_which_water_acts_as_a_nucleophile,_one_or_two_metal_ions_hold_the_water_molecule_in_place,_and_charged_amino_acid_side_chains_are_ligands_for_the_metal_ions."_[GOC:mah,_http://merops.sanger.ac.uk/about/glossary.htm#CATTYPE]/"Catalysis_of_the_hydrolysis_of_various_bonds,_e.g._C-O,_C-N,_C-C,_phosphoric_anhydride_bonds,_etc._Hydrolase_is_the_systematic_name_for_any_enzyme_of_EC_class_3."_[ISBN:0198506732]/"Interacting_selectively_and_non-covalently_with_any_metal_ion."_[GOC:ai]/"Interacting_selectively_and_non-covalently_with_zinc_(Zn)_ions."_[GOC:ai]/"The_hydrolysis_of_proteins_into_smaller_polypeptides_and/or_amino_acids_by_cleavage_of_their_peptide_bonds."_[GOC:bf,_GOC:mah]/"The_periodic_shedding_of_part_or_all_of_a_collagen_and_cuticulin-based_cuticle,_which_is_then_replaced_by_a_new_collagen_and_cuticulin-based_cuticle._An_example_of_this_is_found_in_the_Nematode_worm,_Caenorhabditis_elegans."_[GOC:jl,_GOC:mtg_sensu]/"The_space_external_to_the_outermost_structure_of_a_cell._For_cells_without_external_protective_or_external_encapsulating_structures_this_refers_to_space_outside_of_the_plasma_membrane._This_term_covers_the_host_cell_environment_outside_an_intracellular_parasite."_[GOC:go_curators]/</t>
  </si>
  <si>
    <t>IPR000859/IPR001506/IPR006026/IPR017050/IPR024079/IPR034035/IPR035914/</t>
  </si>
  <si>
    <t>Astacin-like_metallopeptidase_domain/CUB_domain/Metallopeptidase,_catalytic_domain_superfamily/Metallopeptidase,_nematode/Peptidase,_metallopeptidase/Peptidase_M12A/Spermadhesin,_CUB_domain_superfamily/</t>
  </si>
  <si>
    <t>Astacin-like_dom/CUB_dom/MetalloPept_cat_dom_sf/Metallopeptidase_nem/Peptidase_M12A/Peptidase_Metallo/Sperma_CUB_dom_sf/</t>
  </si>
  <si>
    <t>note=contains_similarity_to_Pfam_domains_PF00431_(CUB_domain),_PF01400_(Astacin_(Peptidase_family_M12A))_contains_similarity_to_Interpro_domains_IPR024079_(Metallopeptidase,_catalytic_domain),_IPR001506_(Peptidase_M12A,_astacin),_IPR006026_(Peptidase,_metallopeptidase),_IPR000859_(CUB_domain)</t>
  </si>
  <si>
    <t>7209.EFO24191.2</t>
  </si>
  <si>
    <t>1.8e-283</t>
  </si>
  <si>
    <t>WBGene00003548</t>
  </si>
  <si>
    <t>44.3709</t>
  </si>
  <si>
    <t>Bm399</t>
  </si>
  <si>
    <t>WBGene00220660</t>
  </si>
  <si>
    <t>Bm3733</t>
  </si>
  <si>
    <t>WBGene00223994</t>
  </si>
  <si>
    <t>note=B._malayi_BMA-TAB-1_protein,_contains_similarity_toPfam_domain_PF00046_Homeobox_domain_contains_similarity_toInterpro_domains_IPR020479_(Homeodomain,_metazoa),IPR001356_(Homeobox_domain),_IPR009057_(Homeodomain-like)</t>
  </si>
  <si>
    <t>7209.EFO17935.1</t>
  </si>
  <si>
    <t>5.5e-102</t>
  </si>
  <si>
    <t>377.5</t>
  </si>
  <si>
    <t>1KWWG@119089,39UD5@33154,3BFDW@33208,3CVJU@33213,40EE4@6231,KOG0491@1,KOG0491@2759</t>
  </si>
  <si>
    <t>91,0714/91,0714</t>
  </si>
  <si>
    <t>25/26,7857/25,7143</t>
  </si>
  <si>
    <t>15,3571/15/15,7143/27,5/15,3571/15,3571/15,3571/16,4286</t>
  </si>
  <si>
    <t>15,3571/15/15,7143/27,1429/16,4286/15,7143/16,7857</t>
  </si>
  <si>
    <t>14,6429/15,7143/15/15/18,5714/16,0714</t>
  </si>
  <si>
    <t>WBGene00006380</t>
  </si>
  <si>
    <t>32.1429</t>
  </si>
  <si>
    <t>Bm9551</t>
  </si>
  <si>
    <t>WBGene00229812</t>
  </si>
  <si>
    <t>7209.EFO25211.2</t>
  </si>
  <si>
    <t>1.5e-237</t>
  </si>
  <si>
    <t>828.6</t>
  </si>
  <si>
    <t>1KX9S@119089,2E8ZW@1,2SFE6@2759,3ADY1@33154,3BVXI@33208,3DCC7@33213,40F7A@6231</t>
  </si>
  <si>
    <t>Bm11330</t>
  </si>
  <si>
    <t>WBGene00231591</t>
  </si>
  <si>
    <t>GO:0003676/GO:0005515/</t>
  </si>
  <si>
    <t>nucleic_acid_binding/protein_binding/</t>
  </si>
  <si>
    <t>Interacting_selectively_and_non-covalently_with_any_nucleic_acid._[GOC:jl]/"Interacting_selectively_and_non-covalently_with_any_protein_or_protein_complex_(a_complex_of_two_or_more_proteins_that_may_include_other_nonprotein_molecules)."_[GOC:go_curators]/</t>
  </si>
  <si>
    <t>IPR000210/IPR011333/IPR013087/IPR036236/</t>
  </si>
  <si>
    <t>BTB/POZ_domain/SKP1/BTB/POZ_domain_superfamily/Zinc_finger_C2H2-type/Zinc_finger_C2H2_superfamily/</t>
  </si>
  <si>
    <t>BTB/POZ_dom/SKP1/BTB/POZ_sf/Znf_C2H2_sf/Znf_C2H2_type/</t>
  </si>
  <si>
    <t>7209.EFO17842.2</t>
  </si>
  <si>
    <t>1.7e-193</t>
  </si>
  <si>
    <t>682.2</t>
  </si>
  <si>
    <t>GO:0002376,GO:0005575,GO:0005622,GO:0005623,GO:0005634,GO:0005737,GO:0006950,GO:0006952,GO:0006955,GO:0007275,GO:0007568,GO:0008150,GO:0008340,GO:0009605,GO:0009607,GO:0009617,GO:0010259,GO:0032501,GO:0032502,GO:0042742,GO:0043207,GO:0043226,GO:0043227,GO:0043229,GO:0043231,GO:0044424,GO:0044464,GO:0045087,GO:0048856,GO:0050829,GO:0050896,GO:0051704,GO:0051707,GO:0098542</t>
  </si>
  <si>
    <t>1KZ0J@119089,3AK93@33154,3BZUP@33208,3DG2T@33213,40G5Y@6231,KOG1721@1,KOG1721@2759</t>
  </si>
  <si>
    <t>28,2051/21,1538</t>
  </si>
  <si>
    <t>WBGene00008640</t>
  </si>
  <si>
    <t>32.4786</t>
  </si>
  <si>
    <t>Bm3981</t>
  </si>
  <si>
    <t>WBGene00224242</t>
  </si>
  <si>
    <t>note=B._malayi_BMA-CUTL-28_protein,_contains_similarity_to_Pfam_domains_PF14295_(PAN_domain),_PF00024_(PAN_domain)_contains_similarity_to_Interpro_domains_IPR029469_(PAN-4_domain),_IPR003609_(Apple-like),_IPR003014_(PAN-1_domain)</t>
  </si>
  <si>
    <t>7209.EFO17458.2</t>
  </si>
  <si>
    <t>1.4e-233</t>
  </si>
  <si>
    <t>1KVDS@119089,28JEZ@1,2QRTZ@2759,38EDZ@33154,3BHNT@33208,3D4PG@33213,40CUM@6231</t>
  </si>
  <si>
    <t>18,4132/58,5329</t>
  </si>
  <si>
    <t>26,7964/42,2156</t>
  </si>
  <si>
    <t>Bm3126</t>
  </si>
  <si>
    <t>WBGene00223387</t>
  </si>
  <si>
    <t>note=B._malayi_BMA-TYRA-2_protein,_contains_similarity_to_Pfam_domain_PF00001_7_transmembrane_receptor_(rhodopsin_family)_contains_similarity_to_Interpro_domain_IPR000276_(G_protein-coupled_receptor,_rhodopsin-like)</t>
  </si>
  <si>
    <t>7209.EFO23448.1</t>
  </si>
  <si>
    <t>4.4e-164</t>
  </si>
  <si>
    <t>584.3</t>
  </si>
  <si>
    <t>1KTTZ@119089,39WH6@33154,3BNE0@33208,3D4XC@33213,40CE1@6231,KOG3656@1,KOG3656@2759</t>
  </si>
  <si>
    <t>21,1009/27,5229/21,3303/27,5229/52,0642</t>
  </si>
  <si>
    <t>13,9908/14,2202</t>
  </si>
  <si>
    <t>19,2661/19,7248/18,578/19,9541</t>
  </si>
  <si>
    <t>15,5963/14,6789/17,8899/18,3486/15,1376/15,5963/13,3028/19,7248/15,1376/18,8073/13,0734/17,6606/17,4312/16,9725/16,5138/19,7248/14,6789/18,1193/20,4128/19,0367</t>
  </si>
  <si>
    <t>15,5963/14,4495/18,578/18,3486/14,6789/15,8257/20,1835/14,2202/15,5963/17,8899/13,5321/17,8899/13,9908/17,4312/16,9725/16,055/20,1835/15,1376/15,1376/15,1376/16,7431/18,1193/16,2844/16,2844/15,8257/16,055/15,8257/21,1009/19,0367</t>
  </si>
  <si>
    <t>13,7615/14,6789/16,9725/17,2018/18,3486/17,6606/16,7431/11,4679/20,1835/20,4128/19,0367/19,7248/20,4128/14,4495/13,7615/15,1376/12,844/13,3028/14,2202/13,0734/13,7615/13,5321/13,5321/13,5321/13,5321/13,7615/14,2202/13,3028/13,7615/13,9908/14,4495/13,0734/14,6789/14,2202/14,4495/14,4495/14,2202/13,9908/13,7615/13,7615/14,6789/14,4495/13,3028/13,5321/12,3853/13,7615/14,2202/13,3028/13,3028/13,7615/12,844/13,7615/13,0734/13,5321/13,5321/13,3028/12,844/4,12844/13,3028/13,3028/14,2202/14,4495/14,4495/13,7615/12,844/13,3028/13,0734/13,3028/12,3853/13,7615/11,6972/13,0734/12,6147/13,0734/13,5321/14,4495/14,2202/13,3028/11,6972/13,0734/13,7615/13,5321/12,844/13,7615/13,5321/14,2202/13,7615/13,0734/12,844/12,3853/12,844/12,844/11,6972/12,6147/13,3028/13,0734/13,0734/12,3853/16,7431/16,7431/16,7431/9,40367/17,2018/15,367/13,5321/16,055/16,5138/16,7431/14,6789/15,1376/15,5963/15,5963/16,055/15,8257/16,7431/16,2844/19,0367/17,2018/16,5138/17,2018/14,6789/14,2202/12,844/17,6606/15,8257/15,367/15,367/14,9083/15,5963/19,7248/18,1193/17,2018/20,6422/19,4954/19,4954/17,2018</t>
  </si>
  <si>
    <t>WBGene00017157</t>
  </si>
  <si>
    <t>50.6881</t>
  </si>
  <si>
    <t>Bm8611</t>
  </si>
  <si>
    <t>WBGene00228872</t>
  </si>
  <si>
    <t>6.4e-91</t>
  </si>
  <si>
    <t>341.3</t>
  </si>
  <si>
    <t>45,8937/48,0676</t>
  </si>
  <si>
    <t>22,4638/25,3623/22,7053</t>
  </si>
  <si>
    <t>9,17874/25,1208/23,43/27,0531/24,1546/23,43/26,8116</t>
  </si>
  <si>
    <t>19,3237/22,2222/21,7391/25,8454/19,8068/20,7729/26,087/6,76329/24,1546/20,2899/14,4928/22,7053/19,8068/21,256/20,2899/20,5314/19,8068/20,5314/26,3285/23,913/26,087/15,4589/23,1884/20,5314/23,913/23,913/19,5652/22,4638/23,913/24,1546/23,6715</t>
  </si>
  <si>
    <t>18,599/22,9469/21,9807/24,1546/20,5314/15,4589/20,7729/25,6039/24,1546/26,8116/26,8116/25,8454/24,1546/20,2899/17,3913/22,2222/22,4638/22,9469/22,2222/22,7053/19,5652/22,2222/20,2899/20,7729/20,0483/23,6715/25,1208/25,1208/25,3623/25,6039/25,6039/25,1208/24,6377/25,1208/20,7729/21,9807/21,9807/24,6377/25,3623/24,3961/23,43/23,913/23,1884/13,7681/23,43/15,7005/22,4638/19,5652/24,3961/22,4638/18,599/23,6715/21,256/22,7053</t>
  </si>
  <si>
    <t>17,6329/21,4976/19,3237/18,3575/18,599/23,913/18,3575/20,0483/20,0483/21,7391/21,256/18,3575/17,1498/21,9807/21,9807/21,4976/22,7053/21,9807/22,9469/22,4638/22,4638</t>
  </si>
  <si>
    <t>Bm2431</t>
  </si>
  <si>
    <t>WBGene00222692</t>
  </si>
  <si>
    <t>7209.EFO18666.1</t>
  </si>
  <si>
    <t>2.2e-123</t>
  </si>
  <si>
    <t>448.7</t>
  </si>
  <si>
    <t>ko:K08815</t>
  </si>
  <si>
    <t>1KVKI@119089,3A00C@33154,3BPK5@33208,3D73C@33213,40D0R@6231,KOG1164@1,KOG1164@2759</t>
  </si>
  <si>
    <t>80,5031/69,4969/77,044</t>
  </si>
  <si>
    <t>61,0063/55,9748/22,327/60,3774/58,1761</t>
  </si>
  <si>
    <t>35,5346/53,4591/55,0314/61,0063</t>
  </si>
  <si>
    <t>38,0503/35,2201/38,0503/38,0503/23,5849/36,1635/35,2201/34,2767/38,3648/38,0503/36,1635/38,0503/33,3333</t>
  </si>
  <si>
    <t>61,3208/55,3459/60,3774</t>
  </si>
  <si>
    <t>66,9811/65,7233/16,3522</t>
  </si>
  <si>
    <t>34,9057/14,4654/50,3145/60,6918/46,5409</t>
  </si>
  <si>
    <t>62,8931/55,6604/57,5472</t>
  </si>
  <si>
    <t>WBGene00007777/WBGene00012731/WBGene00018745</t>
  </si>
  <si>
    <t>62.8931/55.6604/57.5472</t>
  </si>
  <si>
    <t>Bm17364</t>
  </si>
  <si>
    <t>WBGene00268507</t>
  </si>
  <si>
    <t>4.9e-28</t>
  </si>
  <si>
    <t>132.1</t>
  </si>
  <si>
    <t>11,7994/12,0944/8,25959/12,6844/10,6195/12,9794/2,35988/12,9794/12,3894/5,8997/5,8997/0/10,3245/12,0944/13,2743/9,73451/10,0295/11,5044/9,14454/12,3894/13,5693</t>
  </si>
  <si>
    <t>11,7994/12,0944/8,25959/13,2743/10,0295/13,2743/1,76991/12,9794/12,3894/11,2094/12,0944/12,6844/10,0295/10,9145/11,2094/8,84956</t>
  </si>
  <si>
    <t>8,25959/10,9145/9,73451/12,3894/10,0295/12,6844/12,3894/9,14454/11,5044</t>
  </si>
  <si>
    <t>Bm17764</t>
  </si>
  <si>
    <t>WBGene00268906</t>
  </si>
  <si>
    <t>25,6329/25,9494</t>
  </si>
  <si>
    <t>43,9873/76,2658</t>
  </si>
  <si>
    <t>Bm10919</t>
  </si>
  <si>
    <t>WBGene00231180</t>
  </si>
  <si>
    <t>note=contains_similarity_to_Pfam_domains_PF13465_(Zinc-finger_double_domain),_PF13912_(C2H2-type_zinc_finger)_contains_similarity_to_Interpro_domains_IPR015880_(Zinc_finger,_C2H2-like),_IPR013087_(Zinc_finger_C2H2-type/integrase_DNA-binding_domain)</t>
  </si>
  <si>
    <t>7209.EFO25117.2</t>
  </si>
  <si>
    <t>1.8e-188</t>
  </si>
  <si>
    <t>666.0</t>
  </si>
  <si>
    <t>1KUHN@119089,38EKG@33154,3BKHK@33208,3D622@33213,40B01@6231,KOG1721@1,KOG1721@2759</t>
  </si>
  <si>
    <t>C2H2-type zinc finger</t>
  </si>
  <si>
    <t>0,46729/16,1994/18,3801/0,311526/15,5763/15,4206/14,3302/19,0031/19,1589/0,46729/15,2648/14,486</t>
  </si>
  <si>
    <t>21,8069/0,46729/19,7819/21,9626/21,028/15,8879/21,4953/2,18069/22,1184/21,9626/2,64797/21,4953/20,2492/21,1838/21,4953/0,778816/16,9782/21,4953/22,1184/21,8069/0,623053/5,29595/22,7414/21,4953/20,2492/21,4953/17,6012/22,1184/0,934579/21,4953/21,9626/17,4455/0,46729/1,24611/4,82866/21,4953/4,82866/21,1838/0,46729/0,46729/2,80374/19,3146/22,1184/21,6511/18,6916/21,4953/19,6262/21,9626/21,4953/21,3396/4,6729/19,3146/2,18069/21,4953/21,028/19,7819/21,4953</t>
  </si>
  <si>
    <t>16,6667/8,56698/17,9128/19,1589/14,1745/16,9782/8,8785/12,1495/17,757/17,757/17,134/17,4455/17,134/17,4455/17,4455/17,4455/17,134/16,6667/13,0841/16,9782/16,8224/16,6667/17,2897/16,6667/15,5763/15,109/16,6667/17,2897/17,757/18,2243/18,2243/17,6012/16,5109/16,5109/14,1745/14,7975/13,5514/10,9034/13,7072/13,3956/13,2399/14,0187/14,0187/14,9533/15,2648/14,0187/13,7072/11,5265/7,78816/15,109/15,2648/15,2648/15,2648/15,4206/15,2648/17,9128/18,0685/17,757/17,6012/17,757/17,6012/17,757/17,9128/17,757/17,757/16,9782/17,134/16,9782/17,2897/17,134/17,134/17,4455/17,6012/17,6012/17,757/16,3551/17,4455/16,6667/17,757/18,0685/18,3801/18,3801/18,0685/18,2243/18,5358/18,3801/18,3801/17,134/11,9938/11,0592/16,0436/16,5109/15,8879/17,134/17,134/17,4455/16,9782/16,0436/16,1994/15,2648/15,4206/17,6012/16,1994/15,2648/16,6667/16,5109/18,5358/7,16511/14,1745/6,54206/16,0436/10,1246/13,8629/14,9533/15,5763/14,6417/18,3801/10,4361/15,2648/18,2243/17,2897/16,5109/15,7321/12,4611/2,9595/12,4611/13,5514/16,5109/8,72274/8,8785/16,1994/17,4455/17,4455/17,6012/15,109/16,0436/15,2648/16,6667/9,34579/16,8224/14,1745/8,72274/12,1495/11,838/10,7477/16,3551/9,34579/16,8224/15,2648/8,8785/14,9533/13,2399/9,19003/14,1745</t>
  </si>
  <si>
    <t>WBGene00021931</t>
  </si>
  <si>
    <t>39.5639</t>
  </si>
  <si>
    <t>Bm6587</t>
  </si>
  <si>
    <t>WBGene00226848</t>
  </si>
  <si>
    <t>IPR000152/IPR000742/IPR001881/IPR002861/IPR003582/IPR012674/IPR013032/IPR014878/IPR018097/</t>
  </si>
  <si>
    <t>Calycin/Domain_of_unknown_function_DUF1794/EGF-like,_conserved_site/EGF-like_calcium-binding,_conserved_site/EGF-like_calcium-binding_domain/EGF-like_domain/EGF-type_aspartate/asparagine_hydroxylation_site/Reeler_domain/ShKT_domain/</t>
  </si>
  <si>
    <t>Calycin/DUF1794/EGF-like_CS/EGF-like_Ca-bd_dom/EGF-like_dom/EGF-type_Asp/Asn_hydroxyl_site/EGF_Ca-bd_CS/Reeler_dom/ShKT_dom/</t>
  </si>
  <si>
    <t>note=contains_similarity_to_Pfam_domains_PF00008_(EGF-like_domain),_PF08768_(Domain_of_unknown_function_(DUF1794)),_PF01549_(ShK_domain-like)_contains_similarity_to_Interpro_domains_IPR000742_(Epidermal_growth_factor-like_domain),_IPR011038_(Calycin-like),_IPR001881_(EGF-like_calcium-binding_domain),_IPR014878_(Domain_of_unknown_function_DUF1794),_IPR003582_(ShKT_domain)</t>
  </si>
  <si>
    <t>7209.EJD74240.1</t>
  </si>
  <si>
    <t>1221.1</t>
  </si>
  <si>
    <t>1KY1H@119089,39Y24@33154,3BMVW@33208,3D5JK@33213,40CDB@6231,KOG1217@1,KOG1217@2759,KOG3371@1,KOG3371@2759</t>
  </si>
  <si>
    <t>Reeler domain</t>
  </si>
  <si>
    <t>2,47593/1,65062</t>
  </si>
  <si>
    <t>9,76616/5,08941</t>
  </si>
  <si>
    <t>7,15268/5,22696/6,87758/7,97799/2,88858/10,4539/4,81431/6,05227/5,08941</t>
  </si>
  <si>
    <t>7,29023/5,50206/6,32737/7,97799/3,16369/10,3164/4,81431/5,91472/5,08941</t>
  </si>
  <si>
    <t>7,15268/4,81431/6,32737/5,50206/10,0413/3,71389/5,22696/5,77717/5,36451/2,47593</t>
  </si>
  <si>
    <t>WBGene00012917</t>
  </si>
  <si>
    <t>33.425</t>
  </si>
  <si>
    <t>Bm14825</t>
  </si>
  <si>
    <t>WBGene00235135</t>
  </si>
  <si>
    <t>IPR017452/IPR019424/</t>
  </si>
  <si>
    <t>GPCR,_rhodopsin-like,_7TM/Serpentine_type_7TM_GPCR_chemoreceptor_Srsx/</t>
  </si>
  <si>
    <t>7TM_GPCR_Srsx/GPCR_Rhodpsn_7TM/</t>
  </si>
  <si>
    <t>Bm4918</t>
  </si>
  <si>
    <t>WBGene00225179</t>
  </si>
  <si>
    <t>7209.EFO21545.1</t>
  </si>
  <si>
    <t>7.9e-93</t>
  </si>
  <si>
    <t>346.3</t>
  </si>
  <si>
    <t>1KWRX@119089,2C4S5@1,2S45B@2759,3A6PR@33154,3BTQD@33208,3D9YR@33213,40EEQ@6231</t>
  </si>
  <si>
    <t>87,1166/87,1166</t>
  </si>
  <si>
    <t>WBGene00010667</t>
  </si>
  <si>
    <t>64.4172</t>
  </si>
  <si>
    <t>Bm13473</t>
  </si>
  <si>
    <t>WBGene00233734</t>
  </si>
  <si>
    <t>Bm5726</t>
  </si>
  <si>
    <t>WBGene00225987</t>
  </si>
  <si>
    <t>7209.EFO26437.1</t>
  </si>
  <si>
    <t>8.9e-200</t>
  </si>
  <si>
    <t>703.0</t>
  </si>
  <si>
    <t>1KXXD@119089,3AJ00@33154,3BYZS@33208,3DEQ6@33213,40FVP@6231,KOG1164@1,KOG1164@2759</t>
  </si>
  <si>
    <t>31,8296/33,8346</t>
  </si>
  <si>
    <t>Bm3384</t>
  </si>
  <si>
    <t>WBGene00223645</t>
  </si>
  <si>
    <t>GO:0004930/GO:0005509/GO:0005886/GO:0007155/GO:0007156/GO:0007186/GO:0016020/GO:0016021/GO:0030424/GO:0033564/GO:0097376/</t>
  </si>
  <si>
    <t>G_protein-coupled_receptor_activity/G_protein-coupled_receptor_signaling_pathway/anterior/posterior_axon_guidance/axon/calcium_ion_binding/cell_adhesion/homophilic_cell_adhesion_via_plasma_membrane_adhesion_molecules/integral_component_of_membrane/interneuron_axon_guidance/membrane/plasma_membrane/</t>
  </si>
  <si>
    <t>A_lipid_bilayer_along_with_all_the_proteins_and_protein_complexes_embedded_in_it_an_attached_to_it._[GOC:dos,_GOC:mah,_ISBN:0815316194]/"A_series_of_molecular_signals_that_proceeds_with_an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or_for_basal_GPCR_signaling_the_pathway_begins_with_the_receptor_activating_its_G_protein_in_the_absence_of_an_agonist,_and_ends_with_regulation_of_a_downstream_cellular_process,_e.g._transcription.__The_pathway_can_start_from_the_plasma_membrane,_Golgi_or_nuclear_membrane_(PMID:24568158_and_PMID:16902576)."_[GOC:bf,_GOC:mah,_PMID:16902576,_PMID:24568158,_Wikipedia:G_protein-coupled_receptor]/"Combining_with_an_extracellular_signal_and_transmitting_the_signal_across_the_membrane_by_activating_an_associated_G-protein;_promotes_the_exchange_of_GDP_for_GTP_on_the_alpha_subunit_of_a_heterotrimeric_G-protein_complex."_[GOC:bf,_http://www.iuphar-db.org,_Wikipedia:GPCR]/"Interacting_selectively_and_non-covalently_with_calcium_ions_(Ca2+)."_[GOC:ai]/"The_attachment_of_a_cell,_either_to_another_cell_or_to_an_underlying_substrate_such_as_the_extracellular_matrix,_via_cell_adhesion_molecules."_[GOC:hb,_GOC:pf]/"The_attachment_of_a_plasma_membrane_adhesion_molecule_in_one_cell_to_an_identical_molecule_in_an_adjacent_cell."_[ISBN:0198506732]/"The_component_of_a_membrane_consisting_of_the_gene_products_and_protein_complexes_having_at_least_some_part_of_their_peptide_sequence_embedded_in_the_hydrophobic_region_of_the_membrane."_[GOC:dos,_GOC:go_curators]/"The_long_process_of_a_neuron_that_conducts_nerve_impulses,_usually_away_from_the_cell_body_to_the_terminals_and_varicosities,_which_are_sites_of_storage_and_release_of_neurotransmitter."_[GOC:nln,_ISBN:0198506732]/"The_membrane_surrounding_a_cell_that_separates_the_cell_from_its_external_environment._It_consists_of_a_phospholipid_bilayer_and_associated_proteins."_[ISBN:0716731363]/"The_process_in_which_the_migration_of_an_axon_growth_cone_is_directed_to_a_specific_target_site_along_the_anterior-posterior_body_axis_in_response_to_a_combination_of_attractive_and_repulsive_cues._The_anterior-posterior_axis_is_defined_by_a_line_that_runs_from_the_head_or_mouth_of_an_organism_to_the_tail_or_opposite_end_of_the_organism."_[GOC:dph,_GOC:kmv,_GOC:tb]/"The_process_in_which_the_migration_of_an_axon_growth_cone_of_an_interneuron_is_directed_to_a_specific_target_site_in_response_to_a_combination_of_attractive_and_repulsive_cues._An_interneuron_is_any_neuron_which_is_not_motor_or_sensory._Interneurons_may_also_refer_to_neurons_whose_axons_remain_within_a_particular_brain_region,_as_contrasted_with_projection_neurons_which_have_axons_projecting_to_other_brain_regions."_[CL:0000099,_GOC:pr]/</t>
  </si>
  <si>
    <t>IPR000742/IPR001791/IPR001879/IPR001881/IPR002126/IPR013032/IPR013320/IPR015919/IPR020894/IPR036445/</t>
  </si>
  <si>
    <t>Cadherin-like/Cadherin-like_superfamily/Cadherin_conserved_site/Concanavalin_A-like_lectin/glucanase_domain_superfamily/EGF-like,_conserved_site/EGF-like_calcium-binding_domain/EGF-like_domain/GPCR,_family_2,_extracellular_hormone_receptor_domain/GPCR_family_2,_extracellular_hormone_receptor_domain_superfamily/Laminin_G_domain/</t>
  </si>
  <si>
    <t>Cadherin-like_dom/Cadherin-like_sf/Cadherin_CS/ConA-like_dom_sf/EGF-like_CS/EGF-like_Ca-bd_dom/EGF-like_dom/GPCR_2_extracell_dom_sf/GPCR_2_extracellular_dom/Laminin_G/</t>
  </si>
  <si>
    <t>note=B._malayi_BMA-FMI-1_protein,_contains_similarity_toPfam_domains_PF00008_(EGF-like_domain),_PF02210_(Laminin_Gdomain),_PF00028_(Cadherin_domain)_contains_similarity_toInterpro_domains_IPR001881_(EGF-like_calcium-bindingdomain),_IPR000742_(Epidermal_growth_factor-like_domain),IPR013320_(Concanavalin_A-like_lectin/glucanase_domain),IPR001879_(GPCR,_family_2,_extracellular_hormone_receptordomain),_IPR001791_(Laminin_G_domain),_IPR002126(Cadherin),_IPR015919_(Cadherin-like)</t>
  </si>
  <si>
    <t>7209.EFO27305.1</t>
  </si>
  <si>
    <t>2497.2</t>
  </si>
  <si>
    <t>ko:K04600</t>
  </si>
  <si>
    <t>ko00000,ko04030,ko04516</t>
  </si>
  <si>
    <t>1M0IY@119089,38E9P@33154,3BB9S@33208,3CRQ5@33213,40D38@6231,KOG3594@1,KOG4289@2759</t>
  </si>
  <si>
    <t>Laminin G domain</t>
  </si>
  <si>
    <t>14,1657/4,27644</t>
  </si>
  <si>
    <t>14,8912/25,1623/26,0023</t>
  </si>
  <si>
    <t>14,8912/25,5823/25,8496</t>
  </si>
  <si>
    <t>15,5403/25,8114/25,735/11,302</t>
  </si>
  <si>
    <t>WBGene00001475</t>
  </si>
  <si>
    <t>40.6262</t>
  </si>
  <si>
    <t>Bm3990</t>
  </si>
  <si>
    <t>WBGene00224251</t>
  </si>
  <si>
    <t>IPR000195/IPR001452/IPR004012/IPR035969/IPR036028/IPR037213/</t>
  </si>
  <si>
    <t>RUN_domain/RUN_domain_superfamily/Rab-GTPase-TBC_domain/Rab-GTPase-TBC_domain_superfamily/SH3-like_domain_superfamily/SH3_domain/</t>
  </si>
  <si>
    <t>Rab-GTPase-TBC_dom/Rab-GTPase_TBC_sf/Run_dom/Run_dom_sf/SH3-like_dom_sf/SH3_domain/</t>
  </si>
  <si>
    <t>note=contains_similarity_to_Pfam_domains_PF07653_(Variant_SH3_domain),_PF00566_(Rab-GTPase-TBC_domain),_PF02759_(RUN_domain)_contains_similarity_to_Interpro_domains_IPR000195_(Rab-GTPase-TBC_domain),_IPR001452_(SH3_domain),_IPR004012_(RUN),_IPR011511_(Variant_SH3_domain)</t>
  </si>
  <si>
    <t>7209.EFO21678.2</t>
  </si>
  <si>
    <t>1411.7</t>
  </si>
  <si>
    <t>ko:K20176</t>
  </si>
  <si>
    <t>1KTZQ@119089,38H96@33154,3BBCB@33208,3CR51@33213,40BF3@6231,COG5210@1,KOG2222@2759</t>
  </si>
  <si>
    <t>RUN</t>
  </si>
  <si>
    <t>15,5172/69,4581</t>
  </si>
  <si>
    <t>41,2562/41,0099/18,4729/8,62069</t>
  </si>
  <si>
    <t>39,0394/39,1626</t>
  </si>
  <si>
    <t>10,7143/13,0542</t>
  </si>
  <si>
    <t>WBGene00018281</t>
  </si>
  <si>
    <t>52.4631</t>
  </si>
  <si>
    <t>Bm8923</t>
  </si>
  <si>
    <t>WBGene00229184</t>
  </si>
  <si>
    <t>GO:0004407/GO:0005634/GO:0006325/GO:0016575/GO:0016787/GO:0032041/GO:0042262/GO:0046872/GO:0070932/</t>
  </si>
  <si>
    <t>DNA_protection/NAD-dependent_histone_deacetylase_activity_(H3-K14_specific)/chromatin_organization/histone_H3_deacetylation/histone_deacetylase_activity/histone_deacetylation/hydrolase_activity/metal_ion_binding/nucleus/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</si>
  <si>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process_in_which_DNA_is_protected_from_damage_by,_for_example,_oxidative_stress."_[GOC:jl]/"Any_process_that_results_in_the_specification,_formation_or_maintenance_of_the_physical_structure_of_eukaryotic_chromatin."_[GOC:mah,_GOC:vw,_PMID:20404130]/"Catalysis_of_the_hydrolysis_of_various_bonds,_e.g._C-O,_C-N,_C-C,_phosphoric_anhydride_bonds,_etc._Hydrolase_is_the_systematic_name_for_any_enzyme_of_EC_class_3."_[ISBN:0198506732]/"Catalysis_of_the_reaction:_histone_H3_N6-acetyl-L-lysine_(position_14)_+_H2O_=_histone_H3_L-lysine_(position_14)_+_acetate._This_reaction_requires_the_presence_of_NAD,_and_represents_the_removal_of_an_acetyl_group_from_lysine_at_position_14_of_the_histone_H3_protein."_[EC:3.5.1.17,_RHEA:24548]/"Catalysis_of_the_reaction:_histone_N6-acetyl-L-lysine_+_H2O_=_histone_L-lysine_+_acetate._This_reaction_represents_the_removal_of_an_acetyl_group_from_a_histone,_a_class_of_proteins_complexed_to_DNA_in_chromatin_and_chromosomes."_[EC:3.5.1.98,_PMID:9893272]/"Interacting_selectively_and_non-covalently_with_any_metal_ion."_[GOC:ai]/"The_modification_of_histone_H3_by_the_removal_of_one_or_more_acetyl_groups."_[GOC:BHF,_GOC:rl]/"The_modification_of_histones_by_removal_of_acetyl_groups."_[GOC:ai]/</t>
  </si>
  <si>
    <t>IPR000286/IPR003084/IPR023696/IPR023801/IPR037138/</t>
  </si>
  <si>
    <t>Histone_deacetylase/Histone_deacetylase_domain/Histone_deacetylase_domain_superfamily/Histone_deacetylase_family/Ureohydrolase_domain_superfamily/</t>
  </si>
  <si>
    <t>His_deacetylse/His_deacetylse_1/His_deacetylse_dom/His_deacetylse_dom_sf/Ureohydrolase_dom_sf/</t>
  </si>
  <si>
    <t>note=B._malayi_BMA-HDA-3_protein,_contains_similarity_toPfam_domain_PF00850_Histone_deacetylase_domain_containssimilarity_to_Interpro_domains_IPR000286_(Histonedeacetylase_superfamily),_IPR003084_(Histone_deacetylase),IPR023801_(Histone_deacetylase_domain)</t>
  </si>
  <si>
    <t>7209.EFO28256.1</t>
  </si>
  <si>
    <t>5.9e-253</t>
  </si>
  <si>
    <t>879.8</t>
  </si>
  <si>
    <t>GO:0000003,GO:0000118,GO:0000122,GO:0000228,GO:0000785,GO:0000790,GO:0001085,GO:0001103,GO:0003006,GO:0003674,GO:0003824,GO:0004407,GO:0005488,GO:0005515,GO:0005575,GO:0005622,GO:0005623,GO:0005634,GO:0005654,GO:0005694,GO:0005737,GO:0006325,GO:0006355,GO:0006357,GO:0006464,GO:0006476,GO:0006807,GO:0006996,GO:0007275,GO:0007548,GO:0008134,GO:0008150,GO:0008152,GO:0008406,GO:0008593,GO:0009653,GO:0009790,GO:0009792,GO:0009887,GO:0009889,GO:0009890,GO:0009891,GO:0009892,GO:0009893,GO:0009966,GO:0009968,GO:0009987,GO:0010468,GO:0010556,GO:0010557,GO:0010558,GO:0010604,GO:0010605,GO:0010628,GO:0010629,GO:0010646,GO:0010648,GO:0016043,GO:0016569,GO:0016570,GO:0016575,GO:0016581,GO:0016787,GO:0016810,GO:0016811,GO:0017053,GO:0019213,GO:0019219,GO:0019222,GO:0019538,GO:0022414,GO:0023051,GO:0023057,GO:0030154,GO:0030334,GO:0031323,GO:0031324,GO:0031325,GO:0031326,GO:0031327,GO:0031328,GO:0031974,GO:0031981,GO:0032501,GO:0032502,GO:0032879,GO:0032991,GO:0033558,GO:0035239,GO:0035295,GO:0035601,GO:0036211,GO:0040012,GO:0040027,GO:0040028,GO:0043073,GO:0043170,GO:0043226,GO:0043227,GO:0043228,GO:0043229,GO:0043231,GO:0043232,GO:0043233,GO:0043412,GO:0044237,GO:0044238,GO:0044260,GO:0044267,GO:0044422,GO:0044424,GO:0044427,GO:0044428,GO:0044446,GO:0044451,GO:0044454,GO:0044464,GO:0045137,GO:0045138,GO:0045595,GO:0045746,GO:0045892,GO:0045893,GO:0045934,GO:0045935,GO:0045944,GO:0046578,GO:0046580,GO:0046661,GO:0048513,GO:0048518,GO:0048519,GO:0048522,GO:0048523,GO:0048546,GO:0048557,GO:0048562,GO:0048565,GO:0048566,GO:0048568,GO:0048580,GO:0048581,GO:0048583,GO:0048585,GO:0048598,GO:0048608,GO:0048731,GO:0048856,GO:0048869,GO:0050789,GO:0050793,GO:0050794,GO:0051056,GO:0051058,GO:0051093,GO:0051171,GO:0051172,GO:0051173,GO:0051239,GO:0051241,GO:0051252,GO:0051253,GO:0051254,GO:0051270,GO:0051276,GO:0055123,GO:0060255,GO:0061062,GO:0061064,GO:0061458,GO:0065007,GO:0070013,GO:0070491,GO:0070603,GO:0071704,GO:0071840,GO:0080090,GO:0080134,GO:0090545,GO:0090568,GO:0090598,GO:0098732,GO:0140096,GO:1901564,GO:1902494,GO:1902531,GO:1902532,GO:1902679,GO:1902680,GO:1903506,GO:1903507,GO:1903508,GO:1903853,GO:1903854,GO:1904949,GO:2000026,GO:2000112,GO:2000113,GO:2000145,GO:2001141</t>
  </si>
  <si>
    <t>3.5.1.98</t>
  </si>
  <si>
    <t>ko:K06067</t>
  </si>
  <si>
    <t>ko04110,ko04213,ko04330,ko04919,ko05016,ko05034,ko05165,ko05169,ko05200,ko05202,ko05203,ko05220,map04110,map04213,map04330,map04919,map05016,map05034,map05165,map05169,map05200,map05202,map05203,map05220</t>
  </si>
  <si>
    <t>1KUJG@119089,38BIK@33154,3B95P@33208,3CUTB@33213,40AH1@6231,COG0123@1,KOG1342@2759</t>
  </si>
  <si>
    <t>Belongs to the histone deacetylase family. HD Type 1 subfamily</t>
  </si>
  <si>
    <t>15,0826/59,9174/59,9174</t>
  </si>
  <si>
    <t>60,5372/59,9174</t>
  </si>
  <si>
    <t>Bm1268</t>
  </si>
  <si>
    <t>WBGene00221529</t>
  </si>
  <si>
    <t>Bm7627</t>
  </si>
  <si>
    <t>WBGene00227888</t>
  </si>
  <si>
    <t>GO:0003824/GO:0005730/GO:0006396/GO:0042254/</t>
  </si>
  <si>
    <t>RNA_processing/catalytic_activity/nucleolus/ribosome_biogenesis/</t>
  </si>
  <si>
    <t>A_cellular_process_that_results_in_the_biosynthesis_of_constituent_macromolecules,_assembly,_and_arrangement_of_constituent_parts_of_ribosome_subunits;_includes_transport_to_the_sites_of_protein_synthesis._[GOC:ma,_PMID:26404467,_Wikipedia:Ribosome_biogenesis]/"A_small,_dense_body_one_or_more_of_which_are_present_in_the_nucleus_of_eukaryotic_cells._It_is_rich_in_RNA_and_protein,_is_not_bounded_by_a_limiting_membrane,_and_is_not_seen_during_mitosis._Its_prime_function_is_the_transcription_of_the_nucleolar_DNA_into_45S_ribosomal-precursor_RNA,_the_processing_of_this_RNA_into_5.8S,_18S,_and_28S_components_of_ribosomal_RNA,_and_the_association_of_these_components_with_5S_RNA_and_proteins_synthesized_outside_the_nucleolus._This_association_results_in_the_formation_of_ribonucleoprotein_precursors;_these_pass_into_the_cytoplasm_and_mature_into_the_40S_and_60S_subunits_of_the_ribosome."_[ISBN:0198506732]/"Any_process_involved_in_the_conversion_of_one_or_more_primary_RNA_transcripts_into_one_or_more_mature_RNA_molecules."_[GOC:mah]/"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t>
  </si>
  <si>
    <t>IPR000228/IPR013791/IPR013792/IPR016443/IPR020719/IPR023797/IPR036553/IPR037136/</t>
  </si>
  <si>
    <t>RNA_3'-terminal_phosphate_cyclase/RNA_3'-terminal_phosphate_cyclase,_insert_domain/RNA_3'-terminal_phosphate_cyclase,_insert_domain_superfamily/RNA_3'-terminal_phosphate_cyclase-like,_conserved_site/RNA_3'-terminal_phosphate_cyclase/enolpyruvate_transferase,_alpha/beta/RNA_3'-terminal_phosphate_cyclase_domain/RNA_3'-terminal_phosphate_cyclase_domain_superfamily/RNA_3'-terminal_phosphate_cyclase_type_2/</t>
  </si>
  <si>
    <t>RNA3'-term_phos_cycl_insert/RNA3'P_cycl/enolpyr_Trfase_a/b/RNA3'_phos_cyclase_dom/RNA3'_phos_cyclase_dom_sf/RNA3'_term_phos_cyc/RNA3'_term_phos_cyc_type_2/RNA3'_term_phos_cycl-like_CS/RPTC_insert/</t>
  </si>
  <si>
    <t>note=contains_similarity_to_Pfam_domains_PF01137_(RNA_3'-terminal_phosphate_cyclase),_PF05189_(RNA_3'-terminal_phosphate_cyclase_(RTC),_insert_domain)_contains_similarity_to_Interpro_domains_IPR013791_(RNA_3'-terminal_phosphate_cyclase,_insert_domain),_IPR023797_(RNA_3'-terminal_phosphate_cyclase_domain),_IPR016443_(RNA_3'-terminal_phosphate_cyclase_type_2),_IPR000228_(RNA_3'-terminal_phosphate_cyclase),_IPR013792_(RNA_3'-terminal_phosphate_cyclase/enolpyruvate_transferase,_alpha/beta)</t>
  </si>
  <si>
    <t>7209.EFO26314.2</t>
  </si>
  <si>
    <t>1.9e-198</t>
  </si>
  <si>
    <t>698.4</t>
  </si>
  <si>
    <t>ko:K11108</t>
  </si>
  <si>
    <t>1KTTW@119089,38EIW@33154,3BBGZ@33208,3CRCU@33213,40BSK@6231,COG0430@1,KOG3980@2759</t>
  </si>
  <si>
    <t>RNA 3'-terminal phosphate cyclase</t>
  </si>
  <si>
    <t>83,2891/81,1671</t>
  </si>
  <si>
    <t>55,1724/54,3767/51,1936</t>
  </si>
  <si>
    <t>WBGene00022852</t>
  </si>
  <si>
    <t>57.2944</t>
  </si>
  <si>
    <t>Bm13642</t>
  </si>
  <si>
    <t>WBGene00233903</t>
  </si>
  <si>
    <t>Bm12023</t>
  </si>
  <si>
    <t>WBGene00232284</t>
  </si>
  <si>
    <t>Bm1146</t>
  </si>
  <si>
    <t>WBGene00221407</t>
  </si>
  <si>
    <t>Bm1155</t>
  </si>
  <si>
    <t>WBGene00221416</t>
  </si>
  <si>
    <t>Bm17304</t>
  </si>
  <si>
    <t>WBGene00268447</t>
  </si>
  <si>
    <t>Bm1201</t>
  </si>
  <si>
    <t>WBGene00221462</t>
  </si>
  <si>
    <t>note=contains_similarity_to_Pfam_domain_PF05535_Chromadorea_ALT_protein_contains_similarity_to_Interpro_domain_IPR008451_(Chromadorea_ALT)</t>
  </si>
  <si>
    <t>4.7e-20</t>
  </si>
  <si>
    <t>104.0</t>
  </si>
  <si>
    <t>39,2857/45,5357</t>
  </si>
  <si>
    <t>Bm18050</t>
  </si>
  <si>
    <t>WBGene00269190</t>
  </si>
  <si>
    <t>116.7</t>
  </si>
  <si>
    <t>Bm5153</t>
  </si>
  <si>
    <t>WBGene00225414</t>
  </si>
  <si>
    <t>Bm14142</t>
  </si>
  <si>
    <t>WBGene00234403</t>
  </si>
  <si>
    <t>2.3e-16</t>
  </si>
  <si>
    <t>92.0</t>
  </si>
  <si>
    <t>Bm9411</t>
  </si>
  <si>
    <t>WBGene00229672</t>
  </si>
  <si>
    <t>Bm18084</t>
  </si>
  <si>
    <t>7209.EFO25644.1</t>
  </si>
  <si>
    <t>4.4e-82</t>
  </si>
  <si>
    <t>311.2</t>
  </si>
  <si>
    <t>38BJU@33154,3BHTG@33208,3CVAI@33213,KOG3596@1,KOG3596@2759</t>
  </si>
  <si>
    <t>regulation of cell growth</t>
  </si>
  <si>
    <t>Bm17461</t>
  </si>
  <si>
    <t>WBGene00268604</t>
  </si>
  <si>
    <t>GO:0003824/GO:0016020/GO:0016021/GO:0050825/GO:0055114/</t>
  </si>
  <si>
    <t>catalytic_activity/ice_binding/integral_component_of_membrane/membrane/oxidation-reduction_process/</t>
  </si>
  <si>
    <t>A_lipid_bilayer_along_with_all_the_proteins_and_protein_complexes_embedded_in_it_an_attached_to_it._[GOC:dos,_GOC:mah,_ISBN:0815316194]/"A_metabolic_process_that_results_in_the_removal_or_addition_of_one_or_more_electrons_to_or_from_a_substance,_with_or_without_the_concomitant_removal_or_addition_of_a_proton_or_protons."_[GOC:dhl,_GOC:ecd,_GOC:jh2,_GOC:jid,_GOC:mlg,_GOC:rph]/"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Interacting_selectively_and_non-covalently_with_ice,_water_reduced_to_the_solid_state_by_cold_temperature._It_is_a_white_or_transparent_colorless_substance,_crystalline,_brittle,_and_viscoidal."_[GOC:curators]/"The_component_of_a_membrane_consisting_of_the_gene_products_and_protein_complexes_having_at_least_some_part_of_their_peptide_sequence_embedded_in_the_hydrophobic_region_of_the_membrane."_[GOC:dos,_GOC:go_curators]/</t>
  </si>
  <si>
    <t>IPR000104/IPR001093/IPR013785/</t>
  </si>
  <si>
    <t>Aldolase-type_TIM_barrel/Antifreeze_protein,_type_I/IMP_dehydrogenase/GMP_reductase/</t>
  </si>
  <si>
    <t>Aldolase_TIM/Antifreeze_1/IMP_DH_GMPRt/</t>
  </si>
  <si>
    <t>292805.Wbm0755</t>
  </si>
  <si>
    <t>1.9e-17</t>
  </si>
  <si>
    <t>1MUDU@1224,2TS0M@28211,47ETT@766,COG0552@1,COG0552@2</t>
  </si>
  <si>
    <t>Involved in targeting and insertion of nascent membrane proteins into the cytoplasmic membrane. Acts as a receptor for the complex formed by the signal recognition particle (SRP) and the ribosome-nascent chain (RNC). Interaction with SRP-RNC leads to the transfer of the RNC complex to the Sec translocase for insertion into the membrane, the hydrolysis of GTP by both Ffh and FtsY, and the dissociation of the SRP-FtsY complex into the individual components</t>
  </si>
  <si>
    <t>Bm2751</t>
  </si>
  <si>
    <t>WBGene00223012</t>
  </si>
  <si>
    <t>43,0894/49,5935</t>
  </si>
  <si>
    <t>Bm3253</t>
  </si>
  <si>
    <t>WBGene00223514</t>
  </si>
  <si>
    <t>GO:0000166/GO:0000777/GO:0005524/</t>
  </si>
  <si>
    <t>ATP_binding/condensed_chromosome_kinetochore/nucleotide_binding/</t>
  </si>
  <si>
    <t>A_multisubunit_complex_that_is_located_at_the_centromeric_region_of_a_condensed_chromosome_and_provides_an_attachment_point_for_the_spindle_microtubules._[GOC:elh]/"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
  </si>
  <si>
    <t>IPR003593/IPR003959/IPR027417/</t>
  </si>
  <si>
    <t>AAA+_ATPase_domain/ATPase,_AAA-type,_core/P-loop_containing_nucleoside_triphosphate_hydrolase/</t>
  </si>
  <si>
    <t>AAA+_ATPase/ATPase_AAA_core/P-loop_NTPase/</t>
  </si>
  <si>
    <t>note=B._malayi_BMA-PCH-2_protein,_contains_similarity_toPfam_domain_PF00004_ATPase_family_associated_with_variouscellular_activities_(AAA)_contains_similarity_to_Interprodomains_IPR003959_(ATPase,_AAA-type,_core),_IPR027417(P-loop_containing_nucleoside_triphosphate_hydrolase),IPR003593_(AAA+_ATPase_domain)</t>
  </si>
  <si>
    <t>7209.EFO17369.1</t>
  </si>
  <si>
    <t>5.7e-207</t>
  </si>
  <si>
    <t>726.9</t>
  </si>
  <si>
    <t>GO:0000775,GO:0000776,GO:0000777,GO:0000779,GO:0000793,GO:0005575,GO:0005622,GO:0005623,GO:0005694,GO:0032991,GO:0043226,GO:0043228,GO:0043229,GO:0043232,GO:0044422,GO:0044424,GO:0044427,GO:0044446,GO:0044464,GO:0098687</t>
  </si>
  <si>
    <t>ko:K22399</t>
  </si>
  <si>
    <t>1KV0W@119089,38HYG@33154,3BD53@33208,3CVJN@33213,40CD8@6231,COG0464@1,KOG0744@2759</t>
  </si>
  <si>
    <t>ATPase family associated with various cellular activities (AAA)</t>
  </si>
  <si>
    <t>16,8981/19,9074</t>
  </si>
  <si>
    <t>WBGene00013156</t>
  </si>
  <si>
    <t>11.8056</t>
  </si>
  <si>
    <t>Bm1560</t>
  </si>
  <si>
    <t>WBGene00221821</t>
  </si>
  <si>
    <t>IPR018863/IPR033616/</t>
  </si>
  <si>
    <t>Fragile_site-associated_protein,_C-terminal/Protein_KIAA1109/</t>
  </si>
  <si>
    <t>Fragile_site-assoc_C/KIAA1109/</t>
  </si>
  <si>
    <t>7209.EFO27493.2</t>
  </si>
  <si>
    <t>9.7e-218</t>
  </si>
  <si>
    <t>763.8</t>
  </si>
  <si>
    <t>1KXI6@119089,38BJU@33154,3BHTG@33208,3CVAI@33213,40C07@6231,KOG3596@1,KOG3596@2759</t>
  </si>
  <si>
    <t>KLT</t>
  </si>
  <si>
    <t>WBGene00003060</t>
  </si>
  <si>
    <t>20.5665</t>
  </si>
  <si>
    <t>Bm8641</t>
  </si>
  <si>
    <t>WBGene00228902</t>
  </si>
  <si>
    <t>IPR006439/IPR023198/IPR023214/IPR036412/IPR041492/</t>
  </si>
  <si>
    <t>HAD-like_superfamily/HAD_hydrolase,_subfamily_IA/HAD_superfamily/Haloacid_dehalogenase-like_hydrolase/Phosphoglycolate_phosphatase-like,_domain_2/</t>
  </si>
  <si>
    <t>HAD-SF_hydro_IA/HAD-like_sf/HAD_2/HAD_sf/PGP-like_dom2/</t>
  </si>
  <si>
    <t>note=contains_similarity_to_Pfam_domain_PF13419_Haloaciddehalogenase-like_hydrolase_contains_similarity_toInterpro_domains_IPR023214_(HAD-like_domain),_IPR006439(HAD_hydrolase,_subfamily_IA)</t>
  </si>
  <si>
    <t>7209.EFO15492.1</t>
  </si>
  <si>
    <t>7.1e-111</t>
  </si>
  <si>
    <t>3.1.3.96</t>
  </si>
  <si>
    <t>ko:K17623</t>
  </si>
  <si>
    <t>R11180</t>
  </si>
  <si>
    <t>ko00000,ko01000,ko01009</t>
  </si>
  <si>
    <t>1KVZT@119089,38XCG@33154,3BH1Y@33208,3CZHT@33213,40D8D@6231,COG0637@1,KOG2914@2759</t>
  </si>
  <si>
    <t>Haloacid dehalogenase-like hydrolase</t>
  </si>
  <si>
    <t>39,3162/37,6068</t>
  </si>
  <si>
    <t>40,5983/43,5897/37,6068</t>
  </si>
  <si>
    <t>38,8889/39,3162/41,0256</t>
  </si>
  <si>
    <t>40,5983/40,5983/41,0256/38,8889/39,3162/39,7436/40,1709/39,3162/34,6154</t>
  </si>
  <si>
    <t>43,5897/35,8974/40,5983</t>
  </si>
  <si>
    <t>39,3162/36,3248/36,7521</t>
  </si>
  <si>
    <t>40,1709/41,0256/37,1795</t>
  </si>
  <si>
    <t>29,9145/27,7778</t>
  </si>
  <si>
    <t>WBGene00020113</t>
  </si>
  <si>
    <t>45.2991</t>
  </si>
  <si>
    <t>Bm2072</t>
  </si>
  <si>
    <t>WBGene00222333</t>
  </si>
  <si>
    <t>GO:0005515/GO:0043063/GO:0090543/</t>
  </si>
  <si>
    <t>Flemming_body/intercellular_bridge_organization/protein_binding/</t>
  </si>
  <si>
    <t>A_cell_part_that_is_the_central_region_of_the_midbody_characterized_by_a_gap_in_alpha-tubulin_staining._It_is_a_dense_structure_of_antiparallel_microtubules_from_the_central_spindle_in_the_middle_of_the_intercellular_bridge._[GOC:pm,_PMID:18641129,_PMID:22522702]/"A_process_that_is_carried_out_at_the_cellular_level_which_results_in_the_assembly,_arrangement_of_constituent_parts,_or_disassembly_of_the_intracellular_bridge._An_intracellular_bridge_is_a_direct_link_between_the_cytoplasms_of_sister_cells_that_allows_cells_to_communicate_with_one_another."_[GOC:jid]/"Interacting_selectively_and_non-covalently_with_any_protein_or_protein_complex_(a_complex_of_two_or_more_proteins_that_may_include_other_nonprotein_molecules)."_[GOC:go_curators]/</t>
  </si>
  <si>
    <t>note=B._malayi_BMA-CYK-7_protein</t>
  </si>
  <si>
    <t>7209.EFO26973.1</t>
  </si>
  <si>
    <t>1.3e-44</t>
  </si>
  <si>
    <t>186.4</t>
  </si>
  <si>
    <t>cyk-7</t>
  </si>
  <si>
    <t>1KXB9@119089,2E5ZU@1,2SCRH@2759,3ADG9@33154,3BW24@33208,3DCM3@33213,40F8A@6231</t>
  </si>
  <si>
    <t>WBGene00015591</t>
  </si>
  <si>
    <t>Bm55</t>
  </si>
  <si>
    <t>WBGene00220316</t>
  </si>
  <si>
    <t>100.9</t>
  </si>
  <si>
    <t>Bm356</t>
  </si>
  <si>
    <t>WBGene00220617</t>
  </si>
  <si>
    <t>Bm17545</t>
  </si>
  <si>
    <t>WBGene00268688</t>
  </si>
  <si>
    <t>56,7568/54,955</t>
  </si>
  <si>
    <t>Bm1379</t>
  </si>
  <si>
    <t>WBGene00221640</t>
  </si>
  <si>
    <t>Bm14697</t>
  </si>
  <si>
    <t>WBGene00235032</t>
  </si>
  <si>
    <t>GO:0003677/GO:0006355/GO:0043565/</t>
  </si>
  <si>
    <t>DNA_binding/regulation_of_transcription,_DNA-templated/sequence-specific_DNA_binding/</t>
  </si>
  <si>
    <t>Any_molecular_function_by_which_a_gene_product_interacts_selectively_and_non-covalently_with_DNA_(deoxyribonucleic_acid)._[GOC:dph,_GOC:jl,_GOC:tb,_GOC:vw]/"Any_process_that_modulates_the_frequency,_rate_or_extent_of_cellular_DNA-templated_transcription."_[GOC:go_curators,_GOC:txnOH]/"Interacting_selectively_and_non-covalently_with_DNA_of_a_specific_nucleotide_composition,_e.g._GC-rich_DNA_binding,_or_with_a_specific_sequence_motif_or_type_of_DNA_e.g._promotor_binding_or_rDNA_binding."_[GOC:jl]/</t>
  </si>
  <si>
    <t>IPR001356/IPR001781/IPR009057/IPR017970/</t>
  </si>
  <si>
    <t>Homeobox,_conserved_site/Homeobox-like_domain_superfamily/Homeobox_domain/Zinc_finger,_LIM-type/</t>
  </si>
  <si>
    <t>Homeobox-like_sf/Homeobox_CS/Homeobox_dom/Znf_LIM/</t>
  </si>
  <si>
    <t>note=B._malayi_BMA-LIN-11_protein,_contains_similarity_to_Pfam_domain_PF00412_LIM_domain_contains_similarity_to_Interpro_domain_IPR001781_(Zinc_finger,_LIM-type)</t>
  </si>
  <si>
    <t>7209.EJD73731.1</t>
  </si>
  <si>
    <t>2.5e-63</t>
  </si>
  <si>
    <t>248.1</t>
  </si>
  <si>
    <t>lin-11</t>
  </si>
  <si>
    <t>GO:0000003,GO:0001708,GO:0003674,GO:0003700,GO:0006355,GO:0007275,GO:0007399,GO:0007413,GO:0007610,GO:0008037,GO:0008038,GO:0008150,GO:0009889,GO:0009987,GO:0010468,GO:0010556,GO:0016043,GO:0018991,GO:0019098,GO:0019219,GO:0019222,GO:0022008,GO:0022414,GO:0030030,GO:0030154,GO:0030182,GO:0030334,GO:0031175,GO:0031323,GO:0031326,GO:0032501,GO:0032502,GO:0032504,GO:0032879,GO:0040012,GO:0040026,GO:0040028,GO:0045165,GO:0045595,GO:0048468,GO:0048518,GO:0048580,GO:0048582,GO:0048609,GO:0048666,GO:0048699,GO:0048731,GO:0048856,GO:0048869,GO:0050789,GO:0050793,GO:0050794,GO:0051094,GO:0051171,GO:0051239,GO:0051240,GO:0051252,GO:0051270,GO:0060255,GO:0061062,GO:0061063,GO:0061564,GO:0065007,GO:0071840,GO:0080090,GO:0106030,GO:0120036,GO:0140110,GO:1903506,GO:2000026,GO:2000112,GO:2000145,GO:2001141</t>
  </si>
  <si>
    <t>39,3531/39,3531</t>
  </si>
  <si>
    <t>WBGene00003000</t>
  </si>
  <si>
    <t>42.5876</t>
  </si>
  <si>
    <t>Bm9264</t>
  </si>
  <si>
    <t>WBGene00229525</t>
  </si>
  <si>
    <t>2.7e-15</t>
  </si>
  <si>
    <t>WBGene00006509</t>
  </si>
  <si>
    <t>10.2088</t>
  </si>
  <si>
    <t>Bm6062</t>
  </si>
  <si>
    <t>WBGene00226323</t>
  </si>
  <si>
    <t>/GO:0005576/GO:0043055/GO:0046627/GO:1905909/</t>
  </si>
  <si>
    <t>/extracellular_region/maintenance_of_dauer/negative_regulation_of_insulin_receptor_signaling_pathway/regulation_of_dauer_entry/</t>
  </si>
  <si>
    <t>/"Any_process_that_modulates_the_frequency,_rate_or_extent_of_dauer_entry."_[GO_REF:0000058,_GOC:TermGenie,_PMID:21531333]/"Any_process_that_stops,_prevents,_or_reduces_the_frequency,_rate_or_extent_of_insulin_receptor_signaling."_[GOC:bf]/"Maintenance_of_a_nematode_during_the_facultative_diapause_of_the_dauer_(enduring)_larval_stage_of_nematode_development."_[GOC:cab1,_WB_REF:wm2003ab740]/"The_space_external_to_the_outermost_structure_of_a_cell._For_cells_without_external_protective_or_external_encapsulating_structures_this_refers_to_space_outside_of_the_plasma_membrane._This_term_covers_the_host_cell_environment_outside_an_intracellular_parasite."_[GOC:go_curators]/</t>
  </si>
  <si>
    <t>IPR022353/IPR036438/</t>
  </si>
  <si>
    <t>Insulin,_conserved_site/Insulin-like_superfamily/</t>
  </si>
  <si>
    <t>Insulin-like_sf/Insulin_CS/</t>
  </si>
  <si>
    <t>note=B._malayi_BMA-INS-18_protein,_contains_similarity_to_Interpro_domain_IPR016179_(Insulin-like)</t>
  </si>
  <si>
    <t>135651.CBN06731</t>
  </si>
  <si>
    <t>3.4e-08</t>
  </si>
  <si>
    <t>63.9</t>
  </si>
  <si>
    <t>GO:0002119,GO:0002164,GO:0007275,GO:0008150,GO:0009791,GO:0009966,GO:0009968,GO:0010646,GO:0010648,GO:0022611,GO:0023051,GO:0023057,GO:0032501,GO:0032502,GO:0040024,GO:0043055,GO:0046626,GO:0046627,GO:0048519,GO:0048523,GO:0048580,GO:0048583,GO:0048585,GO:0048856,GO:0050789,GO:0050793,GO:0050794,GO:0051239,GO:0061062,GO:0061065,GO:0065007,GO:0071982,GO:1900076,GO:1900077,GO:1905909,GO:2000026</t>
  </si>
  <si>
    <t>1M596@119089,2CBXU@1,2TIDI@2759,39EVX@33154,3CISW@33208,3E0B9@33213,40MU1@6231,413GA@6236</t>
  </si>
  <si>
    <t>Insulin / insulin-like growth factor / relaxin family.</t>
  </si>
  <si>
    <t>Bm2647</t>
  </si>
  <si>
    <t>WBGene00222908</t>
  </si>
  <si>
    <t>135651.CBN09592</t>
  </si>
  <si>
    <t>2.8e-12</t>
  </si>
  <si>
    <t>79.0</t>
  </si>
  <si>
    <t>1M16X@119089,2AAGE@1,2RYM1@2759,3A0A6@33154,3BSE0@33208,3DWV3@33213,40HYB@6231,40SJN@6236</t>
  </si>
  <si>
    <t>domain found in Plexins, Semaphorins and Integrins</t>
  </si>
  <si>
    <t>Bm9986</t>
  </si>
  <si>
    <t>WBGene00230247</t>
  </si>
  <si>
    <t>7209.EFO22074.1</t>
  </si>
  <si>
    <t>86.3</t>
  </si>
  <si>
    <t>1M03D@119089,2EV6D@1,2SX7R@2759,3ASHY@33154,3C4JH@33208,3DK9W@33213,40HIJ@6231</t>
  </si>
  <si>
    <t>Bm10519</t>
  </si>
  <si>
    <t>WBGene00230780</t>
  </si>
  <si>
    <t>IPR026112/</t>
  </si>
  <si>
    <t>Amnionless/</t>
  </si>
  <si>
    <t>AMN/</t>
  </si>
  <si>
    <t>note=contains_similarity_to_Pfam_domain_PF14828_Amnionless</t>
  </si>
  <si>
    <t>281687.CJA01672</t>
  </si>
  <si>
    <t>7.7e-12</t>
  </si>
  <si>
    <t>78.2</t>
  </si>
  <si>
    <t>1KXDX@119089,39CWU@33154,3CGWU@33208,3DYD4@33213,40F2P@6231,40Z6D@6236,KOG1028@1,KOG1028@2759</t>
  </si>
  <si>
    <t>Amnionless</t>
  </si>
  <si>
    <t>WBGene00022285</t>
  </si>
  <si>
    <t>21.2698</t>
  </si>
  <si>
    <t>Bm9334</t>
  </si>
  <si>
    <t>WBGene00229595</t>
  </si>
  <si>
    <t>38,8514/34,1216</t>
  </si>
  <si>
    <t>7,43243/10,8108</t>
  </si>
  <si>
    <t>Bm13133</t>
  </si>
  <si>
    <t>WBGene00233394</t>
  </si>
  <si>
    <t>Bm2311</t>
  </si>
  <si>
    <t>WBGene00222572</t>
  </si>
  <si>
    <t>GO:0000786/GO:0003677/GO:0005634/GO:0005694/GO:0006334/</t>
  </si>
  <si>
    <t>DNA_binding/chromosome/nucleosome/nucleosome_assembly/nucleus/</t>
  </si>
  <si>
    <t>A_complex_comprised_of_DNA_wound_around_a_multisubunit_core_and_associated_proteins,_which_forms_the_primary_packing_unit_of_DNA_into_higher_order_structures._[GOC:elh]/"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structure_composed_of_a_very_long_molecule_of_DNA_and_associated_proteins_(e.g._histones)_that_carries_hereditary_information."_[ISBN:0198547684]/"Any_molecular_function_by_which_a_gene_product_interacts_selectively_and_non-covalently_with_DNA_(deoxyribonucleic_acid)."_[GOC:dph,_GOC:jl,_GOC:tb,_GOC:vw]/"The_aggregation,_arrangement_and_bonding_together_of_a_nucleosome,_the_beadlike_structural_units_of_eukaryotic_chromatin_composed_of_histones_and_DNA."_[GOC:mah]/</t>
  </si>
  <si>
    <t>IPR005818/IPR005819/IPR036388/IPR036390/</t>
  </si>
  <si>
    <t>Histone_H5/Linker_histone_H1/H5,_domain_H15/Winged_helix-like_DNA-binding_domain_superfamily/Winged_helix_DNA-binding_domain_superfamily/</t>
  </si>
  <si>
    <t>Histone_H1/H5_H15/Histone_H5/WH-like_DNA-bd_sf/WH_DNA-bd_sf/</t>
  </si>
  <si>
    <t>note=B._malayi_BMA-HIL-1_protein,_contains_similarity_toPfam_domain_PF00538_linker_histone_H1_and_H5_familycontains_similarity_to_Interpro_domains_IPR011991_(Wingedhelix-turn-helix_DNA-binding_domain),_IPR005819_(HistoneH5),_IPR005818_(Linker_histone_H1/H5,_domain_H15)</t>
  </si>
  <si>
    <t>7209.EFO21801.2</t>
  </si>
  <si>
    <t>5.5e-30</t>
  </si>
  <si>
    <t>137.9</t>
  </si>
  <si>
    <t>KOG4012@1,KOG4012@2759</t>
  </si>
  <si>
    <t>nucleosome assembly</t>
  </si>
  <si>
    <t>26,5403/27,0142/26,5403</t>
  </si>
  <si>
    <t>13,2701/19,4313/18,4834/25,1185/25,1185/25,1185/20,3791/23,6967/26,0664</t>
  </si>
  <si>
    <t>10,4265/9,95261/16,1137/18,4834/25,1185/26,5403/24,6446/20,8531/22,2749/26,5403/21,8009</t>
  </si>
  <si>
    <t>14,218/14,6919/22,2749/23,6967/23,2227/22,7488/22,7488/23,6967/23,2227/24,1706/23,6967/25,1185/25,1185/24,6446/25,1185/23,6967/24,1706/23,2227/19,9052/24,1706/20,8531/23,6967</t>
  </si>
  <si>
    <t>WBGene00001898</t>
  </si>
  <si>
    <t>28.91</t>
  </si>
  <si>
    <t>Bm146</t>
  </si>
  <si>
    <t>WBGene00220407</t>
  </si>
  <si>
    <t>Bm7503</t>
  </si>
  <si>
    <t>WBGene00227764</t>
  </si>
  <si>
    <t>IPR001781/</t>
  </si>
  <si>
    <t>Zinc_finger,_LIM-type/</t>
  </si>
  <si>
    <t>Znf_LIM/</t>
  </si>
  <si>
    <t>note=contains_similarity_to_Pfam_domain_PF00412_LIM_domain_contains_similarity_to_Interpro_domain_IPR001781_(Zinc_finger,_LIM-type)</t>
  </si>
  <si>
    <t>7209.EFO24921.1</t>
  </si>
  <si>
    <t>9.4e-57</t>
  </si>
  <si>
    <t>1KZ76@119089,3A7AB@33154,3BTRP@33208,3DAGZ@33213,40E2G@6231,COG5069@1,KOG1700@2759</t>
  </si>
  <si>
    <t>sulfur oxidation</t>
  </si>
  <si>
    <t>Bm9743</t>
  </si>
  <si>
    <t>WBGene00230004</t>
  </si>
  <si>
    <t>Bm5083</t>
  </si>
  <si>
    <t>WBGene00225344</t>
  </si>
  <si>
    <t>GO:0000166/GO:0000915/GO:0003774/GO:0003777/GO:0005524/GO:0005813/GO:0005874/GO:0007018/GO:0008017/GO:0019901/GO:0030496/GO:0031991/GO:0032154/GO:0035046/GO:0040038/GO:0051233/GO:0051256/GO:0051257/GO:0072383/GO:1990023/</t>
  </si>
  <si>
    <t>ATP_binding/actomyosin_contractile_ring_assembly/centrosome/cleavage_furrow/meiotic_spindle_midzone_assembly/microtubule/microtubule-based_movement/microtubule_binding/microtubule_motor_activity/midbody/mitotic_spindle_midzone/mitotic_spindle_midzone_assembly/motor_activity/nucleotide_binding/plus-end-directed_vesicle_transport_along_microtubule/polar_body_extrusion_after_meiotic_divisions/pronuclear_migration/protein_kinase_binding/regulation_of_actomyosin_contractile_ring_contraction/spindle_midzone/</t>
  </si>
  <si>
    <t>A_microtubule-based_process_that_results_in_the_movement_of_organelles,_other_microtubules,_or_other_cellular_components.__Examples_include_motor-driven_movement_along_microtubules_and_movement_driven_by_polymerization_or_depolymerization_of_microtubules._[GOC:cjm,_ISBN:0815316194]/"A_structure_comprised_of_a_core_structure_(in_most_organisms,_a_pair_of_centrioles)_and_peripheral_material_from_which_a_microtubule-based_structure,_such_as_a_spindle_apparatus,_is_organized._Centrosomes_occur_close_to_the_nucleus_during_interphase_in_many_eukaryotic_cells,_though_in_animal_cells_it_changes_continually_during_the_cell-division_cycle."_[GOC:mah,_ISBN:0198547684]/"A_thin_cytoplasmic_bridge_formed_between_daughter_cells_at_the_end_of_cytokinesis._The_midbody_forms_where_the_contractile_ring_constricts,_and_may_persist_for_some_time_before_finally_breaking_to_complete_cytokinesis."_[ISBN:0815316194]/"Any_of_the_long,_generally_straight,_hollow_tubes_of_internal_diameter_12-15_nm_and_external_diameter_24_nm_found_in_a_wide_variety_of_eukaryotic_cells;_each_consists_(usually)_of_13_protofilaments_of_polymeric_tubulin,_staggered_in_such_a_manner_that_the_tubulin_monomers_are_arranged_in_a_helical_pattern_on_the_microtubular_surface,_and_with_the_alpha/beta_axes_of_the_tubulin_subunits_parallel_to_the_long_axis_of_the_tubule;_exist_in_equilibrium_with_pool_of_tubulin_monomers_and_can_be_rapidly_assembled_or_disassembled_in_response_to_physiological_stimuli;_concerned_with_force_generation,_e.g._in_the_spindle."_[ISBN:0879693568]/"Any_process_that_modulates_the_frequency,_rate_or_extent_of_contraction_of_the_actomyosin_ring_involved_in_cytokinesis_that_takes_place_as_part_of_a_cell_cycle."_[GOC:dph,_GOC:mah,_GOC:tb]/"Catalysis_of_movement_along_a_microtubule,_coupled_to_the_hydrolysis_of_a_nucleoside_triphosphate_(usually_ATP)."_[GOC:mah,_ISBN:0815316194]/"Catalysis_of_the_generation_of_force_resulting_either_in_movement_along_a_microfilament_or_microtubule,_or_in_torque_resulting_in_membrane_scission,_coupled_to_the_hydrolysis_of_a_nucleoside_triphosphate."_[GOC:mah,_GOC:vw,_ISBN:0815316194,_PMID:11242086]/"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_protein_kinase,_any_enzyme_that_catalyzes_the_transfer_of_a_phosphate_group,_usually_from_ATP,_to_a_protein_substrate."_[GOC:jl]/"Interacting_selectively_and_non-covalently_with_microtubules,_filaments_composed_of_tubulin_monomers."_[GOC:krc]/"The_area_in_the_center_of_the_anaphase_spindle_consisting_of_microtubules,_microtubule_bundling_factors_and_kinesin_motors_where_the_spindle_microtubules_from_opposite_poles_overlap_in_an_antiparallel_manner."_[GOC:mtg_cell_cycle,_GOC:vw]/"The_area_in_the_center_of_the_spindle_where_the_spindle_microtubules_from_opposite_poles_overlap."_[GOC:ai,_PMID:15296749]/"The_cell_cycle_process_in_which_the_aggregation,_arrangement_and_bonding_together_of_a_set_of_components_forms_the_spindle_midzone."_[GOC:mtg_cell_cycle,_GOC:vw,_PMID:24239120]/"The_cell_cycle_process_in_which_two_small_cells_are_generated,_as_byproducts_destined_to_degenerate,_as_a_result_of_the_first_and_second_meiotic_divisions_of_a_primary_oocyte_during_its_development_to_a_mature_ovum._One_polar_body_is_formed_in_the_first_division_of_meiosis_and_the_other_in_the_second_division;_at_each_division,_the_cytoplasm_divides_unequally,_so_that_the_polar_body_is_of_much_smaller_size_than_the_developing_oocyte._At_the_second_division_in_which_a_polar_body_is_formed,_the_polar_body_and_the_developing_oocyte_each_contain_a_haploid_set_of_chromosomes."_[GOC:ems,_ISBN:0198506732]/"The_cleavage_furrow_is_a_plasma_membrane_invagination_at_the_cell_division_site._The_cleavage_furrow_begins_as_a_shallow_groove_and_eventually_deepens_to_divide_the_cytoplasm."_[GOC:vw,_ISBN:0805319409]/"The_directed_movement_of_a_vesicle_towards_the_plus_end_of_a_microtubule,_mediated_by_motor_proteins._This_process_begins_with_the_attachment_of_a_vesicle_to_a_microtubule,_and_ends_when_the_vesicle_reaches_its_final_destination."_[GOC:BHF,_GOC:mah]/"The_directed_movement_of_the_male_and_female_pronuclei_towards_each_other_prior_to_their_fusion."_[GOC:bf,_PMID:9199363]/"The_formation_of_the_spindle_midzone,_the_area_in_the_center_of_the_spindle_where_the_spindle_microtubules_from_opposite_poles_overlap,_as_a_part_of_the_process_of_meiosis."_[GOC:ai,_GOC:expert_rg,_GOC:tb]/"The_process_of_assembly_of_a_ring_composed_of_actin,_myosin,_and_associated_proteins_that_will_function_in_cytokinesis."_[GOC:clt,_GOC:dph,_GOC:tb]/</t>
  </si>
  <si>
    <t>IPR001752/IPR019821/IPR027417/IPR027640/IPR032384/IPR032924/IPR036961/IPR038105/</t>
  </si>
  <si>
    <t>Kinesin-like_protein/Kinesin-like_protein_KIF23/Kinesin-like_protein_Kif23,_Arf6-interacting_domain/Kinesin-like_protein_Kif23,_Arf6-interacting_domain_superfamily/Kinesin_motor_domain/Kinesin_motor_domain,_conserved_site/Kinesin_motor_domain_superfamily/P-loop_containing_nucleoside_triphosphate_hydrolase/</t>
  </si>
  <si>
    <t>KIF23/Kif23_Arf-bd/Kif23_Arf-bd_sf/Kinesin-like_fam/Kinesin_motor_CS/Kinesin_motor_dom/Kinesin_motor_dom_sf/P-loop_NTPase/</t>
  </si>
  <si>
    <t>note=B._malayi_BMA-ZEN-4_protein,_contains_similarity_toPfam_domain_PF00225_Kinesin_motor_domain_containssimilarity_to_Interpro_domains_IPR001752_(Kinesin_motordomain),_IPR027417_(P-loop_containing_nucleosidetriphosphate_hydrolase),_IPR027640_(Kinesin-like_protein)</t>
  </si>
  <si>
    <t>7209.EFO21035.1</t>
  </si>
  <si>
    <t>1141.7</t>
  </si>
  <si>
    <t>GO:0000003,GO:0000022,GO:0000070,GO:0000166,GO:0000226,GO:0000278,GO:0000280,GO:0000819,GO:0000910,GO:0003674,GO:0003774,GO:0003777,GO:0003824,GO:0005488,GO:0005515,GO:0005524,GO:0005575,GO:0005622,GO:0005623,GO:0005813,GO:0005815,GO:0005819,GO:0005856,GO:0005886,GO:0006810,GO:0006928,GO:0006996,GO:0007010,GO:0007017,GO:0007018,GO:0007049,GO:0007051,GO:0007052,GO:0007059,GO:0007097,GO:0007143,GO:0007276,GO:0007292,GO:0007338,GO:0008017,GO:0008092,GO:0008144,GO:0008150,GO:0008574,GO:0009566,GO:0009987,GO:0010564,GO:0015630,GO:0015631,GO:0016020,GO:0016043,GO:0016462,GO:0016787,GO:0016817,GO:0016818,GO:0016887,GO:0017076,GO:0017111,GO:0019899,GO:0019900,GO:0019901,GO:0019953,GO:0022402,GO:0022412,GO:0022414,GO:0022607,GO:0030496,GO:0030554,GO:0031991,GO:0032153,GO:0032154,GO:0032155,GO:0032465,GO:0032501,GO:0032504,GO:0032506,GO:0032553,GO:0032555,GO:0032559,GO:0032954,GO:0032956,GO:0032970,GO:0032991,GO:0033043,GO:0033206,GO:0035046,GO:0035639,GO:0036094,GO:0040038,GO:0042623,GO:0042802,GO:0043167,GO:0043168,GO:0043226,GO:0043228,GO:0043229,GO:0043232,GO:0044085,GO:0044422,GO:0044424,GO:0044425,GO:0044430,GO:0044446,GO:0044459,GO:0044464,GO:0044703,GO:0046907,GO:0048285,GO:0048609,GO:0050789,GO:0050794,GO:0051128,GO:0051179,GO:0051225,GO:0051231,GO:0051233,GO:0051234,GO:0051255,GO:0051256,GO:0051257,GO:0051276,GO:0051301,GO:0051302,GO:0051321,GO:0051493,GO:0051640,GO:0051641,GO:0051647,GO:0051649,GO:0051656,GO:0051704,GO:0051726,GO:0061640,GO:0065007,GO:0070925,GO:0071840,GO:0071944,GO:0072686,GO:0090307,GO:0097149,GO:0097159,GO:0097367,GO:0098590,GO:0098813,GO:0110020,GO:0140013,GO:0140014,GO:1901265,GO:1901363,GO:1902850,GO:1903046,GO:1903047,GO:1990023,GO:1990939</t>
  </si>
  <si>
    <t>ko:K17387</t>
  </si>
  <si>
    <t>ko05206,map05206</t>
  </si>
  <si>
    <t>ko00000,ko00001,ko03036,ko04131,ko04812</t>
  </si>
  <si>
    <t>1KUE2@119089,38FXQ@33154,3BAN0@33208,3CRVQ@33213,40BHF@6231,COG5059@1,KOG0247@2759</t>
  </si>
  <si>
    <t>Belongs to the TRAFAC class myosin-kinesin ATPase superfamily. Kinesin family</t>
  </si>
  <si>
    <t>23,4917/39,5379</t>
  </si>
  <si>
    <t>32,2208/41,7202</t>
  </si>
  <si>
    <t>24,1335/39,1528</t>
  </si>
  <si>
    <t>WBGene00006974</t>
  </si>
  <si>
    <t>37.8691</t>
  </si>
  <si>
    <t>Bm8393</t>
  </si>
  <si>
    <t>WBGene00228654</t>
  </si>
  <si>
    <t>note=B._malayi_BMA-CUT-4_protein,_contains_similarity_toPfam_domain_PF00100_Zona_pellucida-like_domain_containssimilarity_to_Interpro_domain_IPR001507_(Zona_pellucidadomain)</t>
  </si>
  <si>
    <t>7209.EJD76169.1</t>
  </si>
  <si>
    <t>2.5e-94</t>
  </si>
  <si>
    <t>1KTKU@119089,29RWQ@1,2RXCC@2759,39YKF@33154,3BHAA@33208,3D5R3@33213,40ARZ@6231</t>
  </si>
  <si>
    <t>Bm231</t>
  </si>
  <si>
    <t>WBGene00220492</t>
  </si>
  <si>
    <t>Bm9726</t>
  </si>
  <si>
    <t>WBGene00229987</t>
  </si>
  <si>
    <t>/GO:0003723/</t>
  </si>
  <si>
    <t>/RNA_binding/</t>
  </si>
  <si>
    <t>/"Interacting_selectively_and_non-covalently_with_an_RNA_molecule_or_a_portion_thereof."_[GOC:jl,_GOC:mah]/</t>
  </si>
  <si>
    <t>/IPR036612/IPR041194/</t>
  </si>
  <si>
    <t>/GLD-3,_KH5_domain/K_Homology_domain,_type_1_superfamily/</t>
  </si>
  <si>
    <t>/GLD-3_KH5/KH_dom_type_1_sf/</t>
  </si>
  <si>
    <t>note=contains_similarity_to_Interpro_domain_IPR004088_(KHomology_domain,_type_1)</t>
  </si>
  <si>
    <t>7209.EFO25533.2</t>
  </si>
  <si>
    <t>1410.6</t>
  </si>
  <si>
    <t>gld-3</t>
  </si>
  <si>
    <t>GO:0000003,GO:0000278,GO:0000280,GO:0000281,GO:0000910,GO:0002119,GO:0002164,GO:0003006,GO:0003674,GO:0003676,GO:0003723,GO:0005488,GO:0005515,GO:0005575,GO:0005622,GO:0005623,GO:0005737,GO:0006139,GO:0006725,GO:0006807,GO:0006996,GO:0007049,GO:0007275,GO:0007276,GO:0007281,GO:0007283,GO:0007530,GO:0008150,GO:0008152,GO:0009790,GO:0009791,GO:0009792,GO:0009987,GO:0010564,GO:0010638,GO:0016043,GO:0016070,GO:0017145,GO:0018992,GO:0019904,GO:0019953,GO:0022402,GO:0022412,GO:0022414,GO:0030154,GO:0030880,GO:0031379,GO:0032501,GO:0032502,GO:0032504,GO:0032991,GO:0033043,GO:0034641,GO:0035770,GO:0036464,GO:0040008,GO:0040014,GO:0040018,GO:0040020,GO:0040021,GO:0040025,GO:0042006,GO:0042078,GO:0043170,GO:0043186,GO:0043226,GO:0043228,GO:0043229,GO:0043232,GO:0043631,GO:0044092,GO:0044237,GO:0044238,GO:0044424,GO:0044444,GO:0044464,GO:0044703,GO:0045495,GO:0045787,GO:0045836,GO:0045927,GO:0046483,GO:0048232,GO:0048285,GO:0048468,GO:0048513,GO:0048518,GO:0048522,GO:0048569,GO:0048609,GO:0048638,GO:0048639,GO:0048731,GO:0048856,GO:0048869,GO:0050789,GO:0050793,GO:0050794,GO:0051094,GO:0051098,GO:0051100,GO:0051128,GO:0051130,GO:0051239,GO:0051240,GO:0051301,GO:0051445,GO:0051446,GO:0051704,GO:0051726,GO:0051783,GO:0051785,GO:0060293,GO:0061640,GO:0061695,GO:0065007,GO:0065009,GO:0071704,GO:0071840,GO:0090068,GO:0090304,GO:0097159,GO:1901360,GO:1901363,GO:1902494,GO:1903047,GO:1990234,GO:1990904,GO:2000241,GO:2000243</t>
  </si>
  <si>
    <t>1M01X@119089,2EZCA@1,2T0PW@2759,3ARXB@33154,3C3WQ@33208,3DK0R@33213,40HG1@6231</t>
  </si>
  <si>
    <t>31,7073/23,7805</t>
  </si>
  <si>
    <t>42,8571/16,2021</t>
  </si>
  <si>
    <t>Bm11067</t>
  </si>
  <si>
    <t>WBGene00231328</t>
  </si>
  <si>
    <t>7209.EFO20461.1</t>
  </si>
  <si>
    <t>9.8e-116</t>
  </si>
  <si>
    <t>423.3</t>
  </si>
  <si>
    <t>56,5079/49,8413/53,6508</t>
  </si>
  <si>
    <t>12,6984/12,381</t>
  </si>
  <si>
    <t>15,5556/6,98413/12,0635</t>
  </si>
  <si>
    <t>Bm6901</t>
  </si>
  <si>
    <t>WBGene00227162</t>
  </si>
  <si>
    <t>IPR002223/IPR036880/</t>
  </si>
  <si>
    <t>Pancreatic_trypsin_inhibitor_Kunitz_domain/Pancreatic_trypsin_inhibitor_Kunitz_domain_superfamily/</t>
  </si>
  <si>
    <t>Kunitz_BPTI/Kunitz_BPTI_sf/</t>
  </si>
  <si>
    <t>note=contains_similarity_to_Pfam_domain_PF00014_Kunitz/Bovine_pancreatic_trypsin_inhibitor_domain_contains_similarity_to_Interpro_domain_IPR002223_(Proteinase_inhibitor_I2,_Kunitz_metazoa)</t>
  </si>
  <si>
    <t>7209.EFO27077.1</t>
  </si>
  <si>
    <t>2.5e-52</t>
  </si>
  <si>
    <t>211.1</t>
  </si>
  <si>
    <t>1KXB6@119089,2E8WR@1,2SFBC@2759,3ABPE@33154,3BWER@33208,3DC8G@33213,40F72@6231</t>
  </si>
  <si>
    <t>Kunitz/Bovine pancreatic trypsin inhibitor domain</t>
  </si>
  <si>
    <t>Bm6365</t>
  </si>
  <si>
    <t>WBGene00226626</t>
  </si>
  <si>
    <t>GO:0000226/GO:0008017/</t>
  </si>
  <si>
    <t>microtubule_binding/microtubule_cytoskeleton_organization/</t>
  </si>
  <si>
    <t>A_process_that_is_carried_out_at_the_cellular_level_which_results_in_the_assembly,_arrangement_of_constituent_parts,_or_disassembly_of_cytoskeletal_structures_comprising_microtubules_and_their_associated_proteins._[GOC:mah]/"Interacting_selectively_and_non-covalently_with_microtubules,_filaments_composed_of_tubulin_monomers."_[GOC:krc]/</t>
  </si>
  <si>
    <t>IPR007145/</t>
  </si>
  <si>
    <t>Microtubule-associated_protein,_MAP65/Ase1/PRC1/</t>
  </si>
  <si>
    <t>MAP65_Ase1_PRC1/</t>
  </si>
  <si>
    <t>note=contains_similarity_to_Pfam_domain_PF03999_Microtubule_associated_protein_(MAP65/ASE1_family)_contains_similarity_to_Interpro_domain_IPR007145_(Microtubule-associated_protein,_MAP65/Ase1/PRC1)</t>
  </si>
  <si>
    <t>7209.EFO17840.2</t>
  </si>
  <si>
    <t>2.2e-277</t>
  </si>
  <si>
    <t>ko:K16732</t>
  </si>
  <si>
    <t>ko00000,ko03036,ko04812</t>
  </si>
  <si>
    <t>1M8KU@119089,39N62@33154,3CPRC@33208,3E5WJ@33213,40RGP@6231,KOG4302@1,KOG4302@2759</t>
  </si>
  <si>
    <t>microtubule binding</t>
  </si>
  <si>
    <t>17,5238/17,5238/18,4762</t>
  </si>
  <si>
    <t>5,52381/12</t>
  </si>
  <si>
    <t>18,0952/15,619/16</t>
  </si>
  <si>
    <t>Bm9687</t>
  </si>
  <si>
    <t>WBGene00229948</t>
  </si>
  <si>
    <t>Bm10491</t>
  </si>
  <si>
    <t>WBGene00230752</t>
  </si>
  <si>
    <t>Bm3720</t>
  </si>
  <si>
    <t>WBGene00223981</t>
  </si>
  <si>
    <t>GO:0005634/GO:0006260/</t>
  </si>
  <si>
    <t>DNA_replication/nucleus/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</si>
  <si>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
  </si>
  <si>
    <t>IPR007257/IPR021151/IPR036224/</t>
  </si>
  <si>
    <t>DNA_replication_complex_GINS_protein_Psf2/GINS,_helical_bundle-like_domain_superfamily/GINS_subunit,_domain_A/</t>
  </si>
  <si>
    <t>GINS_A/GINS_Psf2/GINS_bundle-like_dom_sf/</t>
  </si>
  <si>
    <t>note=B._malayi_BMA-PSF-2_protein,_contains_similarity_toPfam_domain_PF05916_GINS_complex_protein_containssimilarity_to_Interpro_domains_IPR021151_(GINS_complex),IPR007257_(DNA_replication_complex_GINS_protein_Psf2)</t>
  </si>
  <si>
    <t>7209.EFO13567.2</t>
  </si>
  <si>
    <t>5.6e-74</t>
  </si>
  <si>
    <t>283.9</t>
  </si>
  <si>
    <t>ko:K10733</t>
  </si>
  <si>
    <t>M00286</t>
  </si>
  <si>
    <t>ko00000,ko00002,ko03032</t>
  </si>
  <si>
    <t>1KWPN@119089,39ABE@33154,3BFYM@33208,3D066@33213,40E9N@6231,COG5093@1,KOG4071@2759</t>
  </si>
  <si>
    <t>DNA replication complex GINS protein PSF2</t>
  </si>
  <si>
    <t>40,3141/29,8429</t>
  </si>
  <si>
    <t>40,3141/39,267</t>
  </si>
  <si>
    <t>19,3717/19,3717</t>
  </si>
  <si>
    <t>WBGene00009287</t>
  </si>
  <si>
    <t>35.0785</t>
  </si>
  <si>
    <t>Bm5623</t>
  </si>
  <si>
    <t>WBGene00225884</t>
  </si>
  <si>
    <t>IPR020328/</t>
  </si>
  <si>
    <t>Uncharacterised_protein_family_T05H10.3/</t>
  </si>
  <si>
    <t>Uncharacterised_T05H10.3/</t>
  </si>
  <si>
    <t>7209.EFO25597.1</t>
  </si>
  <si>
    <t>4.3e-45</t>
  </si>
  <si>
    <t>1M07R@119089,3AS4J@33154,3C4EI@33208,3DKPG@33213,40H73@6231,KOG2532@1,KOG2532@2759</t>
  </si>
  <si>
    <t>transmembrane transport</t>
  </si>
  <si>
    <t>Bm9444</t>
  </si>
  <si>
    <t>WBGene00229705</t>
  </si>
  <si>
    <t>40,7035/39,6985/41,206/29,1457</t>
  </si>
  <si>
    <t>Bm9939</t>
  </si>
  <si>
    <t>WBGene00230200</t>
  </si>
  <si>
    <t>9,76431/23,569</t>
  </si>
  <si>
    <t>Bm10170</t>
  </si>
  <si>
    <t>WBGene00230431</t>
  </si>
  <si>
    <t>80,2198/81,3187/78,022</t>
  </si>
  <si>
    <t>Bm9359</t>
  </si>
  <si>
    <t>WBGene00229620</t>
  </si>
  <si>
    <t>Bm8588</t>
  </si>
  <si>
    <t>WBGene00228849</t>
  </si>
  <si>
    <t>28,5714/36,9048</t>
  </si>
  <si>
    <t>Bm3739</t>
  </si>
  <si>
    <t>WBGene00224000</t>
  </si>
  <si>
    <t>GO:0015267/GO:0016020/GO:0016021/GO:0055085/</t>
  </si>
  <si>
    <t>channel_activity/integral_component_of_membrane/membrane/transmembrane_transport/</t>
  </si>
  <si>
    <t>A_lipid_bilayer_along_with_all_the_proteins_and_protein_complexes_embedded_in_it_an_attached_to_it._[GOC:dos,_GOC:mah,_ISBN:0815316194]/"Enables_the_energy-independent_facilitated_diffusion,_mediated_by_passage_of_a_solute_through_a_transmembrane_aqueous_pore_or_channel._Stereospecificity_is_not_exhibited_but_this_transport_may_be_specific_for_a_particular_molecular_species_or_class_of_molecules."_[GOC:mtg_transport,_ISBN:0815340729,_TC:1.-.-.-.-]/"The_component_of_a_membrane_consisting_of_the_gene_products_and_protein_complexes_having_at_least_some_part_of_their_peptide_sequence_embedded_in_the_hydrophobic_region_of_the_membrane."_[GOC:dos,_GOC:go_curators]/"The_process_in_which_a_solute_is_transported_across_a_lipid_bilayer,_from_one_side_of_a_membrane_to_the_other."_[GOC:dph,_GOC:jid]/</t>
  </si>
  <si>
    <t>IPR000425/IPR023271/</t>
  </si>
  <si>
    <t>Aquaporin-like/Major_intrinsic_protein/</t>
  </si>
  <si>
    <t>Aquaporin-like/MIP/</t>
  </si>
  <si>
    <t>note=B._malayi_BMA-AQP-1_protein,_contains_similarity_toPfam_domain_PF00230_Major_intrinsic_protein_containssimilarity_to_Interpro_domains_IPR023271_(Aquaporin-like),IPR000425_(Major_intrinsic_protein)</t>
  </si>
  <si>
    <t>7209.EFO16718.2</t>
  </si>
  <si>
    <t>4.5e-131</t>
  </si>
  <si>
    <t>474.2</t>
  </si>
  <si>
    <t>GO:0002376,GO:0003674,GO:0005215,GO:0005575,GO:0005623,GO:0005886,GO:0006810,GO:0006950,GO:0006952,GO:0006955,GO:0008150,GO:0008643,GO:0009605,GO:0009607,GO:0009617,GO:0015267,GO:0015791,GO:0015793,GO:0015850,GO:0016020,GO:0016323,GO:0022803,GO:0022838,GO:0022857,GO:0042742,GO:0043207,GO:0044425,GO:0044459,GO:0044464,GO:0045087,GO:0050829,GO:0050896,GO:0051179,GO:0051234,GO:0051704,GO:0051707,GO:0055085,GO:0071702,GO:0071944,GO:0098542,GO:0098590</t>
  </si>
  <si>
    <t>ko:K09886</t>
  </si>
  <si>
    <t>1.A.8</t>
  </si>
  <si>
    <t>1KYZK@119089,392UK@33154,3BF70@33208,3CSKK@33213,40G7P@6231,COG0580@1,KOG0224@2759</t>
  </si>
  <si>
    <t>Belongs to the MIP aquaporin (TC 1.A.8) family</t>
  </si>
  <si>
    <t>40,8163/40,4762</t>
  </si>
  <si>
    <t>36,7347/36,0544/36,7347</t>
  </si>
  <si>
    <t>23,4694/10,8844</t>
  </si>
  <si>
    <t>18,7075/15,3061/18,7075/20,4082</t>
  </si>
  <si>
    <t>32,9932/31,6327/19,3878/19,0476/18,7075/19,7279/34,0136</t>
  </si>
  <si>
    <t>32,3129/18,7075/20,4082/17,3469/19,7279/31,2925</t>
  </si>
  <si>
    <t>17,0068/18,3673/34,6939/19,7279/37,7551/20,068/20,7483</t>
  </si>
  <si>
    <t>WBGene00000170</t>
  </si>
  <si>
    <t>40.8163</t>
  </si>
  <si>
    <t>Bm7336</t>
  </si>
  <si>
    <t>WBGene00227597</t>
  </si>
  <si>
    <t>GO:0004430/GO:0046854/</t>
  </si>
  <si>
    <t>1-phosphatidylinositol_4-kinase_activity/phosphatidylinositol_phosphorylation/</t>
  </si>
  <si>
    <t>Catalysis_of_the_reaction:_1-phosphatidyl-1D-myo-inositol_+_ATP_=_1-phosphatidyl-1D-myo-inositol_4-phosphate_+_ADP_+_2_H(+)._[EC:2.7.1.67,_RHEA:19877]/"The_process_of_introducing_one_or_more_phosphate_groups_into_a_phosphatidylinositol,_any_glycerophosphoinositol_having_one_phosphatidyl_group_esterified_to_one_of_the_hydroxy_groups_of_inositol."_[ISBN:0198506732]/</t>
  </si>
  <si>
    <t>IPR000403/IPR039756/</t>
  </si>
  <si>
    <t>Phosphatidylinositol_3-/4-kinase,_catalytic_domain/Type_II_phosphatidylinositol_4-kinase_Lsb6/PI4K2/</t>
  </si>
  <si>
    <t>Lsb6/PI4K2/PI3/4_kinase_cat_dom/</t>
  </si>
  <si>
    <t>note=contains_similarity_to_Pfam_domain_PF00454_Phosphatidylinositol_3-_and_4-kinase_contains_similarity_to_Interpro_domain_IPR000403_(Phosphatidylinositol_3-/4-kinase,_catalytic_domain)</t>
  </si>
  <si>
    <t>7209.EFO20498.1</t>
  </si>
  <si>
    <t>2.5e-226</t>
  </si>
  <si>
    <t>791.2</t>
  </si>
  <si>
    <t>2.7.1.67</t>
  </si>
  <si>
    <t>ko:K13711</t>
  </si>
  <si>
    <t>ko00562,ko01100,ko04070,map00562,map01100,map04070</t>
  </si>
  <si>
    <t>R03361</t>
  </si>
  <si>
    <t>RC00002,RC00078</t>
  </si>
  <si>
    <t>1KVGD@119089,38DFD@33154,3BBVC@33208,3CST8@33213,40CTE@6231,KOG2381@1,KOG2381@2759</t>
  </si>
  <si>
    <t>Phosphatidylinositol 3- and 4-kinase</t>
  </si>
  <si>
    <t>49,4172/34,2657</t>
  </si>
  <si>
    <t>10,9557/22,3776</t>
  </si>
  <si>
    <t>50,5828/41,958</t>
  </si>
  <si>
    <t>12,3543/37,0629/34,7319/35,6643/36,8298/35,6643</t>
  </si>
  <si>
    <t>47,7855/43,5897</t>
  </si>
  <si>
    <t>22,1445/16,0839</t>
  </si>
  <si>
    <t>28,4382/27,2727/25,8741/14,4522/35,1981/28,4382/27,0396/9,32401</t>
  </si>
  <si>
    <t>33,7995/32,4009</t>
  </si>
  <si>
    <t>30,0699/33,7995/34,965/35,6643</t>
  </si>
  <si>
    <t>34,7319/33,3333</t>
  </si>
  <si>
    <t>35,4312/33,1002</t>
  </si>
  <si>
    <t>WBGene00008346</t>
  </si>
  <si>
    <t>43.8228</t>
  </si>
  <si>
    <t>Bm5450</t>
  </si>
  <si>
    <t>WBGene00225711</t>
  </si>
  <si>
    <t>GO:0005267/GO:0006811/GO:0016020/GO:0016021/GO:0071805/</t>
  </si>
  <si>
    <t>integral_component_of_membrane/ion_transport/membrane/potassium_channel_activity/potassium_ion_transmembrane_transport/</t>
  </si>
  <si>
    <t>A_lipid_bilayer_along_with_all_the_proteins_and_protein_complexes_embedded_in_it_an_attached_to_it._[GOC:dos,_GOC:mah,_ISBN:0815316194]/"A_process_in_which_a_potassium_ion_is_transported_from_one_side_of_a_membrane_to_the_other."_[GOC:mah]/"Enables_the_facilitated_diffusion_of_a_potassium_ion_(by_an_energy-independent_process)_involving_passage_through_a_transmembrane_aqueous_pore_or_channel_without_evidence_for_a_carrier-mediated_mechanism."_[GOC:BHF,_GOC:mtg_transport,_GOC:pr,_ISBN:0815340729]/"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
  </si>
  <si>
    <t>note=contains_similarity_to_Pfam_domain_PF07885_Ion_channel_contains_similarity_to_Interpro_domains_IPR003280_(Two_pore_domain_potassium_channel),_IPR013099_(Two_pore_domain_potassium_channel_domain)</t>
  </si>
  <si>
    <t>6326.BUX.s00351.261</t>
  </si>
  <si>
    <t>1.1e-39</t>
  </si>
  <si>
    <t>171.4</t>
  </si>
  <si>
    <t>twk-22</t>
  </si>
  <si>
    <t>1KZ7Z@119089,3AMSN@33154,3C0J8@33208,3DGZJ@33213,40G8D@6231,KOG1418@1,KOG1418@2759</t>
  </si>
  <si>
    <t>21,4015/20,2652</t>
  </si>
  <si>
    <t>WBGene00006674/WBGene00006675</t>
  </si>
  <si>
    <t>21.4015/20.2652</t>
  </si>
  <si>
    <t>Bm8720</t>
  </si>
  <si>
    <t>WBGene00228981</t>
  </si>
  <si>
    <t>GO:0000786/GO:0003677/GO:0005634/GO:0005694/GO:0046982/</t>
  </si>
  <si>
    <t>DNA_binding/chromosome/nucleosome/nucleus/protein_heterodimerization_activity/</t>
  </si>
  <si>
    <t>A_complex_comprised_of_DNA_wound_around_a_multisubunit_core_and_associated_proteins,_which_forms_the_primary_packing_unit_of_DNA_into_higher_order_structures._[GOC:elh]/"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structure_composed_of_a_very_long_molecule_of_DNA_and_associated_proteins_(e.g._histones)_that_carries_hereditary_information."_[ISBN:0198547684]/"Any_molecular_function_by_which_a_gene_product_interacts_selectively_and_non-covalently_with_DNA_(deoxyribonucleic_acid)."_[GOC:dph,_GOC:jl,_GOC:tb,_GOC:vw]/"Interacting_selectively_and_non-covalently_with_a_nonidentical_protein_to_form_a_heterodimer."_[GOC:ai]/</t>
  </si>
  <si>
    <t>IPR000558/IPR007125/IPR009072/</t>
  </si>
  <si>
    <t>Histone-fold/Histone_H2A/H2B/H3/Histone_H2B/</t>
  </si>
  <si>
    <t>note=contains_similarity_to_Pfam_domain_PF00125_Core_histone_H2A/H2B/H3/H4_contains_similarity_to_Interpro_domains_IPR009072_(Histone-fold),_IPR000558_(Histone_H2B),_IPR007125_(Histone_core)</t>
  </si>
  <si>
    <t>7209.EFO14422.1</t>
  </si>
  <si>
    <t>1.7e-37</t>
  </si>
  <si>
    <t>ko:K11252</t>
  </si>
  <si>
    <t>ko05034,ko05203,ko05322,map05034,map05203,map05322</t>
  </si>
  <si>
    <t>1KYVX@119089,3A1HW@33154,3BQEI@33208,3D7NQ@33213,40DMI@6231,KOG1744@1,KOG1744@2759</t>
  </si>
  <si>
    <t>Histone H2B</t>
  </si>
  <si>
    <t>57,5758/28,0303/53,0303/28,7879/25,7576/52,2727/56,0606/62,1212/61,3636/56,0606/23,4848/56,8182/32,5758/48,4848/56,8182/31,8182/56,0606/56,0606/26,5152/53,0303/53,7879</t>
  </si>
  <si>
    <t>58,3333/57,5758/62,8788/55,303/59,8485/46,2121/63,6364/62,8788/59,8485/63,6364/63,6364/62,8788/63,6364/63,6364/63,6364/63,6364/58,3333/62,8788/59,0909/58,3333/61,3636</t>
  </si>
  <si>
    <t>63,6364/63,6364/63,6364/63,6364/63,6364/63,6364/63,6364/63,6364/63,6364/63,6364/63,6364/63,6364/63,6364/63,6364/63,6364/63,6364/63,6364/63,6364/63,6364/63,6364/63,6364/63,6364/63,6364</t>
  </si>
  <si>
    <t>35,6061/40,9091</t>
  </si>
  <si>
    <t>62,1212/62,1212/62,1212/62,1212/62,1212/62,1212/62,1212/62,1212/62,1212/63,6364/63,6364/62,1212/62,8788/62,1212/61,3636/63,6364/62,1212/62,1212/46,9697/62,1212/62,1212/64,3939/62,1212/62,1212/62,1212/62,1212/62,1212/63,6364/62,1212/62,1212/62,1212/62,1212/62,1212/63,6364/62,8788/62,8788/63,6364</t>
  </si>
  <si>
    <t>59,8485/59,8485</t>
  </si>
  <si>
    <t>Bm14782</t>
  </si>
  <si>
    <t>WBGene00234967</t>
  </si>
  <si>
    <t>GO:0003824/GO:0004555/GO:0005991/</t>
  </si>
  <si>
    <t>alpha,alpha-trehalase_activity/catalytic_activity/trehalose_metabolic_process/</t>
  </si>
  <si>
    <t>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Catalysis_of_the_reaction:_alpha,alpha-trehalose_+_H2O_=_2_D-glucose."_[EC:3.2.1.28]/"The_chemical_reactions_and_pathways_involving_trehalose,_a_disaccharide_isomeric_with_sucrose_and_obtained_from_certain_lichens_and_fungi."_[GOC:jl,_ISBN:0028623819]/</t>
  </si>
  <si>
    <t>IPR001661/IPR008928/IPR012341/</t>
  </si>
  <si>
    <t>Glycoside_hydrolase,_family_37/Six-hairpin_glycosidase-like_superfamily/Six-hairpin_glycosidase_superfamily/</t>
  </si>
  <si>
    <t>6-hairpin_glycosidase_sf/6hp_glycosidase-like_sf/Glyco_hydro_37/</t>
  </si>
  <si>
    <t>7209.EFO15755.1</t>
  </si>
  <si>
    <t>2.8e-22</t>
  </si>
  <si>
    <t>111.3</t>
  </si>
  <si>
    <t>Bm1172</t>
  </si>
  <si>
    <t>WBGene00221433</t>
  </si>
  <si>
    <t>Bm13734</t>
  </si>
  <si>
    <t>WBGene00233995</t>
  </si>
  <si>
    <t>GO:0000166/GO:0003677/GO:0003688/GO:0004386/GO:0005524/GO:0005634/GO:0006260/GO:0006270/GO:0016787/GO:0042555/</t>
  </si>
  <si>
    <t>ATP_binding/DNA_binding/DNA_replication/DNA_replication_initiation/DNA_replication_origin_binding/MCM_complex/helicase_activity/hydrolase_activity/nucleotide_binding/nucleus/</t>
  </si>
  <si>
    <t>A_hexameric_protein_complex_required_for_the_initiation_and_regulation_of_DNA_replication._[GOC:jl,_PMID:11282021]/"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Catalysis_of_the_hydrolysis_of_various_bonds,_e.g._C-O,_C-N,_C-C,_phosphoric_anhydride_bonds,_etc._Hydrolase_is_the_systematic_name_for_any_enzyme_of_EC_class_3."_[ISBN:0198506732]/"Catalysis_of_the_reaction:_NTP_+_H2O_=_NDP_+_phosphate,_to_drive_the_unwinding_of_a_DNA_or_RNA_helix."_[GOC:mah,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the_DNA_replication_origin,_a_unique_DNA_sequence_of_a_replicon_at_which_DNA_replication_is_initiated_and_proceeds_bidirectionally_or_unidirectionally."_[GOC:curators]/"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he_process_in_which_DNA-dependent_DNA_replication_is_started;_this_begins_with_the_ATP_dependent_loading_of_an_initiator_complex_onto_the_DNA,_this_is_followed_by_DNA_melting_and_helicase_activity._In_bacteria,_the_gene_products_that_enable_the_helicase_activity_are_loaded_after_the_initial_melting_and_in_archaea_and_eukaryotes,_the_gene_products_that_enable_the_helicase_activity_are_inactive_when_they_are_loaded_and_subsequently_activate."_[ISBN:071673706X,_ISBN:0815316194,_PMID:28209641]/</t>
  </si>
  <si>
    <t>IPR001208/IPR008048/IPR012340/IPR018525/IPR027417/IPR027925/IPR031327/IPR033762/IPR041562/</t>
  </si>
  <si>
    <t>DNA_replication_licensing_factor_Mcm5/MCM,_AAA-lid_domain/MCM_N-terminal_domain/MCM_OB_domain/MCM_domain/Mini-chromosome_maintenance,_conserved_site/Mini-chromosome_maintenance_protein/Nucleic_acid-binding,_OB-fold/P-loop_containing_nucleoside_triphosphate_hydrolase/</t>
  </si>
  <si>
    <t>MCM/MCM5/MCM_CS/MCM_N/MCM_OB/MCM_dom/MCM_lid/NA-bd_OB-fold/P-loop_NTPase/</t>
  </si>
  <si>
    <t>note=B._malayi_BMA-MCM-5_protein,_contains_similarity_toPfam_domains_PF00493_(MCM2/3/5_family),_PF14551_(MCMN-terminal_domain)_contains_similarity_to_Interpro_domainsIPR027925_(MCM_N-terminal_domain),_IPR012340_(Nucleicacid-binding,_OB-fold),_IPR027417_(P-loop_containingnucleoside_triphosphate_hydrolase),_IPR008048_(DNAreplication_licensing_factor_Mcm),_IPR001208(Mini-chromosome_maintenance,_DNA-dependent_ATPase)</t>
  </si>
  <si>
    <t>7209.EFO16683.1</t>
  </si>
  <si>
    <t>1182.9</t>
  </si>
  <si>
    <t>ko:K02209</t>
  </si>
  <si>
    <t>1KXME@119089,38CHZ@33154,3BDQX@33208,3D1W6@33213,40B1T@6231,COG1241@1,KOG0481@2759</t>
  </si>
  <si>
    <t>29,5393/49,187</t>
  </si>
  <si>
    <t>63,2791/22,6287/63,4146</t>
  </si>
  <si>
    <t>WBGene00003157</t>
  </si>
  <si>
    <t>68.4282</t>
  </si>
  <si>
    <t>Bm4058</t>
  </si>
  <si>
    <t>WBGene00224319</t>
  </si>
  <si>
    <t>GO:0008356/</t>
  </si>
  <si>
    <t>asymmetric_cell_division/</t>
  </si>
  <si>
    <t>The_asymmetric_division_of_cells_to_produce_two_daughter_cells_with_different_developmental_potentials._It_is_of_fundamental_significance_for_the_generation_of_cell_diversity._[PMID:11672519]/</t>
  </si>
  <si>
    <t>IPR011989/IPR016024/IPR039921/</t>
  </si>
  <si>
    <t>Armadillo-like_helical/Armadillo-type_fold/Inscuteable/</t>
  </si>
  <si>
    <t>ARM-like/ARM-type_fold/Inscuteable/</t>
  </si>
  <si>
    <t>note=B._malayi_BMA-INSC-1_protein,_contains_similarity_to_Interpro_domains_IPR011989_(Armadillo-like_helical),_IPR016024_(Armadillo-type_fold)</t>
  </si>
  <si>
    <t>7209.EFO23071.1</t>
  </si>
  <si>
    <t>4.9e-301</t>
  </si>
  <si>
    <t>1040.4</t>
  </si>
  <si>
    <t>1KVRB@119089,2AVS7@1,2RZX0@2759,3A2DM@33154,3BQAH@33208,3D7HJ@33213,40DEW@6231</t>
  </si>
  <si>
    <t>WBGene00018392</t>
  </si>
  <si>
    <t>20.815</t>
  </si>
  <si>
    <t>Bm7449</t>
  </si>
  <si>
    <t>WBGene00227710</t>
  </si>
  <si>
    <t>IPR006640/IPR035240/</t>
  </si>
  <si>
    <t>SprT-like/SprT-like,_zinc_ribbon_domain/</t>
  </si>
  <si>
    <t>SprT-like_domain/SprT_Zn_ribbon/</t>
  </si>
  <si>
    <t>note=contains_similarity_to_Pfam_domain_PF10263_SprT-like_family_contains_similarity_to_Interpro_domain_IPR006640_(Domain_of_unknown_function_SprT-like)</t>
  </si>
  <si>
    <t>7209.EFO24227.2</t>
  </si>
  <si>
    <t>3.5e-217</t>
  </si>
  <si>
    <t>761.1</t>
  </si>
  <si>
    <t>GO:0000003,GO:0000280,GO:0000793,GO:0005575,GO:0005622,GO:0005623,GO:0005694,GO:0006996,GO:0007049,GO:0007059,GO:0008150,GO:0009987,GO:0016043,GO:0022402,GO:0022414,GO:0043226,GO:0043228,GO:0043229,GO:0043232,GO:0044424,GO:0044464,GO:0045132,GO:0048285,GO:0051321,GO:0071840,GO:0098813,GO:0140013,GO:1903046</t>
  </si>
  <si>
    <t>1KWG9@119089,39RR1@33154,3BGBE@33208,3CSN1@33213,40EC8@6231,KOG3854@1,KOG3854@2759</t>
  </si>
  <si>
    <t>SprT homologues.</t>
  </si>
  <si>
    <t>12,973/18,1982/13,1532</t>
  </si>
  <si>
    <t>WBGene00022694</t>
  </si>
  <si>
    <t>24.1441</t>
  </si>
  <si>
    <t>Bm10330</t>
  </si>
  <si>
    <t>WBGene00230591</t>
  </si>
  <si>
    <t>78,1582/38,4888</t>
  </si>
  <si>
    <t>28,4534/45,5726</t>
  </si>
  <si>
    <t>16,4109/13,1051</t>
  </si>
  <si>
    <t>Bm17438</t>
  </si>
  <si>
    <t>WBGene00268581</t>
  </si>
  <si>
    <t>35,4098/53,4426</t>
  </si>
  <si>
    <t>53,7705/33,4426/28,8525/54,4262/53,4426/51,4754</t>
  </si>
  <si>
    <t>Bm17552</t>
  </si>
  <si>
    <t>WBGene00268695</t>
  </si>
  <si>
    <t>1561998.Csp11.Scaffold500.g2284.t1</t>
  </si>
  <si>
    <t>4.2e-35</t>
  </si>
  <si>
    <t>1M0AP@119089,2EVFA@1,2SXF3@2759,3AVV8@33154,3C47K@33208,3DJ9M@33213,40HH6@6231,40VKA@6236</t>
  </si>
  <si>
    <t>WBGene00020009</t>
  </si>
  <si>
    <t>10.5033</t>
  </si>
  <si>
    <t>Bm6288</t>
  </si>
  <si>
    <t>WBGene00226549</t>
  </si>
  <si>
    <t>IPR001247/IPR020568/IPR027408/IPR036345/</t>
  </si>
  <si>
    <t>Exoribonuclease,_PH_domain_2_superfamily/Exoribonuclease,_phosphorolytic_domain_1/PNPase/RNase_PH_domain_superfamily/Ribosomal_protein_S5_domain_2-type_fold/</t>
  </si>
  <si>
    <t>ExoRNase_PH_dom1/ExoRNase_PH_dom2_sf/PNPase/RNase_PH_dom_sf/Ribosomal_S5_D2-typ_fold/</t>
  </si>
  <si>
    <t>note=B._malayi_BMA-EXOS-4.2_protein,_contains_similarityto_Pfam_domain_PF01138_3'_exoribonuclease_family,_domain_1contains_similarity_to_Interpro_domains_IPR015847(Exoribonuclease,_phosphorolytic_domain_2),_IPR001247(Exoribonuclease,_phosphorolytic_domain_1),_IPR020568(Ribosomal_protein_S5_domain_2-type_fold),_IPR027408(PNPase/RNase_PH_domain)</t>
  </si>
  <si>
    <t>7209.EFO23181.1</t>
  </si>
  <si>
    <t>4.6e-109</t>
  </si>
  <si>
    <t>401.0</t>
  </si>
  <si>
    <t>ko:K12587</t>
  </si>
  <si>
    <t>M00391</t>
  </si>
  <si>
    <t>ko00000,ko00001,ko00002,ko03019</t>
  </si>
  <si>
    <t>1M01G@119089,39XUC@33154,3BM1N@33208,3D57D@33213,40QZG@6231,COG0689@1,KOG1068@2759</t>
  </si>
  <si>
    <t>3' exoribonuclease family, domain 1</t>
  </si>
  <si>
    <t>22,7437/23,8267</t>
  </si>
  <si>
    <t>WBGene00000202</t>
  </si>
  <si>
    <t>24.9097</t>
  </si>
  <si>
    <t>Bm17432</t>
  </si>
  <si>
    <t>WBGene00268575</t>
  </si>
  <si>
    <t>30,7065/46,1957</t>
  </si>
  <si>
    <t>47,5543/28,2609/25/47,5543/46,7391/46,1957</t>
  </si>
  <si>
    <t>Bm8795</t>
  </si>
  <si>
    <t>WBGene00229056</t>
  </si>
  <si>
    <t>GO:0007076/</t>
  </si>
  <si>
    <t>mitotic_chromosome_condensation/</t>
  </si>
  <si>
    <t>The_cell_cycle_process_in_which_chromatin_structure_is_compacted_prior_to_and_during_mitosis_in_eukaryotic_cells._[GOC:mah,_ISBN:0815316194]/</t>
  </si>
  <si>
    <t>IPR011989/IPR016024/IPR026971/IPR032682/</t>
  </si>
  <si>
    <t>Armadillo-like_helical/Armadillo-type_fold/Condensin_complex_subunit_1,_C-terminal/Condensin_subunit_1/Condensin-2_complex_subunit_D3/</t>
  </si>
  <si>
    <t>ARM-like/ARM-type_fold/CND1/NCAPD3/Cnd1_C/</t>
  </si>
  <si>
    <t>note=B._malayi_BMA-HCP-6_protein,_contains_similarity_toPfam_domain_PF12717_non-SMC_mitotic_condensation_complexsubunit_1_contains_similarity_to_Interpro_domainsIPR011989_(Armadillo-like_helical),_IPR026971_(Condensinsubunit_1/Condensin-2_complex_subunit_D3),_IPR016024(Armadillo-type_fold)</t>
  </si>
  <si>
    <t>7209.EFO23042.1</t>
  </si>
  <si>
    <t>1529.2</t>
  </si>
  <si>
    <t>GO:0000070,GO:0000278,GO:0000280,GO:0000775,GO:0000779,GO:0000793,GO:0000796,GO:0000819,GO:0005575,GO:0005622,GO:0005623,GO:0005634,GO:0005654,GO:0005694,GO:0006323,GO:0006996,GO:0007049,GO:0007059,GO:0007076,GO:0007080,GO:0007275,GO:0008150,GO:0008608,GO:0009790,GO:0009792,GO:0009987,GO:0016043,GO:0022402,GO:0030261,GO:0031974,GO:0031981,GO:0032501,GO:0032502,GO:0032991,GO:0043226,GO:0043227,GO:0043228,GO:0043229,GO:0043231,GO:0043232,GO:0043233,GO:0044422,GO:0044424,GO:0044427,GO:0044428,GO:0044446,GO:0044464,GO:0044815,GO:0048285,GO:0048856,GO:0050000,GO:0051179,GO:0051234,GO:0051276,GO:0051303,GO:0051310,GO:0051315,GO:0051640,GO:0051641,GO:0051649,GO:0051656,GO:0070013,GO:0071103,GO:0071840,GO:0098687,GO:0098813,GO:0140014,GO:1903047</t>
  </si>
  <si>
    <t>ko:K11491</t>
  </si>
  <si>
    <t>1KW2M@119089,38FP5@33154,3BHY4@33208,3CW91@33213,40DP4@6231,KOG0413@1,KOG0413@2759</t>
  </si>
  <si>
    <t>meiotic chromosome condensation</t>
  </si>
  <si>
    <t>34/17,25</t>
  </si>
  <si>
    <t>20,625/20,1875</t>
  </si>
  <si>
    <t>19,5/10,875/19,3125</t>
  </si>
  <si>
    <t>WBGene00001833</t>
  </si>
  <si>
    <t>19.8125</t>
  </si>
  <si>
    <t>Bm6195</t>
  </si>
  <si>
    <t>WBGene00226456</t>
  </si>
  <si>
    <t>Bm17608</t>
  </si>
  <si>
    <t>WBGene00268750</t>
  </si>
  <si>
    <t>14,3813/35,786</t>
  </si>
  <si>
    <t>Bm17386</t>
  </si>
  <si>
    <t>WBGene00268529</t>
  </si>
  <si>
    <t>Bm5591</t>
  </si>
  <si>
    <t>WBGene00225852</t>
  </si>
  <si>
    <t>7209.EFO27792.2</t>
  </si>
  <si>
    <t>2.7e-177</t>
  </si>
  <si>
    <t>GO:0000003,GO:0000226,GO:0000278,GO:0000578,GO:0001556,GO:0001932,GO:0001934,GO:0003002,GO:0003006,GO:0003674,GO:0003824,GO:0004672,GO:0004674,GO:0004693,GO:0005488,GO:0005515,GO:0005575,GO:0005622,GO:0005623,GO:0005634,GO:0005737,GO:0005819,GO:0005856,GO:0006139,GO:0006259,GO:0006281,GO:0006325,GO:0006464,GO:0006468,GO:0006725,GO:0006793,GO:0006796,GO:0006807,GO:0006950,GO:0006974,GO:0006996,GO:0007010,GO:0007017,GO:0007049,GO:0007275,GO:0007276,GO:0007281,GO:0007292,GO:0007346,GO:0007350,GO:0007351,GO:0007389,GO:0008150,GO:0008152,GO:0008595,GO:0009790,GO:0009798,GO:0009880,GO:0009893,GO:0009894,GO:0009896,GO:0009948,GO:0009952,GO:0009987,GO:0009994,GO:0010468,GO:0010562,GO:0010564,GO:0010604,GO:0010638,GO:0015630,GO:0016043,GO:0016301,GO:0016310,GO:0016569,GO:0016570,GO:0016572,GO:0016740,GO:0016772,GO:0016773,GO:0019220,GO:0019222,GO:0019538,GO:0019899,GO:0019900,GO:0019901,GO:0019953,GO:0021700,GO:0022402,GO:0022412,GO:0022414,GO:0030154,GO:0030162,GO:0031323,GO:0031325,GO:0031329,GO:0031331,GO:0031399,GO:0031401,GO:0032268,GO:0032270,GO:0032434,GO:0032436,GO:0032501,GO:0032502,GO:0032504,GO:0033043,GO:0033554,GO:0033674,GO:0034641,GO:0035282,GO:0036211,GO:0040020,GO:0042176,GO:0042325,GO:0042327,GO:0043085,GO:0043170,GO:0043226,GO:0043227,GO:0043228,GO:0043229,GO:0043231,GO:0043232,GO:0043412,GO:0043549,GO:0044093,GO:0044237,GO:0044238,GO:0044260,GO:0044267,GO:0044422,GO:0044424,GO:0044430,GO:0044446,GO:0044464,GO:0044703,GO:0044770,GO:0044772,GO:0045732,GO:0045787,GO:0045836,GO:0045859,GO:0045860,GO:0045862,GO:0045937,GO:0046483,GO:0048468,GO:0048469,GO:0048477,GO:0048518,GO:0048522,GO:0048599,GO:0048609,GO:0048856,GO:0048869,GO:0050789,GO:0050790,GO:0050794,GO:0050896,GO:0051128,GO:0051130,GO:0051171,GO:0051173,GO:0051174,GO:0051246,GO:0051247,GO:0051276,GO:0051301,GO:0051321,GO:0051338,GO:0051347,GO:0051445,GO:0051446,GO:0051704,GO:0051716,GO:0051726,GO:0051783,GO:0051785,GO:0060255,GO:0061136,GO:0065007,GO:0065009,GO:0071695,GO:0071704,GO:0071840,GO:0071900,GO:0071902,GO:0072686,GO:0080090,GO:0090068,GO:0090304,GO:0097472,GO:0140096,GO:1901360,GO:1901564,GO:1901800,GO:1903047,GO:1903050,GO:1903052,GO:1903362,GO:1903364,GO:2000058,GO:2000060,GO:2000241,GO:2000243</t>
  </si>
  <si>
    <t>2.7.11.22,2.7.11.23</t>
  </si>
  <si>
    <t>ko:K02087</t>
  </si>
  <si>
    <t>ko04110,ko04114,ko04115,ko04218,ko04540,ko04914,ko05168,ko05169,ko05203,map04110,map04114,map04115,map04218,map04540,map04914,map05168,map05169,map05203</t>
  </si>
  <si>
    <t>ko00000,ko00001,ko00002,ko01000,ko01001,ko03032,ko03036,ko04147</t>
  </si>
  <si>
    <t>44,0625/68,4375</t>
  </si>
  <si>
    <t>52,8125/60,625</t>
  </si>
  <si>
    <t>66,5625/66,5625</t>
  </si>
  <si>
    <t>56,5625/66,25</t>
  </si>
  <si>
    <t>16,875/53,125</t>
  </si>
  <si>
    <t>55,625/54,375/41,875/54,375/54,375/41,5625</t>
  </si>
  <si>
    <t>34,375/11,875/51,25/46,875/46,875/39,6875/18,4375/38,125/26,875/36,875/41,5625/48,125/48,75/38,75/38,125/38,4375/30,625/20/25/25,3125/39,6875/27,5/50,3125</t>
  </si>
  <si>
    <t>60,9375/55,625</t>
  </si>
  <si>
    <t>64.6875</t>
  </si>
  <si>
    <t>Bm8589</t>
  </si>
  <si>
    <t>WBGene00228850</t>
  </si>
  <si>
    <t>GO:0000226/GO:0000922/GO:0005737/GO:0005815/GO:0005856/GO:0005874/GO:0007020/GO:0043015/</t>
  </si>
  <si>
    <t>cytoplasm/cytoskeleton/gamma-tubulin_binding/microtubule/microtubule_cytoskeleton_organization/microtubule_nucleation/microtubule_organizing_center/spindle_pole/</t>
  </si>
  <si>
    <t>A_process_that_is_carried_out_at_the_cellular_level_which_results_in_the_assembly,_arrangement_of_constituent_parts,_or_disassembly_of_cytoskeletal_structures_comprising_microtubules_and_their_associated_proteins._[GOC:mah]/"All_of_the_contents_of_a_cell_excluding_the_plasma_membrane_and_nucleus,_but_including_other_subcellular_structures."_[ISBN:0198547684]/"An_intracellular_structure_that_can_catalyze_gamma-tubulin-dependent_microtubule_nucleation_and_that_can_anchor_microtubules_by_interacting_with_their_minus_ends,_plus_ends_or_sides."_[GOC:vw,_http://en.wikipedia.org/wiki/Microtubule_organizing_center,_ISBN:0815316194,_PMID:17072892,_PMID:17245416]/"Any_of_the_long,_generally_straight,_hollow_tubes_of_internal_diameter_12-15_nm_and_external_diameter_24_nm_found_in_a_wide_variety_of_eukaryotic_cells;_each_consists_(usually)_of_13_protofilaments_of_polymeric_tubulin,_staggered_in_such_a_manner_that_the_tubulin_monomers_are_arranged_in_a_helical_pattern_on_the_microtubular_surface,_and_with_the_alpha/beta_axes_of_the_tubulin_subunits_parallel_to_the_long_axis_of_the_tubule;_exist_in_equilibrium_with_pool_of_tubulin_monomers_and_can_be_rapidly_assembled_or_disassembled_in_response_to_physiological_stimuli;_concerned_with_force_generation,_e.g._in_the_spindle."_[ISBN:0879693568]/"Any_of_the_various_filamentous_elements_that_form_the_internal_framework_of_cells,_and_typically_remain_after_treatment_of_the_cells_with_mild_detergent_to_remove_membrane_constituents_and_soluble_components_of_the_cytoplasm._The_term_embraces_intermediate_filaments,_microfilaments,_microtubules,_the_microtrabecular_lattice,_and_other_structures_characterized_by_a_polymeric_filamentous_nature_and_long-range_order_within_the_cell._The_various_elements_of_the_cytoskeleton_not_only_serve_in_the_maintenance_of_cellular_shape_but_also_have_roles_in_other_cellular_functions,_including_cellular_movement,_cell_division,_endocytosis,_and_movement_of_organelles."_[GOC:mah,_ISBN:0198547684,_PMID:16959967]/"Either_of_the_ends_of_a_spindle,_where_spindle_microtubules_are_organized;_usually_contains_a_microtubule_organizing_center_and_accessory_molecules,_spindle_microtubules_and_astral_microtubules."_[GOC:clt]/"Interacting_selectively_and_non-covalently_with_the_microtubule_constituent_protein_gamma-tubulin."_[GOC:jl]/"The_process_in_which_tubulin_alpha-beta_heterodimers_begin_aggregation_to_form_an_oligomeric_tubulin_structure_(a_microtubule_seed)._Microtubule_nucleation_is_the_initiating_step_in_the_formation_of_a_microtubule_in_the_absence_of_any_existing_microtubules_('de_novo'_microtubule_formation)."_[GOC:go_curators,_ISBN:0815316194,_PMID:12517712]/</t>
  </si>
  <si>
    <t>IPR007259/IPR040457/</t>
  </si>
  <si>
    <t>Gamma-tubulin_complex_component_protein/Gamma_tubulin_complex_component,_C-terminal/</t>
  </si>
  <si>
    <t>GCP/GCP_C/</t>
  </si>
  <si>
    <t>note=contains_similarity_to_Pfam_domain_PF04130_Spc97_/_Spc98_family_contains_similarity_to_Interpro_domain_IPR007259_(Gamma-tubulin_complex_component_protein)</t>
  </si>
  <si>
    <t>109760.SPPG_04274T1</t>
  </si>
  <si>
    <t>4e-07</t>
  </si>
  <si>
    <t>Fungi</t>
  </si>
  <si>
    <t>38ERM@33154,3NWHZ@4751,KOG4344@1,KOG4344@2759</t>
  </si>
  <si>
    <t>Spindle pole body component</t>
  </si>
  <si>
    <t>60,7101/17,1598</t>
  </si>
  <si>
    <t>11,4793/59,0533</t>
  </si>
  <si>
    <t>Bm9335</t>
  </si>
  <si>
    <t>WBGene00229596</t>
  </si>
  <si>
    <t>46,8148/22,8148</t>
  </si>
  <si>
    <t>Bm5253</t>
  </si>
  <si>
    <t>WBGene00225514</t>
  </si>
  <si>
    <t>GO:0004672/GO:0005524/GO:0006468/GO:0007094/</t>
  </si>
  <si>
    <t>ATP_binding/mitotic_spindle_assembly_checkpoint/protein_kinase_activity/protein_phosphorylation/</t>
  </si>
  <si>
    <t>A_cell_cycle_checkpoint_that_delays_the_metaphase/anaphase_transition_of_a_mitotic_nuclear_division_until_the_spindle_is_correctly_assembled_and_chromosomes_are_attached_to_the_spindle._[GOC:mtg_cell_cycle,_PMID:12360190]/"Catalysis_of_the_phosphorylation_of_an_amino_acid_residue_in_a_protein,_usually_according_to_the_reaction:_a_protein_+_ATP_=_a_phosphoprotein_+_ADP."_[MetaCyc:PROTEIN-KINASE-RXN]/"Interacting_selectively_and_non-covalently_with_ATP,_adenosine_5'-triphosphate,_a_universally_important_coenzyme_and_enzyme_regulator."_[ISBN:0198506732]/"The_process_of_introducing_a_phosphate_group_on_to_a_protein."_[GOC:hb]/</t>
  </si>
  <si>
    <t>IPR000719/IPR008271/IPR011009/IPR013212/IPR015661/IPR017441/</t>
  </si>
  <si>
    <t>Mad3/Bub1_homology_region_1/Mitotic_spindle_checkpoint_protein_Bub1/Mad3/Protein_kinase,_ATP_binding_site/Protein_kinase-like_domain_superfamily/Protein_kinase_domain/Serine/threonine-protein_kinase,_active_site/</t>
  </si>
  <si>
    <t>Bub1/Mad3/Kinase-like_dom_sf/Mad3/Bub1_I/Prot_kinase_dom/Protein_kinase_ATP_BS/Ser/Thr_kinase_AS/</t>
  </si>
  <si>
    <t>note=B._malayi_BMA-BUB-1_protein,_contains_similarity_toPfam_domain_PF00069_Protein_kinase_domain_containssimilarity_to_Interpro_domains_IPR015661_(Mitoticcheckpoint_serine/threonine_protein_kinase_Bub1/Mitoticspindle_checkpoint_component_Mad3),_IPR002290(Serine/threonine/dual_specificity_protein_kinase,catalytic_domain),_IPR011009_(Protein_kinase-like_domain),IPR000719_(Protein_kinase_domain)</t>
  </si>
  <si>
    <t>7209.EFO27664.2</t>
  </si>
  <si>
    <t>1233.0</t>
  </si>
  <si>
    <t>GO:0000003,GO:0000212,GO:0000226,GO:0000280,GO:0000775,GO:0000776,GO:0003006,GO:0003674,GO:0005488,GO:0005515,GO:0005575,GO:0005622,GO:0005623,GO:0005694,GO:0006996,GO:0007010,GO:0007017,GO:0007049,GO:0007051,GO:0007059,GO:0007275,GO:0007399,GO:0007548,GO:0008104,GO:0008150,GO:0008406,GO:0008608,GO:0009653,GO:0009790,GO:0009987,GO:0016043,GO:0022008,GO:0022402,GO:0022414,GO:0022607,GO:0030154,GO:0030182,GO:0032501,GO:0032502,GO:0032879,GO:0032880,GO:0032991,GO:0033036,GO:0033365,GO:0034501,GO:0034502,GO:0034508,GO:0034613,GO:0034622,GO:0043226,GO:0043228,GO:0043229,GO:0043232,GO:0043933,GO:0044085,GO:0044422,GO:0044424,GO:0044427,GO:0044446,GO:0044464,GO:0045132,GO:0045137,GO:0048285,GO:0048468,GO:0048513,GO:0048518,GO:0048598,GO:0048608,GO:0048666,GO:0048699,GO:0048731,GO:0048856,GO:0048869,GO:0050789,GO:0051179,GO:0051225,GO:0051255,GO:0051257,GO:0051276,GO:0051301,GO:0051304,GO:0051307,GO:0051316,GO:0051321,GO:0051382,GO:0051383,GO:0051641,GO:0060341,GO:0061458,GO:0065003,GO:0065004,GO:0065007,GO:0070727,GO:0070925,GO:0071459,GO:0071824,GO:0071840,GO:0098687,GO:0098813,GO:0140013,GO:1903046,GO:1903394,GO:1903827,GO:1903829,GO:1905340,GO:1905342</t>
  </si>
  <si>
    <t>ko:K02178</t>
  </si>
  <si>
    <t>ko04110,ko04111,ko04113,ko04114,ko04914,map04110,map04111,map04113,map04114,map04914</t>
  </si>
  <si>
    <t>1KY0P@119089,38DN1@33154,3BDSC@33208,3CVR6@33213,40F0C@6231,KOG1166@1,KOG1166@2759</t>
  </si>
  <si>
    <t>73,5141/73,5141</t>
  </si>
  <si>
    <t>21,4807/15,7456</t>
  </si>
  <si>
    <t>14,2857/15,8498</t>
  </si>
  <si>
    <t>WBGene00000275</t>
  </si>
  <si>
    <t>21.1679</t>
  </si>
  <si>
    <t>Bm8162</t>
  </si>
  <si>
    <t>WBGene00228423</t>
  </si>
  <si>
    <t>Bm4888</t>
  </si>
  <si>
    <t>WBGene00225149</t>
  </si>
  <si>
    <t>IPR000008/IPR028928/IPR035892/</t>
  </si>
  <si>
    <t>C2_domain/C2_domain_superfamily/CC2D2A,_N-terminal,_C2_domain/</t>
  </si>
  <si>
    <t>C2_dom/C2_domain_sf/CC2D2AN-C2/</t>
  </si>
  <si>
    <t>7209.EFO17718.2</t>
  </si>
  <si>
    <t>1382.5</t>
  </si>
  <si>
    <t>GO:0005575,GO:0005623,GO:0005929,GO:0006996,GO:0008104,GO:0008150,GO:0009987,GO:0016043,GO:0022607,GO:0030030,GO:0030031,GO:0030425,GO:0033036,GO:0033365,GO:0034613,GO:0035869,GO:0036477,GO:0042995,GO:0043005,GO:0043226,GO:0044085,GO:0044292,GO:0044422,GO:0044441,GO:0044463,GO:0044464,GO:0044782,GO:0051179,GO:0051641,GO:0060271,GO:0061512,GO:0070727,GO:0070925,GO:0071840,GO:0097447,GO:0097458,GO:0120025,GO:0120031,GO:0120036,GO:0120038,GO:1904491,GO:1905515</t>
  </si>
  <si>
    <t>ko:K19352</t>
  </si>
  <si>
    <t>1KY1A@119089,38EN1@33154,3BDAM@33208,3CZMM@33213,40FH9@6231,KOG3639@1,KOG3639@2759</t>
  </si>
  <si>
    <t>CC2D2A N-terminal C2 domain</t>
  </si>
  <si>
    <t>12,3401/16,7795</t>
  </si>
  <si>
    <t>10,158/17,3815</t>
  </si>
  <si>
    <t>19,8646/18,3597</t>
  </si>
  <si>
    <t>WBGene00010642</t>
  </si>
  <si>
    <t>19.8646</t>
  </si>
  <si>
    <t>Bm10815</t>
  </si>
  <si>
    <t>WBGene00231076</t>
  </si>
  <si>
    <t>13,1175/47,1891</t>
  </si>
  <si>
    <t>39,0119/11,7547</t>
  </si>
  <si>
    <t>Bm17691</t>
  </si>
  <si>
    <t>WBGene00268833</t>
  </si>
  <si>
    <t>96.7</t>
  </si>
  <si>
    <t>Bm17614</t>
  </si>
  <si>
    <t>WBGene00268756</t>
  </si>
  <si>
    <t>9.1e-07</t>
  </si>
  <si>
    <t>15,3061/36,7347</t>
  </si>
  <si>
    <t>Bm10900</t>
  </si>
  <si>
    <t>WBGene00231161</t>
  </si>
  <si>
    <t>GO:0016020/GO:0016021/GO:0036444/GO:0051560/GO:1990246/</t>
  </si>
  <si>
    <t>calcium_import_into_the_mitochondrion/integral_component_of_membrane/membrane/mitochondrial_calcium_ion_homeostasis/uniplex_complex/</t>
  </si>
  <si>
    <t>A_calcium_channel_complex_in_the_mitochondrial_inner_membrane_capable_of_highly-selective_calcium_channel_activity._Its_components_include_the_EF-hand-containing_proteins_mitochondrial_calcium_uptake_1_(MICU1)_and_MICU2,_the_pore-forming_subunit_mitochondrial_calcium_uniporter_(MCU)_and_its_paralog_MCUb,_and_the_MCU_regulator_EMRE._[PMID:24231807]/"A_lipid_bilayer_along_with_all_the_proteins_and_protein_complexes_embedded_in_it_an_attached_to_it."_[GOC:dos,_GOC:mah,_ISBN:0815316194]/"A_process_in_which_a_calcium_ion_(Ca2+)_is_transported_from_the_cytosol,_into_the_mitochondrial_matrix."_[GOC:vw]/"Any_process_involved_in_the_maintenance_of_an_internal_steady_state_of_calcium_ions_within_the_cytoplasm_of_a_cell_or_between_mitochondria_and_their_surroundings."_[GOC:ai,_GOC:mah]/"The_component_of_a_membrane_consisting_of_the_gene_products_and_protein_complexes_having_at_least_some_part_of_their_peptide_sequence_embedded_in_the_hydrophobic_region_of_the_membrane."_[GOC:dos,_GOC:go_curators]/</t>
  </si>
  <si>
    <t>IPR018782/</t>
  </si>
  <si>
    <t>Essential_MCU_regulator,_mitochondrial/</t>
  </si>
  <si>
    <t>MCU_reg/</t>
  </si>
  <si>
    <t>note=contains_similarity_to_Pfam_domain_PF10161_Putativemitochondrial_precursor_protein_contains_similarity_toInterpro_domain_IPR018782_(Uncharacterised_protein_familyUPF0466)</t>
  </si>
  <si>
    <t>Bm9220</t>
  </si>
  <si>
    <t>WBGene00229481</t>
  </si>
  <si>
    <t>IPR011990/IPR013026/IPR019734/IPR041617/</t>
  </si>
  <si>
    <t>MalT-like_TPR_region/Tetratricopeptide-like_helical_domain_superfamily/Tetratricopeptide_repeat/Tetratricopeptide_repeat-containing_domain/</t>
  </si>
  <si>
    <t>TPR-contain_dom/TPR-like_helical_dom_sf/TPR_MalT/TPR_repeat/</t>
  </si>
  <si>
    <t>note=contains_similarity_to_Pfam_domains_PF13414_(TPR_repeat),_PF13181_(Tetratricopeptide_repeat)_contains_similarity_to_Interpro_domains_IPR011990_(Tetratricopeptide-like_helical_domain),_IPR019734_(Tetratricopeptide_repeat)</t>
  </si>
  <si>
    <t>7209.EFO24221.1</t>
  </si>
  <si>
    <t>1838.9</t>
  </si>
  <si>
    <t>1M06M@119089,3AU4X@33154,3C489@33208,3DJU1@33213,40H4H@6231,COG0457@1,KOG0548@2759</t>
  </si>
  <si>
    <t>positive regulation of catalytic activity in other organism involved in symbiotic interaction</t>
  </si>
  <si>
    <t>3,75648/1,23057</t>
  </si>
  <si>
    <t>2,26684/1,3601</t>
  </si>
  <si>
    <t>WBGene00021247</t>
  </si>
  <si>
    <t>3.62694</t>
  </si>
  <si>
    <t>Bm10037</t>
  </si>
  <si>
    <t>WBGene00230298</t>
  </si>
  <si>
    <t>Bm11628</t>
  </si>
  <si>
    <t>WBGene00231889</t>
  </si>
  <si>
    <t>31234.CRE01851</t>
  </si>
  <si>
    <t>1.9e-08</t>
  </si>
  <si>
    <t>66.6</t>
  </si>
  <si>
    <t>1M1E9@119089,39BIV@33154,3CFKQ@33208,3DX11@33213,40I5C@6231,40T9M@6236,COG0123@1,KOG1343@2759</t>
  </si>
  <si>
    <t>NAD-dependent histone deacetylase activity (H3-K14 specific)</t>
  </si>
  <si>
    <t>Bm7650</t>
  </si>
  <si>
    <t>WBGene00227911</t>
  </si>
  <si>
    <t>IPR002119/IPR007125/IPR009072/IPR032454/IPR032458/</t>
  </si>
  <si>
    <t>Histone-fold/Histone_H2A/Histone_H2A,_C-terminal_domain/Histone_H2A/H2B/H3/Histone_H2A_conserved_site/</t>
  </si>
  <si>
    <t>Histone-fold/Histone_H2A/Histone_H2A/H2B/H3/Histone_H2A_C/Histone_H2A_CS/</t>
  </si>
  <si>
    <t>note=contains_similarity_to_Pfam_domain_PF00125_Core_histone_H2A/H2B/H3/H4_contains_similarity_to_Interpro_domains_IPR009072_(Histone-fold),_IPR007125_(Histone_core),_IPR002119_(Histone_H2A)</t>
  </si>
  <si>
    <t>7209.EFO18483.1</t>
  </si>
  <si>
    <t>6.8e-60</t>
  </si>
  <si>
    <t>236.5</t>
  </si>
  <si>
    <t>87,3016/88,8889/87,3016/87,3016/87,3016/88,0952</t>
  </si>
  <si>
    <t>88,0952/88,0952/88,0952/88,0952</t>
  </si>
  <si>
    <t>91,2698/90,4762/90,4762/91,2698/89,6825</t>
  </si>
  <si>
    <t>88,8889/88,8889/88,8889</t>
  </si>
  <si>
    <t>90,4762/90,4762/90,4762</t>
  </si>
  <si>
    <t>90,4762/90,4762/90,4762/90,4762/90,4762/88,8889/90,4762/90,4762/90,4762</t>
  </si>
  <si>
    <t>90,4762/90,4762/90,4762/90,4762/90,4762/90,4762/90,4762/90,4762/90,4762/90,4762/91,2698/90,4762/90,4762/90,4762/90,4762/90,4762/90,4762</t>
  </si>
  <si>
    <t>88,8889/85,7143</t>
  </si>
  <si>
    <t>61,1111/57,1429/67,4603/76,1905/76,1905/75,3968/75,3968/76,1905/79,3651/76,1905/84,9206/76,1905/57,1429/79,3651/76,1905/76,1905/76,1905</t>
  </si>
  <si>
    <t>82,5397/75,3968/82,5397/73,8095/73,8095/81,746/82,5397/75,3968</t>
  </si>
  <si>
    <t>62,6984/84,9206/50,7937/65,873/36,5079/79,3651/44,4444/78,5714/77,7778/80,9524/45,2381/33,3333/34,9206/50/46,8254/60,3175/40,4762/30,1587/46,8254/48,4127/42,0635/46,8254/79,3651/43,6508/50,7937/37,3016</t>
  </si>
  <si>
    <t>87,3016/87,3016/86,5079/84,9206/86,5079/87,3016/87,3016/86,5079/88,0952/88,0952/87,3016/87,3016/87,3016/87,3016/85,7143/88,0952/88,0952/86,5079/87,3016/86,5079/87,3016/85,7143/86,5079/87,3016/87,3016/87,3016/87,3016/87,3016/87,3016/86,5079/87,3016/88,0952</t>
  </si>
  <si>
    <t>WBGene00001890/WBGene00001877/WBGene00001907/WBGene00001942/WBGene00001927/WBGene00001904/WBGene00001939/WBGene00001881/WBGene00001886/WBGene00001925/WBGene00001909/WBGene00001931/WBGene00001893/WBGene00001921/WBGene00001917/WBGene00001935/WBGene00001895</t>
  </si>
  <si>
    <t>90.4762/90.4762/90.4762/90.4762/90.4762/90.4762/90.4762/90.4762/90.4762/90.4762/91.2698/90.4762/90.4762/90.4762/90.4762/90.4762/90.4762</t>
  </si>
  <si>
    <t>Gender_Neutral/Gender_Neutral/Gender_Neutral/Gender_Neutral/Gender_Neutral/Gender_Neutral</t>
  </si>
  <si>
    <t>Bm4062</t>
  </si>
  <si>
    <t>WBGene00224323</t>
  </si>
  <si>
    <t>GO:0000014/GO:0005634/GO:0006259/GO:0017108/GO:0032508/GO:0033567/GO:0043141/GO:0043142/</t>
  </si>
  <si>
    <t>5'-flap_endonuclease_activity/ATP-dependent_5'-3'_DNA_helicase_activity/DNA_duplex_unwinding/DNA_metabolic_process/DNA_replication,_Okazaki_fragment_processing/nucleus/single-stranded_DNA-dependent_ATPase_activity/single-stranded_DNA_endodeoxyribonuclease_activity/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</si>
  <si>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cellular_metabolic_process_involving_deoxyribonucleic_acid._This_is_one_of_the_two_main_types_of_nucleic_acid,_consisting_of_a_long,_unbranched_macromolecule_formed_from_one,_or_more_commonly,_two,_strands_of_linked_deoxyribonucleotides."_[ISBN:0198506732]/"Catalysis_of_the_cleavage_of_a_5'_flap_structure_in_DNA,_but_not_other_DNA_structures;_processes_the_5'_ends_of_Okazaki_fragments_in_lagging_strand_DNA_synthesis."_[PMID:9778254]/"Catalysis_of_the_hydrolysis_of_ester_linkages_within_a_single-stranded_deoxyribonucleic_acid_molecule_by_creating_internal_breaks."_[GOC:mah]/"Catalysis_of_the_reaction:_ATP_+_H2O_=_ADP_+_phosphate;_drives_the_unwinding_of_the_DNA_helix_in_the_direction_5'_to_3'."_[GOC:jl]/"Catalysis_of_the_reaction:_ATP_+_H2O_=_ADP_+_phosphate;_this_reaction_requires_the_presence_of_single-stranded_DNA,_and_it_drives_another_reaction."_[GOC:go_curators]/"The_DNA_metabolic_process,_occurring_during_lagging_strand_synthesis,_by_which_RNA_primers_are_removed_from_Okazaki_fragments,_the_resulting_gaps_filled_by_DNA_polymerization,_and_the_ends_ligated_to_form_a_continuous_strand."_[GOC:mah,_ISBN:0716720094]/"The_process_in_which_interchain_hydrogen_bonds_between_two_strands_of_DNA_are_broken_or_'melted',_generating_a_region_of_unpaired_single_strands."_[GOC:isa_complete,_GOC:mah]/</t>
  </si>
  <si>
    <t>IPR014808/IPR022765/IPR026851/IPR027417/IPR041677/IPR041679/</t>
  </si>
  <si>
    <t>DNA2/NAM7_helicase,_AAA_domain/DNA2/NAM7_helicase-like,_AAA_domain/DNA_replication_factor_Dna2,_N-terminal/Dna2/Dna2/Cas4,_domain_of_unknown_function_DUF83/P-loop_containing_nucleoside_triphosphate_hydrolase/</t>
  </si>
  <si>
    <t>DNA2/NAM7_AAA_11/DNA2/NAM7_like_AAA_12/DNA_replication_fac_Dna2_N/Dna2/Dna2/Cas4_DUF83/P-loop_NTPase/</t>
  </si>
  <si>
    <t>note=B._malayi_BMA-DNA-2_protein,_contains_similarity_toPfam_domains_PF13086_(AAA_domain),_PF13087_(AAA_domain),PF08696_(DNA_replication_factor_Dna2)_contains_similarityto_Interpro_domains_IPR026851_(Dna2),_IPR027417_(P-loopcontaining_nucleoside_triphosphate_hydrolase),_IPR014808(DNA_replication_factor_Dna2,_N-terminal)</t>
  </si>
  <si>
    <t>7209.EFO21539.2</t>
  </si>
  <si>
    <t>1579.3</t>
  </si>
  <si>
    <t>GO:0000014,GO:0003674,GO:0003678,GO:0003824,GO:0004003,GO:0004386,GO:0004518,GO:0004519,GO:0004520,GO:0004536,GO:0005575,GO:0005622,GO:0005623,GO:0005634,GO:0006139,GO:0006259,GO:0006725,GO:0006807,GO:0006996,GO:0008026,GO:0008094,GO:0008150,GO:0008152,GO:0009987,GO:0016043,GO:0016462,GO:0016787,GO:0016788,GO:0016817,GO:0016818,GO:0016887,GO:0017111,GO:0032392,GO:0032508,GO:0034641,GO:0042623,GO:0043139,GO:0043141,GO:0043142,GO:0043170,GO:0043226,GO:0043227,GO:0043229,GO:0043231,GO:0044237,GO:0044238,GO:0044260,GO:0044424,GO:0044464,GO:0046483,GO:0051276,GO:0070035,GO:0071103,GO:0071704,GO:0071840,GO:0090304,GO:0090305,GO:0140097,GO:1901360</t>
  </si>
  <si>
    <t>ko:K10742</t>
  </si>
  <si>
    <t>ko03030,map03030</t>
  </si>
  <si>
    <t>ko00000,ko00001,ko01000,ko03032</t>
  </si>
  <si>
    <t>1KTPJ@119089,38C48@33154,3BEJG@33208,3D0DG@33213,40BZH@6231,COG1112@1,KOG1805@2759</t>
  </si>
  <si>
    <t>DNA replication, Okazaki fragment processing</t>
  </si>
  <si>
    <t>12,9666/13,1631/13,0648</t>
  </si>
  <si>
    <t>13,556/6,58153</t>
  </si>
  <si>
    <t>1,66994/29,1749/10,9037</t>
  </si>
  <si>
    <t>1,76817/28,8802/11,1002</t>
  </si>
  <si>
    <t>WBGene00001016</t>
  </si>
  <si>
    <t>30.8448</t>
  </si>
  <si>
    <t>Bm11082</t>
  </si>
  <si>
    <t>WBGene00231343</t>
  </si>
  <si>
    <t>Bm8418</t>
  </si>
  <si>
    <t>WBGene00228679</t>
  </si>
  <si>
    <t>21,2794/22,1932</t>
  </si>
  <si>
    <t>45,0392/9,79112/13,4465</t>
  </si>
  <si>
    <t>Bm3761</t>
  </si>
  <si>
    <t>WBGene00224022</t>
  </si>
  <si>
    <t>GO:0000070/GO:0000166/GO:0003677/GO:0003678/GO:0004386/GO:0005524/GO:0005634/GO:0006260/GO:0006270/GO:0007049/GO:0009792/GO:0016787/GO:0032508/GO:0042555/GO:0072689/</t>
  </si>
  <si>
    <t>ATP_binding/DNA_binding/DNA_duplex_unwinding/DNA_helicase_activity/DNA_replication/DNA_replication_initiation/MCM_complex/MCM_complex_assembly/cell_cycle/embryo_development_ending_in_birth_or_egg_hatching/helicase_activity/hydrolase_activity/mitotic_sister_chromatid_segregation/nucleotide_binding/nucleus/</t>
  </si>
  <si>
    <t>A_hexameric_protein_complex_required_for_the_initiation_and_regulation_of_DNA_replication._[GOC:jl,_PMID:11282021]/"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Catalysis_of_the_hydrolysis_of_various_bonds,_e.g._C-O,_C-N,_C-C,_phosphoric_anhydride_bonds,_etc._Hydrolase_is_the_systematic_name_for_any_enzyme_of_EC_class_3."_[ISBN:0198506732]/"Catalysis_of_the_reaction:_NTP_+_H2O_=_NDP_+_phosphate,_to_drive_the_unwinding_of_a_DNA_helix."_[GOC:jl,_GOC:mah]/"Catalysis_of_the_reaction:_NTP_+_H2O_=_NDP_+_phosphate,_to_drive_the_unwinding_of_a_DNA_or_RNA_helix."_[GOC:mah,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he_aggregation,_arrangement_and_bonding_together_of_a_set_of_components_to_form_an_MCM_complex,_a_hexameric_protein_complex_required_for_the_initiation_and_regulation_of_DNA_replication."_[GOC:mah,_PMID:21813639]/"The_cell_cycle_process_in_which_replicated_homologous_chromosomes_are_organized_and_then_physically_separated_and_apportioned_to_two_sets_during_the_mitotic_cell_cycle._Each_replicated_chromosome,_composed_of_two_sister_chromatids,_aligns_at_the_cell_equator,_paired_with_its_homologous_partner._One_homolog_of_each_morphologic_type_goes_into_each_of_the_resulting_chromosome_sets."_[GOC:ai,_GOC:jl]/"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he_process_in_which_DNA-dependent_DNA_replication_is_started;_this_begins_with_the_ATP_dependent_loading_of_an_initiator_complex_onto_the_DNA,_this_is_followed_by_DNA_melting_and_helicase_activity._In_bacteria,_the_gene_products_that_enable_the_helicase_activity_are_loaded_after_the_initial_melting_and_in_archaea_and_eukaryotes,_the_gene_products_that_enable_the_helicase_activity_are_inactive_when_they_are_loaded_and_subsequently_activate."_[ISBN:071673706X,_ISBN:0815316194,_PMID:28209641]/"The_process_in_which_interchain_hydrogen_bonds_between_two_strands_of_DNA_are_broken_or_'melted',_generating_a_region_of_unpaired_single_strands."_[GOC:isa_complete,_GOC:mah]/"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he_progression_of_biochemical_and_morphological_phases_and_events_that_occur_in_a_cell_during_successive_cell_replication_or_nuclear_replication_events._Canonically,_the_cell_cycle_comprises_the_replication_and_segregation_of_genetic_material_followed_by_the_division_of_the_cell,_but_in_endocycles_or_syncytial_cells_nuclear_replication_or_nuclear_division_may_not_be_followed_by_cell_division."_[GOC:go_curators,_GOC:mtg_cell_cycle]/</t>
  </si>
  <si>
    <t>IPR001208/IPR003593/IPR008050/IPR012340/IPR018525/IPR027417/IPR027925/IPR031327/IPR033762/IPR041562/</t>
  </si>
  <si>
    <t>AAA+_ATPase_domain/DNA_replication_licensing_factor_Mcm7/MCM,_AAA-lid_domain/MCM_N-terminal_domain/MCM_OB_domain/MCM_domain/Mini-chromosome_maintenance,_conserved_site/Mini-chromosome_maintenance_protein/Nucleic_acid-binding,_OB-fold/P-loop_containing_nucleoside_triphosphate_hydrolase/</t>
  </si>
  <si>
    <t>AAA+_ATPase/MCM/MCM7/MCM_CS/MCM_N/MCM_OB/MCM_dom/MCM_lid/NA-bd_OB-fold/P-loop_NTPase/</t>
  </si>
  <si>
    <t>note=contains_similarity_to_Pfam_domain_PF14551_MCM_N-terminal_domain_contains_similarity_to_Interpro_domains_IPR012340_(Nucleic_acid-binding,_OB-fold),_IPR008050_(DNA_replication_licensing_factor_Mcm7),_IPR027925_(MCM_N-terminal_domain)</t>
  </si>
  <si>
    <t>7209.EFO23774.2</t>
  </si>
  <si>
    <t>1360.9</t>
  </si>
  <si>
    <t>GO:0005575,GO:0008150,GO:0009987,GO:0016043,GO:0022607,GO:0032991,GO:0034622,GO:0042555,GO:0043933,GO:0044085,GO:0065003,GO:0071840,GO:0072689</t>
  </si>
  <si>
    <t>ko:K02210</t>
  </si>
  <si>
    <t>ko00000,ko00001,ko00002,ko01000,ko01009,ko03032</t>
  </si>
  <si>
    <t>1KYN5@119089,38CBW@33154,3BDRW@33208,3CUYV@33213,40BU9@6231,COG1241@1,KOG0482@2759</t>
  </si>
  <si>
    <t>10,0955/21,8281</t>
  </si>
  <si>
    <t>90,9959/33,2879/33,2879</t>
  </si>
  <si>
    <t>57,8445/58,1173/46,6576</t>
  </si>
  <si>
    <t>WBGene00003159</t>
  </si>
  <si>
    <t>55.9345</t>
  </si>
  <si>
    <t>Bm17690</t>
  </si>
  <si>
    <t>WBGene00268832</t>
  </si>
  <si>
    <t>2.5e-08</t>
  </si>
  <si>
    <t>65.1</t>
  </si>
  <si>
    <t>Bm2777</t>
  </si>
  <si>
    <t>WBGene00223038</t>
  </si>
  <si>
    <t>GO:0005515/GO:0007051/</t>
  </si>
  <si>
    <t>protein_binding/spindle_organization/</t>
  </si>
  <si>
    <t>A_process_that_is_carried_out_at_the_cellular_level_which_results_in_the_assembly,_arrangement_of_constituent_parts,_or_disassembly_of_the_spindle,_the_array_of_microtubules_and_associated_molecules_that_forms_between_opposite_poles_of_a_eukaryotic_cell_during_DNA_segregation_and_serves_to_move_the_duplicated_chromosomes_apart._[GOC:go_curators,_GOC:mah]/"Interacting_selectively_and_non-covalently_with_any_protein_or_protein_complex_(a_complex_of_two_or_more_proteins_that_may_include_other_nonprotein_molecules)."_[GOC:go_curators]/</t>
  </si>
  <si>
    <t>IPR000048/IPR027417/IPR029955/IPR036872/</t>
  </si>
  <si>
    <t>Abnormal_spindle-like_microcephaly-associated_protein/CH_domain_superfamily/IQ_motif,_EF-hand_binding_site/P-loop_containing_nucleoside_triphosphate_hydrolase/</t>
  </si>
  <si>
    <t>ASPM/CH_dom_sf/IQ_motif_EF-hand-BS/P-loop_NTPase/</t>
  </si>
  <si>
    <t>note=B._malayi_BMA-ASPM-1_protein,_contains_similarity_to_Pfam_domain_PF00612_IQ_calmodulin-binding_motif_contains_similarity_to_Interpro_domains_IPR029955_(Abnormal_spindle-like_microcephaly-associated_protein),_IPR011989_(Armadillo-like_helical),_IPR027417_(P-loop_containing_nucleoside_triphosphate_hydrolase),_IPR001715_(Calponin_homology_domain),_IPR000048_(IQ_motif,_EF-hand_binding_site)</t>
  </si>
  <si>
    <t>7209.EFO24468.2</t>
  </si>
  <si>
    <t>1237.6</t>
  </si>
  <si>
    <t>GO:0000003,GO:0000212,GO:0000226,GO:0000922,GO:0003674,GO:0005488,GO:0005515,GO:0005516,GO:0005575,GO:0005622,GO:0005623,GO:0005819,GO:0005856,GO:0006996,GO:0007010,GO:0007017,GO:0007049,GO:0007051,GO:0007163,GO:0008150,GO:0009987,GO:0015630,GO:0016043,GO:0019904,GO:0022402,GO:0022414,GO:0030010,GO:0032879,GO:0032880,GO:0043226,GO:0043228,GO:0043229,GO:0043232,GO:0044422,GO:0044424,GO:0044430,GO:0044446,GO:0044464,GO:0050789,GO:0051179,GO:0051233,GO:0051234,GO:0051293,GO:0051294,GO:0051295,GO:0051296,GO:0051321,GO:0051640,GO:0051641,GO:0051649,GO:0051653,GO:0051656,GO:0065007,GO:0071840,GO:1903046</t>
  </si>
  <si>
    <t>ko:K16743</t>
  </si>
  <si>
    <t>1KX0T@119089,38GA0@33154,3BEQM@33208,3CVJ0@33213,40EIG@6231,COG5022@1,KOG0160@2759,KOG0165@1,KOG0165@2759</t>
  </si>
  <si>
    <t>Short calmodulin-binding motif containing conserved Ile and Gln residues.</t>
  </si>
  <si>
    <t>7,76144/14,2974/14,0523/14,2974</t>
  </si>
  <si>
    <t>Bm2107</t>
  </si>
  <si>
    <t>WBGene00222368</t>
  </si>
  <si>
    <t>GO:0000079/GO:0007049/GO:0009794/GO:0016538/GO:0019901/GO:0051301/</t>
  </si>
  <si>
    <t>cell_cycle/cell_division/cyclin-dependent_protein_serine/threonine_kinase_regulator_activity/protein_kinase_binding/regulation_of_cyclin-dependent_protein_serine/threonine_kinase_activity/regulation_of_mitotic_cell_cycle,_embryonic/</t>
  </si>
  <si>
    <t>Any_process_that_modulates_the_frequency,_rate_or_extent_of_cyclin-dependent_protein_serine/threonine_kinase_activity._[GOC:go_curators,_GOC:pr]/"Any_process_that_modulates_the_frequency,_rate_or_extent_of_replication_and_segregation_of_genetic_material_in_the_embryo."_[GOC:dph,_GOC:go_curators,_GOC:tb]/"Interacting_selectively_and_non-covalently_with_a_protein_kinase,_any_enzyme_that_catalyzes_the_transfer_of_a_phosphate_group,_usually_from_ATP,_to_a_protein_substrate."_[GOC:jl]/"Modulates_the_activity_of_a_cyclin-dependent_protein_serine/threonine_kinase,_enzymes_of_the_protein_kinase_family_that_are_regulated_through_association_with_cyclins_and_other_proteins."_[GOC:pr,_GOC:rn,_PMID:7877684,_PMID:9442875]/"The_process_resulting_in_division_and_partitioning_of_components_of_a_cell_to_form_more_cells;_may_or_may_not_be_accompanied_by_the_physical_separation_of_a_cell_into_distinct,_individually_membrane-bounded_daughter_cells."_[GOC:di,_GOC:go_curators,_GOC:pr]/"The_progression_of_biochemical_and_morphological_phases_and_events_that_occur_in_a_cell_during_successive_cell_replication_or_nuclear_replication_events._Canonically,_the_cell_cycle_comprises_the_replication_and_segregation_of_genetic_material_followed_by_the_division_of_the_cell,_but_in_endocycles_or_syncytial_cells_nuclear_replication_or_nuclear_division_may_not_be_followed_by_cell_division."_[GOC:go_curators,_GOC:mtg_cell_cycle]/</t>
  </si>
  <si>
    <t>IPR000789/IPR036858/</t>
  </si>
  <si>
    <t>Cyclin-dependent_kinase,_regulatory_subunit/Cyclin-dependent_kinase,_regulatory_subunit_superfamily/</t>
  </si>
  <si>
    <t>Cyclin-dep_kinase_reg-sub/Cyclin-dep_kinase_reg-sub_sf/</t>
  </si>
  <si>
    <t>note=contains_similarity_to_Pfam_domain_PF01111_Cyclin-dependent_kinase_regulatory_subunit_contains_similarity_to_Interpro_domain_IPR000789_(Cyclin-dependent_kinase,_regulatory_subunit)</t>
  </si>
  <si>
    <t>7209.EFO21315.1</t>
  </si>
  <si>
    <t>3.5e-45</t>
  </si>
  <si>
    <t>187.2</t>
  </si>
  <si>
    <t>GO:0000079,GO:0000151,GO:0000307,GO:0001932,GO:0001934,GO:0003674,GO:0005488,GO:0005515,GO:0005575,GO:0005622,GO:0005623,GO:0005634,GO:0006355,GO:0007346,GO:0008047,GO:0008150,GO:0009794,GO:0009889,GO:0009891,GO:0009893,GO:0010468,GO:0010556,GO:0010557,GO:0010562,GO:0010604,GO:0010628,GO:0016538,GO:0019005,GO:0019207,GO:0019209,GO:0019219,GO:0019220,GO:0019222,GO:0019887,GO:0019899,GO:0019900,GO:0019901,GO:0030234,GO:0030295,GO:0031323,GO:0031325,GO:0031326,GO:0031328,GO:0031399,GO:0031401,GO:0031461,GO:0032147,GO:0032182,GO:0032268,GO:0032270,GO:0032991,GO:0033674,GO:0042325,GO:0042327,GO:0042393,GO:0043085,GO:0043130,GO:0043226,GO:0043227,GO:0043229,GO:0043231,GO:0043539,GO:0043549,GO:0044093,GO:0044424,GO:0044464,GO:0045737,GO:0045787,GO:0045859,GO:0045860,GO:0045893,GO:0045935,GO:0045937,GO:0045995,GO:0048518,GO:0048522,GO:0050789,GO:0050790,GO:0050793,GO:0050794,GO:0051171,GO:0051173,GO:0051174,GO:0051239,GO:0051246,GO:0051247,GO:0051252,GO:0051254,GO:0051338,GO:0051347,GO:0051726,GO:0060255,GO:0061575,GO:0061695,GO:0065007,GO:0065009,GO:0071900,GO:0071902,GO:0080090,GO:0098772,GO:1902494,GO:1902554,GO:1902680,GO:1902911,GO:1903506,GO:1903508,GO:1904029,GO:1904031,GO:1990234,GO:2000026,GO:2000112,GO:2001141</t>
  </si>
  <si>
    <t>ko:K02219</t>
  </si>
  <si>
    <t>ko04111,ko05200,ko05222,map04111,map05200,map05222</t>
  </si>
  <si>
    <t>1KWTF@119089,3A5MN@33154,3BSNY@33208,3D97K@33213,40E43@6231,KOG3484@1,KOG3484@2759</t>
  </si>
  <si>
    <t>Binds to the catalytic subunit of the cyclin dependent kinases and is essential for their biological function</t>
  </si>
  <si>
    <t>52,1739/56,5217/43,4783</t>
  </si>
  <si>
    <t>48,913/51,087</t>
  </si>
  <si>
    <t>53,2609/51,087</t>
  </si>
  <si>
    <t>53,2609/51,087/51,087</t>
  </si>
  <si>
    <t>52,1739/54,3478</t>
  </si>
  <si>
    <t>WBGene00001051</t>
  </si>
  <si>
    <t>65.2174</t>
  </si>
  <si>
    <t>Bm2869</t>
  </si>
  <si>
    <t>WBGene00223130</t>
  </si>
  <si>
    <t>1561998.Csp11.Scaffold627.g6768.t1</t>
  </si>
  <si>
    <t>2.5e-09</t>
  </si>
  <si>
    <t>1KX8S@119089,2EAKM@1,2SGU3@2759,3ACVP@33154,3BVUG@33208,3DC7T@33213,40F1X@6231,40V5R@6236</t>
  </si>
  <si>
    <t>16,875/14,2188/11,5625</t>
  </si>
  <si>
    <t>36,7188/18,9062</t>
  </si>
  <si>
    <t>Bm17610</t>
  </si>
  <si>
    <t>WBGene00268752</t>
  </si>
  <si>
    <t>1.1e-06</t>
  </si>
  <si>
    <t>60.8</t>
  </si>
  <si>
    <t>22,6148/37,8092</t>
  </si>
  <si>
    <t>Bm17318</t>
  </si>
  <si>
    <t>WBGene00268461</t>
  </si>
  <si>
    <t>1.4e-07</t>
  </si>
  <si>
    <t>67,8322/60,4895</t>
  </si>
  <si>
    <t>Bm17451</t>
  </si>
  <si>
    <t>WBGene00268594</t>
  </si>
  <si>
    <t>6.5e-13</t>
  </si>
  <si>
    <t>81.6</t>
  </si>
  <si>
    <t>36,5188/59,3857</t>
  </si>
  <si>
    <t>60,0683/34,8123/33,1058/61,4334/60,4096/58,3618</t>
  </si>
  <si>
    <t>Bm8749</t>
  </si>
  <si>
    <t>WBGene00229010</t>
  </si>
  <si>
    <t>GO:0005337/GO:0016020/GO:0016021/GO:1901642/</t>
  </si>
  <si>
    <t>integral_component_of_membrane/membrane/nucleoside_transmembrane_transport/nucleoside_transmembrane_transporter_activity/</t>
  </si>
  <si>
    <t>A_lipid_bilayer_along_with_all_the_proteins_and_protein_complexes_embedded_in_it_an_attached_to_it._[GOC:dos,_GOC:mah,_ISBN:0815316194]/"Enables_the_transfer_of_a_nucleoside,_a_nucleobase_linked_to_either_beta-D-ribofuranose_(ribonucleoside)_or_2-deoxy-beta-D-ribofuranose,_(a_deoxyribonucleotide)_from_one_side_of_a_membrane_to_the_other."_[GOC:ai]/"The_component_of_a_membrane_consisting_of_the_gene_products_and_protein_complexes_having_at_least_some_part_of_their_peptide_sequence_embedded_in_the_hydrophobic_region_of_the_membrane."_[GOC:dos,_GOC:go_curators]/"The_directed_movement_of_nucleoside_across_a_membrane."_[GOC:pr,_GOC:TermGenie]/</t>
  </si>
  <si>
    <t>IPR002259/</t>
  </si>
  <si>
    <t>Equilibrative_nucleoside_transporter/</t>
  </si>
  <si>
    <t>Eqnu_transpt/</t>
  </si>
  <si>
    <t>note=contains_similarity_to_Pfam_domain_PF01733_Nucleoside_transporter_contains_similarity_to_Interpro_domain_IPR002259_(Equilibrative_nucleoside_transporter)</t>
  </si>
  <si>
    <t>7209.EFO20541.2</t>
  </si>
  <si>
    <t>7.5e-128</t>
  </si>
  <si>
    <t>464.2</t>
  </si>
  <si>
    <t>ent-3</t>
  </si>
  <si>
    <t>GO:0005575,GO:0005623,GO:0005886,GO:0016020,GO:0044464,GO:0071944</t>
  </si>
  <si>
    <t>ko:K15014</t>
  </si>
  <si>
    <t>2.A.57.1</t>
  </si>
  <si>
    <t>1KU1V@119089,39721@33154,3BBIR@33208,3CYY8@33213,40CEX@6231,KOG1479@1,KOG1479@2759</t>
  </si>
  <si>
    <t>nucleoside transmembrane transporter activity</t>
  </si>
  <si>
    <t>37,6321/42,7061/30,444</t>
  </si>
  <si>
    <t>29,8097/28,9641/32,981</t>
  </si>
  <si>
    <t>37,2093/36,9979</t>
  </si>
  <si>
    <t>35,3066/35,518/31,2896</t>
  </si>
  <si>
    <t>23,6786/22,6216/22,833</t>
  </si>
  <si>
    <t>21,9873/21,7759/24,1015</t>
  </si>
  <si>
    <t>23,8901/14,1649/24,5243/16,4905/21,1416</t>
  </si>
  <si>
    <t>WBGene00010701/WBGene00001320/WBGene00010510</t>
  </si>
  <si>
    <t>35.3066/35.518/31.2896</t>
  </si>
  <si>
    <t>Gender_Neutral/Spermatogenic/Spermatogenic</t>
  </si>
  <si>
    <t>Bm17582</t>
  </si>
  <si>
    <t>WBGene00268725</t>
  </si>
  <si>
    <t>Bm3308</t>
  </si>
  <si>
    <t>WBGene00223569</t>
  </si>
  <si>
    <t>GO:0005576/</t>
  </si>
  <si>
    <t>extracellular_region/</t>
  </si>
  <si>
    <t>The_space_external_to_the_outermost_structure_of_a_cell._For_cells_without_external_protective_or_external_encapsulating_structures_this_refers_to_space_outside_of_the_plasma_membrane._This_term_covers_the_host_cell_environment_outside_an_intracellular_parasite._[GOC:go_curators]/</t>
  </si>
  <si>
    <t>IPR001283/IPR002413/IPR014044/IPR018244/IPR035940/</t>
  </si>
  <si>
    <t>Allergen_V5/Tpx-1-related,_conserved_site/CAP_domain/CAP_superfamily/Cysteine-rich__secretory_protein-related/Venom_allergen_5-like/</t>
  </si>
  <si>
    <t>Allrgn_V5/Tpx1_CS/CAP_domain/CAP_sf/CRISP-related/V5_allergen-like/</t>
  </si>
  <si>
    <t>note=contains_similarity_to_Pfam_domain_PF00188_Cysteine-rich_secretory_protein_family_contains_similarity_to_Interpro_domains_IPR002413_(Ves_allergen),_IPR001283_(Cysteine-rich_secretory_protein,_allergen_V5/Tpx-1-related),_IPR014044_(CAP_domain)</t>
  </si>
  <si>
    <t>7209.EFO17173.1</t>
  </si>
  <si>
    <t>5.7e-86</t>
  </si>
  <si>
    <t>323.9</t>
  </si>
  <si>
    <t>GO:0005575,GO:0005576</t>
  </si>
  <si>
    <t>ko:K19919</t>
  </si>
  <si>
    <t>1KWP1@119089,3A62C@33154,3BST2@33208,3DAE5@33213,40EBF@6231,COG2340@1,KOG3017@2759</t>
  </si>
  <si>
    <t>Belongs to the CRISP family</t>
  </si>
  <si>
    <t>68,1818/52,2727</t>
  </si>
  <si>
    <t>66,3636/56,8182/58,1818/50</t>
  </si>
  <si>
    <t>36,8182/31,3636/35,9091/32,7273/35/38,1818/36,8182</t>
  </si>
  <si>
    <t>29,5455/30,4545</t>
  </si>
  <si>
    <t>34,0909/29,5455/34,0909/34,0909/33,1818/32,2727/28,6364/30/30</t>
  </si>
  <si>
    <t>28,1818/29,5455/17,7273/26,8182/27,2727/25/28,6364/26,3636/29,0909/25/29,5455/27,2727/30/28,1818/22,2727/29,5455/23,6364</t>
  </si>
  <si>
    <t>26,3636/29,0909/27,2727/29,0909/27,2727/30,4545/31,3636</t>
  </si>
  <si>
    <t>30,4545/24,0909/25,9091</t>
  </si>
  <si>
    <t>13,6364/14,5455</t>
  </si>
  <si>
    <t>24,5455/27,2727/23,1818/27,2727/25/24,5455/23,1818/22,2727/10,4545/10,4545/10,4545/25/20,9091</t>
  </si>
  <si>
    <t>24,5455/25,9091/24,5455/24,5455/24,5455/27,7273/25/21,8182/23,1818/22,2727/10/25/22,2727</t>
  </si>
  <si>
    <t>24,5455/22,7273/22,2727/23,6364/17,2727/25/22,7273</t>
  </si>
  <si>
    <t>WBGene00009892</t>
  </si>
  <si>
    <t>30.9091</t>
  </si>
  <si>
    <t>Bm8087</t>
  </si>
  <si>
    <t>note=contains_similarity_to_Pfam_domain_PF10479_Fragile_site-associated_protein_C-terminus_contains_similarity_to_Interpro_domain_IPR018863_(Fragile_site-associated_protein,_C-terminal)</t>
  </si>
  <si>
    <t>2002.3</t>
  </si>
  <si>
    <t>Bm10375</t>
  </si>
  <si>
    <t>WBGene00230636</t>
  </si>
  <si>
    <t>Bm11320</t>
  </si>
  <si>
    <t>WBGene00231581</t>
  </si>
  <si>
    <t>/GO:0000150/GO:0000166/GO:0000724/GO:0000794/GO:0003677/GO:0003690/GO:0003697/GO:0005524/GO:0005634/GO:0006259/GO:0006281/GO:0006310/GO:0006974/GO:0008094/GO:0009792/GO:0010032/GO:0016887/GO:0017151/GO:0035861/GO:0042771/GO:0042802/GO:0043066/GO:0043073/GO:1990426/</t>
  </si>
  <si>
    <t>/ATP_binding/ATPase_activity/DEAD/H-box_RNA_helicase_binding/DNA-dependent_ATPase_activity/DNA_binding/DNA_metabolic_process/DNA_recombination/DNA_repair/cellular_response_to_DNA_damage_stimulus/condensed_nuclear_chromosome/double-strand_break_repair_via_homologous_recombination/double-stranded_DNA_binding/embryo_development_ending_in_birth_or_egg_hatching/germ_cell_nucleus/identical_protein_binding/intrinsic_apoptotic_signaling_pathway_in_response_to_DNA_damage_by_p53_class_mediator/meiotic_chromosome_condensation/mitotic_recombination-dependent_replication_fork_processing/negative_regulation_of_apoptotic_process/nucleotide_binding/nucleus/recombinase_activity/single-stranded_DNA_binding/site_of_double-strand_break/</t>
  </si>
  <si>
    <t>/"A_highly_compacted_molecule_of_DNA_and_associated_proteins_resulting_in_a_cytologically_distinct_nuclear_chromosome."_[GOC:elh]/"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region_of_a_chromosome_at_which_a_DNA_double-strand_break_has_occurred._DNA_damage_signaling_and_repair_proteins_accumulate_at_the_lesion_to_respond_to_the_damage_and_repair_the_DNA_to_form_a_continuous_DNA_helix."_[GOC:bf,_GOC:mah,_GOC:vw,_PMID:20096808,_PMID:21035408]/"A_series_of_molecular_signals_in_which_an_intracellular_signal_is_conveyed_to_trigger_the_apoptotic_death_of_a_cell._The_pathway_is_induced_by_the_cell_cycle_regulator_phosphoprotein_p53,_or_an_equivalent_protein,_in_response_to_the_detection_of_DNA_damage,_and_ends_when_the_execution_phase_of_apoptosis_is_triggered."_[GOC:go_curators,_GOC:mtg_apoptosis]/"Any_cellular_metabolic_process_involving_deoxyribonucleic_acid._This_is_one_of_the_two_main_types_of_nucleic_acid,_consisting_of_a_long,_unbranched_macromolecule_formed_from_one,_or_more_commonly,_two,_strands_of_linked_deoxyribonucleotides."_[ISBN:0198506732]/"Any_molecular_function_by_which_a_gene_product_interacts_selectively_and_non-covalently_with_DNA_(deoxyribonucleic_acid)."_[GOC:dph,_GOC:jl,_GOC:tb,_GOC:vw]/"Any_process_in_which_a_new_genotype_is_formed_by_reassortment_of_genes_resulting_in_gene_combinations_different_from_those_that_were_present_in_the_parents._In_eukaryotes_genetic_recombination_can_occur_by_chromosome_assortment,_intrachromosomal_recombination,_or_nonreciprocal_interchromosomal_recombination._Interchromosomal_recombination_occurs_by_crossing_over._In_bacteria_it_may_occur_by_genetic_transformation,_conjugation,_transduction,_or_F-duction."_[ISBN:0198506732]/"Any_process_that_results_in_a_change_in_state_or_activity_of_a_cell_(in_terms_of_movement,_secretion,_enzyme_production,_gene_expression,_etc.)_as_a_result_of_a_stimulus_indicating_damage_to_its_DNA_from_environmental_insults_or_errors_during_metabolism."_[GOC:go_curators]/"Any_process_that_stops,_prevents,_or_reduces_the_frequency,_rate_or_extent_of_cell_death_by_apoptotic_process."_[GOC:jl,_GOC:mtg_apoptosis]/"Catalysis_of_the_identification_and_base-pairing_of_homologous_sequences_between_single-stranded_DNA_and_double-stranded_DNA."_[GOC:elh]/"Catalysis_of_the_reaction:_ATP_+_H2O_=_ADP_+_phosphate;_this_reaction_requires_the_presence_of_single-_or_double-stranded_DNA,_and_it_drives_another_reaction."_[EC:3.6.1.3,_GOC:jl]/"Catalysis_of_the_reaction:_ATP_+_H2O_=_ADP_+_phosphate_+_2_H+._May_or_may_not_be_coupled_to_another_reaction."_[EC:3.6.1.3,_GOC:jl]/"Compaction_of_chromatin_structure_prior_to_meiosis_in_eukaryotic_cells."_[PMID:10072401]/"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_identical_protein_or_proteins."_[GOC:jl]/"Interacting_selectively_and_non-covalently_with_double-stranded_DNA."_[GOC:elh,_GOC:vw]/"Interacting_selectively_and_non-covalently_with_single-stranded_DNA."_[GOC:elh,_GOC:vw,_PMID:22976174]/"Interacting_selectively_and_non-covalently_with_the_enzyme_DEAD/H-box_RNA_helicase."_[GOC:jl]/"Replication_fork_processing_that_includes_recombination_between_DNA_near_the_arrested_fork_and_homologous_sequences._Proteins_involved_in_homologous_recombination_are_required_for_replication_restart."_[GOC:mah,_PMID:23093942]/"The_error-free_repair_of_a_double-strand_break_in_DNA_in_which_the_broken_DNA_molecule_is_repaired_using_homologous_sequences._A_strand_in_the_broken_DNA_searches_for_a_homologous_region_in_an_intact_chromosome_to_serve_as_the_template_for_DNA_synthesis._The_restoration_of_two_intact_DNA_molecules_results_in_the_exchange,_reciprocal_or_nonreciprocal,_of_genetic_material_between_the_intact_DNA_molecule_and_the_broken_DNA_molecule."_[GOC:elh,_PMID:10357855]/"The_nucleus_of_a_germ_cell,_a_reproductive_cell_in_multicellular_organisms."_[CL:0000586,_GOC:go_curators]/"The_process_of_restoring_DNA_after_damage._Genomes_are_subject_to_damage_by_chemical_and_physical_agents_in_the_environment_(e.g._UV_and_ionizing_radiations,_chemical_mutagens,_fungal_and_bacterial_toxins,_etc.)_and_by_free_radicals_or_alkylating_agents_endogenously_generated_in_metabolism._DNA_is_also_damaged_because_of_errors_during_its_replication._A_variety_of_different_DNA_repair_pathways_have_been_reported_that_include_direct_reversal,_base_excision_repair,_nucleotide_excision_repair,_photoreactivation,_bypass,_double-strand_break_repair_pathway,_and_mismatch_repair_pathway."_[PMID:11563486]/"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
  </si>
  <si>
    <t>/IPR003593/IPR010995/IPR011941/IPR013632/IPR016467/IPR020587/IPR020588/IPR027417/IPR033925/</t>
  </si>
  <si>
    <t>/AAA+_ATPase_domain/DNA_recombination/repair_protein_Rad51/DNA_recombination_and_repair_protein,_RecA-like/DNA_recombination_and_repair_protein_Rad51-like,_C-terminal/DNA_recombination_and_repair_protein_RecA,_monomer-monomer_interface/DNA_recombination_and_repair_protein_RecA-like,_ATP-binding_domain/DNA_repair_Rad51/transcription_factor_NusA,_alpha-helical/P-loop_containing_nucleoside_triphosphate_hydrolase/Rad51/DMC1/RadA/</t>
  </si>
  <si>
    <t>/AAA+_ATPase/DNA_recomb/repair_Rad51/DNA_recomb/repair_Rad51_C/DNA_recomb/repair_RecA-like/DNA_repair_Rad51/TF_NusA_a-hlx/P-loop_NTPase/Rad51_DMC1_RadA/RecA_ATP-bd/RecA_monomer-monomer_interface/</t>
  </si>
  <si>
    <t>7209.EFO17442.1</t>
  </si>
  <si>
    <t>7.3e-171</t>
  </si>
  <si>
    <t>606.7</t>
  </si>
  <si>
    <t>GO:0000003,GO:0000150,GO:0000228,GO:0000793,GO:0000794,GO:0003674,GO:0003676,GO:0003677,GO:0003690,GO:0003824,GO:0005488,GO:0005515,GO:0005575,GO:0005622,GO:0005623,GO:0005634,GO:0005694,GO:0006139,GO:0006259,GO:0006310,GO:0006323,GO:0006725,GO:0006807,GO:0006915,GO:0006950,GO:0006974,GO:0006996,GO:0007049,GO:0007154,GO:0007165,GO:0007275,GO:0008094,GO:0008150,GO:0008152,GO:0008219,GO:0008630,GO:0009790,GO:0009792,GO:0009987,GO:0010032,GO:0010941,GO:0012501,GO:0016043,GO:0016462,GO:0016787,GO:0016817,GO:0016818,GO:0016887,GO:0017111,GO:0017151,GO:0019899,GO:0022402,GO:0022414,GO:0023052,GO:0030261,GO:0031974,GO:0031981,GO:0032501,GO:0032502,GO:0033554,GO:0034641,GO:0035556,GO:0035861,GO:0042623,GO:0042771,GO:0042802,GO:0042981,GO:0043066,GO:0043067,GO:0043069,GO:0043073,GO:0043170,GO:0043226,GO:0043227,GO:0043228,GO:0043229,GO:0043231,GO:0043232,GO:0043233,GO:0044237,GO:0044238,GO:0044260,GO:0044422,GO:0044424,GO:0044427,GO:0044428,GO:0044446,GO:0044464,GO:0046483,GO:0048519,GO:0048523,GO:0048856,GO:0050789,GO:0050794,GO:0050896,GO:0051276,GO:0051321,GO:0051716,GO:0060548,GO:0065007,GO:0070013,GO:0070192,GO:0071103,GO:0071704,GO:0071840,GO:0072331,GO:0072332,GO:0090304,GO:0090734,GO:0097159,GO:0097190,GO:0097193,GO:0140097,GO:1901360,GO:1901363,GO:1903046</t>
  </si>
  <si>
    <t>ko:K04482</t>
  </si>
  <si>
    <t>ko03440,ko03460,ko05200,ko05212,map03440,map03460,map05200,map05212</t>
  </si>
  <si>
    <t>ko00000,ko00001,ko03400,ko04121,ko04131</t>
  </si>
  <si>
    <t>1KU9C@119089,38CS4@33154,3BA4U@33208,3CU4D@33213,40CM3@6231,COG0468@1,KOG1433@2759</t>
  </si>
  <si>
    <t>Binds to single and double-stranded DNA and exhibits DNA-dependent ATPase activity. Underwinds duplex DNA</t>
  </si>
  <si>
    <t>44,6281/53,719</t>
  </si>
  <si>
    <t>46,5565/62,8099/62,259/40,4959</t>
  </si>
  <si>
    <t>WBGene00004297</t>
  </si>
  <si>
    <t>51.5152</t>
  </si>
  <si>
    <t>Bm9484</t>
  </si>
  <si>
    <t>WBGene00229745</t>
  </si>
  <si>
    <t>82,3529/82,3529</t>
  </si>
  <si>
    <t>Bm4112</t>
  </si>
  <si>
    <t>WBGene00224373</t>
  </si>
  <si>
    <t>IPR001951/IPR009072/IPR019809/IPR035425/</t>
  </si>
  <si>
    <t>CENP-T/Histone_H4,_histone_fold/Histone-fold/Histone_H4/Histone_H4,_conserved_site/</t>
  </si>
  <si>
    <t>CENP-T/H4_C/Histone-fold/Histone_H4/Histone_H4_CS/</t>
  </si>
  <si>
    <t>note=contains_similarity_to_Interpro_domain_IPR009072_(Histone-fold)</t>
  </si>
  <si>
    <t>10181.XP_004847595.1</t>
  </si>
  <si>
    <t>7.1e-50</t>
  </si>
  <si>
    <t>203.4</t>
  </si>
  <si>
    <t>COG2036@1,KOG3467@2759</t>
  </si>
  <si>
    <t>protein heterodimerization activity</t>
  </si>
  <si>
    <t>69,5652/69,5652</t>
  </si>
  <si>
    <t>49,2754/53,6232</t>
  </si>
  <si>
    <t>71,7391/71,7391/71,7391/71,7391/71,7391</t>
  </si>
  <si>
    <t>71,7391/71,7391/71,7391</t>
  </si>
  <si>
    <t>71,7391/71,7391</t>
  </si>
  <si>
    <t>71,7391/71,7391/71,7391/71,7391/71,7391/71,7391/71,7391/71,7391/71,7391/71,7391/71,7391/71,7391/71,7391/71,7391/71,7391</t>
  </si>
  <si>
    <t>68,8406/68,8406/68,1159/52,8986/70,2899</t>
  </si>
  <si>
    <t>68,8406/68,8406/69,5652</t>
  </si>
  <si>
    <t>70,2899/69,5652/70,2899/69,5652/70,2899/70,2899/70,2899/70,2899/69,5652/70,2899/70,2899/70,2899/70,2899/70,2899/70,2899/70,2899/69,5652/70,2899/70,2899/70,2899/70,2899/70,2899/70,2899</t>
  </si>
  <si>
    <t>71,0145/71,0145/71,0145/59,4203/71,0145/71,0145/71,0145/71,0145/71,0145/71,0145/71,0145/71,0145/71,0145/71,0145/71,0145</t>
  </si>
  <si>
    <t>71,0145/71,0145/71,0145/71,0145/71,0145/71,0145/71,0145/71,0145/71,0145/71,0145/71,0145/71,0145/71,0145</t>
  </si>
  <si>
    <t>WBGene00001892/WBGene00001912/WBGene00001905/WBGene00001888/WBGene00001875/WBGene00001884/WBGene00001934/WBGene00001902/WBGene00001938/WBGene00001879/WBGene00001920/WBGene00001941/WBGene00001924/WBGene00001911/WBGene00001900</t>
  </si>
  <si>
    <t>71.7391/71.7391/71.7391/71.7391/71.7391/71.7391/71.7391/71.7391/71.7391/71.7391/71.7391/71.7391/71.7391/71.7391/71.7391</t>
  </si>
  <si>
    <t>Gender_Neutral/Gender_Neutral/Gender_Neutral/Gender_Neutral/Oogenic</t>
  </si>
  <si>
    <t>Bm7547</t>
  </si>
  <si>
    <t>WBGene00227808</t>
  </si>
  <si>
    <t>7209.EJD74432.1</t>
  </si>
  <si>
    <t>2.7e-83</t>
  </si>
  <si>
    <t>315.8</t>
  </si>
  <si>
    <t>2BWHM@1,2QWRS@2759,38TKN@33154,3BNBG@33208,3CZJQ@33213,40AZX@6231</t>
  </si>
  <si>
    <t>37,4346/37,4346</t>
  </si>
  <si>
    <t>19,6335/19,1099/19,1099/17,801/17,5393/19,1099</t>
  </si>
  <si>
    <t>Bm12978</t>
  </si>
  <si>
    <t>WBGene00233239</t>
  </si>
  <si>
    <t>2.8e-65</t>
  </si>
  <si>
    <t>Bm3591</t>
  </si>
  <si>
    <t>WBGene00223852</t>
  </si>
  <si>
    <t>note=contains_similarity_to_Interpro_domain_IPR024146_(Claspin)</t>
  </si>
  <si>
    <t>7209.EJD74957.1</t>
  </si>
  <si>
    <t>4.3e-197</t>
  </si>
  <si>
    <t>694.9</t>
  </si>
  <si>
    <t>1KX7P@119089,39CW4@33154,3CGW5@33208,3DYCE@33213,40F1A@6231,KOG4156@1,KOG4156@2759</t>
  </si>
  <si>
    <t>Claspin isoform</t>
  </si>
  <si>
    <t>Bm1043</t>
  </si>
  <si>
    <t>WBGene00221304</t>
  </si>
  <si>
    <t>Bm12214</t>
  </si>
  <si>
    <t>WBGene00232475</t>
  </si>
  <si>
    <t>83,5329/81,1377</t>
  </si>
  <si>
    <t>Bm11059</t>
  </si>
  <si>
    <t>WBGene00231320</t>
  </si>
  <si>
    <t>23,6364/28,8182</t>
  </si>
  <si>
    <t>30,6364/35,4545</t>
  </si>
  <si>
    <t>Bm6603</t>
  </si>
  <si>
    <t>WBGene00226864</t>
  </si>
  <si>
    <t>GO:0003690/GO:0003697/GO:0005634/GO:0006260/GO:0006270/</t>
  </si>
  <si>
    <t>DNA_replication/DNA_replication_initiation/double-stranded_DNA_binding/nucleus/single-stranded_DNA_binding/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</si>
  <si>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Interacting_selectively_and_non-covalently_with_double-stranded_DNA."_[GOC:elh,_GOC:vw]/"Interacting_selectively_and_non-covalently_with_single-stranded_DNA."_[GOC:elh,_GOC:vw,_PMID:22976174]/"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he_process_in_which_DNA-dependent_DNA_replication_is_started;_this_begins_with_the_ATP_dependent_loading_of_an_initiator_complex_onto_the_DNA,_this_is_followed_by_DNA_melting_and_helicase_activity._In_bacteria,_the_gene_products_that_enable_the_helicase_activity_are_loaded_after_the_initial_melting_and_in_archaea_and_eukaryotes,_the_gene_products_that_enable_the_helicase_activity_are_inactive_when_they_are_loaded_and_subsequently_activate."_[ISBN:071673706X,_ISBN:0815316194,_PMID:28209641]/</t>
  </si>
  <si>
    <t>IPR015408/IPR015411/IPR040184/</t>
  </si>
  <si>
    <t>Minichromosome_maintenance_protein_10/Replication_factor_Mcm10,_C-terminal/Zinc_finger,_Mcm10/DnaG-type/</t>
  </si>
  <si>
    <t>Mcm10/Rep_factor_Mcm10_C/Znf_Mcm10/DnaG/</t>
  </si>
  <si>
    <t>note=contains_similarity_to_Pfam_domains_PF09329_(Primase_zinc_finger),_PF09332_(Mcm10_replication_factor)_contains_similarity_to_Interpro_domains_IPR015411_(Replication_factor_Mcm10),_IPR015408_(Zinc_finger,_Mcm10/DnaG-type)</t>
  </si>
  <si>
    <t>7209.EFO21300.2</t>
  </si>
  <si>
    <t>4e-226</t>
  </si>
  <si>
    <t>ko:K10736</t>
  </si>
  <si>
    <t>ko00000,ko03032</t>
  </si>
  <si>
    <t>1KW10@119089,38HKH@33154,3BE8H@33208,3CRHW@33213,40D7R@6231,KOG3056@1,KOG3056@2759</t>
  </si>
  <si>
    <t>Mcm10 replication factor</t>
  </si>
  <si>
    <t>23,2819/23,4222/23,4222</t>
  </si>
  <si>
    <t>12,4825/8,13464/8,13464/13,324/12,763</t>
  </si>
  <si>
    <t>WBGene00012935</t>
  </si>
  <si>
    <t>25.8065</t>
  </si>
  <si>
    <t>Bm8420</t>
  </si>
  <si>
    <t>WBGene00228681</t>
  </si>
  <si>
    <t>IPR001370/</t>
  </si>
  <si>
    <t>BIR_repeat/</t>
  </si>
  <si>
    <t>BIR_rpt/</t>
  </si>
  <si>
    <t>note=contains_similarity_to_Pfam_domain_PF00653_Inhibitor_of_Apoptosis_domain_contains_similarity_to_Interpro_domain_IPR001370_(Baculoviral_inhibition_of_apoptosis_protein_repeat)</t>
  </si>
  <si>
    <t>7209.EFO24459.1</t>
  </si>
  <si>
    <t>3.3e-72</t>
  </si>
  <si>
    <t>3A8RC@33154,3BUE8@33208,3DAVJ@33213,40F6D@6231,KOG1101@1,KOG1101@2759</t>
  </si>
  <si>
    <t>Baculoviral inhibition of apoptosis protein repeat</t>
  </si>
  <si>
    <t>43,038/43,038</t>
  </si>
  <si>
    <t>Bm9163</t>
  </si>
  <si>
    <t>WBGene00229424</t>
  </si>
  <si>
    <t>IPR007727/</t>
  </si>
  <si>
    <t>Spo12/</t>
  </si>
  <si>
    <t>note=contains_similarity_to_Pfam_domain_PF05032_Spo12_family_contains_similarity_to_Interpro_domain_IPR007727_(Spo12)</t>
  </si>
  <si>
    <t>73,5507/21,3768</t>
  </si>
  <si>
    <t>63,4058/63,4058</t>
  </si>
  <si>
    <t>Bm12598</t>
  </si>
  <si>
    <t>WBGene00232859</t>
  </si>
  <si>
    <t>/GO:0000070/GO:1902412/</t>
  </si>
  <si>
    <t>/mitotic_sister_chromatid_segregation/regulation_of_mitotic_cytokinesis/</t>
  </si>
  <si>
    <t>/"Any_process_that_modulates_the_frequency,_rate_or_extent_of_mitotic_cytokinesis."_[GOC:mtg_cell_cycle,_GOC:TermGenie]/"The_cell_cycle_process_in_which_replicated_homologous_chromosomes_are_organized_and_then_physically_separated_and_apportioned_to_two_sets_during_the_mitotic_cell_cycle._Each_replicated_chromosome,_composed_of_two_sister_chromatids,_aligns_at_the_cell_equator,_paired_with_its_homologous_partner._One_homolog_of_each_morphologic_type_goes_into_each_of_the_resulting_chromosome_sets."_[GOC:ai,_GOC:jl]/</t>
  </si>
  <si>
    <t>/IPR005635/IPR039130/</t>
  </si>
  <si>
    <t>/Inner_centromere_protein/Inner_centromere_protein,_ARK-binding_domain/</t>
  </si>
  <si>
    <t>/INCENP/Inner_centromere_prot_ARK-bd/</t>
  </si>
  <si>
    <t>12,0301/79,3985</t>
  </si>
  <si>
    <t>Bm10863</t>
  </si>
  <si>
    <t>WBGene00231124</t>
  </si>
  <si>
    <t>42,1776/19,3446/8,66808</t>
  </si>
  <si>
    <t>20,8245/38,9006</t>
  </si>
  <si>
    <t>Bm10095</t>
  </si>
  <si>
    <t>WBGene00230356</t>
  </si>
  <si>
    <t>7209.EFO24359.1</t>
  </si>
  <si>
    <t>5.1e-250</t>
  </si>
  <si>
    <t>870.2</t>
  </si>
  <si>
    <t>1KYPE@119089,2CMBV@1,2QPXE@2759,39ZT4@33154,3BE2G@33208,3D1CC@33213,40CAK@6231</t>
  </si>
  <si>
    <t>36,5019/38,403/29,4677</t>
  </si>
  <si>
    <t>Bm4068</t>
  </si>
  <si>
    <t>WBGene00224329</t>
  </si>
  <si>
    <t>IPR000008/IPR006614/IPR012561/IPR032362/IPR035892/IPR037720/IPR037721/IPR037723/IPR037724/IPR037725/</t>
  </si>
  <si>
    <t>C2_domain/C2_domain_superfamily/Ferlin,_C-terminal_domain/Ferlin,_fifth_C2_domain/Ferlin,_fourth_C2_domain/Ferlin,_second_C2_domain/Ferlin,_sixth_C2_domain/Ferlin_B-domain/Ferlin__family/Peroxin/Ferlin_domain/</t>
  </si>
  <si>
    <t>C2B_Ferlin/C2D_Ferlin/C2E_Ferlin/C2F_Ferlin/C2_dom/C2_domain_sf/Ferlin/Ferlin_B-domain/Ferlin_C/Peroxin/Ferlin/</t>
  </si>
  <si>
    <t>note=contains_similarity_to_Pfam_domains_PF00168_(C2_domain),_PF08150_(FerB_(NUC096)_domain)_contains_similarity_to_Interpro_domains_IPR030002_(Sperm_vesicle_fusion_protein_Fer-1),_IPR012561_(Ferlin_B-domain),_IPR006614_(Peroxin/Ferlin_domain),_IPR000008_(C2_domain)</t>
  </si>
  <si>
    <t>7209.EFO24477.1</t>
  </si>
  <si>
    <t>3058.5</t>
  </si>
  <si>
    <t>fer-1</t>
  </si>
  <si>
    <t>GO:0000003,GO:0003674,GO:0005488,GO:0005543,GO:0005544,GO:0005575,GO:0005623,GO:0005886,GO:0005887,GO:0006928,GO:0007009,GO:0007276,GO:0007283,GO:0008150,GO:0008289,GO:0009987,GO:0010256,GO:0016020,GO:0016021,GO:0016043,GO:0019953,GO:0022414,GO:0030030,GO:0030317,GO:0031090,GO:0031143,GO:0031224,GO:0031226,GO:0031253,GO:0031260,GO:0031268,GO:0031300,GO:0031301,GO:0032501,GO:0032504,GO:0032809,GO:0036477,GO:0040011,GO:0042995,GO:0043025,GO:0043167,GO:0043168,GO:0043226,GO:0043227,GO:0044297,GO:0044298,GO:0044422,GO:0044425,GO:0044459,GO:0044463,GO:0044464,GO:0044703,GO:0048232,GO:0048609,GO:0048870,GO:0051179,GO:0051674,GO:0051704,GO:0061024,GO:0061025,GO:0071840,GO:0071944,GO:0097458,GO:0097722,GO:0098590,GO:0120025,GO:0120036,GO:0120038</t>
  </si>
  <si>
    <t>ko:K18261</t>
  </si>
  <si>
    <t>ko00000,ko04131,ko04147</t>
  </si>
  <si>
    <t>1KUAW@119089,38D4M@33154,3BBII@33208,3CUEE@33213,40CF1@6231,KOG1326@1,KOG1326@2759</t>
  </si>
  <si>
    <t>plasma membrane repair</t>
  </si>
  <si>
    <t>16,4694/64,7436</t>
  </si>
  <si>
    <t>7,1499/23,4221</t>
  </si>
  <si>
    <t>3,69822/5,67061/7,34714</t>
  </si>
  <si>
    <t>25,9369/23,57/26,6272/20,7594</t>
  </si>
  <si>
    <t>26,0355/23,5207/26,2821/20,0197/20,217</t>
  </si>
  <si>
    <t>25,8383/26,43/26,6272/20,8087/19,428</t>
  </si>
  <si>
    <t>WBGene00020262</t>
  </si>
  <si>
    <t>10.0592</t>
  </si>
  <si>
    <t>Bm4841</t>
  </si>
  <si>
    <t>WBGene00225102</t>
  </si>
  <si>
    <t>note=B._malayi_BMA-MOD-1_protein,_contains_similarity_toPfam_domain_PF02932_Neurotransmitter-gated_ion-channeltransmembrane_region_contains_similarity_to_Interprodomains_IPR006028_(Gamma-aminobutyric_acid_Areceptor/Glycine_receptor_alpha),_IPR006201(Neurotransmitter-gated_ion-channel),_IPR006202(Neurotransmitter-gated_ion-channel_ligand-bindingdomain),_IPR006029_(Neurotransmitter-gated_ion-channeltransmembrane_domain)</t>
  </si>
  <si>
    <t>2.9e-18</t>
  </si>
  <si>
    <t>99.8</t>
  </si>
  <si>
    <t>Bm17740</t>
  </si>
  <si>
    <t>WBGene00268882</t>
  </si>
  <si>
    <t>Bm4191</t>
  </si>
  <si>
    <t>WBGene00224452</t>
  </si>
  <si>
    <t>GO:0000166/GO:0003774/GO:0003779/GO:0005515/GO:0005524/GO:0016459/GO:0051015/</t>
  </si>
  <si>
    <t>ATP_binding/actin_binding/actin_filament_binding/motor_activity/myosin_complex/nucleotide_binding/protein_binding/</t>
  </si>
  <si>
    <t>A_protein_complex,_formed_of_one_or_more_myosin_heavy_chains_plus_associated_light_chains_and_other_proteins,_that_functions_as_a_molecular_motor;_uses_the_energy_of_ATP_hydrolysis_to_move_actin_filaments_or_to_move_vesicles_or_other_cargo_on_fixed_actin_filaments;_has_magnesium-ATPase_activity_and_binds_actin._Myosin_classes_are_distinguished_based_on_sequence_features_of_the_motor,_or_head,_domain,_but_also_have_distinct_tail_regions_that_are_believed_to_bind_specific_cargoes._[GOC:mah,_http://www.mrc-lmb.cam.ac.uk/myosin/Review/Reviewframeset.html,_ISBN:96235764]/"Catalysis_of_the_generation_of_force_resulting_either_in_movement_along_a_microfilament_or_microtubule,_or_in_torque_resulting_in_membrane_scission,_coupled_to_the_hydrolysis_of_a_nucleoside_triphosphate."_[GOC:mah,_GOC:vw,_ISBN:0815316194,_PMID:11242086]/"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_actin_filament,_also_known_as_F-actin,_a_helical_filamentous_polymer_of_globular_G-actin_subunits."_[ISBN:0198506732]/"Interacting_selectively_and_non-covalently_with_any_protein_or_protein_complex_(a_complex_of_two_or_more_proteins_that_may_include_other_nonprotein_molecules)."_[GOC:go_curators]/"Interacting_selectively_and_non-covalently_with_monomeric_or_multimeric_forms_of_actin,_including_actin_filaments."_[GOC:clt]/</t>
  </si>
  <si>
    <t>IPR000048/IPR001609/IPR008989/IPR027417/IPR032412/IPR036114/IPR036961/</t>
  </si>
  <si>
    <t>Class_VI_myosin,_motor_domain/IQ_motif,_EF-hand_binding_site/Kinesin_motor_domain_superfamily/Myosin_S1_fragment,_N-terminal/Myosin_VI,_cargo_binding_domain/Myosin_head,_motor_domain/P-loop_containing_nucleoside_triphosphate_hydrolase/</t>
  </si>
  <si>
    <t>IQ_motif_EF-hand-BS/Kinesin_motor_dom_sf/MYSc_Myo6/Myosin-VI_CBD/Myosin_S1_N/Myosin_head_motor_dom/P-loop_NTPase/</t>
  </si>
  <si>
    <t>note=contains_similarity_to_Pfam_domain_PF00063_Myosin_head_(motor_domain)_contains_similarity_to_Interpro_domains_IPR027417_(P-loop_containing_nucleoside_triphosphate_hydrolase),_IPR001609_(Myosin_head,_motor_domain)</t>
  </si>
  <si>
    <t>7209.EJD76471.1</t>
  </si>
  <si>
    <t>1612.8</t>
  </si>
  <si>
    <t>1KV4I@119089,38FVA@33154,3BAMV@33208,3CW69@33213,40BHR@6231,COG5022@1,KOG0163@2759</t>
  </si>
  <si>
    <t>40,7649/40,358</t>
  </si>
  <si>
    <t>Bm7312</t>
  </si>
  <si>
    <t>WBGene00227573</t>
  </si>
  <si>
    <t>7209.EFO23791.1</t>
  </si>
  <si>
    <t>4.5e-25</t>
  </si>
  <si>
    <t>122.1</t>
  </si>
  <si>
    <t>3A9K1@33154,3CNPE@33208,3DK9V@33213,COG5063@1,KOG1677@2759</t>
  </si>
  <si>
    <t>positive regulation of deadenylation-independent decapping of nuclear-transcribed mRNA</t>
  </si>
  <si>
    <t>19,6721/19,6721</t>
  </si>
  <si>
    <t>15,082/15,7377</t>
  </si>
  <si>
    <t>15,082/14,7541</t>
  </si>
  <si>
    <t>19.3443</t>
  </si>
  <si>
    <t>Bm5047</t>
  </si>
  <si>
    <t>WBGene00225308</t>
  </si>
  <si>
    <t>GO:0000166/GO:0003774/GO:0003777/GO:0005524/GO:0007018/GO:0008017/</t>
  </si>
  <si>
    <t>ATP_binding/microtubule-based_movement/microtubule_binding/microtubule_motor_activity/motor_activity/nucleotide_binding/</t>
  </si>
  <si>
    <t>A_microtubule-based_process_that_results_in_the_movement_of_organelles,_other_microtubules,_or_other_cellular_components.__Examples_include_motor-driven_movement_along_microtubules_and_movement_driven_by_polymerization_or_depolymerization_of_microtubules._[GOC:cjm,_ISBN:0815316194]/"Catalysis_of_movement_along_a_microtubule,_coupled_to_the_hydrolysis_of_a_nucleoside_triphosphate_(usually_ATP)."_[GOC:mah,_ISBN:0815316194]/"Catalysis_of_the_generation_of_force_resulting_either_in_movement_along_a_microfilament_or_microtubule,_or_in_torque_resulting_in_membrane_scission,_coupled_to_the_hydrolysis_of_a_nucleoside_triphosphate."_[GOC:mah,_GOC:vw,_ISBN:0815316194,_PMID:11242086]/"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microtubules,_filaments_composed_of_tubulin_monomers."_[GOC:krc]/</t>
  </si>
  <si>
    <t>IPR001752/IPR027417/IPR027640/IPR036961/</t>
  </si>
  <si>
    <t>Kinesin-like_protein/Kinesin_motor_domain/Kinesin_motor_domain_superfamily/P-loop_containing_nucleoside_triphosphate_hydrolase/</t>
  </si>
  <si>
    <t>Kinesin-like_fam/Kinesin_motor_dom/Kinesin_motor_dom_sf/P-loop_NTPase/</t>
  </si>
  <si>
    <t>note=B._malayi_BMA-KLP-13_protein,_contains_similarity_to_Pfam_domain_PF00225_Kinesin_motor_domain_contains_similarity_to_Interpro_domains_IPR001752_(Kinesin_motor_domain),_IPR027417_(P-loop_containing_nucleoside_triphosphate_hydrolase),_IPR027640_(Kinesin-like_protein)</t>
  </si>
  <si>
    <t>7209.EFO23315.1</t>
  </si>
  <si>
    <t>1162.9</t>
  </si>
  <si>
    <t>39M9E@33154,COG5059@1,KOG0242@2759</t>
  </si>
  <si>
    <t>Kinesin motor, catalytic domain. ATPase.</t>
  </si>
  <si>
    <t>12,0482/58,0991</t>
  </si>
  <si>
    <t>14,1901/58,6345</t>
  </si>
  <si>
    <t>27,0415/23,8286</t>
  </si>
  <si>
    <t>24,498/21,5529</t>
  </si>
  <si>
    <t>Bm8936</t>
  </si>
  <si>
    <t>WBGene00229197</t>
  </si>
  <si>
    <t>20,8845/9,58231</t>
  </si>
  <si>
    <t>10,0737/18,9189</t>
  </si>
  <si>
    <t>Bm1800</t>
  </si>
  <si>
    <t>WBGene00222061</t>
  </si>
  <si>
    <t>note=B._malayi_BMA-CPB-3_protein,_contains_similarity_toPfam_domain_PF00076_RNA_recognition_motif._(a.k.a._RRM,RBD,_or_RNP_domain)_contains_similarity_to_Interprodomains_IPR000504_(RNA_recognition_motif_domain),IPR012677_(Nucleotide-binding_alpha-beta_plait_domain)</t>
  </si>
  <si>
    <t>7209.EFO20716.1</t>
  </si>
  <si>
    <t>9.6e-269</t>
  </si>
  <si>
    <t>932.6</t>
  </si>
  <si>
    <t>cpb-3</t>
  </si>
  <si>
    <t>GO:0000900,GO:0003674,GO:0003676,GO:0003723,GO:0003729,GO:0003730,GO:0005488,GO:0005575,GO:0005622,GO:0005623,GO:0005634,GO:0005737,GO:0006412,GO:0006417,GO:0006518,GO:0006807,GO:0008135,GO:0008150,GO:0008152,GO:0009058,GO:0009059,GO:0009889,GO:0009890,GO:0009892,GO:0009987,GO:0010467,GO:0010468,GO:0010556,GO:0010558,GO:0010605,GO:0010608,GO:0010629,GO:0017148,GO:0019222,GO:0019538,GO:0030371,GO:0031323,GO:0031324,GO:0031326,GO:0031327,GO:0032268,GO:0032269,GO:0032991,GO:0034248,GO:0034249,GO:0034641,GO:0034645,GO:0042995,GO:0043005,GO:0043021,GO:0043022,GO:0043043,GO:0043170,GO:0043226,GO:0043227,GO:0043229,GO:0043231,GO:0043603,GO:0043604,GO:0044237,GO:0044238,GO:0044249,GO:0044260,GO:0044267,GO:0044271,GO:0044424,GO:0044464,GO:0044877,GO:0045182,GO:0045202,GO:0048519,GO:0048523,GO:0050789,GO:0050794,GO:0051171,GO:0051172,GO:0051246,GO:0051248,GO:0060255,GO:0065007,GO:0071704,GO:0080090,GO:0090079,GO:0097159,GO:0097458,GO:0120025,GO:1901363,GO:1901564,GO:1901566,GO:1901576,GO:1990124,GO:1990904,GO:2000112,GO:2000113,GO:2000765,GO:2000766</t>
  </si>
  <si>
    <t>1KYJX@119089,38VP8@33154,3BAFM@33208,3CU2P@33213,40CWR@6231,KOG0129@1,KOG0129@2759</t>
  </si>
  <si>
    <t>27,0049/26,8412/30,6056</t>
  </si>
  <si>
    <t>23,5679/20,4583</t>
  </si>
  <si>
    <t>23,8953/22,9133</t>
  </si>
  <si>
    <t>WBGene00000772</t>
  </si>
  <si>
    <t>28.8052</t>
  </si>
  <si>
    <t>Bm318</t>
  </si>
  <si>
    <t>WBGene00220579</t>
  </si>
  <si>
    <t>7209.EFO18403.1</t>
  </si>
  <si>
    <t>2.8e-35</t>
  </si>
  <si>
    <t>1M0D2@119089,2C3J4@1,2SXC1@2759,3AT1R@33154,3C53V@33208,3DJ53@33213,40H0H@6231</t>
  </si>
  <si>
    <t>Bm7687</t>
  </si>
  <si>
    <t>WBGene00227948</t>
  </si>
  <si>
    <t>66,4474/1,31579</t>
  </si>
  <si>
    <t>30,9211/29,6053</t>
  </si>
  <si>
    <t>Bm4923</t>
  </si>
  <si>
    <t>WBGene00225184</t>
  </si>
  <si>
    <t>GO:0035556/</t>
  </si>
  <si>
    <t>intracellular_signal_transduction/</t>
  </si>
  <si>
    <t>The_process_in_which_a_signal_is_passed_on_to_downstream_components_within_the_cell,_which_become_activated_themselves_to_further_propagate_the_signal_and_finally_trigger_a_change_in_the_function_or_state_of_the_cell._[GOC:bf,_GOC:jl,_GOC:signaling,_ISBN:3527303782]/</t>
  </si>
  <si>
    <t>IPR000591/IPR036388/IPR036390/</t>
  </si>
  <si>
    <t>DEP_domain/Winged_helix-like_DNA-binding_domain_superfamily/Winged_helix_DNA-binding_domain_superfamily/</t>
  </si>
  <si>
    <t>DEP_dom/WH-like_DNA-bd_sf/WH_DNA-bd_sf/</t>
  </si>
  <si>
    <t>note=B._malayi_BMA-LET-99_protein,_contains_similarity_to_Pfam_domain_PF00610_Domain_found_in_Dishevelled,_Egl-10,_and_Pleckstrin_(DEP)_contains_similarity_to_Interpro_domains_IPR011991_(Winged_helix-turn-helix_DNA-binding_domain),_IPR000591_(DEP_domain)</t>
  </si>
  <si>
    <t>7209.EFO27879.2</t>
  </si>
  <si>
    <t>1318.1</t>
  </si>
  <si>
    <t>29K20@1,2RTAW@2759,394K1@33154,3C9N3@33208,3DQSG@33213,40HAW@6231</t>
  </si>
  <si>
    <t>19,4622/6,27401</t>
  </si>
  <si>
    <t>6,65813/11,7798</t>
  </si>
  <si>
    <t>12,2919/12,8041/11,0115</t>
  </si>
  <si>
    <t>WBGene00002368</t>
  </si>
  <si>
    <t>14.3406</t>
  </si>
  <si>
    <t>Bm3425</t>
  </si>
  <si>
    <t>WBGene00223686</t>
  </si>
  <si>
    <t>IPR000164/IPR007125/IPR009072/</t>
  </si>
  <si>
    <t>Histone-fold/Histone_H2A/H2B/H3/Histone_H3/CENP-A/</t>
  </si>
  <si>
    <t>note=contains_similarity_to_Pfam_domain_PF00125_Core_histone_H2A/H2B/H3/H4_contains_similarity_to_Interpro_domains_IPR007125_(Histone_core),_IPR000164_(Histone_H3/CENP-A),_IPR009072_(Histone-fold)</t>
  </si>
  <si>
    <t>9478.XP_008055240.1</t>
  </si>
  <si>
    <t>4.5e-66</t>
  </si>
  <si>
    <t>257.3</t>
  </si>
  <si>
    <t>Primates</t>
  </si>
  <si>
    <t>35T38@314146,39ZTV@33154,3BPDH@33208,3D6BK@33213,3JEM2@40674,48E1W@7711,49B7M@7742,4MJEA@9443,COG2036@1,KOG1745@2759</t>
  </si>
  <si>
    <t>88,8158/88,8158/88,8158/88,8158</t>
  </si>
  <si>
    <t>79,6053/79,6053</t>
  </si>
  <si>
    <t>Bm6489</t>
  </si>
  <si>
    <t>WBGene00226750</t>
  </si>
  <si>
    <t>GO:0000003/GO:0000166/GO:0003677/GO:0003678/GO:0004386/GO:0005524/GO:0005634/GO:0006260/GO:0006270/GO:0007399/GO:0008406/GO:0016787/GO:0032508/GO:0040011/GO:0042555/</t>
  </si>
  <si>
    <t>ATP_binding/DNA_binding/DNA_duplex_unwinding/DNA_helicase_activity/DNA_replication/DNA_replication_initiation/MCM_complex/gonad_development/helicase_activity/hydrolase_activity/locomotion/nervous_system_development/nucleotide_binding/nucleus/reproduction/</t>
  </si>
  <si>
    <t>A_hexameric_protein_complex_required_for_the_initiation_and_regulation_of_DNA_replication._[GOC:jl,_PMID:11282021]/"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Catalysis_of_the_hydrolysis_of_various_bonds,_e.g._C-O,_C-N,_C-C,_phosphoric_anhydride_bonds,_etc._Hydrolase_is_the_systematic_name_for_any_enzyme_of_EC_class_3."_[ISBN:0198506732]/"Catalysis_of_the_reaction:_NTP_+_H2O_=_NDP_+_phosphate,_to_drive_the_unwinding_of_a_DNA_helix."_[GOC:jl,_GOC:mah]/"Catalysis_of_the_reaction:_NTP_+_H2O_=_NDP_+_phosphate,_to_drive_the_unwinding_of_a_DNA_or_RNA_helix."_[GOC:mah,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Self-propelled_movement_of_a_cell_or_organism_from_one_location_to_another."_[GOC:dgh]/"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he_process_in_which_DNA-dependent_DNA_replication_is_started;_this_begins_with_the_ATP_dependent_loading_of_an_initiator_complex_onto_the_DNA,_this_is_followed_by_DNA_melting_and_helicase_activity._In_bacteria,_the_gene_products_that_enable_the_helicase_activity_are_loaded_after_the_initial_melting_and_in_archaea_and_eukaryotes,_the_gene_products_that_enable_the_helicase_activity_are_inactive_when_they_are_loaded_and_subsequently_activate."_[ISBN:071673706X,_ISBN:0815316194,_PMID:28209641]/"The_process_in_which_interchain_hydrogen_bonds_between_two_strands_of_DNA_are_broken_or_'melted',_generating_a_region_of_unpaired_single_strands."_[GOC:isa_complete,_GOC:mah]/"The_process_whose_specific_outcome_is_the_progression_of_nervous_tissue_over_time,_from_its_formation_to_its_mature_state."_[GOC:dgh]/"The_process_whose_specific_outcome_is_the_progression_of_the_gonad_over_time,_from_its_formation_to_the_mature_structure._The_gonad_is_an_animal_organ_that_produces_gametes;_in_some_species_it_also_produces_hormones."_[GOC:ems,_ISBN:0198506732]/"The_production_of_new_individuals_that_contain_some_portion_of_genetic_material_inherited_from_one_or_more_parent_organisms."_[GOC:go_curators,_GOC:isa_complete,_GOC:jl,_ISBN:0198506732]/</t>
  </si>
  <si>
    <t>IPR001208/IPR003593/IPR008047/IPR012340/IPR018525/IPR027417/IPR027925/IPR031327/IPR033762/IPR041562/</t>
  </si>
  <si>
    <t>AAA+_ATPase_domain/MCM,_AAA-lid_domain/MCM_N-terminal_domain/MCM_OB_domain/MCM_domain/Mini-chromosome_maintenance,_conserved_site/Mini-chromosome_maintenance_complex_protein_4/Mini-chromosome_maintenance_protein/Nucleic_acid-binding,_OB-fold/P-loop_containing_nucleoside_triphosphate_hydrolase/</t>
  </si>
  <si>
    <t>AAA+_ATPase/MCM/MCM_4/MCM_CS/MCM_N/MCM_OB/MCM_dom/MCM_lid/NA-bd_OB-fold/P-loop_NTPase/</t>
  </si>
  <si>
    <t>note=contains_similarity_to_Pfam_domains_PF00493_(MCM2/3/5_family),_PF14551_(MCM_N-terminal_domain)_contains_similarity_to_Interpro_domains_IPR027925_(MCM_N-terminal_domain),_IPR012340_(Nucleic_acid-binding,_OB-fold),_IPR004039_(Rubredoxin-type_fold),_IPR027417_(P-loop_containing_nucleoside_triphosphate_hydrolase),_IPR003593_(AAA+_ATPase_domain),_IPR001208_(Mini-chromosome_maintenance,_DNA-dependent_ATPase),_IPR008047_(Mini-chromosome_maintenance_complex_protein_4)</t>
  </si>
  <si>
    <t>7209.EFO18222.1</t>
  </si>
  <si>
    <t>1532.3</t>
  </si>
  <si>
    <t>GO:0000003,GO:0003006,GO:0005575,GO:0005622,GO:0005623,GO:0005634,GO:0007275,GO:0007399,GO:0007548,GO:0008150,GO:0008406,GO:0022414,GO:0032501,GO:0032502,GO:0040011,GO:0043226,GO:0043227,GO:0043229,GO:0043231,GO:0044424,GO:0044464,GO:0045137,GO:0048513,GO:0048608,GO:0048731,GO:0048856,GO:0061458</t>
  </si>
  <si>
    <t>ko:K02212</t>
  </si>
  <si>
    <t>ko00000,ko00001,ko00002,ko01000,ko03032</t>
  </si>
  <si>
    <t>1KUA0@119089,38D4R@33154,3B9WH@33208,3CSX5@33213,40B3T@6231,COG1241@1,KOG0478@2759</t>
  </si>
  <si>
    <t>94,9095/94,9095</t>
  </si>
  <si>
    <t>45,8145/25,7919</t>
  </si>
  <si>
    <t>29,9774/20,9276</t>
  </si>
  <si>
    <t>27,9412/21,6063/29,4118/44,3439/29,4118/21,4932/29,638/21,3801</t>
  </si>
  <si>
    <t>33,2579/19,9095</t>
  </si>
  <si>
    <t>WBGene00003156</t>
  </si>
  <si>
    <t>56.7873</t>
  </si>
  <si>
    <t>Bm11031</t>
  </si>
  <si>
    <t>WBGene00231292</t>
  </si>
  <si>
    <t>Bm4968</t>
  </si>
  <si>
    <t>WBGene00225229</t>
  </si>
  <si>
    <t>note=contains_similarity_to_Pfam_domains_PF00169_(PH_domain),_PF08174_(Cell_division_protein_anillin)_contains_similarity_to_Interpro_domains_IPR001849_(Pleckstrin_homology_domain),_IPR011993_(Pleckstrin_homology-like_domain),_IPR012966_(Domain_of_unknown_function_DUF1709)</t>
  </si>
  <si>
    <t>7209.EFO27189.1</t>
  </si>
  <si>
    <t>1717.2</t>
  </si>
  <si>
    <t>GO:0000003,GO:0003006,GO:0005575,GO:0005622,GO:0005623,GO:0005737,GO:0006949,GO:0007275,GO:0007276,GO:0007281,GO:0007292,GO:0007548,GO:0008150,GO:0008406,GO:0009653,GO:0009790,GO:0009792,GO:0009987,GO:0019953,GO:0022412,GO:0022414,GO:0030154,GO:0030728,GO:0032501,GO:0032502,GO:0032504,GO:0044424,GO:0044464,GO:0044703,GO:0045137,GO:0048468,GO:0048477,GO:0048513,GO:0048608,GO:0048609,GO:0048646,GO:0048731,GO:0048856,GO:0048869,GO:0051704,GO:0061458</t>
  </si>
  <si>
    <t>ko:K18621</t>
  </si>
  <si>
    <t>ko00000,ko04812</t>
  </si>
  <si>
    <t>1KXJE@119089,38FZE@33154,3BIFS@33208,3CVII@33213,40FEF@6231,KOG3640@1,KOG3640@2759</t>
  </si>
  <si>
    <t>76,2736/75,4361</t>
  </si>
  <si>
    <t>10,1884/15,6315/16,9574/13,8172</t>
  </si>
  <si>
    <t>6,97837/6,35031</t>
  </si>
  <si>
    <t>13,4682/10,8863</t>
  </si>
  <si>
    <t>6,35031/7,74599</t>
  </si>
  <si>
    <t>WBGene00019608/WBGene00012835</t>
  </si>
  <si>
    <t>13.4682/10.8863</t>
  </si>
  <si>
    <t>Bm9944</t>
  </si>
  <si>
    <t>WBGene00230205</t>
  </si>
  <si>
    <t>GO:0005215/GO:0016020/GO:0016021/GO:0022857/GO:0055085/</t>
  </si>
  <si>
    <t>integral_component_of_membrane/membrane/transmembrane_transport/transmembrane_transporter_activity/transporter_activity/</t>
  </si>
  <si>
    <t>A_lipid_bilayer_along_with_all_the_proteins_and_protein_complexes_embedded_in_it_an_attached_to_it._[GOC:dos,_GOC:mah,_ISBN:0815316194]/"Enables_the_directed_movement_of_substances_(such_as_macromolecules,_small_molecules,_ions)_into,_out_of_or_within_a_cell,_or_between_cells."_[GOC:ai,_GOC:dgf]/"Enables_the_transfer_of_a_substance,_usually_a_specific_substance_or_a_group_of_related_substances,_from_one_side_of_a_membrane_to_the_other."_[GOC:jid,_GOC:mtg_transport,_ISBN:0815340729]/"The_component_of_a_membrane_consisting_of_the_gene_products_and_protein_complexes_having_at_least_some_part_of_their_peptide_sequence_embedded_in_the_hydrophobic_region_of_the_membrane."_[GOC:dos,_GOC:go_curators]/"The_process_in_which_a_solute_is_transported_across_a_lipid_bilayer,_from_one_side_of_a_membrane_to_the_other."_[GOC:dph,_GOC:jid]/</t>
  </si>
  <si>
    <t>IPR005828/IPR005829/IPR020846/IPR036259/</t>
  </si>
  <si>
    <t>MFS_transporter_superfamily/Major_facilitator,__sugar_transporter-like/Major_facilitator_superfamily_domain/Sugar_transporter,_conserved_site/</t>
  </si>
  <si>
    <t>MFS_dom/MFS_sugar_transport-like/MFS_trans_sf/Sugar_transporter_CS/</t>
  </si>
  <si>
    <t>note=contains_similarity_to_Pfam_domain_PF00083_Sugar_(and_other)_transporter_contains_similarity_to_Interpro_domains_IPR005828_(General_substrate_transporter),_IPR020846_(Major_facilitator_superfamily_domain)</t>
  </si>
  <si>
    <t>7209.EFO20369.1</t>
  </si>
  <si>
    <t>2.2e-226</t>
  </si>
  <si>
    <t>792.0</t>
  </si>
  <si>
    <t>1KUUS@119089,39XHG@33154,3BHWX@33208,3D661@33213,40BNS@6231,KOG0255@1,KOG0255@2759</t>
  </si>
  <si>
    <t>organic anion transport</t>
  </si>
  <si>
    <t>60,0619/72,291</t>
  </si>
  <si>
    <t>41,1765/14,3963</t>
  </si>
  <si>
    <t>19,969/23,2198/10,9907/22,1362/21,6718/10,2167/23,3746/19,969/19,969/11,9195/22,291/22,4458</t>
  </si>
  <si>
    <t>23,2198/24,613</t>
  </si>
  <si>
    <t>12,5387/11,4551/11,6099/7,12074/11,3003/10,6811/10,6811/12,6935/11,7647/12,6935/12,6935/11,4551/11,6099/14,8607/14,8607/14,7059/13,3127/12,3839/13,0031/11,4551/11,6099/11,6099/12,8483/13,0031/12,5387/13,7771/13,9319</t>
  </si>
  <si>
    <t>13,4675/15,3251/14,7059/14,2415/15,0155/16,0991/15,1703/15,3251/11,6099/16,0991/15,7895/15,1703/15,4799/12,8483/7,58514/16,0991/13,4675/13,1579</t>
  </si>
  <si>
    <t>12,6935/15,0155/15,6347/14,8607/15,0155/14,7059/12,5387/15,9443/15,7895/16,0991/9,44272/16,0991/9,59752/15,3251/14,8607/15,3251/13,3127/13,0031/13,4675/13,4675/13,4675/13,4675/15,7895/13,7771/13,6223/14,8607</t>
  </si>
  <si>
    <t>14,2415/15,1703/17,0279/15,1703/16,4087/15,6347/16,4087/16,4087/16,7183/12,5387/14,0867/11,6099/15,1703/16,5635/14,5511/13,3127/13,4675/11,7647</t>
  </si>
  <si>
    <t>Bm10885</t>
  </si>
  <si>
    <t>WBGene00231146</t>
  </si>
  <si>
    <t>IPR038755/</t>
  </si>
  <si>
    <t>Uncharacterized_protein_CG13380/</t>
  </si>
  <si>
    <t>CG13380/</t>
  </si>
  <si>
    <t>6326.BUX.s00422.203</t>
  </si>
  <si>
    <t>4.5e-09</t>
  </si>
  <si>
    <t>1KXAR@119089,2E6TS@1,2SDGG@2759,3ACAH@33154,3BVJW@33208,3DC0K@33213,40F6S@6231</t>
  </si>
  <si>
    <t>Bm9818</t>
  </si>
  <si>
    <t>WBGene00230079</t>
  </si>
  <si>
    <t>10,125/6,25/7,75/19,625</t>
  </si>
  <si>
    <t>12,125/49,5</t>
  </si>
  <si>
    <t>Bm6537</t>
  </si>
  <si>
    <t>WBGene00226798</t>
  </si>
  <si>
    <t>GO:0005515/GO:0005634/</t>
  </si>
  <si>
    <t>nucleus/protein_binding/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</si>
  <si>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Interacting_selectively_and_non-covalently_with_any_protein_or_protein_complex_(a_complex_of_two_or_more_proteins_that_may_include_other_nonprotein_molecules)."_[GOC:go_curators]/</t>
  </si>
  <si>
    <t>IPR000953/IPR001214/IPR016197/IPR023780/</t>
  </si>
  <si>
    <t>Chromo-like_domain_superfamily/Chromo/chromo_shadow_domain/Chromo_domain/SET_domain/</t>
  </si>
  <si>
    <t>Chromo-like_dom_sf/Chromo/chromo_shadow_dom/Chromo_domain/SET_dom/</t>
  </si>
  <si>
    <t>note=B._malayi_BMA-SET-25_protein,_contains_similarity_to_Pfam_domains_PF00856_(SET_domain),_PF00385_(Chromo_(CHRromatin_Organisation_MOdifier)_domain)_contains_similarity_to_Interpro_domains_IPR001214_(SET_domain),_IPR000953_(Chromo/chromo_shadow_domain),_IPR023780_(Chromo_domain),_IPR016197_(Chromo_domain-like)</t>
  </si>
  <si>
    <t>7209.EJD73642.1</t>
  </si>
  <si>
    <t>5e-171</t>
  </si>
  <si>
    <t>2.1.1.43</t>
  </si>
  <si>
    <t>ko:K11419</t>
  </si>
  <si>
    <t>ko00310,map00310</t>
  </si>
  <si>
    <t>R03875,R03938,R04866,R04867</t>
  </si>
  <si>
    <t>RC00003,RC00060,RC00181,RC00496</t>
  </si>
  <si>
    <t>1KZJB@119089,38C0T@33154,3BBDM@33208,3CVXW@33213,40DZ3@6231,COG2940@1,KOG1082@2759</t>
  </si>
  <si>
    <t>SET (Su(var)3-9, Enhancer-of-zeste, Trithorax) domain</t>
  </si>
  <si>
    <t>7,32143/9,10714/8,03571</t>
  </si>
  <si>
    <t>10,3571/8,57143/6,42857/9,64286/8,92857/6,78571/9,28571/9,28571</t>
  </si>
  <si>
    <t>WBGene00020006/WBGene00021282/WBGene00022431/WBGene00008062/WBGene00008206/WBGene00020920/WBGene00003040/WBGene00003222</t>
  </si>
  <si>
    <t>10.3571/8.57143/6.42857/9.64286/8.92857/6.78571/9.28571/9.28571</t>
  </si>
  <si>
    <t>Gender_Neutral/Oogenic/Gender_Neutral/Gender_Neutral/Oogenic/Oogenic/Oogenic</t>
  </si>
  <si>
    <t>Bm1899</t>
  </si>
  <si>
    <t>WBGene00222160</t>
  </si>
  <si>
    <t>note=contains_similarity_to_Pfam_domains_PF12330_(Domainof_unknown_function_(DUF3635)),_PF00069_(Protein_kinasedomain)_contains_similarity_to_Interpro_domains_IPR002290(Serine/threonine/dual_specificity_protein_kinase,catalytic_domain),_IPR011009_(Protein_kinase-like_domain),IPR024604_(Domain_of_unknown_function_DUF3635),_IPR000719(Protein_kinase_domain)</t>
  </si>
  <si>
    <t>7209.EJD74913.1</t>
  </si>
  <si>
    <t>3e-181</t>
  </si>
  <si>
    <t>642.1</t>
  </si>
  <si>
    <t>16,8588/15,2738</t>
  </si>
  <si>
    <t>13,2565/10,2305/12,9683</t>
  </si>
  <si>
    <t>7,3487/12,8242/18,0115/18,1556</t>
  </si>
  <si>
    <t>16,1383/20,0288</t>
  </si>
  <si>
    <t>16,5706/13,8329</t>
  </si>
  <si>
    <t>6,48415/6,62824/6,19597</t>
  </si>
  <si>
    <t>6,19597/6,77233/6,19597</t>
  </si>
  <si>
    <t>5,76369/7,20461</t>
  </si>
  <si>
    <t>12,2478/14,2651</t>
  </si>
  <si>
    <t>16.1383/20.0288</t>
  </si>
  <si>
    <t>Bm7079</t>
  </si>
  <si>
    <t>WBGene00227340</t>
  </si>
  <si>
    <t>7209.EFO15531.1</t>
  </si>
  <si>
    <t>7.4e-56</t>
  </si>
  <si>
    <t>224.6</t>
  </si>
  <si>
    <t>KOG1418@1,KOG1418@2759</t>
  </si>
  <si>
    <t>potassium channel activity</t>
  </si>
  <si>
    <t>24,2857/29,4286</t>
  </si>
  <si>
    <t>23,4286/24,8571</t>
  </si>
  <si>
    <t>26/26,5714</t>
  </si>
  <si>
    <t>WBGene00006679/WBGene00006695</t>
  </si>
  <si>
    <t>26/26.5714</t>
  </si>
  <si>
    <t>Bm17251</t>
  </si>
  <si>
    <t>WBGene00268394</t>
  </si>
  <si>
    <t>Bm5273</t>
  </si>
  <si>
    <t>WBGene00225534</t>
  </si>
  <si>
    <t>2.8e-210</t>
  </si>
  <si>
    <t>737.6</t>
  </si>
  <si>
    <t>Bm10589</t>
  </si>
  <si>
    <t>WBGene00230850</t>
  </si>
  <si>
    <t>7209.EFO24828.2</t>
  </si>
  <si>
    <t>7.4e-154</t>
  </si>
  <si>
    <t>550.8</t>
  </si>
  <si>
    <t>44,5993/43,9024</t>
  </si>
  <si>
    <t>15.6794</t>
  </si>
  <si>
    <t>Bm18181</t>
  </si>
  <si>
    <t>WBGene00269321</t>
  </si>
  <si>
    <t>43,7637/1,53173</t>
  </si>
  <si>
    <t>45,2954/0,875274</t>
  </si>
  <si>
    <t>Bm10227</t>
  </si>
  <si>
    <t>WBGene00230488</t>
  </si>
  <si>
    <t>GO:0000166/GO:0001678/GO:0004396/GO:0005524/GO:0005536/GO:0005623/GO:0005975/GO:0006096/GO:0016301/GO:0016310/GO:0016740/GO:0016773/GO:0046835/</t>
  </si>
  <si>
    <t>ATP_binding/carbohydrate_metabolic_process/carbohydrate_phosphorylation/cell/cellular_glucose_homeostasis/glucose_binding/glycolytic_process/hexokinase_activity/kinase_activity/nucleotide_binding/phosphorylation/phosphotransferase_activity,_alcohol_group_as_acceptor/transferase_activity/</t>
  </si>
  <si>
    <t>A_cellular_homeostatic_process_involved_in_the_maintenance_of_an_internal_steady_state_of_glucose_within_a_cell_or_between_a_cell_and_its_external_environment._[GOC:dph,_GOC:go_curators,_GOC:tb]/"Catalysis_of_the_reaction:_ATP_+_D-hexose_=_ADP_+_D-hexose_6-phosphate."_[EC:2.7.1.1]/"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_phosphate_group,_usually_from_ATP,_to_a_substrate_molecule."_[ISBN:0198506732]/"Catalysis_of_the_transfer_of_a_phosphorus-containing_group_from_one_compound_(donor)_to_an_alcohol_group_(acceptor)."_[GOC:jl]/"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the_D-_or_L-enantiomer_of_glucose."_[CHEBI:17234,_GOC:jl]/"The_basic_structural_and_functional_unit_of_all_organisms._Includes_the_plasma_membrane_and_any_external_encapsulating_structures_such_as_the_cell_wall_and_cell_envelope."_[GOC:go_curators]/"The_chemical_reactions_and_pathways_involving_carbohydrates,_any_of_a_group_of_organic_compounds_based_of_the_general_formula_Cx(H2O)y._Includes_the_formation_of_carbohydrate_derivatives_by_the_addition_of_a_carbohydrate_residue_to_another_molecule."_[GOC:mah,_ISBN:0198506732]/"The_chemical_reactions_and_pathways_resulting_in_the_breakdown_of_a_carbohydrate_into_pyruvate,_with_the_concomitant_production_of_a_small_amount_of_ATP_and_the_reduction_of_NAD(P)_to_NAD(P)H._Glycolysis_begins_with_the_metabolism_of_a_carbohydrate_to_generate_products_that_can_enter_the_pathway_and_ends_with_the_production_of_pyruvate._Pyruvate_may_be_converted_to_acetyl-coenzyme_A,_ethanol,_lactate,_or_other_small_molecules."_[GOC:bf,_GOC:dph,_ISBN:0201090910,_ISBN:0716720094,_ISBN:0879010479,_Wikipedia:Glycolysis]/"The_process_of_introducing_a_phosphate_group_into_a_carbohydrate,_any_organic_compound_based_on_the_general_formula_Cx(H2O)y."_[ISBN:0198506732]/"The_process_of_introducing_a_phosphate_group_into_a_molecule,_usually_with_the_formation_of_a_phosphoric_ester,_a_phosphoric_anhydride_or_a_phosphoric_amide."_[ISBN:0198506732]/</t>
  </si>
  <si>
    <t>IPR001312/IPR019807/IPR022672/IPR022673/</t>
  </si>
  <si>
    <t>Hexokinase/Hexokinase,_C-terminal/Hexokinase,_N-terminal/Hexokinase,_binding_site/</t>
  </si>
  <si>
    <t>Hexokinase/Hexokinase_BS/Hexokinase_C/Hexokinase_N/</t>
  </si>
  <si>
    <t>note=contains_similarity_to_Pfam_domains_PF00349_(Hexokinase),_PF03727_(Hexokinase)_contains_similarity_to_Interpro_domains_IPR001312_(Hexokinase),_IPR022672_(Hexokinase,_N-terminal),_IPR022673_(Hexokinase,_C-terminal)</t>
  </si>
  <si>
    <t>7209.EFO28005.1</t>
  </si>
  <si>
    <t>4.7e-183</t>
  </si>
  <si>
    <t>1KY2V@119089,38DFC@33154,3BD1K@33208,3CU23@33213,40FNB@6231,COG5026@1,KOG1369@2759</t>
  </si>
  <si>
    <t>Belongs to the hexokinase family</t>
  </si>
  <si>
    <t>98,0769/98,0769</t>
  </si>
  <si>
    <t>42,094/50</t>
  </si>
  <si>
    <t>41,0256/38,0342/18,5897/39,7436</t>
  </si>
  <si>
    <t>49,7863/33,1197/43,3761/43,3761</t>
  </si>
  <si>
    <t>43,1624/46,3675/46,1538/42,5214/44,2308</t>
  </si>
  <si>
    <t>46,1538/42,735/45,5128/43,1624/44,0171</t>
  </si>
  <si>
    <t>43,5897/47,2222/41,8803/41,2393</t>
  </si>
  <si>
    <t>Bm17308</t>
  </si>
  <si>
    <t>WBGene00268451</t>
  </si>
  <si>
    <t>Bm17470</t>
  </si>
  <si>
    <t>WBGene00268613</t>
  </si>
  <si>
    <t>3.1e-20</t>
  </si>
  <si>
    <t>106.7</t>
  </si>
  <si>
    <t>11,9588/11,3402/6,59794/11,9588/11,7526/12,9897/3,91753/11,134/11,5464/6,18557/6,18557/1,03093/11,5464/11,7526/13,6082/6,18557/9,89691/10,7216/8,24742/12,1649/11,134</t>
  </si>
  <si>
    <t>11,7526/11,134/7,01031/12,1649/11,9588/12,7835/4,53608/11,134/11,5464/11,7526/11,7526/12,7835/6,59794/10,7216/10,7216/8,24742</t>
  </si>
  <si>
    <t>6,18557/11,134/10,1031/11,5464/11,3402/10,3093/10,9278/6,80412/10,1031</t>
  </si>
  <si>
    <t>Bm10006</t>
  </si>
  <si>
    <t>WBGene00230267</t>
  </si>
  <si>
    <t>note=contains_similarity_to_Interpro_domains_IPR008936_(Rho_GTPase_activation_protein),_IPR002219_(Protein_kinase_C-like,_phorbol_ester/diacylglycerol-binding_domain),_IPR000198_(Rho_GTPase-activating_protein_domain)</t>
  </si>
  <si>
    <t>7209.EFO28450.1</t>
  </si>
  <si>
    <t>1.1e-196</t>
  </si>
  <si>
    <t>693.3</t>
  </si>
  <si>
    <t>22,0126/16,195/22,1698/24,2138</t>
  </si>
  <si>
    <t>28,1447/29,8742</t>
  </si>
  <si>
    <t>27,673/15,8805/17,7673/27,3585</t>
  </si>
  <si>
    <t>24,0566/20,7547/16,3522/15,8805</t>
  </si>
  <si>
    <t>20,9119/24,3711</t>
  </si>
  <si>
    <t>21,3836/25</t>
  </si>
  <si>
    <t>21,2264/12,7358</t>
  </si>
  <si>
    <t>18,3962/23,2704</t>
  </si>
  <si>
    <t>28.3019</t>
  </si>
  <si>
    <t>Bm10627</t>
  </si>
  <si>
    <t>WBGene00230888</t>
  </si>
  <si>
    <t>22,8883/27,7929/20,7084</t>
  </si>
  <si>
    <t>Bm10620</t>
  </si>
  <si>
    <t>WBGene00230881</t>
  </si>
  <si>
    <t>Bm10485</t>
  </si>
  <si>
    <t>WBGene00230746</t>
  </si>
  <si>
    <t>Bm9262</t>
  </si>
  <si>
    <t>WBGene00229523</t>
  </si>
  <si>
    <t>26,5734/9,09091</t>
  </si>
  <si>
    <t>Bm5653</t>
  </si>
  <si>
    <t>WBGene00225914</t>
  </si>
  <si>
    <t>GO:0004930/GO:0007186/GO:0016020/GO:0016021/</t>
  </si>
  <si>
    <t>G_protein-coupled_receptor_activity/G_protein-coupled_receptor_signaling_pathway/integral_component_of_membrane/membrane/</t>
  </si>
  <si>
    <t>A_lipid_bilayer_along_with_all_the_proteins_and_protein_complexes_embedded_in_it_an_attached_to_it._[GOC:dos,_GOC:mah,_ISBN:0815316194]/"A_series_of_molecular_signals_that_proceeds_with_an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or_for_basal_GPCR_signaling_the_pathway_begins_with_the_receptor_activating_its_G_protein_in_the_absence_of_an_agonist,_and_ends_with_regulation_of_a_downstream_cellular_process,_e.g._transcription.__The_pathway_can_start_from_the_plasma_membrane,_Golgi_or_nuclear_membrane_(PMID:24568158_and_PMID:16902576)."_[GOC:bf,_GOC:mah,_PMID:16902576,_PMID:24568158,_Wikipedia:G_protein-coupled_receptor]/"Combining_with_an_extracellular_signal_and_transmitting_the_signal_across_the_membrane_by_activating_an_associated_G-protein;_promotes_the_exchange_of_GDP_for_GTP_on_the_alpha_subunit_of_a_heterotrimeric_G-protein_complex."_[GOC:bf,_http://www.iuphar-db.org,_Wikipedia:GPCR]/"The_component_of_a_membrane_consisting_of_the_gene_products_and_protein_complexes_having_at_least_some_part_of_their_peptide_sequence_embedded_in_the_hydrophobic_region_of_the_membrane."_[GOC:dos,_GOC:go_curators]/</t>
  </si>
  <si>
    <t>note=B._malayi_BMA-NPR-31_protein,_contains_similarity_to_Pfam_domain_PF00001_7_transmembrane_receptor_(rhodopsin_family)_contains_similarity_to_Interpro_domain_IPR000276_(G_protein-coupled_receptor,_rhodopsin-like)</t>
  </si>
  <si>
    <t>7209.EFO21725.2</t>
  </si>
  <si>
    <t>1e-46</t>
  </si>
  <si>
    <t>193.7</t>
  </si>
  <si>
    <t>1KWPM@119089,3A6YG@33154,3BTMV@33208,3DA16@33213,40DYY@6231,KOG3656@1,KOG3656@2759</t>
  </si>
  <si>
    <t>Bm17684</t>
  </si>
  <si>
    <t>WBGene00268826</t>
  </si>
  <si>
    <t>8.4e-13</t>
  </si>
  <si>
    <t>81.3</t>
  </si>
  <si>
    <t>Bm7681</t>
  </si>
  <si>
    <t>WBGene00227942</t>
  </si>
  <si>
    <t>IPR000668/IPR013128/IPR013201/IPR025661/IPR038765/IPR039417/</t>
  </si>
  <si>
    <t>Cathepsin_propeptide_inhibitor_domain_(I29)/Cysteine_peptidase,_asparagine_active_site/Papain-like_cysteine_endopeptidase/Papain-like_cysteine_peptidase_superfamily/Peptidase_C1A/Peptidase_C1A,_papain_C-terminal/</t>
  </si>
  <si>
    <t>Papain_like_cys_pep_sf/Pept_asp_AS/Peptidase_C1A/Peptidase_C1A_C/Peptidase_C1A_papain-like/Prot_inhib_I29/</t>
  </si>
  <si>
    <t>1.2e-118</t>
  </si>
  <si>
    <t>433.3</t>
  </si>
  <si>
    <t>18,6701/9,97442/22,5064</t>
  </si>
  <si>
    <t>20,4604/26,3427/26,3427/26,087</t>
  </si>
  <si>
    <t>20,9719/20,2046/23,5294/24,0409/24,0409/25,0639/19,6931/22,2506/20,7161/26,8542</t>
  </si>
  <si>
    <t>21,7391/25,8312/28,133/24,8082/27,3657</t>
  </si>
  <si>
    <t>21,4834/21,9949</t>
  </si>
  <si>
    <t>22,5064/22,2506/22,5064/27,3657/26,8542</t>
  </si>
  <si>
    <t>28,9003/28,6445/21,7391</t>
  </si>
  <si>
    <t>24,2967/25,5754/17,3913</t>
  </si>
  <si>
    <t>22,5064/14,578</t>
  </si>
  <si>
    <t>23,2737/18,1586/5,6266</t>
  </si>
  <si>
    <t>23,2737/17,6471/22,7621/17,6471/16,3683/16,624/13,8107/16,624/23,5294/19,6931/10,9974/17,6471/19,9488/20,4604/25,8312/13,8107/25,8312/20,9719/16,1125</t>
  </si>
  <si>
    <t>27,3657/25,0639/26,5985</t>
  </si>
  <si>
    <t>23.2737/17.6471/22.7621/17.6471/16.3683/16.624/13.8107/16.624/23.5294/19.6931/10.9974/17.6471/19.9488/20.4604/25.8312/13.8107/25.8312/20.9719/16.1125</t>
  </si>
  <si>
    <t>Bm17290</t>
  </si>
  <si>
    <t>WBGene00268433</t>
  </si>
  <si>
    <t>15,5556/39,2593</t>
  </si>
  <si>
    <t>Bm10713</t>
  </si>
  <si>
    <t>WBGene00230974</t>
  </si>
  <si>
    <t>Bm17303</t>
  </si>
  <si>
    <t>WBGene00268446</t>
  </si>
  <si>
    <t>Bm17166</t>
  </si>
  <si>
    <t>WBGene00268309</t>
  </si>
  <si>
    <t>2.8e-10</t>
  </si>
  <si>
    <t>Bm17409</t>
  </si>
  <si>
    <t>WBGene00268552</t>
  </si>
  <si>
    <t>4.8e-13</t>
  </si>
  <si>
    <t>Bm13043</t>
  </si>
  <si>
    <t>WBGene00233304</t>
  </si>
  <si>
    <t>Bm3588</t>
  </si>
  <si>
    <t>WBGene00223849</t>
  </si>
  <si>
    <t>GO:0000166/GO:0003676/GO:0003677/GO:0004003/GO:0004386/GO:0005524/GO:0005634/GO:0006139/GO:0008026/GO:0016787/GO:0016818/GO:0032508/</t>
  </si>
  <si>
    <t>ATP-dependent_DNA_helicase_activity/ATP-dependent_helicase_activity/ATP_binding/DNA_binding/DNA_duplex_unwinding/helicase_activity/hydrolase_activity/hydrolase_activity,_acting_on_acid_anhydrides,_in_phosphorus-containing_anhydrides/nucleic_acid_binding/nucleobase-containing_compound_metabolic_process/nucleotide_binding/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</si>
  <si>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cellular_metabolic_process_involving_nucleobases,_nucleosides,_nucleotides_and_nucleic_acids."_[GOC:ai]/"Any_molecular_function_by_which_a_gene_product_interacts_selectively_and_non-covalently_with_DNA_(deoxyribonucleic_acid)."_[GOC:dph,_GOC:jl,_GOC:tb,_GOC:vw]/"Catalysis_of_the_hydrolysis_of_any_acid_anhydride_which_contains_phosphorus."_[GOC:jl]/"Catalysis_of_the_hydrolysis_of_various_bonds,_e.g._C-O,_C-N,_C-C,_phosphoric_anhydride_bonds,_etc._Hydrolase_is_the_systematic_name_for_any_enzyme_of_EC_class_3."_[ISBN:0198506732]/"Catalysis_of_the_reaction:_ATP_+_H2O_=_ADP_+_phosphate,_to_drive_the_unwinding_of_a_DNA_or_RNA_helix."_[EC:3.6.1.3,_GOC:jl]/"Catalysis_of_the_reaction:_ATP_+_H2O_=_ADP_+_phosphate;_this_reaction_drives_the_unwinding_of_the_DNA_helix."_[EC:3.6.1.3,_GOC:jl]/"Catalysis_of_the_reaction:_NTP_+_H2O_=_NDP_+_phosphate,_to_drive_the_unwinding_of_a_DNA_or_RNA_helix."_[GOC:mah,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y_nucleic_acid."_[GOC:jl]/"The_process_in_which_interchain_hydrogen_bonds_between_two_strands_of_DNA_are_broken_or_'melted',_generating_a_region_of_unpaired_single_strands."_[GOC:isa_complete,_GOC:mah]/</t>
  </si>
  <si>
    <t>IPR006554/IPR006555/IPR010614/IPR013020/IPR014013/IPR027417/</t>
  </si>
  <si>
    <t>ATP-dependent_helicase,_C-terminal/ATP-dependent_helicase_Rad3/Chl1-like/DEAD2/Helicase-like,_DEXD_box_c2_type/Helicase_superfamily_1/2,_ATP-binding_domain,_DinG/Rad3-type/P-loop_containing_nucleoside_triphosphate_hydrolase/</t>
  </si>
  <si>
    <t>ATP-dep_Helicase_C/DEAD_2/Helic_SF1/SF2_ATP-bd_DinG/Rad3/Helicase-like_DEXD_c2/P-loop_NTPase/Rad3/Chl1-like/</t>
  </si>
  <si>
    <t>note=B._malayi_BMA-RTEL-1_protein,_contains_similarity_to_Pfam_domains_PF06733_(DEAD_2),_PF13307_(Helicase_C-terminal_domain)_contains_similarity_to_Interpro_domains_IPR027417_(P-loop_containing_nucleoside_triphosphate_hydrolase),_IPR006554_(Helicase-like,_DEXD_box_c2_type),_IPR006555_(ATP-dependent_helicase,_C-terminal),_IPR010614_(DEAD2),_IPR013020_(DNA_helicase_(DNA_repair),_Rad3_type)</t>
  </si>
  <si>
    <t>7209.EFO18242.2</t>
  </si>
  <si>
    <t>1.2e-212</t>
  </si>
  <si>
    <t>GO:0000018,GO:0000166,GO:0003674,GO:0003678,GO:0003824,GO:0004003,GO:0004386,GO:0005488,GO:0005524,GO:0005575,GO:0005622,GO:0005623,GO:0005634,GO:0006282,GO:0006996,GO:0008026,GO:0008094,GO:0008144,GO:0008150,GO:0009987,GO:0010569,GO:0016043,GO:0016462,GO:0016787,GO:0016817,GO:0016818,GO:0016887,GO:0017076,GO:0017111,GO:0019219,GO:0019222,GO:0030554,GO:0031323,GO:0032392,GO:0032508,GO:0032553,GO:0032555,GO:0032559,GO:0035639,GO:0036094,GO:0042623,GO:0043167,GO:0043168,GO:0043226,GO:0043227,GO:0043229,GO:0043231,GO:0044424,GO:0044464,GO:0048583,GO:0050789,GO:0050794,GO:0051052,GO:0051171,GO:0051276,GO:0060255,GO:0065007,GO:0070035,GO:0071103,GO:0071840,GO:0080090,GO:0080134,GO:0080135,GO:0097159,GO:0097367,GO:0140097,GO:1901265,GO:1901363,GO:2000779,GO:2001020</t>
  </si>
  <si>
    <t>ko:K11136</t>
  </si>
  <si>
    <t>ko00000,ko01000,ko03032</t>
  </si>
  <si>
    <t>1KUIT@119089,38BE8@33154,3BBTE@33208,3CSUP@33213,40C0S@6231,COG1199@1,KOG1132@2759</t>
  </si>
  <si>
    <t>ATP-dependent DNA helicase implicated in DNA repair and the maintenance of genomic stability. Acts as an anti-recombinase to counteract toxic recombination and limit crossover during meiosis. Regulates meiotic recombination and crossover homeostasis by physically dissociating strand invasion events and thereby promotes noncrossover repair by meiotic synthesis dependent strand annealing (SDSA) as well as disassembly of D loop recombination intermediates</t>
  </si>
  <si>
    <t>31,5577/32,4455</t>
  </si>
  <si>
    <t>26,3923/23,8095/9,28168</t>
  </si>
  <si>
    <t>22,4375/22,4375</t>
  </si>
  <si>
    <t>WBGene00009124</t>
  </si>
  <si>
    <t>26.1501</t>
  </si>
  <si>
    <t>Bm18020</t>
  </si>
  <si>
    <t>WBGene00269162</t>
  </si>
  <si>
    <t>Bm6621</t>
  </si>
  <si>
    <t>WBGene00226882</t>
  </si>
  <si>
    <t>GO:0005634/GO:0006508/GO:0008233/</t>
  </si>
  <si>
    <t>nucleus/peptidase_activity/proteolysis/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</si>
  <si>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Catalysis_of_the_hydrolysis_of_a_peptide_bond._A_peptide_bond_is_a_covalent_bond_formed_when_the_carbon_atom_from_the_carboxyl_group_of_one_amino_acid_shares_electrons_with_the_nitrogen_atom_from_the_amino_group_of_a_second_amino_acid."_[GOC:jl,_ISBN:0815332181]/"The_hydrolysis_of_proteins_into_smaller_polypeptides_and/or_amino_acids_by_cleavage_of_their_peptide_bonds."_[GOC:bf,_GOC:mah]/</t>
  </si>
  <si>
    <t>IPR005314/IPR030397/</t>
  </si>
  <si>
    <t>Peptidase_C50,_separase/SEPARIN_core_domain/</t>
  </si>
  <si>
    <t>Peptidase_C50/SEPARIN_core_dom/</t>
  </si>
  <si>
    <t>note=contains_similarity_to_Pfam_domain_PF03568_Peptidase_family_C50_contains_similarity_to_Interpro_domain_IPR005314_(Peptidase_C50,_separase)</t>
  </si>
  <si>
    <t>7209.EFO23554.1</t>
  </si>
  <si>
    <t>2022.7</t>
  </si>
  <si>
    <t>GO:0000003,GO:0000070,GO:0000226,GO:0000228,GO:0000278,GO:0000280,GO:0000281,GO:0000793,GO:0000794,GO:0000819,GO:0000910,GO:0001775,GO:0003002,GO:0003006,GO:0003674,GO:0003824,GO:0004175,GO:0004197,GO:0005488,GO:0005515,GO:0005575,GO:0005622,GO:0005623,GO:0005634,GO:0005635,GO:0005694,GO:0005737,GO:0005813,GO:0005815,GO:0005819,GO:0005856,GO:0005886,GO:0005938,GO:0006508,GO:0006807,GO:0006810,GO:0006887,GO:0006996,GO:0007010,GO:0007017,GO:0007049,GO:0007059,GO:0007098,GO:0007143,GO:0007275,GO:0007276,GO:0007281,GO:0007292,GO:0007338,GO:0007343,GO:0007389,GO:0008104,GO:0008150,GO:0008152,GO:0008233,GO:0008234,GO:0009566,GO:0009653,GO:0009798,GO:0009948,GO:0009949,GO:0009952,GO:0009987,GO:0010467,GO:0010564,GO:0012505,GO:0015630,GO:0016020,GO:0016043,GO:0016192,GO:0016485,GO:0016787,GO:0017156,GO:0017157,GO:0019538,GO:0019953,GO:0022402,GO:0022412,GO:0022414,GO:0030141,GO:0030154,GO:0030496,GO:0030703,GO:0030997,GO:0031023,GO:0031410,GO:0031967,GO:0031974,GO:0031975,GO:0031981,GO:0031982,GO:0032153,GO:0032154,GO:0032155,GO:0032501,GO:0032502,GO:0032504,GO:0032879,GO:0032886,GO:0032940,GO:0033036,GO:0033043,GO:0033206,GO:0034613,GO:0040012,GO:0040038,GO:0043170,GO:0043226,GO:0043227,GO:0043228,GO:0043229,GO:0043231,GO:0043232,GO:0043233,GO:0043900,GO:0043901,GO:0044238,GO:0044422,GO:0044424,GO:0044425,GO:0044428,GO:0044430,GO:0044444,GO:0044446,GO:0044459,GO:0044464,GO:0044703,GO:0045055,GO:0045132,GO:0046605,GO:0046903,GO:0048285,GO:0048468,GO:0048477,GO:0048519,GO:0048580,GO:0048609,GO:0048646,GO:0048856,GO:0048869,GO:0050789,GO:0050793,GO:0050794,GO:0051046,GO:0051049,GO:0051128,GO:0051179,GO:0051234,GO:0051239,GO:0051276,GO:0051301,GO:0051304,GO:0051306,GO:0051307,GO:0051321,GO:0051493,GO:0051604,GO:0051641,GO:0051704,GO:0051726,GO:0060467,GO:0060468,GO:0060471,GO:0060473,GO:0060627,GO:0061062,GO:0061640,GO:0065001,GO:0065007,GO:0070011,GO:0070013,GO:0070090,GO:0070507,GO:0070727,GO:0071704,GO:0071840,GO:0071944,GO:0072686,GO:0072687,GO:0080154,GO:0097708,GO:0098590,GO:0098813,GO:0099503,GO:0099568,GO:0140013,GO:0140014,GO:0140096,GO:1901564,GO:1903046,GO:1903047,GO:1903530,GO:2000026,GO:2000241,GO:2000242</t>
  </si>
  <si>
    <t>3.4.22.49</t>
  </si>
  <si>
    <t>ko:K02365</t>
  </si>
  <si>
    <t>ko04110,ko04111,ko04113,ko04114,map04110,map04111,map04113,map04114</t>
  </si>
  <si>
    <t>ko00000,ko00001,ko01000,ko01002,ko03036</t>
  </si>
  <si>
    <t>1KW5D@119089,39UH7@33154,3BD8K@33208,3CZK3@33213,40EQF@6231,COG5155@1,KOG1849@2759</t>
  </si>
  <si>
    <t>peptidase activity</t>
  </si>
  <si>
    <t>23,1337/17,0632</t>
  </si>
  <si>
    <t>22,3954/14,356</t>
  </si>
  <si>
    <t>3,69155/3,52748</t>
  </si>
  <si>
    <t>18,6218/19,8523</t>
  </si>
  <si>
    <t>WBGene00022741/WBGene00004775</t>
  </si>
  <si>
    <t>18.6218/19.8523</t>
  </si>
  <si>
    <t>Bm17284</t>
  </si>
  <si>
    <t>WBGene00268427</t>
  </si>
  <si>
    <t>15,3061/36,3946</t>
  </si>
  <si>
    <t>Bm10331</t>
  </si>
  <si>
    <t>WBGene00230592</t>
  </si>
  <si>
    <t>Bm10951</t>
  </si>
  <si>
    <t>WBGene00231212</t>
  </si>
  <si>
    <t>note=contains_similarity_to_Pfam_domain_PF00071_Ras_family_contains_similarity_to_Interpro_domains_IPR005225_(Small_GTP-binding_protein_domain),_IPR001806_(Small_GTPase_superfamily),_IPR003579_(Small_GTPase_superfamily,_Rab_type),_IPR027417_(P-loop_containing_nucleoside_triphosphate_hydrolase)</t>
  </si>
  <si>
    <t>4006.Lus10002725</t>
  </si>
  <si>
    <t>6.1e-11</t>
  </si>
  <si>
    <t>Streptophyta</t>
  </si>
  <si>
    <t>37KT9@33090,3GBEA@35493,COG1100@1,KOG0087@2759</t>
  </si>
  <si>
    <t>Ras-related protein</t>
  </si>
  <si>
    <t>Bm10434</t>
  </si>
  <si>
    <t>WBGene00230695</t>
  </si>
  <si>
    <t>60,4651/60,4651</t>
  </si>
  <si>
    <t>Bm6604</t>
  </si>
  <si>
    <t>WBGene00226865</t>
  </si>
  <si>
    <t>IPR024647/</t>
  </si>
  <si>
    <t>DNA_polymerase_alpha_catalytic_subunit,_N-terminal_domain/</t>
  </si>
  <si>
    <t>DNA_pol_a_cat_su_N/</t>
  </si>
  <si>
    <t>note=contains_similarity_to_Pfam_domain_PF12254_DNA_polymerase_alpha_subunit_p180_N_terminal_contains_similarity_to_Interpro_domains_IPR029702_(DNA_polymerase_alpha_catalytic_subunit),_IPR024647_(DNA_polymerase_alpha_catalytic_subunit,_N-terminal_domain)</t>
  </si>
  <si>
    <t>7209.EFO26754.2</t>
  </si>
  <si>
    <t>6.1e-63</t>
  </si>
  <si>
    <t>247.7</t>
  </si>
  <si>
    <t>GO:0003674,GO:0003824,GO:0003887,GO:0005575,GO:0005622,GO:0005623,GO:0005634,GO:0006139,GO:0006259,GO:0006260,GO:0006725,GO:0006807,GO:0008150,GO:0008152,GO:0009058,GO:0009059,GO:0009987,GO:0016740,GO:0016772,GO:0016779,GO:0018130,GO:0019438,GO:0034061,GO:0034641,GO:0034645,GO:0034654,GO:0043170,GO:0043226,GO:0043227,GO:0043229,GO:0043231,GO:0044237,GO:0044238,GO:0044249,GO:0044260,GO:0044271,GO:0044424,GO:0044464,GO:0046483,GO:0071704,GO:0071897,GO:0090304,GO:0140097,GO:1901360,GO:1901362,GO:1901576</t>
  </si>
  <si>
    <t>2.7.7.7</t>
  </si>
  <si>
    <t>ko:K02320</t>
  </si>
  <si>
    <t>ko00230,ko00240,ko01100,ko03030,map00230,map00240,map01100,map03030</t>
  </si>
  <si>
    <t>M00261</t>
  </si>
  <si>
    <t>R00375,R00376,R00377,R00378</t>
  </si>
  <si>
    <t>1KUVC@119089,38CZ4@33154,3BBX1@33208,3CVWU@33213,40BFK@6231,COG0417@1,KOG0970@2759</t>
  </si>
  <si>
    <t>DNA Polymerase alpha zinc finger</t>
  </si>
  <si>
    <t>Bm17817</t>
  </si>
  <si>
    <t>WBGene00268959</t>
  </si>
  <si>
    <t>Bm9727</t>
  </si>
  <si>
    <t>WBGene00229988</t>
  </si>
  <si>
    <t>GO:0000077/GO:0030896/</t>
  </si>
  <si>
    <t>DNA_damage_checkpoint/checkpoint_clamp_complex/</t>
  </si>
  <si>
    <t>A_cell_cycle_checkpoint_that_regulates_progression_through_the_cell_cycle_in_response_to_DNA_damage._A_DNA_damage_checkpoint_may_blocks_cell_cycle_progression_(in_G1,_G2_or_metaphase)_or_slow_the_rate_at_which_S_phase_proceeds._[GOC:mtg_cell_cycle]/"Conserved_heterotrimeric_complex_of_PCNA-like_proteins_that_is_loaded_onto_DNA_at_sites_of_DNA_damage."_[PMID:12531008]/</t>
  </si>
  <si>
    <t>IPR007268/</t>
  </si>
  <si>
    <t>Rad9/Ddc1/</t>
  </si>
  <si>
    <t>note=B._malayi_BMA-HPR-9_protein,_contains_similarity_toPfam_domain_PF04139_Rad9_contains_similarity_to_Interprodomains_IPR026584_(Rad9),_IPR007268_(Rad9/Ddc1)</t>
  </si>
  <si>
    <t>7209.EFO20483.2</t>
  </si>
  <si>
    <t>1.6e-205</t>
  </si>
  <si>
    <t>722.2</t>
  </si>
  <si>
    <t>3.1.11.2</t>
  </si>
  <si>
    <t>ko:K10994,ko:K10995</t>
  </si>
  <si>
    <t>ko04218,map04218</t>
  </si>
  <si>
    <t>1KZEN@119089,38G4Z@33154,3BHJA@33208,3CWD7@33213,40F15@6231,KOG2810@1,KOG2810@2759</t>
  </si>
  <si>
    <t>DL</t>
  </si>
  <si>
    <t>Rad9</t>
  </si>
  <si>
    <t>15,3689/17,2131/17,0082</t>
  </si>
  <si>
    <t>19,0574/18,8525</t>
  </si>
  <si>
    <t>18,4426/18,8525</t>
  </si>
  <si>
    <t>20,6967/16,1885</t>
  </si>
  <si>
    <t>WBGene00001997</t>
  </si>
  <si>
    <t>21.5164</t>
  </si>
  <si>
    <t>Bm5307</t>
  </si>
  <si>
    <t>WBGene00225568</t>
  </si>
  <si>
    <t>GO:0003676/GO:0005634/GO:0008406/</t>
  </si>
  <si>
    <t>gonad_development/nucleic_acid_binding/nucleus/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</si>
  <si>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Interacting_selectively_and_non-covalently_with_any_nucleic_acid."_[GOC:jl]/"The_process_whose_specific_outcome_is_the_progression_of_the_gonad_over_time,_from_its_formation_to_the_mature_structure._The_gonad_is_an_animal_organ_that_produces_gametes;_in_some_species_it_also_produces_hormones."_[GOC:ems,_ISBN:0198506732]/</t>
  </si>
  <si>
    <t>note=B._malayi_BMA-ZTF-16_protein,_contains_similarity_to_Pfam_domains_PF13465_(Zinc-finger_double_domain),_PF13894_(C2H2-type_zinc_finger)_contains_similarity_to_Interpro_domains_IPR015880_(Zinc_finger,_C2H2-like),_IPR013087_(Zinc_finger_C2H2-type/integrase_DNA-binding_domain)</t>
  </si>
  <si>
    <t>7209.EFO26849.2</t>
  </si>
  <si>
    <t>3e-195</t>
  </si>
  <si>
    <t>GO:0000003,GO:0003006,GO:0005575,GO:0005622,GO:0005623,GO:0005634,GO:0007275,GO:0007548,GO:0008150,GO:0008406,GO:0022414,GO:0032501,GO:0032502,GO:0043226,GO:0043227,GO:0043229,GO:0043231,GO:0044424,GO:0044464,GO:0045137,GO:0048513,GO:0048608,GO:0048731,GO:0048856,GO:0061458</t>
  </si>
  <si>
    <t>1KTS7@119089,38VDF@33154,3BKBX@33208,3CWKA@33213,40CJG@6231,COG5641@1,KOG1601@2759,KOG1721@1,KOG1721@2759</t>
  </si>
  <si>
    <t>development of primary sexual characteristics</t>
  </si>
  <si>
    <t>12,3288/12,5571</t>
  </si>
  <si>
    <t>3,19635/45,8904/2,28311</t>
  </si>
  <si>
    <t>10,274/16,21/15,2968/14,3836/14,3836/13,9269/18,4932</t>
  </si>
  <si>
    <t>10,9589/16,6667/13,6986/15,0685/12,1005/14,1553/18,4932</t>
  </si>
  <si>
    <t>12,3288/11,6438/4,79452/12,7854</t>
  </si>
  <si>
    <t>WBGene00017406/WBGene00019960/WBGene00001223</t>
  </si>
  <si>
    <t>3.19635/45.8904/2.28311</t>
  </si>
  <si>
    <t>Bm9510</t>
  </si>
  <si>
    <t>WBGene00229771</t>
  </si>
  <si>
    <t>IPR002018/IPR029058/</t>
  </si>
  <si>
    <t>Alpha/Beta_hydrolase_fold/Carboxylesterase,_type_B/</t>
  </si>
  <si>
    <t>AB_hydrolase/CarbesteraseB/</t>
  </si>
  <si>
    <t>note=contains_similarity_to_Pfam_domain_PF00135_Carboxylesterase_family_contains_similarity_to_Interpro_domains_IPR029058_(Alpha/Beta_hydrolase_fold),_IPR002018_(Carboxylesterase,_type_B)</t>
  </si>
  <si>
    <t>7209.EFO23893.1</t>
  </si>
  <si>
    <t>1102.8</t>
  </si>
  <si>
    <t>38D2A@33154,3BDJX@33208,3CTBY@33213,40B1A@6231,COG2272@1,KOG1516@2759</t>
  </si>
  <si>
    <t>Belongs to the type-B carboxylesterase lipase family</t>
  </si>
  <si>
    <t>17,9878/16,9207</t>
  </si>
  <si>
    <t>16,4634/19,3598/20,5793/19,3598/18,75/21,0366/17,5305/19,3598/15,0915/22,7134/16,6159/18,9024/17,9878</t>
  </si>
  <si>
    <t>16,1585/16,311/20,5793/18,4451/17,0732/21,0366/17,9878/18,4451</t>
  </si>
  <si>
    <t>20,8841/19,6646/20,2744/18,75</t>
  </si>
  <si>
    <t>15,2439/14,6341/21,7988/14,939/9,90854/14,7866/17,378/7,92683/10,3659/15,2439</t>
  </si>
  <si>
    <t>18,75/17,9878</t>
  </si>
  <si>
    <t>15,2439/17,6829</t>
  </si>
  <si>
    <t>18,4451/19,9695/20,122/19,6646/18,1402/17,2256/18,9024/16,1585/19,3598</t>
  </si>
  <si>
    <t>16,9207/17,378/17,5305/19,6646/16,7683/17,0732/17,378/18,1402/16,9207/17,2256/17,5305/17,0732/17,5305/16,9207/18,2927/17,8354/18,4451/16,9207/16,9207/16,7683/19,0549</t>
  </si>
  <si>
    <t>15,8537/16,7683/17,378/17,0732/19,5122/19,2073/20,122/18,5976/13,1098/8,68902</t>
  </si>
  <si>
    <t>WBGene00001578</t>
  </si>
  <si>
    <t>19.5122</t>
  </si>
  <si>
    <t>Bm13592</t>
  </si>
  <si>
    <t>WBGene00233853</t>
  </si>
  <si>
    <t>37,7522/24,2075/34,8703</t>
  </si>
  <si>
    <t>47,2622/13,2565</t>
  </si>
  <si>
    <t>Bm6612</t>
  </si>
  <si>
    <t>WBGene00226873</t>
  </si>
  <si>
    <t>note=contains_similarity_to_Pfam_domain_PF04155_Ground-like_domain_contains_similarity_to_Interpro_domain_IPR007284_(Ground-like_domain)</t>
  </si>
  <si>
    <t>1561998.Csp11.Scaffold630.g21153.t1</t>
  </si>
  <si>
    <t>3.6e-18</t>
  </si>
  <si>
    <t>99.4</t>
  </si>
  <si>
    <t>1KXMU@119089,2E962@1,2SFJM@2759,3AH7Q@33154,3BYGR@33208,3DDB8@33213,40FRX@6231,40ZJB@6236</t>
  </si>
  <si>
    <t>Bm10644</t>
  </si>
  <si>
    <t>WBGene00230905</t>
  </si>
  <si>
    <t>3.9e-161</t>
  </si>
  <si>
    <t>575.1</t>
  </si>
  <si>
    <t>34,4715/26,9919/56,4228</t>
  </si>
  <si>
    <t>24,7154/25,3659</t>
  </si>
  <si>
    <t>16,0976/23,7398/20,4878</t>
  </si>
  <si>
    <t>22,9268/20,3252</t>
  </si>
  <si>
    <t>49,1057/6,66667/55,6098</t>
  </si>
  <si>
    <t>Bm3325</t>
  </si>
  <si>
    <t>WBGene00223586</t>
  </si>
  <si>
    <t>7209.EFO23184.1</t>
  </si>
  <si>
    <t>8.5e-150</t>
  </si>
  <si>
    <t>536.6</t>
  </si>
  <si>
    <t>2EPEN@1,2SSMH@2759,3AQMG@33154,3CP40@33208,3DIZ3@33213</t>
  </si>
  <si>
    <t>80,3571/89,881</t>
  </si>
  <si>
    <t>WBGene00008725</t>
  </si>
  <si>
    <t>20.8333</t>
  </si>
  <si>
    <t>Bm5637</t>
  </si>
  <si>
    <t>WBGene00225898</t>
  </si>
  <si>
    <t>GO:0003677/GO:0003700/GO:0005634/GO:0006355/</t>
  </si>
  <si>
    <t>DNA-binding_transcription_factor_activity/DNA_binding/nucleus/regulation_of_transcription,_DNA-templated/</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</si>
  <si>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molecular_function_by_which_a_gene_product_interacts_selectively_and_non-covalently_with_DNA_(deoxyribonucleic_acid)."_[GOC:dph,_GOC:jl,_GOC:tb,_GOC:vw]/"Any_process_that_modulates_the_frequency,_rate_or_extent_of_cellular_DNA-templated_transcription."_[GOC:go_curators,_GOC:txnOH]/</t>
  </si>
  <si>
    <t>note=B._malayi_BMA-TBX-43_protein,_contains_similarity_to_Pfam_domain_PF00907_T-box_contains_similarity_to_Interpro_domains_IPR008967_(p53-like_transcription_factor,_DNA-binding),_IPR001699_(Transcription_factor,_T-box)</t>
  </si>
  <si>
    <t>7209.EFO16715.2</t>
  </si>
  <si>
    <t>2.2e-61</t>
  </si>
  <si>
    <t>242.3</t>
  </si>
  <si>
    <t>KOG3585@1,KOG3585@2759</t>
  </si>
  <si>
    <t>DNA-binding transcription factor activity</t>
  </si>
  <si>
    <t>26,7857/26,3393</t>
  </si>
  <si>
    <t>14,2857/26,3393/17,4107</t>
  </si>
  <si>
    <t>31,6964/30,8036/29,0179/29,0179</t>
  </si>
  <si>
    <t>29,4643/30,3571/27,2321/29,9107/30,8036/28,125/29,4643/29,4643/29,4643</t>
  </si>
  <si>
    <t>29,4643/30,8036/27,2321/29,9107/30,8036/28,125/29,4643/29,4643/29,4643</t>
  </si>
  <si>
    <t>29,9107/29,0179/27,2321/29,9107/29,0179/26,7857/29,4643/29,0179/28,125/29,0179/28,5714</t>
  </si>
  <si>
    <t>WBGene00006545/WBGene00006546/WBGene00006557/WBGene00006556</t>
  </si>
  <si>
    <t>31.6964/30.8036/29.0179/29.0179</t>
  </si>
  <si>
    <t>Bm10325</t>
  </si>
  <si>
    <t>WBGene00230586</t>
  </si>
  <si>
    <t>7209.EJD76440.1</t>
  </si>
  <si>
    <t>1.4e-132</t>
  </si>
  <si>
    <t>17,9381/13,1959/17,9381/17,1134/18,7629</t>
  </si>
  <si>
    <t>18,1443/17,3196/16,9072</t>
  </si>
  <si>
    <t>18,7629/14,0206</t>
  </si>
  <si>
    <t>18,7629/15,8763/8,65979/16,0825/8,65979/15,8763/18,7629/17,9381/10,7216/14,2268/8,65979</t>
  </si>
  <si>
    <t>18,7629/16,9072/18,7629</t>
  </si>
  <si>
    <t>8,86598/9,27835/14,0206</t>
  </si>
  <si>
    <t>15,4639/13,8144/15,4639/8,04124/9,48454/8,04124</t>
  </si>
  <si>
    <t>7,62887/7,2165/19,5876/18,3505</t>
  </si>
  <si>
    <t>Bm7676</t>
  </si>
  <si>
    <t>WBGene00227937</t>
  </si>
  <si>
    <t>IPR000169/IPR000668/IPR013128/IPR013201/IPR025661/IPR038765/IPR039417/</t>
  </si>
  <si>
    <t>Cathepsin_propeptide_inhibitor_domain_(I29)/Cysteine_peptidase,_asparagine_active_site/Cysteine_peptidase,_cysteine_active_site/Papain-like_cysteine_endopeptidase/Papain-like_cysteine_peptidase_superfamily/Peptidase_C1A/Peptidase_C1A,_papain_C-terminal/</t>
  </si>
  <si>
    <t>Papain_like_cys_pep_sf/Pept_asp_AS/Pept_cys_AS/Peptidase_C1A/Peptidase_C1A_C/Peptidase_C1A_papain-like/Prot_inhib_I29/</t>
  </si>
  <si>
    <t>note=B._malayi_BMA-CPL-4_protein,_contains_similarity_toPfam_domains_PF08246_(Cathepsin_propeptide_inhibitordomain_(I29)),_PF00112_(Papain_family_cysteine_protease)contains_similarity_to_Interpro_domains_IPR013128(Peptidase_C1A),_IPR013201_(Proteinase_inhibitor_I29,cathepsin_propeptide),_IPR000668_(Peptidase_C1A,_papainC-terminal)</t>
  </si>
  <si>
    <t>7.2e-124</t>
  </si>
  <si>
    <t>450.7</t>
  </si>
  <si>
    <t>19,1919/10,3535/22,7273</t>
  </si>
  <si>
    <t>21,4646/26,5152/26,5152/26,2626</t>
  </si>
  <si>
    <t>21,9697/21,4646/23,9899/24,4949/25,2525/25,2525/20,202/22,4747/20,7071/27,5253</t>
  </si>
  <si>
    <t>21,2121/25,5051/27,5253/24,7475/27,5253</t>
  </si>
  <si>
    <t>21,9697/22,4747</t>
  </si>
  <si>
    <t>22,4747/22,2222/22,4747/27,7778/27,2727</t>
  </si>
  <si>
    <t>28,0303/29,2929/21,7172</t>
  </si>
  <si>
    <t>25/26,7677/17,1717</t>
  </si>
  <si>
    <t>22,4747/15,6566</t>
  </si>
  <si>
    <t>23,9899/18,9394/6,06061</t>
  </si>
  <si>
    <t>23,7374/17,1717/21,9697/18,1818/16,9192/17,1717/14,6465/17,1717/24,2424/20,202/10,8586/18,4343/20,4545/20,7071/26,5152/14,1414/26,2626/20,7071/16,1616</t>
  </si>
  <si>
    <t>27,7778/25,5051/27,2727</t>
  </si>
  <si>
    <t>23.7374/17.1717/21.9697/18.1818/16.9192/17.1717/14.6465/17.1717/24.2424/20.202/10.8586/18.4343/20.4545/20.7071/26.5152/14.1414/26.2626/20.7071/16.1616</t>
  </si>
  <si>
    <t>Bm12369</t>
  </si>
  <si>
    <t>WBGene00232630</t>
  </si>
  <si>
    <t>IPR000648/IPR037239/</t>
  </si>
  <si>
    <t>Oxysterol-binding_protein/Oxysterol-binding_protein_superfamily/</t>
  </si>
  <si>
    <t>OSBP_sf/Oxysterol-bd/</t>
  </si>
  <si>
    <t>note=contains_similarity_to_Pfam_domain_PF01237_Oxysterol-binding_protein_contains_similarity_to_Interpro_domain_IPR000648_(Oxysterol-binding_protein)</t>
  </si>
  <si>
    <t>7209.EFO23937.1</t>
  </si>
  <si>
    <t>7.4e-297</t>
  </si>
  <si>
    <t>1026.2</t>
  </si>
  <si>
    <t>ko:K20463</t>
  </si>
  <si>
    <t>1KY5W@119089,3AH6A@33154,3BX13@33208,3DF2F@33213,40FZY@6231,KOG1737@1,KOG1737@2759</t>
  </si>
  <si>
    <t>Oxysterol-binding protein</t>
  </si>
  <si>
    <t>24,1525/17,7966</t>
  </si>
  <si>
    <t>12,5706/21,3277/22,0339/18,3616/11,8644</t>
  </si>
  <si>
    <t>10,3107/21,4689/22,3164/18,2203/11,8644</t>
  </si>
  <si>
    <t>12,0056/9,88701/20,4802/21,0452/21,0452/14,8305/18,2203/12,0056</t>
  </si>
  <si>
    <t>Bm18063</t>
  </si>
  <si>
    <t>WBGene00269203</t>
  </si>
  <si>
    <t>IPR006652/IPR011705/IPR015915/</t>
  </si>
  <si>
    <t>BTB/Kelch-associated/Kelch-type_beta_propeller/Kelch_repeat_type_1/</t>
  </si>
  <si>
    <t>BACK/Kelch-typ_b-propeller/Kelch_1/</t>
  </si>
  <si>
    <t>7209.EFO20936.1</t>
  </si>
  <si>
    <t>5.3e-78</t>
  </si>
  <si>
    <t>298.9</t>
  </si>
  <si>
    <t>ko:K10448</t>
  </si>
  <si>
    <t>1M8KG@119089,39MMM@33154,3CP7Z@33208,3E5CC@33213,40RG6@6231,KOG4441@1,KOG4441@2759</t>
  </si>
  <si>
    <t>38,1271/11,204</t>
  </si>
  <si>
    <t>24,4147/23,913/24,2475</t>
  </si>
  <si>
    <t>Bm4448</t>
  </si>
  <si>
    <t>WBGene00224709</t>
  </si>
  <si>
    <t>GO:0000706/GO:0000712/GO:0000724/GO:0002164/GO:0004518/GO:0004519/GO:0004520/GO:0005634/GO:0006281/GO:0006310/GO:0006974/GO:0008821/GO:0009792/GO:0016787/GO:0017108/GO:0019899/GO:0033557/GO:0036297/GO:0040019/GO:0046872/GO:0048257/GO:0051307/GO:0061064/GO:0090305/</t>
  </si>
  <si>
    <t>3'-flap_endonuclease_activity/5'-flap_endonuclease_activity/DNA_recombination/DNA_repair/Slx1-Slx4_complex/cellular_response_to_DNA_damage_stimulus/crossover_junction_endodeoxyribonuclease_activity/double-strand_break_repair_via_homologous_recombination/embryo_development_ending_in_birth_or_egg_hatching/endodeoxyribonuclease_activity/endonuclease_activity/enzyme_binding/hydrolase_activity/interstrand_cross-link_repair/larval_development/meiotic_DNA_double-strand_break_processing/meiotic_chromosome_separation/metal_ion_binding/negative_regulation_of_nematode_larval_development/nuclease_activity/nucleic_acid_phosphodiester_bond_hydrolysis/nucleus/positive_regulation_of_embryonic_development/resolution_of_meiotic_recombination_intermediates/</t>
  </si>
  <si>
    <t>A_heterodimeric_protein_complex_that_possesses_an_endonuclease_activity_that_specifically_cleaves_certain_types_of_branched_DNA_structures;_because_such_structures_often_form_during_the_replication_ribosomal_DNA_(rDNA)_repeats,_the_complex_plays_a_role_in_the_maintenance_of_rDNA._The_subunits_are_known_as_Slx1_and_Slx_4_in_budding_and_fission_yeasts,_and_are_conserved_in_eukaryotes._[PMID:14528010,_PMID:16467377]/"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process_in_which_a_new_genotype_is_formed_by_reassortment_of_genes_resulting_in_gene_combinations_different_from_those_that_were_present_in_the_parents._In_eukaryotes_genetic_recombination_can_occur_by_chromosome_assortment,_intrachromosomal_recombination,_or_nonreciprocal_interchromosomal_recombination._Interchromosomal_recombination_occurs_by_crossing_over._In_bacteria_it_may_occur_by_genetic_transformation,_conjugation,_transduction,_or_F-duction."_[ISBN:0198506732]/"Any_process_that_activates_or_increases_the_frequency,_rate_or_extent_of_embryonic_development."_[GOC:go_curators]/"Any_process_that_decreases_the_rate,_frequency,_or_extent_of_nematode_larval_development,_the_process_whose_specific_outcome_is_the_progression_of_the_nematode_larva_over_time,_from_its_formation_to_the_mature_structure._Nematode_larval_development_begins_with_the_newly_hatched_first-stage_larva_(L1)_and_ends_with_the_end_of_the_last_larval_stage_(for_example_the_fourth_larval_stage_(L4)_in_C._elegans)._Each_stage_of_nematode_larval_development_is_characterized_by_proliferation_of_specific_cell_lineages_and_an_increase_in_body_size_without_alteration_of_the_basic_body_plan._Nematode_larval_stages_are_separated_by_molts_in_which_each_stage-specific_exoskeleton,_or_cuticle,_is_shed_and_replaced_anew."_[GOC:dph,_GOC:kmv]/"Any_process_that_results_in_a_change_in_state_or_activity_of_a_cell_(in_terms_of_movement,_secretion,_enzyme_production,_gene_expression,_etc.)_as_a_result_of_a_stimulus_indicating_damage_to_its_DNA_from_environmental_insults_or_errors_during_metabolism."_[GOC:go_curators]/"Catalysis_of_the_cleavage_of_a_3'_flap_structure_in_DNA,_but_not_other_DNA_structures;_processes_the_3'_ends_of_Okazaki_fragments_in_lagging_strand_DNA_synthesis."_[GOC:jid,_PMID:10635319]/"Catalysis_of_the_cleavage_of_a_5'_flap_structure_in_DNA,_but_not_other_DNA_structures;_processes_the_5'_ends_of_Okazaki_fragments_in_lagging_strand_DNA_synthesis."_[PMID:9778254]/"Catalysis_of_the_endonucleolytic_cleavage_at_a_junction_such_as_a_reciprocal_single-stranded_crossover_between_two_homologous_DNA_duplexes_(Holliday_junction)."_[EC:3.1.22.4]/"Catalysis_of_the_hydrolysis_of_ester_linkages_within_deoxyribonucleic_acid_by_creating_internal_breaks."_[GOC:mah,_ISBN:0198547684]/"Catalysis_of_the_hydrolysis_of_ester_linkages_within_nucleic_acids."_[ISBN:0198547684]/"Catalysis_of_the_hydrolysis_of_ester_linkages_within_nucleic_acids_by_creating_internal_breaks."_[GOC:mah,_ISBN:0198547684]/"Catalysis_of_the_hydrolysis_of_various_bonds,_e.g._C-O,_C-N,_C-C,_phosphoric_anhydride_bonds,_etc._Hydrolase_is_the_systematic_name_for_any_enzyme_of_EC_class_3."_[ISBN:0198506732]/"Interacting_selectively_and_non-covalently_with_any_enzyme."_[GOC:jl]/"Interacting_selectively_and_non-covalently_with_any_metal_ion."_[GOC:ai]/"Removal_of_a_DNA_interstrand_crosslink_(a_covalent_attachment_of_DNA_bases_on_opposite_strands_of_the_DNA)_and_restoration_of_the_DNA._DNA_interstrand_crosslinks_occur_when_both_strands_of_duplex_DNA_are_covalently_tethered_together_(e.g._by_an_exogenous_or_endogenous_agent),_thus_preventing_the_strand_unwinding_necessary_for_essential_DNA_functions_such_as_transcription_and_replication."_[GOC:vw,_PMID:16464006,_PMID:22064477]/"The_cell_cycle_process_in_which_the_5'_to_3'_exonucleolytic_resection_of_the_DNA_at_the_site_of_the_break_to_form_a_3'_single-strand_DNA_overhang_occurs._This_takes_place_during_meiosis."_[GOC:elh,_PMID:9334324]/"The_cleavage_and_rejoining_of_intermediates,_such_as_Holliday_junctions,_formed_during_meiotic_recombination_to_produce_two_intact_molecules_in_which_genetic_material_has_been_exchanged."_[GOC:elh,_PMID:11733053]/"The_error-free_repair_of_a_double-strand_break_in_DNA_in_which_the_broken_DNA_molecule_is_repaired_using_homologous_sequences._A_strand_in_the_broken_DNA_searches_for_a_homologous_region_in_an_intact_chromosome_to_serve_as_the_template_for_DNA_synthesis._The_restoration_of_two_intact_DNA_molecules_results_in_the_exchange,_reciprocal_or_nonreciprocal,_of_genetic_material_between_the_intact_DNA_molecule_and_the_broken_DNA_molecule."_[GOC:elh,_PMID:10357855]/"The_nucleic_acid_metabolic_process_in_which_the_phosphodiester_bonds_between_nucleotides_are_cleaved_by_hydrolysis."_[GOC:dph,_GOC:tb]/"The_process_in_which_chromosomes_are_physically_detached_from_each_other_during_meiosis."_[GOC:ai]/"The_process_of_restoring_DNA_after_damage._Genomes_are_subject_to_damage_by_chemical_and_physical_agents_in_the_environment_(e.g._UV_and_ionizing_radiations,_chemical_mutagens,_fungal_and_bacterial_toxins,_etc.)_and_by_free_radicals_or_alkylating_agents_endogenously_generated_in_metabolism._DNA_is_also_damaged_because_of_errors_during_its_replication._A_variety_of_different_DNA_repair_pathways_have_been_reported_that_include_direct_reversal,_base_excision_repair,_nucleotide_excision_repair,_photoreactivation,_bypass,_double-strand_break_repair_pathway,_and_mismatch_repair_pathway."_[PMID:11563486]/"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he_process_whose_specific_outcome_is_the_progression_of_the_larva_over_time,_from_its_formation_to_the_mature_structure._The_larva_is_the_early,_immature_form_of_an_that_at_birth_or_hatching_is_fundamentally_unlike_its_parent_and_must_metamorphose_before_assuming_the_adult_characters."_[GOC:jid,_ISBN:0877795088]/</t>
  </si>
  <si>
    <t>IPR000305/IPR013083/IPR027520/IPR035901/</t>
  </si>
  <si>
    <t>GIY-YIG_endonuclease/GIY-YIG_endonuclease_superfamily/Structure-specific_endonuclease_subunit_Slx1/Zinc_finger,_RING/FYVE/PHD-type/</t>
  </si>
  <si>
    <t>GIY-YIG_endonuc/GIY-YIG_endonuc_sf/Slx1/Znf_RING/FYVE/PHD/</t>
  </si>
  <si>
    <t>note=B._malayi_BMA-SLX-1_protein,_contains_similarity_toPfam_domain_PF01541_GIY-YIG_catalytic_domain_containssimilarity_to_Interpro_domain_IPR000305_(GIY-YIG_nucleasesuperfamily)</t>
  </si>
  <si>
    <t>7209.EFO16704.2</t>
  </si>
  <si>
    <t>7.4e-106</t>
  </si>
  <si>
    <t>slx-1</t>
  </si>
  <si>
    <t>GO:0000003,GO:0000228,GO:0000280,GO:0000706,GO:0000712,GO:0000729,GO:0002164,GO:0003674,GO:0005488,GO:0005515,GO:0005575,GO:0005622,GO:0005623,GO:0005634,GO:0005694,GO:0006139,GO:0006259,GO:0006281,GO:0006302,GO:0006310,GO:0006725,GO:0006807,GO:0006950,GO:0006974,GO:0006996,GO:0007049,GO:0007059,GO:0007127,GO:0007131,GO:0007275,GO:0008150,GO:0008152,GO:0009791,GO:0009987,GO:0016043,GO:0019899,GO:0022402,GO:0022414,GO:0031974,GO:0031981,GO:0032501,GO:0032502,GO:0032991,GO:0033554,GO:0033557,GO:0034641,GO:0035825,GO:0036297,GO:0040019,GO:0043170,GO:0043226,GO:0043227,GO:0043228,GO:0043229,GO:0043231,GO:0043232,GO:0043233,GO:0044237,GO:0044238,GO:0044260,GO:0044422,GO:0044424,GO:0044427,GO:0044428,GO:0044446,GO:0044454,GO:0044464,GO:0045132,GO:0045995,GO:0046483,GO:0048285,GO:0048518,GO:0048519,GO:0048580,GO:0048581,GO:0048856,GO:0050789,GO:0050793,GO:0050896,GO:0051093,GO:0051094,GO:0051239,GO:0051240,GO:0051241,GO:0051304,GO:0051307,GO:0051321,GO:0051716,GO:0061062,GO:0061064,GO:0061982,GO:0065007,GO:0070013,GO:0071704,GO:0071840,GO:0090304,GO:0098813,GO:0140013,GO:1901360,GO:1903046,GO:2000026</t>
  </si>
  <si>
    <t>ko:K15078</t>
  </si>
  <si>
    <t>1KWCW@119089,39TYN@33154,3BGAD@33208,3CZR0@33213,40DM9@6231,KOG3005@1,KOG3005@2759</t>
  </si>
  <si>
    <t>Catalytic subunit of a heterodimeric structure-specific endonuclease that resolves DNA secondary structures generated during DNA repair and recombination. Has endonuclease activity towards branched DNA substrates, introducing single-strand cuts in duplex DNA close to junctions with ss-DNA</t>
  </si>
  <si>
    <t>39,9399/40,2402/40,2402</t>
  </si>
  <si>
    <t>27,6276/20,7207</t>
  </si>
  <si>
    <t>23,4234/23,4234</t>
  </si>
  <si>
    <t>21,9219/21,9219</t>
  </si>
  <si>
    <t>WBGene00018909</t>
  </si>
  <si>
    <t>38.7387</t>
  </si>
  <si>
    <t>Bm17428</t>
  </si>
  <si>
    <t>WBGene00268571</t>
  </si>
  <si>
    <t>Bm17309</t>
  </si>
  <si>
    <t>WBGene00268452</t>
  </si>
  <si>
    <t>3.9e-09</t>
  </si>
  <si>
    <t>Bm9532</t>
  </si>
  <si>
    <t>WBGene00229793</t>
  </si>
  <si>
    <t>281687.CJA03412a</t>
  </si>
  <si>
    <t>1e-33</t>
  </si>
  <si>
    <t>151.8</t>
  </si>
  <si>
    <t>1M2C4@119089,39CB5@33154,3CGC2@33208,3DXTK@33213,40J1F@6231,40WJY@6236,COG5599@1,KOG0789@2759</t>
  </si>
  <si>
    <t>17,474/26,9896</t>
  </si>
  <si>
    <t>20,2422/20,0692/19,2042/19,7232</t>
  </si>
  <si>
    <t>16,263/20,5882/14,7059/16,09/19,7232/15,3979</t>
  </si>
  <si>
    <t>Bm10645</t>
  </si>
  <si>
    <t>WBGene00230906</t>
  </si>
  <si>
    <t>5.2e-161</t>
  </si>
  <si>
    <t>574.7</t>
  </si>
  <si>
    <t>34,3042/26,699/56,1489</t>
  </si>
  <si>
    <t>24,5955/25,4045</t>
  </si>
  <si>
    <t>16,0194/23,6246/20,3883</t>
  </si>
  <si>
    <t>22,8155/20,2265</t>
  </si>
  <si>
    <t>Bm9413</t>
  </si>
  <si>
    <t>WBGene00229674</t>
  </si>
  <si>
    <t>note=contains_similarity_to_Pfam_domain_PF00595_PDZ_domain_(Also_known_as_DHR_or_GLGF)_contains_similarity_to_Interpro_domains_IPR001478_(PDZ_domain),_IPR016040_(NAD(P)-binding_domain)</t>
  </si>
  <si>
    <t>Bm14820</t>
  </si>
  <si>
    <t>WBGene00235125</t>
  </si>
  <si>
    <t>Bm17819</t>
  </si>
  <si>
    <t>WBGene00268961</t>
  </si>
  <si>
    <t>1.7e-115</t>
  </si>
  <si>
    <t>422.5</t>
  </si>
  <si>
    <t>56,8254/49,8413/53,9683</t>
  </si>
  <si>
    <t>Bm5618</t>
  </si>
  <si>
    <t>WBGene00225879</t>
  </si>
  <si>
    <t>GO:0000166/GO:0004674/GO:0005515/GO:0005524/GO:0006468/GO:0016301/GO:0016310/GO:0016740/</t>
  </si>
  <si>
    <t>ATP_binding/kinase_activity/nucleotide_binding/phosphorylation/protein_binding/protein_phosphorylation/protein_serine/threonine_kinase_activity/transferase_activity/</t>
  </si>
  <si>
    <t>Catalysis_of_the_reactions:_ATP_+_protein_serine_=_ADP_+_protein_serine_phosphate,_and_ATP_+_protein_threonine_=_ADP_+_protein_threonine_phosphate._[GOC:bf]/"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_phosphate_group,_usually_from_ATP,_to_a_substrate_molecule."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y_protein_or_protein_complex_(a_complex_of_two_or_more_proteins_that_may_include_other_nonprotein_molecules)."_[GOC:go_curators]/"The_process_of_introducing_a_phosphate_group_into_a_molecule,_usually_with_the_formation_of_a_phosphoric_ester,_a_phosphoric_anhydride_or_a_phosphoric_amide."_[ISBN:0198506732]/"The_process_of_introducing_a_phosphate_group_on_to_a_protein."_[GOC:hb]/</t>
  </si>
  <si>
    <t>IPR000403/IPR003151/IPR003152/IPR011009/IPR012993/IPR014009/IPR016024/IPR018936/IPR036940/</t>
  </si>
  <si>
    <t>Armadillo-type_fold/FATC_domain/PIK-related_kinase/PIK-related_kinase,_FAT/Phosphatidylinositol_3-/4-kinase,_catalytic_domain/Phosphatidylinositol_3-/4-kinase,_catalytic_domain_superfamily/Phosphatidylinositol_3/4-kinase,_conserved_site/Protein_kinase-like_domain_superfamily/UME_domain/</t>
  </si>
  <si>
    <t>ARM-type_fold/FATC_dom/Kinase-like_dom_sf/PI3/4_kinase_CS/PI3/4_kinase_cat_dom/PI3/4_kinase_cat_sf/PIK-rel_kinase_FAT/PIK_FAT/UME/</t>
  </si>
  <si>
    <t>note=B._malayi_BMA-ATL-1_protein,_contains_similarity_toPfam_domains_PF00454_(Phosphatidylinositol_3-_and4-kinase),_PF02260_(FATC_domain)_contains_similarity_toInterpro_domains_IPR011009_(Protein_kinase-like_domain),IPR000403_(Phosphatidylinositol_3-/4-kinase,_catalyticdomain),_IPR003152_(PIK-related_kinase,_FATC)</t>
  </si>
  <si>
    <t>7209.EJD76643.1</t>
  </si>
  <si>
    <t>3973.3</t>
  </si>
  <si>
    <t>ko:K06640</t>
  </si>
  <si>
    <t>ko03460,ko04110,ko04115,ko04214,ko04218,ko05165,ko05166,map03460,map04110,map04115,map04214,map04218,map05165,map05166</t>
  </si>
  <si>
    <t>1KWC5@119089,38GMR@33154,3BFGM@33208,3CRKE@33213,40DCZ@6231,COG5032@1,KOG0890@2759</t>
  </si>
  <si>
    <t>BDLT</t>
  </si>
  <si>
    <t>FATC</t>
  </si>
  <si>
    <t>16,7374/17,1616</t>
  </si>
  <si>
    <t>WBGene00000226</t>
  </si>
  <si>
    <t>13.8064</t>
  </si>
  <si>
    <t>Bm8073</t>
  </si>
  <si>
    <t>WBGene00228334</t>
  </si>
  <si>
    <t>GO:0003723/GO:0003727/GO:0006417/</t>
  </si>
  <si>
    <t>RNA_binding/regulation_of_translation/single-stranded_RNA_binding/</t>
  </si>
  <si>
    <t>Any_process_that_modulates_the_frequency,_rate_or_extent_of_the_chemical_reactions_and_pathways_resulting_in_the_formation_of_proteins_by_the_translation_of_mRNA_or_circRNA._[GOC:isa_complete]/"Interacting_selectively_and_non-covalently_with_an_RNA_molecule_or_a_portion_thereof."_[GOC:jl,_GOC:mah]/"Interacting_selectively_and_non-covalently_with_single-stranded_RNA."_[GOC:jl]/</t>
  </si>
  <si>
    <t>IPR031119/IPR036612/</t>
  </si>
  <si>
    <t>K_Homology_domain,_type_1_superfamily/STAR-domain_RNA-binding_protein_GLD-1/</t>
  </si>
  <si>
    <t>GLD-1/KH_dom_type_1_sf/</t>
  </si>
  <si>
    <t>4.6e-29</t>
  </si>
  <si>
    <t>134.8</t>
  </si>
  <si>
    <t>54,5455/58,3732</t>
  </si>
  <si>
    <t>Bm16900</t>
  </si>
  <si>
    <t>WBGene00249822</t>
  </si>
  <si>
    <t>29,0598/21,9373</t>
  </si>
  <si>
    <t>59,2593/21,6524</t>
  </si>
  <si>
    <t>Bm12797</t>
  </si>
  <si>
    <t>WBGene00233058</t>
  </si>
  <si>
    <t>note=B._malayi_BMA-CPL-6_protein,_contains_similarity_toPfam_domain_PF00112_Papain_family_cysteine_proteasecontains_similarity_to_Interpro_domains_IPR013128(Peptidase_C1A),_IPR000668_(Peptidase_C1A,_papainC-terminal)</t>
  </si>
  <si>
    <t>6.4e-78</t>
  </si>
  <si>
    <t>297.4</t>
  </si>
  <si>
    <t>20/20,2899</t>
  </si>
  <si>
    <t>11,8841/6,66667/14,2029/18,8406/6,08696/15,0725/15,6522</t>
  </si>
  <si>
    <t>20,5797/14,7826/19,4203/22,029/22,6087/24,6377/15,6522</t>
  </si>
  <si>
    <t>20,5797/14,4928/19,7101/24,058/14,7826</t>
  </si>
  <si>
    <t>24,6377/18,5507</t>
  </si>
  <si>
    <t>Bm2682</t>
  </si>
  <si>
    <t>WBGene00222943</t>
  </si>
  <si>
    <t>GO:0003676/GO:0003723/GO:0003730/GO:0005737/GO:0006417/GO:0007283/GO:0045182/GO:0051321/</t>
  </si>
  <si>
    <t>RNA_binding/cytoplasm/mRNA_3'-UTR_binding/meiotic_cell_cycle/nucleic_acid_binding/regulation_of_translation/spermatogenesis/translation_regulator_activity/</t>
  </si>
  <si>
    <t>All_of_the_contents_of_a_cell_excluding_the_plasma_membrane_and_nucleus,_but_including_other_subcellular_structures._[ISBN:0198547684]/"Any_molecular_function_involved_in_the_initiation,_activation,_perpetuation,_repression_or_termination_of_polypeptide_synthesis_at_the_ribosome."_[GOC:ai]/"Any_process_that_modulates_the_frequency,_rate_or_extent_of_the_chemical_reactions_and_pathways_resulting_in_the_formation_of_proteins_by_the_translation_of_mRNA_or_circRNA."_[GOC:isa_complete]/"Interacting_selectively_and_non-covalently_with_an_RNA_molecule_or_a_portion_thereof."_[GOC:jl,_GOC:mah]/"Interacting_selectively_and_non-covalently_with_any_nucleic_acid."_[GOC:jl]/"Interacting_selectively_and_non-covalently_with_the_3'_untranslated_region_of_an_mRNA_molecule."_[GOC:mah]/"Progression_through_the_phases_of_the_meiotic_cell_cycle,_in_which_canonically_a_cell_replicates_to_produce_four_offspring_with_half_the_chromosomal_content_of_the_progenitor_cell_via_two_nuclear_divisions."_[GOC:ai]/"The_process_of_formation_of_spermatozoa,_including_spermatocytogenesis_and_spermiogenesis."_[GOC:jid,_ISBN:9780878933846]/</t>
  </si>
  <si>
    <t>note=B._malayi_BMA-CPB-1_protein,_contains_similarity_toPfam_domain_PF00076_RNA_recognition_motif._(a.k.a._RRM,RBD,_or_RNP_domain)_contains_similarity_to_Interprodomains_IPR000504_(RNA_recognition_motif_domain),IPR012677_(Nucleotide-binding_alpha-beta_plait_domain)</t>
  </si>
  <si>
    <t>7209.EJD75462.1</t>
  </si>
  <si>
    <t>2.2e-140</t>
  </si>
  <si>
    <t>505.8</t>
  </si>
  <si>
    <t>cpb-1</t>
  </si>
  <si>
    <t>GO:0000003,GO:0000900,GO:0003674,GO:0003676,GO:0003723,GO:0003729,GO:0003730,GO:0005488,GO:0005515,GO:0005575,GO:0005622,GO:0005623,GO:0005634,GO:0005737,GO:0006412,GO:0006417,GO:0006518,GO:0006807,GO:0007049,GO:0007276,GO:0007283,GO:0008135,GO:0008150,GO:0008152,GO:0009058,GO:0009059,GO:0009889,GO:0009890,GO:0009892,GO:0009987,GO:0010467,GO:0010468,GO:0010556,GO:0010558,GO:0010605,GO:0010608,GO:0010629,GO:0017148,GO:0019222,GO:0019538,GO:0019953,GO:0022414,GO:0030371,GO:0031323,GO:0031324,GO:0031326,GO:0031327,GO:0032268,GO:0032269,GO:0032501,GO:0032504,GO:0032991,GO:0034248,GO:0034249,GO:0034641,GO:0034645,GO:0042995,GO:0043005,GO:0043021,GO:0043022,GO:0043043,GO:0043170,GO:0043226,GO:0043227,GO:0043229,GO:0043231,GO:0043603,GO:0043604,GO:0044237,GO:0044238,GO:0044249,GO:0044260,GO:0044267,GO:0044271,GO:0044424,GO:0044464,GO:0044703,GO:0044877,GO:0045182,GO:0045202,GO:0048232,GO:0048519,GO:0048523,GO:0048609,GO:0050789,GO:0050794,GO:0051171,GO:0051172,GO:0051246,GO:0051248,GO:0051321,GO:0051704,GO:0060255,GO:0065007,GO:0071704,GO:0080090,GO:0090079,GO:0097159,GO:0097458,GO:0120025,GO:1901363,GO:1901564,GO:1901566,GO:1901576,GO:1990124,GO:1990904,GO:2000112,GO:2000113,GO:2000765,GO:2000766</t>
  </si>
  <si>
    <t>31,8182/28,1385/21,8615/21,645</t>
  </si>
  <si>
    <t>36,5801/36,5801/36,5801</t>
  </si>
  <si>
    <t>36,3636/34,632</t>
  </si>
  <si>
    <t>WBGene00000770</t>
  </si>
  <si>
    <t>39.3939</t>
  </si>
  <si>
    <t>meiosis_meiosis</t>
  </si>
  <si>
    <t>Bm3911</t>
  </si>
  <si>
    <t>WBGene00224172</t>
  </si>
  <si>
    <t>IPR001440/IPR011990/IPR013026/IPR019734/</t>
  </si>
  <si>
    <t>Tetratricopeptide-like_helical_domain_superfamily/Tetratricopeptide_repeat/Tetratricopeptide_repeat-containing_domain/Tetratricopeptide_repeat_1/</t>
  </si>
  <si>
    <t>TPR-contain_dom/TPR-like_helical_dom_sf/TPR_1/TPR_repeat/</t>
  </si>
  <si>
    <t>note=contains_similarity_to_Pfam_domains_PF08409_(Domainof_unknown_function_(DUF1736)),_PF00515_(Tetratricopeptiderepeat),_PF13414_(TPR_repeat),_PF13181_(Tetratricopeptiderepeat),_PF13174_(Tetratricopeptide_repeat)_containssimilarity_to_Interpro_domains_IPR011990(Tetratricopeptide-like_helical_domain),_IPR013618_(Domainof_unknown_function_DUF1736),_IPR001440_(TetratricopeptideTPR1),_IPR019734_(Tetratricopeptide_repeat)</t>
  </si>
  <si>
    <t>7209.EFO23125.1</t>
  </si>
  <si>
    <t>6.9e-69</t>
  </si>
  <si>
    <t>268.5</t>
  </si>
  <si>
    <t>1KZAU@119089,38CY4@33154,3BAFG@33208,3CV6Z@33213,40DGG@6231,COG0457@1,KOG1124@2759</t>
  </si>
  <si>
    <t>Tetratricopeptide repeat</t>
  </si>
  <si>
    <t>20,1117/20,298</t>
  </si>
  <si>
    <t>26,4432/6,14525</t>
  </si>
  <si>
    <t>WBGene00018175</t>
  </si>
  <si>
    <t>37.2439</t>
  </si>
  <si>
    <t>Bm5012</t>
  </si>
  <si>
    <t>WBGene00225273</t>
  </si>
  <si>
    <t>IPR003092/IPR003280/IPR013099/</t>
  </si>
  <si>
    <t>Potassium_channel_domain/Two_pore_domain_potassium_channel/Two_pore_domain_potassium_channel,_TASK_family/</t>
  </si>
  <si>
    <t>2pore_dom_K_chnl/2pore_dom_K_chnl_TASK/K_chnl_dom/</t>
  </si>
  <si>
    <t>note=B._malayi_BMA-TWK-48_protein</t>
  </si>
  <si>
    <t>6326.BUX.s00351.266</t>
  </si>
  <si>
    <t>1.2e-25</t>
  </si>
  <si>
    <t>124.4</t>
  </si>
  <si>
    <t>ko:K20007</t>
  </si>
  <si>
    <t>1.A.1.18.1</t>
  </si>
  <si>
    <t>1KU7C@119089,39QTD@33154,3BG8M@33208,3CXH3@33213,40ASF@6231,KOG1418@1,KOG1418@2759</t>
  </si>
  <si>
    <t>Ion channel</t>
  </si>
  <si>
    <t>22,1622/78,6487/78,6487/47,8378</t>
  </si>
  <si>
    <t>WBGene00010784</t>
  </si>
  <si>
    <t>68.6487</t>
  </si>
  <si>
    <t>Bm2313</t>
  </si>
  <si>
    <t>WBGene00222574</t>
  </si>
  <si>
    <t>GO:0005509/GO:0005515/GO:0007219/GO:0007275/GO:0016021/GO:0030154/</t>
  </si>
  <si>
    <t>Notch_signaling_pathway/calcium_ion_binding/cell_differentiation/integral_component_of_membrane/multicellular_organism_development/protein_binding/</t>
  </si>
  <si>
    <t>A_series_of_molecular_signals_initiated_by_the_binding_of_an_extracellular_ligand_to_the_receptor_Notch_on_the_surface_of_a_target_cell,_and_ending_with_regulation_of_a_downstream_cellular_process,_e.g._transcription._[GOC:go_curators,_GOC:signaling]/"Interacting_selectively_and_non-covalently_with_any_protein_or_protein_complex_(a_complex_of_two_or_more_proteins_that_may_include_other_nonprotein_molecules)."_[GOC:go_curators]/"Interacting_selectively_and_non-covalently_with_calcium_ions_(Ca2+)."_[GOC:ai]/"The_biological_process_whose_specific_outcome_is_the_progression_of_a_multicellular_organism_over_time_from_an_initial_condition_(e.g._a_zygote_or_a_young_adult)_to_a_later_condition_(e.g._a_multicellular_animal_or_an_aged_adult)."_[GOC:dph,_GOC:ems,_GOC:isa_complete,_GOC:tb]/"The_component_of_a_membrane_consisting_of_the_gene_products_and_protein_complexes_having_at_least_some_part_of_their_peptide_sequence_embedded_in_the_hydrophobic_region_of_the_membrane."_[GOC:dos,_GOC:go_curators]/"The_process_in_which_relatively_unspecialized_cells,_e.g._embryonic_or_regenerative_cells,_acquire_specialized_structural_and/or_functional_features_that_characterize_the_cells,_tissues,_or_organs_of_the_mature_organism_or_some_other_relatively_stable_phase_of_the_organism's_life_history._Differentiation_includes_the_processes_involved_in_commitment_of_a_cell_to_a_specific_fate_and_its_subsequent_development_to_the_mature_state."_[ISBN:0198506732]/</t>
  </si>
  <si>
    <t>IPR000152/IPR000742/IPR000800/IPR001881/IPR002110/IPR011656/IPR013032/IPR020683/IPR035993/IPR036770/</t>
  </si>
  <si>
    <t>Ankyrin_repeat/Ankyrin_repeat-containing_domain/Ankyrin_repeat-containing_domain_superfamily/EGF-like,_conserved_site/EGF-like_calcium-binding_domain/EGF-like_domain/EGF-type_aspartate/asparagine_hydroxylation_site/Notch,_NODP_domain/Notch-like_domain_superfamily/Notch_domain/</t>
  </si>
  <si>
    <t>Ankyrin_rpt/Ankyrin_rpt-contain_dom/Ankyrin_rpt-contain_sf/EGF-like_CS/EGF-like_Ca-bd_dom/EGF-like_dom/EGF-type_Asp/Asn_hydroxyl_site/Notch-like_dom_sf/Notch_NODP_dom/Notch_dom/</t>
  </si>
  <si>
    <t>note=contains_similarity_to_Pfam_domains_PF00008_(EGF-like_domain),_PF00066_(LNR_domain),_PF12796_(Ankyrin_repeats_(3_copies)),_PF07645_(Calcium-binding_EGF_domain)_contains_similarity_to_Interpro_domains_IPR001881_(EGF-like_calcium-binding_domain),_IPR000742_(Epidermal_growth_factor-like_domain),_IPR000800_(Notch_domain),_IPR020683_(Ankyrin_repeat-containing_domain),_IPR002110_(Ankyrin_repeat)</t>
  </si>
  <si>
    <t>7209.EFO26538.1</t>
  </si>
  <si>
    <t>1322.0</t>
  </si>
  <si>
    <t>GO:0000003,GO:0000988,GO:0000989,GO:0001076,GO:0001085,GO:0001190,GO:0001708,GO:0002119,GO:0002164,GO:0003674,GO:0004888,GO:0005488,GO:0005515,GO:0005575,GO:0005622,GO:0005623,GO:0005634,GO:0005667,GO:0005737,GO:0005886,GO:0005887,GO:0006139,GO:0006351,GO:0006355,GO:0006357,GO:0006366,GO:0006725,GO:0006807,GO:0007154,GO:0007165,GO:0007166,GO:0007219,GO:0007267,GO:0007275,GO:0007389,GO:0007517,GO:0007610,GO:0008134,GO:0008150,GO:0008152,GO:0008284,GO:0009058,GO:0009059,GO:0009790,GO:0009791,GO:0009880,GO:0009889,GO:0009891,GO:0009893,GO:0009987,GO:0010453,GO:0010455,GO:0010467,GO:0010468,GO:0010470,GO:0010556,GO:0010557,GO:0010604,GO:0010628,GO:0012505,GO:0016020,GO:0016021,GO:0016070,GO:0016324,GO:0016328,GO:0018130,GO:0018991,GO:0019098,GO:0019219,GO:0019222,GO:0019438,GO:0022414,GO:0022603,GO:0022611,GO:0023052,GO:0030154,GO:0031224,GO:0031226,GO:0031323,GO:0031325,GO:0031326,GO:0031328,GO:0032501,GO:0032502,GO:0032504,GO:0032774,GO:0032991,GO:0034641,GO:0034645,GO:0034654,GO:0035295,GO:0038023,GO:0040019,GO:0040024,GO:0040025,GO:0042127,GO:0042659,GO:0042660,GO:0042661,GO:0043054,GO:0043055,GO:0043170,GO:0043226,GO:0043227,GO:0043229,GO:0043231,GO:0043282,GO:0044214,GO:0044237,GO:0044238,GO:0044249,GO:0044260,GO:0044271,GO:0044422,GO:0044424,GO:0044425,GO:0044428,GO:0044446,GO:0044459,GO:0044464,GO:0044798,GO:0045165,GO:0045168,GO:0045177,GO:0045595,GO:0045596,GO:0045597,GO:0045893,GO:0045935,GO:0045944,GO:0045995,GO:0046483,GO:0048337,GO:0048513,GO:0048518,GO:0048519,GO:0048522,GO:0048523,GO:0048565,GO:0048569,GO:0048609,GO:0048731,GO:0048856,GO:0048869,GO:0050789,GO:0050793,GO:0050794,GO:0050896,GO:0051093,GO:0051094,GO:0051171,GO:0051173,GO:0051239,GO:0051240,GO:0051252,GO:0051254,GO:0051716,GO:0055123,GO:0060089,GO:0060255,GO:0060465,GO:0061061,GO:0065007,GO:0071704,GO:0071944,GO:0071981,GO:0071982,GO:0072091,GO:0080090,GO:0089717,GO:0090304,GO:0090575,GO:0097659,GO:0098590,GO:0140110,GO:1901360,GO:1901362,GO:1901576,GO:1902680,GO:1903506,GO:1903508,GO:1905770,GO:1905772,GO:1905902,GO:1905904,GO:2000026,GO:2000027,GO:2000112,GO:2000380,GO:2000382,GO:2000543,GO:2000648,GO:2000736,GO:2000737,GO:2001141</t>
  </si>
  <si>
    <t>24,4071/23,2213</t>
  </si>
  <si>
    <t>22,9249/10,8696/15,3162</t>
  </si>
  <si>
    <t>22,9249/20,3557/24,2095</t>
  </si>
  <si>
    <t>24,1107/29,249</t>
  </si>
  <si>
    <t>15,0198/12,3518/9,78261</t>
  </si>
  <si>
    <t>21,6403/26,7787/21,6403</t>
  </si>
  <si>
    <t>0,197628/0,197628</t>
  </si>
  <si>
    <t>24.4071</t>
  </si>
  <si>
    <t>Bm17460</t>
  </si>
  <si>
    <t>WBGene00268603</t>
  </si>
  <si>
    <t>9e-09</t>
  </si>
  <si>
    <t>Bm2146</t>
  </si>
  <si>
    <t>WBGene00222407</t>
  </si>
  <si>
    <t>GO:0007010/GO:0051015/</t>
  </si>
  <si>
    <t>actin_filament_binding/cytoskeleton_organization/</t>
  </si>
  <si>
    <t>A_process_that_is_carried_out_at_the_cellular_level_which_results_in_the_assembly,_arrangement_of_constituent_parts,_or_disassembly_of_cytoskeletal_structures._[GOC:dph,_GOC:jl,_GOC:mah]/"Interacting_selectively_and_non-covalently_with_an_actin_filament,_also_known_as_F-actin,_a_helical_filamentous_polymer_of_globular_G-actin_subunits."_[ISBN:0198506732]/</t>
  </si>
  <si>
    <t>IPR007122/IPR015628/IPR029006/</t>
  </si>
  <si>
    <t>ADF-H/Gelsolin-like_domain_superfamily/Supervillin/Villin/Gelsolin/</t>
  </si>
  <si>
    <t>ADF-H/Gelsolin-like_dom_sf/SV/p205/Villin/Gelsolin/</t>
  </si>
  <si>
    <t>note=B._malayi_BMA-VILN-1_protein,_contains_similarity_to_Pfam_domain_PF02209_Villin_headpiece_domain_contains_similarity_to_Interpro_domains_IPR007122_(Villin/Gelsolin),_IPR003128_(Villin_headpiece),_IPR029006_(ADF-H/Gelsolin-like_domain)</t>
  </si>
  <si>
    <t>7209.EFO17951.2</t>
  </si>
  <si>
    <t>4.2e-93</t>
  </si>
  <si>
    <t>348.6</t>
  </si>
  <si>
    <t>ko:K10369</t>
  </si>
  <si>
    <t>1KYFS@119089,38D8G@33154,3BCUN@33208,3CV9H@33213,40FWE@6231,KOG0445@1,KOG0445@2759</t>
  </si>
  <si>
    <t>Villin headpiece domain</t>
  </si>
  <si>
    <t>Bm9434</t>
  </si>
  <si>
    <t>WBGene00229695</t>
  </si>
  <si>
    <t>Bm4781</t>
  </si>
  <si>
    <t>WBGene00225042</t>
  </si>
  <si>
    <t>IPR036375/</t>
  </si>
  <si>
    <t>Hemopexin-like_domain_superfamily/</t>
  </si>
  <si>
    <t>Hemopexin-like_dom_sf/</t>
  </si>
  <si>
    <t>note=contains_similarity_to_Interpro_domain_IPR000585_(Hemopexin-like_domain)</t>
  </si>
  <si>
    <t>7209.EJD73639.1</t>
  </si>
  <si>
    <t>8.9e-113</t>
  </si>
  <si>
    <t>414.1</t>
  </si>
  <si>
    <t>1KW75@119089,2C29B@1,2S2RC@2759,3A4P1@33154,3BRD3@33208,3D8QW@33213,40DGW@6231</t>
  </si>
  <si>
    <t>42,4942/54,5035</t>
  </si>
  <si>
    <t>Bm11085</t>
  </si>
  <si>
    <t>WBGene00231346</t>
  </si>
  <si>
    <t>Bm10454</t>
  </si>
  <si>
    <t>WBGene00230715</t>
  </si>
  <si>
    <t>IPR023252/</t>
  </si>
  <si>
    <t>Aurora_borealis_protein/</t>
  </si>
  <si>
    <t>note=B._malayi_BMA-SPAT-1_protein,_contains_similarity_to_Pfam_domain_PF15280_Protein_aurora_borealis_N-terminus_contains_similarity_to_Interpro_domain_IPR023252_(Aurora_borealis_protein)</t>
  </si>
  <si>
    <t>8364.ENSXETP00000027003</t>
  </si>
  <si>
    <t>7.4e-12</t>
  </si>
  <si>
    <t>78.6</t>
  </si>
  <si>
    <t>2E0RP@1,2S85H@2759,39T8V@33154,3BKVG@33208,3CTUB@33213,483AY@7711,48XD3@7742</t>
  </si>
  <si>
    <t>regulation of mitotic spindle organization</t>
  </si>
  <si>
    <t>16,0305/47,0738</t>
  </si>
  <si>
    <t>Bm6664</t>
  </si>
  <si>
    <t>WBGene00226925</t>
  </si>
  <si>
    <t>/GO:0000166/GO:0004674/GO:0005515/GO:0005524/GO:0006468/GO:0016301/GO:0016310/GO:0016740/</t>
  </si>
  <si>
    <t>/ATP_binding/kinase_activity/nucleotide_binding/phosphorylation/protein_binding/protein_phosphorylation/protein_serine/threonine_kinase_activity/transferase_activity/</t>
  </si>
  <si>
    <t>/"Catalysis_of_the_reactions:_ATP_+_protein_serine_=_ADP_+_protein_serine_phosphate,_and_ATP_+_protein_threonine_=_ADP_+_protein_threonine_phosphate."_[GOC:bf]/"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_phosphate_group,_usually_from_ATP,_to_a_substrate_molecule."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y_protein_or_protein_complex_(a_complex_of_two_or_more_proteins_that_may_include_other_nonprotein_molecules)."_[GOC:go_curators]/"The_process_of_introducing_a_phosphate_group_into_a_molecule,_usually_with_the_formation_of_a_phosphoric_ester,_a_phosphoric_anhydride_or_a_phosphoric_amide."_[ISBN:0198506732]/"The_process_of_introducing_a_phosphate_group_on_to_a_protein."_[GOC:hb]/</t>
  </si>
  <si>
    <t>/IPR000403/IPR003152/IPR011009/IPR018936/IPR036940/</t>
  </si>
  <si>
    <t>/FATC_domain/Phosphatidylinositol_3-/4-kinase,_catalytic_domain/Phosphatidylinositol_3-/4-kinase,_catalytic_domain_superfamily/Phosphatidylinositol_3/4-kinase,_conserved_site/Protein_kinase-like_domain_superfamily/</t>
  </si>
  <si>
    <t>/FATC_dom/Kinase-like_dom_sf/PI3/4_kinase_CS/PI3/4_kinase_cat_dom/PI3/4_kinase_cat_sf/</t>
  </si>
  <si>
    <t>note=B._malayi_BMA-ATM-1_protein</t>
  </si>
  <si>
    <t>6326.BUX.s01660.44</t>
  </si>
  <si>
    <t>1.6e-101</t>
  </si>
  <si>
    <t>GO:0000785,GO:0005575,GO:0005622,GO:0005623,GO:0005694,GO:0008150,GO:0009314,GO:0009628,GO:0010212,GO:0043226,GO:0043228,GO:0043229,GO:0043232,GO:0044422,GO:0044424,GO:0044427,GO:0044446,GO:0044464,GO:0050896</t>
  </si>
  <si>
    <t>ko:K04728</t>
  </si>
  <si>
    <t>ko01524,ko03440,ko04064,ko04068,ko04110,ko04115,ko04210,ko04214,ko04218,ko05165,ko05166,ko05202,ko05206,map01524,map03440,map04064,map04068,map04110,map04115,map04210,map04214,map04218,map05165,map05166,map05202,map05206</t>
  </si>
  <si>
    <t>M00295,M00691</t>
  </si>
  <si>
    <t>ko00000,ko00001,ko00002,ko01000,ko01001,ko03032,ko03400</t>
  </si>
  <si>
    <t>1KYKD@119089,38B6T@33154,3BCR7@33208,3CREA@33213,40FW5@6231,KOG0892@1,KOG0892@2759</t>
  </si>
  <si>
    <t>signal transduction involved in mitotic G2 DNA damage checkpoint</t>
  </si>
  <si>
    <t>7,27651/4,3659</t>
  </si>
  <si>
    <t>9,06445/12,6819</t>
  </si>
  <si>
    <t>13,3888/9,89605/8,52391/8,81497/8,02495</t>
  </si>
  <si>
    <t>0,582121/1,78794</t>
  </si>
  <si>
    <t>WBGene00002583</t>
  </si>
  <si>
    <t>9.35551</t>
  </si>
  <si>
    <t>Bm6295</t>
  </si>
  <si>
    <t>WBGene00226556</t>
  </si>
  <si>
    <t>/GO:0003677/GO:0003700/GO:0003707/GO:0005634/GO:0006355/GO:0008270/GO:0043401/GO:0043565/GO:0046872/</t>
  </si>
  <si>
    <t>/DNA-binding_transcription_factor_activity/DNA_binding/metal_ion_binding/nucleus/regulation_of_transcription,_DNA-templated/sequence-specific_DNA_binding/steroid_hormone_mediated_signaling_pathway/steroid_hormone_receptor_activity/zinc_ion_binding/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</si>
  <si>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_series_of_molecular_signals_mediated_by_a_steroid_hormone_binding_to_a_receptor."_[PMID:12606724]/"Any_molecular_function_by_which_a_gene_product_interacts_selectively_and_non-covalently_with_DNA_(deoxyribonucleic_acid)."_[GOC:dph,_GOC:jl,_GOC:tb,_GOC:vw]/"Any_process_that_modulates_the_frequency,_rate_or_extent_of_cellular_DNA-templated_transcription."_[GOC:go_curators,_GOC:txnOH]/"Combining_with_a_steroid_hormone_and_transmitting_the_signal_within_the_cell_to_initiate_a_change_in_cell_activity_or_function."_[GOC:signaling,_PMID:14708019]/"Interacting_selectively_and_non-covalently_with_DNA_of_a_specific_nucleotide_composition,_e.g._GC-rich_DNA_binding,_or_with_a_specific_sequence_motif_or_type_of_DNA_e.g._promotor_binding_or_rDNA_binding."_[GOC:jl]/"Interacting_selectively_and_non-covalently_with_any_metal_ion."_[GOC:ai]/"Interacting_selectively_and_non-covalently_with_zinc_(Zn)_ions."_[GOC:ai]/</t>
  </si>
  <si>
    <t>note=B._malayi_BMA-NHR-91_protein,_contains_similarity_to_Interpro_domain_IPR008946_(Nuclear_hormone_receptor,_ligand-binding)</t>
  </si>
  <si>
    <t>7209.EFO25146.2</t>
  </si>
  <si>
    <t>7.2e-247</t>
  </si>
  <si>
    <t>860.1</t>
  </si>
  <si>
    <t>ko:K09185</t>
  </si>
  <si>
    <t>1KTNR@119089,39REX@33154,3B99I@33208,3CV02@33213,40C34@6231,KOG3575@1,KOG3575@2759</t>
  </si>
  <si>
    <t>24,5517/35,8621</t>
  </si>
  <si>
    <t>28,4138/14,3448/15,5862</t>
  </si>
  <si>
    <t>8,82759/31,4483/22,2069</t>
  </si>
  <si>
    <t>10,069/10,7586/10,8966/11,4483/10,069/10,4828/10,7586/9,7931</t>
  </si>
  <si>
    <t>10,2069/10,7586/10,8966/11,4483/10,069/10,4828/10,7586/9,51724</t>
  </si>
  <si>
    <t>10,6207/3,17241/10,8966/11,5862/11,0345/10,3448/8,27586/10,7586/10,8966/11,5862/11,8621/9,51724</t>
  </si>
  <si>
    <t>WBGene00003681</t>
  </si>
  <si>
    <t>30.069</t>
  </si>
  <si>
    <t>Bm9626</t>
  </si>
  <si>
    <t>WBGene00229887</t>
  </si>
  <si>
    <t>Bm17466</t>
  </si>
  <si>
    <t>WBGene00268609</t>
  </si>
  <si>
    <t>2.1e-17</t>
  </si>
  <si>
    <t>97.4</t>
  </si>
  <si>
    <t>7,77989/3,98482</t>
  </si>
  <si>
    <t>9,10816/8,72865/4,36433</t>
  </si>
  <si>
    <t>Bm9662</t>
  </si>
  <si>
    <t>WBGene00229923</t>
  </si>
  <si>
    <t>7,87476/19,0702/12,2391</t>
  </si>
  <si>
    <t>24,9526/32,4478</t>
  </si>
  <si>
    <t>9,01328/6,926</t>
  </si>
  <si>
    <t>Bm4300</t>
  </si>
  <si>
    <t>WBGene00224561</t>
  </si>
  <si>
    <t>GO:0005267/GO:0005515/GO:0006811/GO:0016020/GO:0016021/GO:0071805/</t>
  </si>
  <si>
    <t>integral_component_of_membrane/ion_transport/membrane/potassium_channel_activity/potassium_ion_transmembrane_transport/protein_binding/</t>
  </si>
  <si>
    <t>A_lipid_bilayer_along_with_all_the_proteins_and_protein_complexes_embedded_in_it_an_attached_to_it._[GOC:dos,_GOC:mah,_ISBN:0815316194]/"A_process_in_which_a_potassium_ion_is_transported_from_one_side_of_a_membrane_to_the_other."_[GOC:mah]/"Enables_the_facilitated_diffusion_of_a_potassium_ion_(by_an_energy-independent_process)_involving_passage_through_a_transmembrane_aqueous_pore_or_channel_without_evidence_for_a_carrier-mediated_mechanism."_[GOC:BHF,_GOC:mtg_transport,_GOC:pr,_ISBN:0815340729]/"Interacting_selectively_and_non-covalently_with_any_protein_or_protein_complex_(a_complex_of_two_or_more_proteins_that_may_include_other_nonprotein_molecules)."_[GOC:go_curators]/"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
  </si>
  <si>
    <t>IPR003280/IPR003961/IPR013099/IPR013783/IPR036116/</t>
  </si>
  <si>
    <t>Fibronectin_type_III/Fibronectin_type_III_superfamily/Immunoglobulin-like_fold/Potassium_channel_domain/Two_pore_domain_potassium_channel/</t>
  </si>
  <si>
    <t>2pore_dom_K_chnl/FN3_dom/FN3_sf/Ig-like_fold/K_chnl_dom/</t>
  </si>
  <si>
    <t>note=contains_similarity_to_Pfam_domains_PF00041_(Fibronectin_type_III_domain),_PF07885_(Ion_channel)_contains_similarity_to_Interpro_domains_IPR003280_(Two_pore_domain_potassium_channel),_IPR003961_(Fibronectin_type_III),_IPR013783_(Immunoglobulin-like_fold),_IPR013099_(Two_pore_domain_potassium_channel_domain)</t>
  </si>
  <si>
    <t>7209.EJD76496.1</t>
  </si>
  <si>
    <t>5e-280</t>
  </si>
  <si>
    <t>969.9</t>
  </si>
  <si>
    <t>1KUJC@119089,39T1G@33154,3BNR6@33208,3D3ZH@33213,40AQH@6231,KOG1418@1,KOG1418@2759</t>
  </si>
  <si>
    <t>28,4192/60,746</t>
  </si>
  <si>
    <t>73,0018/73,0018</t>
  </si>
  <si>
    <t>30,373/17,9396</t>
  </si>
  <si>
    <t>15,8082/19,8934</t>
  </si>
  <si>
    <t>24,5115/39,9645/41,7407/18,4725</t>
  </si>
  <si>
    <t>8,52575/12,7886</t>
  </si>
  <si>
    <t>WBGene00006684</t>
  </si>
  <si>
    <t>45.8259</t>
  </si>
  <si>
    <t>Bm14691</t>
  </si>
  <si>
    <t>WBGene00235026</t>
  </si>
  <si>
    <t>GO:0006401/GO:0032299/</t>
  </si>
  <si>
    <t>RNA_catabolic_process/ribonuclease_H2_complex/</t>
  </si>
  <si>
    <t>A_protein_complex_that_possesses_ribonuclease_H_activity,_in_which_the_catalytic_subunit_is_a_member_of_the_RNase_H2_(or_HII)_class._For_example,_in_Saccharomyces_the_complex_contains_Rnh201p,_Rnh202p_and_Rnh203p._[GOC:mah,_PMID:14734815]/"The_chemical_reactions_and_pathways_resulting_in_the_breakdown_of_RNA,_ribonucleic_acid,_one_of_the_two_main_type_of_nucleic_acid,_consisting_of_a_long,_unbranched_macromolecule_formed_from_ribonucleotides_joined_in_3',5'-phosphodiester_linkage."_[ISBN:0198506732]/</t>
  </si>
  <si>
    <t>IPR013924/</t>
  </si>
  <si>
    <t>Ribonuclease_H2,_subunit_C/</t>
  </si>
  <si>
    <t>RNase_H2_suC/</t>
  </si>
  <si>
    <t>note=contains_similarity_to_Pfam_domain_PF08615_Ribonuclease_H2_non-catalytic_subunit_(Ylr154p-like)_contains_similarity_to_Interpro_domain_IPR013924_(Ribonuclease_H2,_subunit_C)</t>
  </si>
  <si>
    <t>7209.EFO26312.1</t>
  </si>
  <si>
    <t>1.3e-49</t>
  </si>
  <si>
    <t>ko:K10745</t>
  </si>
  <si>
    <t>ko00000,ko00001,ko03032</t>
  </si>
  <si>
    <t>1M0FZ@119089,2E4RT@1,2SBKV@2759,3999W@33154,3BWKK@33208,3DCS0@33213,40F4K@6231</t>
  </si>
  <si>
    <t>Ribonuclease H2 non-catalytic subunit (Ylr154p-like)</t>
  </si>
  <si>
    <t>WBGene00195239</t>
  </si>
  <si>
    <t>26.3158</t>
  </si>
  <si>
    <t>Bm17878</t>
  </si>
  <si>
    <t>WBGene00269020</t>
  </si>
  <si>
    <t>Bm3827</t>
  </si>
  <si>
    <t>WBGene00224088</t>
  </si>
  <si>
    <t>GO:0004725/GO:0006470/GO:0016311/GO:0016787/GO:0016791/GO:0035335/</t>
  </si>
  <si>
    <t>dephosphorylation/hydrolase_activity/peptidyl-tyrosine_dephosphorylation/phosphatase_activity/protein_dephosphorylation/protein_tyrosine_phosphatase_activity/</t>
  </si>
  <si>
    <t>Catalysis_of_the_hydrolysis_of_phosphoric_monoesters,_releasing_inorganic_phosphate._[EC:3.1.3,_EC:3.1.3.41,_GOC:curators,_GOC:pg]/"Catalysis_of_the_hydrolysis_of_various_bonds,_e.g._C-O,_C-N,_C-C,_phosphoric_anhydride_bonds,_etc._Hydrolase_is_the_systematic_name_for_any_enzyme_of_EC_class_3."_[ISBN:0198506732]/"Catalysis_of_the_reaction:_protein_tyrosine_phosphate_+_H2O_=_protein_tyrosine_+_phosphate."_[EC:3.1.3.48]/"The_process_of_removing_one_or_more_phosphoric_(ester_or_anhydride)_residues_from_a_molecule."_[ISBN:0198506732]/"The_process_of_removing_one_or_more_phosphoric_residues_from_a_protein."_[GOC:hb]/"The_removal_of_phosphoric_residues_from_peptidyl-O-phospho-tyrosine_to_form_peptidyl-tyrosine."_[GOC:bf]/</t>
  </si>
  <si>
    <t>7209.EFO19262.1</t>
  </si>
  <si>
    <t>2.1e-108</t>
  </si>
  <si>
    <t>399.1</t>
  </si>
  <si>
    <t>1KWRJ@119089,3A71V@33154,3BSW4@33208,3DAEC@33213,40DXE@6231,COG5599@1,KOG0789@2759</t>
  </si>
  <si>
    <t>30,9524/29,1667</t>
  </si>
  <si>
    <t>Bm17773</t>
  </si>
  <si>
    <t>WBGene00268915</t>
  </si>
  <si>
    <t>2.1e-171</t>
  </si>
  <si>
    <t>27,1357/26,1307/27,6382/27,6382/27,1357/27,1357/29,1457/25,3769</t>
  </si>
  <si>
    <t>19,598/24,6231/29,1457/27,1357/26,3819/27,1357/28,8945/1,75879/17,5879/23,3668/27,8894/19,3467/24,8744/25,1256/27,3869/3,26633/25,6281/28,6432/26,8844/24,3719/29,6482/11,3065/24,6231/26,1307/29,397/25,6281/24,1206/24,1206/31,407/25,3769/28,6432/28,392/27,8894/25,8794</t>
  </si>
  <si>
    <t>29,6482/27,6382/15,0754/26,1307/26,6332/25,6281/23,1156/21,3568/20,8543/25,8794/22,1106/20,8543/31,9095/21,1055/26,6332/27,6382/21,608/24,3719/22,1106/30,6533/28,1407</t>
  </si>
  <si>
    <t>4,0201/29,6482/24,1206/27,1357/22,8643/27,3869/25,8794/23,8693/27,3869/27,3869/13,3166</t>
  </si>
  <si>
    <t>18,3417/8,79397/22,1106/24,3719/20,8543/28,392/27,6382/8,79397/12,5628/25,1256/22,1106/26,8844/26,6332</t>
  </si>
  <si>
    <t>14,0704/5,27638</t>
  </si>
  <si>
    <t>20,603/6,53266/24,1206/18,8442/10,804/3,26633/21,1055</t>
  </si>
  <si>
    <t>27,3869/25,3769/26,1307</t>
  </si>
  <si>
    <t>27.3869/25.3769/26.1307</t>
  </si>
  <si>
    <t>Bm6048</t>
  </si>
  <si>
    <t>WBGene00226309</t>
  </si>
  <si>
    <t>GO:0000166/GO:0004672/GO:0004674/GO:0005524/GO:0006468/GO:0007268/GO:0010468/GO:0030424/GO:0030951/GO:0032880/GO:0045202/GO:0048489/GO:0051222/GO:0051932/GO:0051965/GO:1904799/GO:1904810/GO:1904811/GO:2000331/</t>
  </si>
  <si>
    <t>ATP_binding/axon/chemical_synaptic_transmission/establishment_or_maintenance_of_microtubule_cytoskeleton_polarity/negative_regulation_of_dense_core_granule_transport/nucleotide_binding/positive_regulation_of_dense_core_granule_transport/positive_regulation_of_protein_transport/positive_regulation_of_synapse_assembly/protein_kinase_activity/protein_phosphorylation/protein_serine/threonine_kinase_activity/regulation_of_gene_expression/regulation_of_neuron_remodeling/regulation_of_protein_localization/regulation_of_terminal_button_organization/synapse/synaptic_transmission,_GABAergic/synaptic_vesicle_transport/</t>
  </si>
  <si>
    <t>Any_cellular_process_that_results_in_the_specification,_formation_or_maintenance_of_polarized_microtubule-based_cytoskeletal_structures._[GOC:mah]/"Any_process_that_activates,_maintains_or_increases_the_frequency,_rate_or_extent_of_synapse_assembly,_the_aggregation,_arrangement_and_bonding_together_of_a_set_of_components_to_form_a_synapse."_[GOC:ai,_GOC:pr]/"Any_process_that_activates_or_increases_the_frequency,_rate_or_extent_of_dense_core_granule_transport."_[GO_REF:0000058,_GOC:TermGenie,_PMID:22699897]/"Any_process_that_activates_or_increases_the_frequency,_rate_or_extent_of_the_directed_movement_of_a_protein_into,_out_of_or_within_a_cell,_or_between_cells,_by_means_of_some_agent_such_as_a_transporter_or_pore."_[GOC:ai]/"Any_process_that_modulates_the_frequency,_rate_or_extent_of_any_process_in_which_a_protein_is_transported_to,_or_maintained_in,_a_specific_location."_[GOC:dph,_GOC:mah,_GOC:tb]/"Any_process_that_modulates_the_frequency,_rate_or_extent_of_gene_expression._Gene_expression_is_the_process_in_which_a_gene's_coding_sequence_is_converted_into_a_mature_gene_product_or_products_(proteins_or_RNA)._This_includes_the_production_of_an_RNA_transcript_as_well_as_any_processing_to_produce_a_mature_RNA_product_or_an_mRNA_or_circRNA_(for_protein-coding_genes)_and_the_translation_of_that_mRNA_or_circRNA_into_protein._Protein_maturation_is_included_when_required_to_form_an_active_form_of_a_product_from_an_inactive_precursor_form."_[GOC:dph,_GOC:tb]/"Any_process_that_modulates_the_frequency,_rate_or_extent_of_neuron_remodeling."_[GO_REF:0000058,_GOC:TermGenie,_PMID:21609829]/"Any_process_that_modulates_the_frequency,_rate_or_extent_of_terminal_button_organization."_[GOC:BHF,_GOC:mah]/"Any_process_that_stops,_prevents_or_reduces_the_frequency,_rate_or_extent_of_dense_core_granule_transport."_[GO_REF:0000058,_GOC:TermGenie,_PMID:22699897]/"Catalysis_of_the_phosphorylation_of_an_amino_acid_residue_in_a_protein,_usually_according_to_the_reaction:_a_protein_+_ATP_=_a_phosphoprotein_+_ADP."_[MetaCyc:PROTEIN-KINASE-RXN]/"Catalysis_of_the_reactions:_ATP_+_protein_serine_=_ADP_+_protein_serine_phosphate,_and_ATP_+_protein_threonine_=_ADP_+_protein_threonine_phosphate."_[GOC:bf]/"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he_directed_movement_of_synaptic_vesicles."_[GOC:jid,_GOC:lmg,_GOC:pr]/"The_junction_between_a_nerve_fiber_of_one_neuron_and_another_neuron,_muscle_fiber_or_glial_cell._As_the_nerve_fiber_approaches_the_synapse_it_enlarges_into_a_specialized_structure,_the_presynaptic_nerve_ending,_which_contains_mitochondria_and_synaptic_vesicles._At_the_tip_of_the_nerve_ending_is_the_presynaptic_membrane;_facing_it,_and_separated_from_it_by_a_minute_cleft_(the_synaptic_cleft)_is_a_specialized_area_of_membrane_on_the_receiving_cell,_known_as_the_postsynaptic_membrane._In_response_to_the_arrival_of_nerve_impulses,_the_presynaptic_nerve_ending_secretes_molecules_of_neurotransmitters_into_the_synaptic_cleft._These_diffuse_across_the_cleft_and_transmit_the_signal_to_the_postsynaptic_membrane."_[ISBN:0198506732]/"The_long_process_of_a_neuron_that_conducts_nerve_impulses,_usually_away_from_the_cell_body_to_the_terminals_and_varicosities,_which_are_sites_of_storage_and_release_of_neurotransmitter."_[GOC:nln,_ISBN:0198506732]/"The_process_of_introducing_a_phosphate_group_on_to_a_protein."_[GOC:hb]/"The_vesicular_release_of__gamma-aminobutyric_acid_(GABA)._from_a_presynapse,_across_a_chemical_synapse,_the_subsequent_activation_of_GABA_receptors_at_the_postsynapse_of_a_target_cell_(neuron,_muscle,_or_secretory_cell)_and_the_effects_of_this_activation_on_the_postsynaptic_membrane_potential_and_ionic_composition_of_the_postsynaptic_cytosol._This_process_encompasses_both_spontaneous_and_evoked_release_of_neurotransmitter_and_all_parts_of_synaptic_vesicle_exocytosis._Evoked_transmission_starts_with_the_arrival_of_an_action_potential_at_the_presynapse."_[GOC:dos,_ISBN:0126603030]/"The_vesicular_release_of_classical_neurotransmitter_molecules_from_a_presynapse,_across_a_chemical_synapse,_the_subsequent_activation_of_neurotransmitter_receptors_at_the_postsynapse_of_a_target_cell_(neuron,_muscle,_or_secretory_cell)_and_the_effects_of_this_activation_on_the_postsynaptic_membrane_potential_and_ionic_composition_of_the_postsynaptic_cytosol._This_process_encompasses_both_spontaneous_and_evoked_release_of_neurotransmitter_and_all_parts_of_synaptic_vesicle_exocytosis._Evoked_transmission_starts_with_the_arrival_of_an_action_potential_at_the_presynapse."_[GOC:jl,_MeSH:D009435]/</t>
  </si>
  <si>
    <t>note=B._malayi_BMA-CDK-5_protein,_contains_similarity_toPfam_domain_PF00069_Protein_kinase_domain_containssimilarity_to_Interpro_domains_IPR002290(Serine/threonine/dual_specificity_protein_kinase,catalytic_domain),_IPR011009_(Protein_kinase-like_domain),IPR000719_(Protein_kinase_domain)</t>
  </si>
  <si>
    <t>7209.EFO21248.1</t>
  </si>
  <si>
    <t>1.5e-166</t>
  </si>
  <si>
    <t>592.0</t>
  </si>
  <si>
    <t>GO:0000226,GO:0003674,GO:0003824,GO:0004672,GO:0005575,GO:0005623,GO:0006464,GO:0006468,GO:0006793,GO:0006796,GO:0006807,GO:0006810,GO:0006996,GO:0007010,GO:0007017,GO:0007154,GO:0007163,GO:0007267,GO:0007268,GO:0007275,GO:0007399,GO:0008150,GO:0008152,GO:0009987,GO:0010468,GO:0014041,GO:0016043,GO:0016192,GO:0016301,GO:0016310,GO:0016740,GO:0016772,GO:0016773,GO:0019222,GO:0019538,GO:0022008,GO:0023052,GO:0030154,GO:0030424,GO:0030951,GO:0030952,GO:0032386,GO:0032387,GO:0032388,GO:0032501,GO:0032502,GO:0032879,GO:0032880,GO:0036211,GO:0042995,GO:0043005,GO:0043170,GO:0043412,GO:0044087,GO:0044089,GO:0044237,GO:0044238,GO:0044260,GO:0044267,GO:0044464,GO:0045202,GO:0045595,GO:0045664,GO:0046907,GO:0048489,GO:0048518,GO:0048519,GO:0048522,GO:0048699,GO:0048731,GO:0048856,GO:0048869,GO:0050767,GO:0050789,GO:0050793,GO:0050794,GO:0050803,GO:0050807,GO:0051049,GO:0051050,GO:0051051,GO:0051094,GO:0051128,GO:0051130,GO:0051179,GO:0051222,GO:0051223,GO:0051234,GO:0051239,GO:0051240,GO:0051640,GO:0051641,GO:0051648,GO:0051649,GO:0051650,GO:0051656,GO:0051932,GO:0051960,GO:0051962,GO:0051963,GO:0051965,GO:0060255,GO:0060284,GO:0060341,GO:0065007,GO:0065008,GO:0070201,GO:0071704,GO:0071840,GO:0090087,GO:0097458,GO:0097479,GO:0097480,GO:0098916,GO:0099003,GO:0099174,GO:0099536,GO:0099537,GO:0120025,GO:0140096,GO:1901564,GO:1903429,GO:1903649,GO:1903650,GO:1903651,GO:1904799,GO:1904809,GO:1904810,GO:1904811,GO:1904951,GO:2000026,GO:2000331</t>
  </si>
  <si>
    <t>ko:K02090</t>
  </si>
  <si>
    <t>ko04360,ko05010,ko05030,map04360,map05010,map05030</t>
  </si>
  <si>
    <t>ko00000,ko00001,ko01000,ko01001,ko04131</t>
  </si>
  <si>
    <t>1KY3M@119089,3AJNJ@33154,3BASC@33208,3CR6Q@33213,40C69@6231,KOG0662@1,KOG0662@2759</t>
  </si>
  <si>
    <t>WBGene00000407</t>
  </si>
  <si>
    <t>78.4247</t>
  </si>
  <si>
    <t>Bm17328</t>
  </si>
  <si>
    <t>WBGene00268471</t>
  </si>
  <si>
    <t>3e-08</t>
  </si>
  <si>
    <t>65.9</t>
  </si>
  <si>
    <t>Bm3944</t>
  </si>
  <si>
    <t>WBGene00224205</t>
  </si>
  <si>
    <t>IPR006222/IPR017703/IPR027266/IPR028896/</t>
  </si>
  <si>
    <t>Aminomethyltransferase,_folate-binding_domain/Aminomethyltransferase-like/GTP-binding_protein_TrmE/Glycine_cleavage_system_T_protein,_domain_1/YgfZ/GcvT_conserved_site/</t>
  </si>
  <si>
    <t>GCST/YgfZ/DmdA/GCV_T_N/TrmE/GcvT_dom1/YgfZ/GcvT_CS/</t>
  </si>
  <si>
    <t>note=contains_similarity_to_Pfam_domain_PF01571_Aminomethyltransferase_folate-binding_domain_contains_similarity_to_Interpro_domains_IPR006222_(Glycine_cleavage_T-protein-like,_N-terminal),_IPR017703_(YgfZ/GcvT_conserved_site)</t>
  </si>
  <si>
    <t>7209.EFO13337.1</t>
  </si>
  <si>
    <t>3e-105</t>
  </si>
  <si>
    <t>ko:K22073</t>
  </si>
  <si>
    <t>ko00000,ko01000,ko03029</t>
  </si>
  <si>
    <t>1KWRF@119089,39TYK@33154,3BEVR@33208,3D2EN@33213,40DYT@6231,COG0354@1,KOG2929@2759</t>
  </si>
  <si>
    <t>Glycine cleavage T-protein C-terminal barrel domain</t>
  </si>
  <si>
    <t>23,2727/21,4545</t>
  </si>
  <si>
    <t>17,0909/21,8182/21,8182</t>
  </si>
  <si>
    <t>WBGene00009563</t>
  </si>
  <si>
    <t>21.4545</t>
  </si>
  <si>
    <t>Bm12974</t>
  </si>
  <si>
    <t>WBGene00233235</t>
  </si>
  <si>
    <t>Bm9128</t>
  </si>
  <si>
    <t>WBGene00229389</t>
  </si>
  <si>
    <t>86,4865/89,1892</t>
  </si>
  <si>
    <t>Bm4205</t>
  </si>
  <si>
    <t>WBGene00224466</t>
  </si>
  <si>
    <t>GO:0003824/GO:0005975/GO:0016810/</t>
  </si>
  <si>
    <t>carbohydrate_metabolic_process/catalytic_activity/hydrolase_activity,_acting_on_carbon-nitrogen_(but_not_peptide)_bonds/</t>
  </si>
  <si>
    <t>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Catalysis_of_the_hydrolysis_of_any_carbon-nitrogen_bond,_C-N,_with_the_exception_of_peptide_bonds."_[GOC:jl]/"The_chemical_reactions_and_pathways_involving_carbohydrates,_any_of_a_group_of_organic_compounds_based_of_the_general_formula_Cx(H2O)y._Includes_the_formation_of_carbohydrate_derivatives_by_the_addition_of_a_carbohydrate_residue_to_another_molecule."_[GOC:mah,_ISBN:0198506732]/</t>
  </si>
  <si>
    <t>IPR000742/IPR002509/IPR006149/IPR006150/IPR011330/</t>
  </si>
  <si>
    <t>Cysteine-rich_repeat/EB_domain/EGF-like_domain/Glycoside_hydrolase/deacetylase,_beta/alpha-barrel/NodB_homology_domain/</t>
  </si>
  <si>
    <t>Cys_repeat_1/EB_dom/EGF-like_dom/Glyco_hydro/deAcase_b/a-brl/NODB_dom/</t>
  </si>
  <si>
    <t>note=contains_similarity_to_Pfam_domains_PF01522_(Polysaccharide_deacetylase),_PF01683_(EB_module)_contains_similarity_to_Interpro_domains_IPR002509_(Polysaccharide_deacetylase),_IPR011330_(Glycoside_hydrolase/deacetylase,_beta/alpha-barrel),_IPR006149_(EB_domain)</t>
  </si>
  <si>
    <t>7209.EJD76580.1</t>
  </si>
  <si>
    <t>1405.6</t>
  </si>
  <si>
    <t>1KTXW@119089,38F48@33154,3BNF1@33208,3D4AZ@33213,40BSE@6231,KOG1218@1,KOG1218@2759</t>
  </si>
  <si>
    <t>2,0595/2,746</t>
  </si>
  <si>
    <t>2,1167/2,45995</t>
  </si>
  <si>
    <t>Bm9401</t>
  </si>
  <si>
    <t>WBGene00229662</t>
  </si>
  <si>
    <t>34,4444/31,1111</t>
  </si>
  <si>
    <t>Bm5852</t>
  </si>
  <si>
    <t>WBGene00226113</t>
  </si>
  <si>
    <t>GO:0005085/GO:0005089/GO:0005096/GO:0005634/GO:0005737/GO:0035023/GO:0043547/GO:2000431/</t>
  </si>
  <si>
    <t>GTPase_activator_activity/Rho_guanyl-nucleotide_exchange_factor_activity/cytoplasm/guanyl-nucleotide_exchange_factor_activity/nucleus/positive_regulation_of_GTPase_activity/regulation_of_Rho_protein_signal_transduction/regulation_of_cytokinesis,_actomyosin_contractile_ring_assembl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</si>
  <si>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ll_of_the_contents_of_a_cell_excluding_the_plasma_membrane_and_nucleus,_but_including_other_subcellular_structures."_[ISBN:0198547684]/"Any_process_that_activates_or_increases_the_activity_of_a_GTPase."_[GOC:jl,_GOC:mah]/"Any_process_that_modulates_the_frequency,_rate_or_extent_of_Rho_protein_signal_transduction."_[GOC:bf]/"Any_process_that_modulates_the_frequency,_rate_or_extent_of_cytokinesis,_actomyosin_contractile_ring_assembly."_[GOC:obol]/"Binds_to_and_increases_the_activity_of_a_GTPase,_an_enzyme_that_catalyzes_the_hydrolysis_of_GTP."_[GOC:mah]/"Stimulates_the_exchange_of_guanyl_nucleotides_associated_with_a_GTPase._Under_normal_cellular_physiological_conditions,_the_concentration_of_GTP_is_higher_than_that_of_GDP,_favoring_the_replacement_of_GDP_by_GTP_in_association_with_the_GTPase."_[GOC:kd,_GOC:mah]/"Stimulates_the_exchange_of_guanyl_nucleotides_associated_with_a_GTPase_of_the_Rho_family._Under_normal_cellular_physiological_conditions,_the_concentration_of_GTP_is_higher_than_that_of_GDP,_favoring_the_replacement_of_GDP_by_GTP_in_association_with_the_GTPase."_[GOC:mah]/</t>
  </si>
  <si>
    <t>IPR000219/IPR001357/IPR026817/IPR035899/IPR036420/</t>
  </si>
  <si>
    <t>BRCT_domain/BRCT_domain_superfamily/Dbl_homology_(DH)_domain/Dbl_homology_(DH)_domain_superfamily/Guanine_nucleotide_exchange_factor_Ect2/</t>
  </si>
  <si>
    <t>BRCT_dom/BRCT_dom_sf/DBL_dom_sf/DH-domain/Ect2/</t>
  </si>
  <si>
    <t>note=B._malayi_BMA-ECT-2_protein,_contains_similarity_toPfam_domains_PF00621_(RhoGEF_domain),_PF12738_(twin_BRCTdomain)_contains_similarity_to_Interpro_domains_IPR000219(Dbl_homology_(DH)_domain),_IPR026817_(Guanine_nucleotideexchange_factor_Ect2),_IPR001357_(BRCT_domain)</t>
  </si>
  <si>
    <t>7209.EJD76560.1</t>
  </si>
  <si>
    <t>GO:0000278,GO:0000281,GO:0000910,GO:0001709,GO:0003674,GO:0005085,GO:0005488,GO:0005515,GO:0005575,GO:0005622,GO:0005623,GO:0005737,GO:0005938,GO:0007049,GO:0008104,GO:0008150,GO:0009987,GO:0019899,GO:0022402,GO:0030154,GO:0032502,GO:0032879,GO:0032880,GO:0032970,GO:0033036,GO:0043085,GO:0043087,GO:0043547,GO:0044093,GO:0044424,GO:0044444,GO:0044464,GO:0045165,GO:0045167,GO:0048869,GO:0050789,GO:0050790,GO:0050794,GO:0051020,GO:0051179,GO:0051301,GO:0051336,GO:0051345,GO:0061640,GO:0065007,GO:0065009,GO:0071944,GO:0098772,GO:0099568,GO:1903047</t>
  </si>
  <si>
    <t>ko:K20704</t>
  </si>
  <si>
    <t>1KW3Z@119089,38C1C@33154,3BDRH@33208,3D1GW@33213,40DR9@6231,KOG3524@1,KOG3524@2759</t>
  </si>
  <si>
    <t>20,504/33,4479</t>
  </si>
  <si>
    <t>16,4948/9,62199/15,8076</t>
  </si>
  <si>
    <t>26,0023/25,8877</t>
  </si>
  <si>
    <t>WBGene00002297</t>
  </si>
  <si>
    <t>23.1386</t>
  </si>
  <si>
    <t>meiosis_spindle_orientation</t>
  </si>
  <si>
    <t>Bm10168</t>
  </si>
  <si>
    <t>WBGene00230429</t>
  </si>
  <si>
    <t>Bm10830</t>
  </si>
  <si>
    <t>WBGene00231091</t>
  </si>
  <si>
    <t>GO:0017053/</t>
  </si>
  <si>
    <t>transcriptional_repressor_complex/</t>
  </si>
  <si>
    <t>A_protein_complex_that_possesses_activity_that_prevents_or_downregulates_transcription._[GOC:mah]/</t>
  </si>
  <si>
    <t>IPR028226/</t>
  </si>
  <si>
    <t>Protein_LIN37/</t>
  </si>
  <si>
    <t>LIN37/</t>
  </si>
  <si>
    <t>note=B._malayi_BMA-LIN-37_protein,_contains_similarity_to_Pfam_domain_PF15306_LIN37_contains_similarity_to_Interpro_domain_IPR028226_(Protein_LIN37)</t>
  </si>
  <si>
    <t>7209.EFO28160.1</t>
  </si>
  <si>
    <t>2E0HH@1,2S7XU@2759,3A8TA@33154,3BV18@33208,3DB65@33213,40ESR@6231</t>
  </si>
  <si>
    <t>LIN37</t>
  </si>
  <si>
    <t>23,9669/11,5702</t>
  </si>
  <si>
    <t>Bm5254</t>
  </si>
  <si>
    <t>WBGene00225515</t>
  </si>
  <si>
    <t>GO:0003723/GO:0003729/</t>
  </si>
  <si>
    <t>RNA_binding/mRNA_binding/</t>
  </si>
  <si>
    <t>Interacting_selectively_and_non-covalently_with_an_RNA_molecule_or_a_portion_thereof._[GOC:jl,_GOC:mah]/"Interacting_selectively_and_non-covalently_with_messenger_RNA_(mRNA),_an_intermediate_molecule_between_DNA_and_protein._mRNA_includes_UTR_and_coding_sequences,_but_does_not_contain_introns."_[GOC:kmv,_GOC:pr,_SO:0000234]/</t>
  </si>
  <si>
    <t>IPR026502/IPR029344/IPR038294/</t>
  </si>
  <si>
    <t>Histone_RNA_hairpin-binding_protein,_RNA-binding_domain/Histone_RNA_stem-loop-binding_protein_SLBP1/SLBP2/SLBP,_RNA-binding_domain_superfamily/</t>
  </si>
  <si>
    <t>SLBP1/SLBP2/SLBP_RNA_bind/SLBP_RNA_bind_sf/</t>
  </si>
  <si>
    <t>note=B._malayi_BMA-CDL-1_protein,_contains_similarity_toPfam_domain_PF15247_Histone_RNA_hairpin-binding_proteinRNA-binding_domain_contains_similarity_to_Interpro_domainsIPR026502_(Histone_RNA_stem-loop-binding_proteinSLBP1/SLBP2),_IPR029344_(Histone_RNA_hairpin-bindingprotein,_RNA-binding_domain)</t>
  </si>
  <si>
    <t>7209.EFO17656.1</t>
  </si>
  <si>
    <t>1.5e-154</t>
  </si>
  <si>
    <t>552.7</t>
  </si>
  <si>
    <t>GO:0000070,GO:0000278,GO:0000280,GO:0000819,GO:0003674,GO:0003676,GO:0003723,GO:0003729,GO:0003730,GO:0005488,GO:0005575,GO:0005622,GO:0005623,GO:0005634,GO:0005737,GO:0006323,GO:0006915,GO:0006996,GO:0007049,GO:0007059,GO:0007076,GO:0007275,GO:0008150,GO:0008219,GO:0009790,GO:0009792,GO:0009987,GO:0012501,GO:0016043,GO:0022402,GO:0030261,GO:0032501,GO:0032502,GO:0043226,GO:0043227,GO:0043229,GO:0043231,GO:0044424,GO:0044464,GO:0048285,GO:0048856,GO:0051276,GO:0071103,GO:0071840,GO:0097159,GO:0098813,GO:0140014,GO:1901363,GO:1903047</t>
  </si>
  <si>
    <t>ko:K18710</t>
  </si>
  <si>
    <t>1KWES@119089,3A8HS@33154,3BHMF@33208,3DA01@33213,40DZT@6231,KOG3934@1,KOG3934@2759</t>
  </si>
  <si>
    <t>Histone RNA hairpin-binding protein RNA-binding domain</t>
  </si>
  <si>
    <t>21,6895/20,0913</t>
  </si>
  <si>
    <t>10,9589/7,53425</t>
  </si>
  <si>
    <t>WBGene00000411</t>
  </si>
  <si>
    <t>21.2329</t>
  </si>
  <si>
    <t>Bm9933</t>
  </si>
  <si>
    <t>WBGene00230194</t>
  </si>
  <si>
    <t>65,9498/25,0896</t>
  </si>
  <si>
    <t>31,1828/26,1649</t>
  </si>
  <si>
    <t>Bm7677</t>
  </si>
  <si>
    <t>WBGene00227938</t>
  </si>
  <si>
    <t>note=B._malayi_BMA-CPL-5_protein,_contains_similarity_toPfam_domains_PF08246_(Cathepsin_propeptide_inhibitordomain_(I29)),_PF00112_(Papain_family_cysteine_protease)contains_similarity_to_Interpro_domains_IPR013128(Peptidase_C1A),_IPR013201_(Proteinase_inhibitor_I29,cathepsin_propeptide),_IPR000668_(Peptidase_C1A,_papainC-terminal)</t>
  </si>
  <si>
    <t>1.9e-121</t>
  </si>
  <si>
    <t>442.6</t>
  </si>
  <si>
    <t>18,5751/10,1781/22,6463</t>
  </si>
  <si>
    <t>20,8651/26,4631/26,4631/26,2087</t>
  </si>
  <si>
    <t>21,374/20,6107/23,9186/24,4275/24,4275/25,6997/20,1018/22,6463/21,1196/27,2265</t>
  </si>
  <si>
    <t>22,1374/25,9542/28,2443/24,6819/27,4809</t>
  </si>
  <si>
    <t>21,6285/22,3919</t>
  </si>
  <si>
    <t>22,6463/22,3919/22,6463/27,4809/26,972</t>
  </si>
  <si>
    <t>29,0076/29,0076/22,1374</t>
  </si>
  <si>
    <t>24,6819/25,9542/17,5573</t>
  </si>
  <si>
    <t>22,6463/15,0127</t>
  </si>
  <si>
    <t>23,6641/18,5751/5,85242</t>
  </si>
  <si>
    <t>23,9186/18,0662/22,9008/17,8117/16,5394/16,7939/13,7405/16,7939/23,9186/20,1018/10,9415/18,0662/20,3562/20,8651/26,2087/13,9949/26,2087/21,1196/16,285</t>
  </si>
  <si>
    <t>27,7354/25,4453/26,972</t>
  </si>
  <si>
    <t>23.9186/18.0662/22.9008/17.8117/16.5394/16.7939/13.7405/16.7939/23.9186/20.1018/10.9415/18.0662/20.3562/20.8651/26.2087/13.9949/26.2087/21.1196/16.285</t>
  </si>
  <si>
    <t>Bm10798</t>
  </si>
  <si>
    <t>WBGene00231059</t>
  </si>
  <si>
    <t>Bm3646</t>
  </si>
  <si>
    <t>WBGene00223907</t>
  </si>
  <si>
    <t>GO:0004096/GO:0005515/GO:0020037/GO:0035556/GO:0055114/GO:0098869/</t>
  </si>
  <si>
    <t>catalase_activity/cellular_oxidant_detoxification/heme_binding/intracellular_signal_transduction/oxidation-reduction_process/protein_binding/</t>
  </si>
  <si>
    <t>A_metabolic_process_that_results_in_the_removal_or_addition_of_one_or_more_electrons_to_or_from_a_substance,_with_or_without_the_concomitant_removal_or_addition_of_a_proton_or_protons._[GOC:dhl,_GOC:ecd,_GOC:jh2,_GOC:jid,_GOC:mlg,_GOC:rph]/"Any_process_carried_out_at_the_cellular_level_that_reduces_or_removes_the_toxicity_superoxide_radicals_or_hydrogen_peroxide."_[GOC:dos,_GOC:vw]/"Catalysis_of_the_reaction:_2_hydrogen_peroxide_=_O2_+_2_H2O."_[EC:1.11.1.6]/"Interacting_selectively_and_non-covalently_with_any_protein_or_protein_complex_(a_complex_of_two_or_more_proteins_that_may_include_other_nonprotein_molecules)."_[GOC:go_curators]/"Interacting_selectively_and_non-covalently_with_heme,_any_compound_of_iron_complexed_in_a_porphyrin_(tetrapyrrole)_ring."_[CHEBI:30413,_GOC:ai]/"The_process_in_which_a_signal_is_passed_on_to_downstream_components_within_the_cell,_which_become_activated_themselves_to_further_propagate_the_signal_and_finally_trigger_a_change_in_the_function_or_state_of_the_cell."_[GOC:bf,_GOC:jl,_GOC:signaling,_ISBN:3527303782]/</t>
  </si>
  <si>
    <t>IPR001024/IPR003533/IPR036392/IPR036572/IPR037060/</t>
  </si>
  <si>
    <t>Catalase_core_domain_superfamily/Doublecortin_domain/Doublecortin_domain_superfamily/PLAT/LH2_domain/PLAT/LH2_domain_superfamily/</t>
  </si>
  <si>
    <t>Catalase_core_sf/Doublecortin_dom/Doublecortin_dom_sf/PLAT/LH2_dom/PLAT/LH2_dom_sf/</t>
  </si>
  <si>
    <t>note=contains_similarity_to_Pfam_domains_PF03607_(Doublecortin),_PF01477_(PLAT/LH2_domain)_contains_similarity_to_Interpro_domains_IPR003533_(Doublecortin_domain),_IPR001024_(PLAT/LH2_domain),_IPR008976_(Lipase/lipooxygenase,_PLAT/LH2)</t>
  </si>
  <si>
    <t>7209.EJD75641.1</t>
  </si>
  <si>
    <t>1781.5</t>
  </si>
  <si>
    <t>39MN6@33154,3CP8F@33208,3E5CX@33213,40RGH@6231,KOG3757@1,KOG3757@2759</t>
  </si>
  <si>
    <t>PLAT/LH2 domain</t>
  </si>
  <si>
    <t>4,82931/18,7344</t>
  </si>
  <si>
    <t>12,2398/11,9067</t>
  </si>
  <si>
    <t>12,1565/11,1574</t>
  </si>
  <si>
    <t>11,0741/13,9051/5,16236</t>
  </si>
  <si>
    <t>WBGene00017860/WBGene00017858</t>
  </si>
  <si>
    <t>4.82931/18.7344</t>
  </si>
  <si>
    <t>Bm10329</t>
  </si>
  <si>
    <t>WBGene00230590</t>
  </si>
  <si>
    <t>89,1608/68,1818</t>
  </si>
  <si>
    <t>Bm5155</t>
  </si>
  <si>
    <t>WBGene00225416</t>
  </si>
  <si>
    <t>GO:0004129/GO:0009060/GO:0016020/GO:0016021/GO:0020037/GO:0022900/GO:0055114/GO:1902600/</t>
  </si>
  <si>
    <t>aerobic_respiration/cytochrome-c_oxidase_activity/electron_transport_chain/heme_binding/integral_component_of_membrane/membrane/oxidation-reduction_process/proton_transmembrane_transport/</t>
  </si>
  <si>
    <t>A_lipid_bilayer_along_with_all_the_proteins_and_protein_complexes_embedded_in_it_an_attached_to_it._[GOC:dos,_GOC:mah,_ISBN:0815316194]/"A_metabolic_process_that_results_in_the_removal_or_addition_of_one_or_more_electrons_to_or_from_a_substance,_with_or_without_the_concomitant_removal_or_addition_of_a_proton_or_protons."_[GOC:dhl,_GOC:ecd,_GOC:jh2,_GOC:jid,_GOC:mlg,_GOC:rph]/"A_process_in_which_a_series_of_electron_carriers_operate_together_to_transfer_electrons_from_donors_to_any_of_several_different_terminal_electron_acceptors_to_generate_a_transmembrane_electrochemical_gradient."_[GOC:mtg_electron_transport]/"Catalysis_of_the_reaction:_4_ferrocytochrome_c_+_O2_+_4_H+_=_4_ferricytochrome_c_+_2_H2O."_[EC:1.9.3.1]/"Interacting_selectively_and_non-covalently_with_heme,_any_compound_of_iron_complexed_in_a_porphyrin_(tetrapyrrole)_ring."_[CHEBI:30413,_GOC:ai]/"The_component_of_a_membrane_consisting_of_the_gene_products_and_protein_complexes_having_at_least_some_part_of_their_peptide_sequence_embedded_in_the_hydrophobic_region_of_the_membrane."_[GOC:dos,_GOC:go_curators]/"The_directed_movement_of_a_proton_across_a_membrane."_[GO_REF:0000069,_GOC:pr,_GOC:TermGenie]/"The_enzymatic_release_of_energy_from_inorganic_and_organic_compounds_(especially_carbohydrates_and_fats)_which_requires_oxygen_as_the_terminal_electron_acceptor."_[GOC:das,_GOC:jl,_ISBN:0140513590]/</t>
  </si>
  <si>
    <t>IPR000883/IPR023616/IPR036927/</t>
  </si>
  <si>
    <t>Cytochrome_c_oxidase-like,_subunit_I__superfamily/Cytochrome_c_oxidase-like,_subunit_I_domain/Cytochrome_c_oxidase_subunit_I/</t>
  </si>
  <si>
    <t>Cyt_C_Oxase_1/Cyt_c_oxase-like_su1_dom/Cyt_c_oxase-like_su1_sf/</t>
  </si>
  <si>
    <t>note=contains_similarity_to_Pfam_domain_PF00115_Cytochrome_C_and_Quinol_oxidase_polypeptide_I_contains_similarity_to_Interpro_domains_IPR000883_(Cytochrome_c_oxidase_subunit_I),_IPR023616_(Cytochrome_c_oxidase,_subunit_I_domain)</t>
  </si>
  <si>
    <t>244581.IM40_00585</t>
  </si>
  <si>
    <t>1.5e-14</t>
  </si>
  <si>
    <t>1MU7S@1224,2TQP1@28211,47EY0@766,COG0843@1,COG0843@2</t>
  </si>
  <si>
    <t>Cytochrome c oxidase is the component of the respiratory chain that catalyzes the reduction of oxygen to water. Subunits 1- 3 form the functional core of the enzyme complex. CO I is the catalytic subunit of the enzyme. Electrons originating in cytochrome c are transferred via the copper A center of subunit 2 and heme A of subunit 1 to the bimetallic center formed by heme A3 and copper B</t>
  </si>
  <si>
    <t>Bm3206</t>
  </si>
  <si>
    <t>WBGene00223467</t>
  </si>
  <si>
    <t>note=contains_similarity_to_Pfam_domain_PF00125_Core_histone_H2A/H2B/H3/H4_contains_similarity_to_Interpro_domains_IPR000558_(Histone_H2B),_IPR007125_(Histone_core),_IPR009072_(Histone-fold)</t>
  </si>
  <si>
    <t>7209.EFO18484.1</t>
  </si>
  <si>
    <t>1.8e-56</t>
  </si>
  <si>
    <t>225.3</t>
  </si>
  <si>
    <t>84,1379/84,1379</t>
  </si>
  <si>
    <t>72,4138/72,4138/73,1034/73,1034</t>
  </si>
  <si>
    <t>77,931/77,931/77,931/77,931</t>
  </si>
  <si>
    <t>76,5517/76,5517/76,5517/76,5517/76,5517/76,5517/76,5517/76,5517</t>
  </si>
  <si>
    <t>60/31,7241/55,8621/31,7241/29,6552/51,0345/58,6207/67,5862/66,8966/58,6207/22,069/60,6897/31,0345/46,2069/60,6897/30,3448/58,6207/58,6207/25,5172/53,1034/56,5517</t>
  </si>
  <si>
    <t>60/62,069/68,2759/57,2414/60,6897/51,7241/69,6552/68,2759/65,5172/68,9655/68,9655/68,2759/68,9655/68,9655/68,9655/68,9655/62,7586/60,6897/62,069/62,7586/62,7586</t>
  </si>
  <si>
    <t>70,3448/70,3448/70,3448/70,3448/70,3448/70,3448/70,3448/70,3448/70,3448/70,3448/70,3448/70,3448/70,3448/70,3448/70,3448/70,3448/70,3448/70,3448/70,3448/70,3448/70,3448/70,3448/70,3448</t>
  </si>
  <si>
    <t>35,1724/37,931</t>
  </si>
  <si>
    <t>64,8276/64,8276/64,8276/64,8276/64,8276/64,8276/64,8276/64,8276/64,8276/67,5862/64,8276/64,8276/65,5172/64,8276/65,5172/64,8276/64,8276/64,1379/44,8276/64,8276/64,8276/66,8966/64,8276/64,8276/64,8276/64,8276/64,8276/64,8276/64,8276/64,8276/64,8276/64,8276/64,8276/64,8276/65,5172/65,5172/64,8276</t>
  </si>
  <si>
    <t>60,6897/60,6897</t>
  </si>
  <si>
    <t>Bm17472</t>
  </si>
  <si>
    <t>WBGene00268615</t>
  </si>
  <si>
    <t>94.7</t>
  </si>
  <si>
    <t>12,5/12,5/6,7623/12,5/11,6803/13,1148/4,30328/11,2705/11,2705/6,96721/6,96721/1,22951/12,5/12,2951/13,9344/6,14754/10,4508/10,8607/8,19672/12,9098/11,6803</t>
  </si>
  <si>
    <t>12,2951/12,2951/7,17213/12,7049/11,4754/12,9098/4,71311/11,2705/11,2705/12,7049/12,5/13,3197/6,7623/11,4754/10,8607/8,19672</t>
  </si>
  <si>
    <t>6,35246/10,2459/10,041/12,2951/10,8607/10,6557/11,2705/6,7623/10,041</t>
  </si>
  <si>
    <t>Bm18161</t>
  </si>
  <si>
    <t>WBGene00269301</t>
  </si>
  <si>
    <t>2.8e-116</t>
  </si>
  <si>
    <t>425.2</t>
  </si>
  <si>
    <t>22,8986/9,56522</t>
  </si>
  <si>
    <t>Bm17871</t>
  </si>
  <si>
    <t>WBGene00269013</t>
  </si>
  <si>
    <t>Bm204</t>
  </si>
  <si>
    <t>WBGene00220465</t>
  </si>
  <si>
    <t>Bm3444</t>
  </si>
  <si>
    <t>WBGene00223705</t>
  </si>
  <si>
    <t>GO:0000166/GO:0002119/GO:0004672/GO:0004674/GO:0005524/GO:0006468/GO:0007530/GO:0008584/GO:0009791/GO:0018105/GO:0018107/GO:0032877/GO:0040035/GO:0090727/GO:1900087/</t>
  </si>
  <si>
    <t>ATP_binding/hermaphrodite_genitalia_development/male_gonad_development/nematode_larval_development/nucleotide_binding/peptidyl-serine_phosphorylation/peptidyl-threonine_phosphorylation/positive_regulation_of_DNA_endoreduplication/positive_regulation_of_G1/S_transition_of_mitotic_cell_cycle/positive_regulation_of_brood_size/post-embryonic_development/protein_kinase_activity/protein_phosphorylation/protein_serine/threonine_kinase_activity/sex_determination/</t>
  </si>
  <si>
    <t>Any_cell_cycle_regulatory_process_that_promotes_the_commitment_of_a_cell_from_G1_to_S_phase_of_the_mitotic_cell_cycle._[GOC:mtg_cell_cycle]/"Any_process_that_activates_or_increases_the_frequency,_rate_or_extent_of_DNA_endoreduplication."_[GOC:mah]/"Any_process_that_establishes_and_transmits_the_specification_of_sexual_status_of_an_individual_organism."_[ISBN:0198506732]/"Any_process_that_increases_brood_size._Brood_size_is_the_number_of_progeny_that_survive_embryogenesis_and_are_cared_for_at_one_time."_[GOC:rz]/"Catalysis_of_the_phosphorylation_of_an_amino_acid_residue_in_a_protein,_usually_according_to_the_reaction:_a_protein_+_ATP_=_a_phosphoprotein_+_ADP."_[MetaCyc:PROTEIN-KINASE-RXN]/"Catalysis_of_the_reactions:_ATP_+_protein_serine_=_ADP_+_protein_serine_phosphate,_and_ATP_+_protein_threonine_=_ADP_+_protein_threonine_phosphate."_[GOC:bf]/"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he_phosphorylation_of_peptidyl-serine_to_form_peptidyl-O-phospho-L-serine."_[RESID:AA0037]/"The_phosphorylation_of_peptidyl-threonine_to_form_peptidyl-O-phospho-L-threonine."_[RESID:AA0038]/"The_process_of_introducing_a_phosphate_group_on_to_a_protein."_[GOC:hb]/"The_process_whose_specific_outcome_is_the_progression_of_the_hermaphrodite_genitalia_over_time,_from_formation_to_the_mature_structures."_[GOC:ems,_ISBN:0140512888]/"The_process_whose_specific_outcome_is_the_progression_of_the_male_gonad_over_time,_from_its_formation_to_the_mature_structure."_[GOC:jid]/"The_process_whose_specific_outcome_is_the_progression_of_the_nematode_larva_over_time,_from_its_formation_to_the_mature_structure._Nematode_larval_development_begins_with_the_newly_hatched_first-stage_larva_(L1)_and_ends_with_the_end_of_the_last_larval_stage_(for_example_the_fourth_larval_stage_(L4)_in_C._elegans)._Each_stage_of_nematode_larval_development_is_characterized_by_proliferation_of_specific_cell_lineages_and_an_increase_in_body_size_without_alteration_of_the_basic_body_plan._Nematode_larval_stages_are_separated_by_molts_in_which_each_stage-specific_exoskeleton,_or_cuticle,_is_shed_and_replaced_anew."_[GOC:ems,_GOC:kmv]/"The_process_whose_specific_outcome_is_the_progression_of_the_organism_over_time,_from_the_completion_of_embryonic_development_to_the_mature_structure._See_embryonic_development."_[GOC:go_curators]/</t>
  </si>
  <si>
    <t>note=B._malayi_BMA-CDK-4_protein,_contains_similarity_toPfam_domain_PF00069_Protein_kinase_domain_containssimilarity_to_Interpro_domains_IPR002290(Serine/threonine/dual_specificity_protein_kinase,catalytic_domain),_IPR011009_(Protein_kinase-like_domain),IPR000719_(Protein_kinase_domain)</t>
  </si>
  <si>
    <t>7209.EJD75603.1</t>
  </si>
  <si>
    <t>3.4e-175</t>
  </si>
  <si>
    <t>620.9</t>
  </si>
  <si>
    <t>GO:0000003,GO:0002119,GO:0002164,GO:0003006,GO:0003674,GO:0003824,GO:0004672,GO:0004674,GO:0005488,GO:0005515,GO:0006275,GO:0006464,GO:0006468,GO:0006793,GO:0006796,GO:0006807,GO:0007049,GO:0007275,GO:0007346,GO:0007530,GO:0007548,GO:0008150,GO:0008152,GO:0008406,GO:0008584,GO:0009791,GO:0009889,GO:0009891,GO:0009893,GO:0009987,GO:0010556,GO:0010557,GO:0010564,GO:0010604,GO:0016301,GO:0016310,GO:0016740,GO:0016772,GO:0016773,GO:0018105,GO:0018107,GO:0018193,GO:0018209,GO:0018210,GO:0019219,GO:0019222,GO:0019538,GO:0022402,GO:0022414,GO:0031323,GO:0031325,GO:0031326,GO:0031328,GO:0032501,GO:0032502,GO:0032504,GO:0032875,GO:0032877,GO:0036211,GO:0040035,GO:0043170,GO:0043412,GO:0044237,GO:0044238,GO:0044260,GO:0044267,GO:0044703,GO:0044706,GO:0044770,GO:0044843,GO:0045137,GO:0045740,GO:0045787,GO:0045931,GO:0045935,GO:0046546,GO:0046661,GO:0048513,GO:0048518,GO:0048522,GO:0048608,GO:0048609,GO:0048731,GO:0048806,GO:0048856,GO:0050789,GO:0050794,GO:0051052,GO:0051054,GO:0051171,GO:0051173,GO:0051704,GO:0051726,GO:0060255,GO:0060378,GO:0061458,GO:0065007,GO:0065008,GO:0071704,GO:0080090,GO:0090068,GO:0090329,GO:0090727,GO:0140096,GO:1900087,GO:1901564,GO:1901987,GO:1901989,GO:1901990,GO:1901992,GO:1902806,GO:1902808,GO:2000045,GO:2000105,GO:2000112</t>
  </si>
  <si>
    <t>ko:K02089,ko:K02091</t>
  </si>
  <si>
    <t>ko01522,ko04110,ko04115,ko04151,ko04218,ko04530,ko04660,ko04933,ko04934,ko05161,ko05162,ko05165,ko05166,ko05167,ko05200,ko05203,ko05206,ko05212,ko05214,ko05218,ko05219,ko05220,ko05222,ko05223,ko05224,ko05225,map01522,map04110,map04115,map04151,map04218,map04530,map04660,map04933,map04934,map05161,map05162,map05165,map05166,map05167,map05200,map05203,map05206,map05212,map05214,map05218,map05219,map05220,map05222,map05223,map05224,map05225</t>
  </si>
  <si>
    <t>1KVSK@119089,38I5W@33154,3BC5E@33208,3CVB1@33213,40DFP@6231,KOG0594@1,KOG0594@2759</t>
  </si>
  <si>
    <t>29,6073/42,9003</t>
  </si>
  <si>
    <t>47,1299/45,9215</t>
  </si>
  <si>
    <t>29,6073/35,3474/27,4924/30,2115/32,0242/36,2538/28,0967</t>
  </si>
  <si>
    <t>29,6073/35,0453/7,55287/28,0967/30,8157/31,1178/36,5559/27,1903</t>
  </si>
  <si>
    <t>23,8671/36,858/29,3051/36,858</t>
  </si>
  <si>
    <t>WBGene00000406</t>
  </si>
  <si>
    <t>41.6918</t>
  </si>
  <si>
    <t>Bm7779</t>
  </si>
  <si>
    <t>WBGene00228040</t>
  </si>
  <si>
    <t>IPR035126/</t>
  </si>
  <si>
    <t>Secreted_clade_V_protein/</t>
  </si>
  <si>
    <t>SCVP/</t>
  </si>
  <si>
    <t>Bm4721</t>
  </si>
  <si>
    <t>WBGene00224982</t>
  </si>
  <si>
    <t>IPR015425/</t>
  </si>
  <si>
    <t>Formin,_FH2_domain/</t>
  </si>
  <si>
    <t>FH2_Formin/</t>
  </si>
  <si>
    <t>note=B._malayi_BMA-FOZI-1_protein</t>
  </si>
  <si>
    <t>7209.EFO21727.1</t>
  </si>
  <si>
    <t>1191.0</t>
  </si>
  <si>
    <t>fozi-1</t>
  </si>
  <si>
    <t>GO:0001704,GO:0001707,GO:0001708,GO:0001710,GO:0005575,GO:0005622,GO:0005623,GO:0005634,GO:0007275,GO:0007369,GO:0007498,GO:0007501,GO:0008150,GO:0009653,GO:0009790,GO:0009888,GO:0009987,GO:0010453,GO:0010455,GO:0010470,GO:0022603,GO:0030154,GO:0032501,GO:0032502,GO:0040019,GO:0042659,GO:0042660,GO:0042661,GO:0043226,GO:0043227,GO:0043229,GO:0043231,GO:0044424,GO:0044464,GO:0045165,GO:0045595,GO:0045597,GO:0045995,GO:0048332,GO:0048333,GO:0048337,GO:0048518,GO:0048522,GO:0048598,GO:0048646,GO:0048729,GO:0048856,GO:0048869,GO:0050789,GO:0050793,GO:0050794,GO:0051094,GO:0051239,GO:0051240,GO:0060795,GO:0065007,GO:1905770,GO:1905772,GO:1905902,GO:1905904,GO:2000026,GO:2000027,GO:2000380,GO:2000382,GO:2000543</t>
  </si>
  <si>
    <t>1KVE7@119089,3A0NS@33154,3BQ5Q@33208,3D73X@33213,40D1H@6231,KOG1923@1,KOG1923@2759</t>
  </si>
  <si>
    <t>24,7863/27,2283</t>
  </si>
  <si>
    <t>WBGene00010453</t>
  </si>
  <si>
    <t>23.0769</t>
  </si>
  <si>
    <t>Bm13349</t>
  </si>
  <si>
    <t>WBGene00233610</t>
  </si>
  <si>
    <t>5.3e-100</t>
  </si>
  <si>
    <t>371.3</t>
  </si>
  <si>
    <t>Bm17872</t>
  </si>
  <si>
    <t>WBGene00269014</t>
  </si>
  <si>
    <t>47,5556/46,6667</t>
  </si>
  <si>
    <t>54,2222/39,1111</t>
  </si>
  <si>
    <t>Bm5118</t>
  </si>
  <si>
    <t>WBGene00225379</t>
  </si>
  <si>
    <t>GO:0035869/</t>
  </si>
  <si>
    <t>ciliary_transition_zone/</t>
  </si>
  <si>
    <t>A_region_of_the_cilium_between_the_basal_body_and_proximal_segment_that_is_characterized_by_Y-shaped_assemblages_that_connect_axonemal_microtubules_to_the_ciliary_membrane._The_ciliary_transition_zone_appears_to_function_as_a_gate_that_controls_ciliary_membrane_composition_and_separates_the_cytosol_from_the_ciliary_plasm._[GOC:cilia,_GOC:kmv,_PMID:21422230]/</t>
  </si>
  <si>
    <t>IPR039687/</t>
  </si>
  <si>
    <t>Nephrocystin-1/</t>
  </si>
  <si>
    <t>NPHP1/</t>
  </si>
  <si>
    <t>note=contains_similarity_to_Interpro_domain_IPR030642_(Nephrocystin-1)</t>
  </si>
  <si>
    <t>7209.EFO24488.2</t>
  </si>
  <si>
    <t>5.1e-226</t>
  </si>
  <si>
    <t>GO:0000003,GO:0005575,GO:0005622,GO:0005623,GO:0005815,GO:0005856,GO:0005929,GO:0006996,GO:0007154,GO:0007165,GO:0007275,GO:0007568,GO:0007610,GO:0007617,GO:0007618,GO:0007626,GO:0008104,GO:0008150,GO:0008340,GO:0009987,GO:0010259,GO:0015630,GO:0016043,GO:0019098,GO:0019953,GO:0022414,GO:0022607,GO:0023041,GO:0023052,GO:0030030,GO:0030031,GO:0032501,GO:0032502,GO:0032504,GO:0033036,GO:0034606,GO:0034607,GO:0035178,GO:0035869,GO:0036064,GO:0042995,GO:0043226,GO:0043228,GO:0043229,GO:0043232,GO:0044085,GO:0044422,GO:0044424,GO:0044430,GO:0044441,GO:0044446,GO:0044463,GO:0044464,GO:0044703,GO:0044782,GO:0048609,GO:0048856,GO:0050789,GO:0050794,GO:0050896,GO:0051179,GO:0051704,GO:0051716,GO:0060179,GO:0060271,GO:0065007,GO:0070925,GO:0071840,GO:0097546,GO:0097730,GO:0120025,GO:0120031,GO:0120036,GO:0120038,GO:1905515</t>
  </si>
  <si>
    <t>ko:K19657</t>
  </si>
  <si>
    <t>1KYXU@119089,28MPK@1,2QU7K@2759,38F37@33154,3BEKK@33208,3CSWI@33213,40G7C@6231</t>
  </si>
  <si>
    <t>Src homology 3 domains</t>
  </si>
  <si>
    <t>12,4816/13,8032</t>
  </si>
  <si>
    <t>WBGene00010898</t>
  </si>
  <si>
    <t>23.2012</t>
  </si>
  <si>
    <t>Bm8975</t>
  </si>
  <si>
    <t>WBGene00229236</t>
  </si>
  <si>
    <t>2.3e-18</t>
  </si>
  <si>
    <t>98.6</t>
  </si>
  <si>
    <t>Bm3809</t>
  </si>
  <si>
    <t>WBGene00224070</t>
  </si>
  <si>
    <t>GO:0000166/GO:0003676/GO:0003677/GO:0003887/GO:0005634/GO:0006260/GO:0006281/GO:0008270/GO:0008622/GO:0016740/GO:0016779/GO:0046872/GO:0051536/GO:0051539/GO:0071897/</t>
  </si>
  <si>
    <t>4_iron,_4_sulfur_cluster_binding/DNA-directed_DNA_polymerase_activity/DNA_binding/DNA_biosynthetic_process/DNA_repair/DNA_replication/epsilon_DNA_polymerase_complex/iron-sulfur_cluster_binding/metal_ion_binding/nucleic_acid_binding/nucleotide_binding/nucleotidyltransferase_activity/nucleus/transferase_activity/zinc_ion_binding/</t>
  </si>
  <si>
    <t>A_heterotetrameric_DNA_polymerase_complex_that_catalyzes_processive_DNA_synthesis_in_the_absence_of_PCNA,_but_is_further_stimulated_in_the_presence_of_PCNA._The_complex_contains_a_large_catalytic_subunit_and_three_small_subunits,_and_is_best_characterized_in_Saccharomyces,_in_which_the_subunits_are_named_Pol2p,_Dpb2p,_Dpb3p,_and_Dpb4p._Some_evidence_suggests_that_DNA_polymerase_epsilon_is_the_leading_strand_polymerase;_it_is_also_involved_in_nucleotide-excision_repair_and_mismatch_repair._[PMID:15814431,_PMID:9745046]/"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Catalysis_of_the_reaction:_deoxynucleoside_triphosphate_+_DNA(n)_=_diphosphate_+_DNA(n+1);_the_synthesis_of_DNA_from_deoxyribonucleotide_triphosphates_in_the_presence_of_a_DNA_template_and_a_3'hydroxyl_group."_[EC:2.7.7.7,_GOC:vw,_ISBN:0198547684]/"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_nucleotidyl_group_to_a_reactant."_[ISBN:0198506732]/"Interacting_selectively_and_non-covalently_with_a_4_iron,_4_sulfur_(4Fe-4S)_cluster;_this_cluster_consists_of_four_iron_atoms,_with_the_inorganic_sulfur_atoms_found_between_the_irons_and_acting_as_bridging_ligands."_[GOC:ai,_PMID:15952888,_Wikipedia:Iron-sulfur_cluster]/"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_iron-sulfur_cluster,_a_combination_of_iron_and_sulfur_atoms."_[GOC:ai]/"Interacting_selectively_and_non-covalently_with_any_metal_ion."_[GOC:ai]/"Interacting_selectively_and_non-covalently_with_any_nucleic_acid."_[GOC:jl]/"Interacting_selectively_and_non-covalently_with_zinc_(Zn)_ions."_[GOC:ai]/"The_cellular_DNA_metabolic_process_resulting_in_the_formation_of_DNA,_deoxyribonucleic_acid,_one_of_the_two_main_types_of_nucleic_acid,_consisting_of_a_long_unbranched_macromolecule_formed_from_one_or_two_strands_of_linked_deoxyribonucleotides,_the_3'-phosphate_group_of_each_constituent_deoxyribonucleotide_being_joined_in_3',5'-phosphodiester_linkage_to_the_5'-hydroxyl_group_of_the_deoxyribose_moiety_of_the_next_one."_[GOC:mah]/"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he_process_of_restoring_DNA_after_damage._Genomes_are_subject_to_damage_by_chemical_and_physical_agents_in_the_environment_(e.g._UV_and_ionizing_radiations,_chemical_mutagens,_fungal_and_bacterial_toxins,_etc.)_and_by_free_radicals_or_alkylating_agents_endogenously_generated_in_metabolism._DNA_is_also_damaged_because_of_errors_during_its_replication._A_variety_of_different_DNA_repair_pathways_have_been_reported_that_include_direct_reversal,_base_excision_repair,_nucleotide_excision_repair,_photoreactivation,_bypass,_double-strand_break_repair_pathway,_and_mismatch_repair_pathway."_[PMID:11563486]/</t>
  </si>
  <si>
    <t>IPR006133/IPR006134/IPR006172/IPR012337/IPR013697/IPR029703/IPR036397/</t>
  </si>
  <si>
    <t>DNA-directed_DNA_polymerase,_family_B/DNA-directed_DNA_polymerase,_family_B,_exonuclease_domain/DNA-directed_DNA_polymerase,_family_B,_multifunctional_domain/DNA_polymerase_epsilon,_catalytic_subunit_A,_C-terminal/DNA_polymerase_epsilon_catalytic_subunit/Ribonuclease_H-like_superfamily/Ribonuclease_H_superfamily/</t>
  </si>
  <si>
    <t>DNA-dir_DNA_pol_B/DNA-dir_DNA_pol_B_exonuc/DNA-dir_DNA_pol_B_multi_dom/DNA_pol_e_suA_C/POL2/RNaseH-like_sf/RNaseH_sf/</t>
  </si>
  <si>
    <t>note=contains_similarity_to_Pfam_domain_PF08490_Domain_of_unknown_function_(DUF1744)_contains_similarity_to_Interpro_domains_IPR029703_(DNA_polymerase_epsilon_catalytic_subunit),_IPR013697_(DNA_polymerase_epsilon,_catalytic_subunit_A,_C-terminal)</t>
  </si>
  <si>
    <t>7209.EJD76321.1</t>
  </si>
  <si>
    <t>3758.0</t>
  </si>
  <si>
    <t>ko:K02324</t>
  </si>
  <si>
    <t>ko00230,ko00240,ko01100,ko03030,ko03410,ko03420,ko05166,map00230,map00240,map01100,map03030,map03410,map03420,map05166</t>
  </si>
  <si>
    <t>M00263</t>
  </si>
  <si>
    <t>ko00000,ko00001,ko00002,ko01000,ko03032,ko03400</t>
  </si>
  <si>
    <t>1KY92@119089,38CFB@33154,3BBCV@33208,3CUK2@33213,40C6A@6231,COG0417@1,KOG1798@2759</t>
  </si>
  <si>
    <t>DNA replication proofreading</t>
  </si>
  <si>
    <t>59,4518/31,38</t>
  </si>
  <si>
    <t>27,9301/42,2023</t>
  </si>
  <si>
    <t>26,7958/16,2098/20,6522</t>
  </si>
  <si>
    <t>4,11153/4,44234/26,5595/18,8563</t>
  </si>
  <si>
    <t>8,31758/20,6049/6,61626/2,31569/5,57656/6,85255/2,0794/30,6711/14,5085</t>
  </si>
  <si>
    <t>20,4159/19,0454/4,30057/3,87524</t>
  </si>
  <si>
    <t>8,55387/28,1664/4,15879/3,49716/1,18147</t>
  </si>
  <si>
    <t>WBGene00009368</t>
  </si>
  <si>
    <t>48.6295</t>
  </si>
  <si>
    <t>Bm17344</t>
  </si>
  <si>
    <t>WBGene00268487</t>
  </si>
  <si>
    <t>Bm1354</t>
  </si>
  <si>
    <t>WBGene00221615</t>
  </si>
  <si>
    <t>7209.EFO15133.1</t>
  </si>
  <si>
    <t>1.3e-68</t>
  </si>
  <si>
    <t>268.1</t>
  </si>
  <si>
    <t>COG5599@1,KOG0789@2759</t>
  </si>
  <si>
    <t>21,0797/31,7481</t>
  </si>
  <si>
    <t>23,2648/21,0797/21,2082/21,9794</t>
  </si>
  <si>
    <t>17,9949/20,437/15,1671/17,3522/19,6658/16,7095</t>
  </si>
  <si>
    <t>Bm11468</t>
  </si>
  <si>
    <t>WBGene00231729</t>
  </si>
  <si>
    <t>32,0334/41,2256</t>
  </si>
  <si>
    <t>Bm9154</t>
  </si>
  <si>
    <t>WBGene00229415</t>
  </si>
  <si>
    <t>Bm8339</t>
  </si>
  <si>
    <t>WBGene00228600</t>
  </si>
  <si>
    <t>GO:0000166/GO:0001882/GO:0003676/GO:0003677/GO:0003887/GO:0005634/GO:0006260/GO:0016740/GO:0016779/GO:0046872/GO:0051536/GO:0051539/GO:0071897/</t>
  </si>
  <si>
    <t>4_iron,_4_sulfur_cluster_binding/DNA-directed_DNA_polymerase_activity/DNA_binding/DNA_biosynthetic_process/DNA_replication/iron-sulfur_cluster_binding/metal_ion_binding/nucleic_acid_binding/nucleoside_binding/nucleotide_binding/nucleotidyltransferase_activity/nucleus/transferase_activit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</si>
  <si>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Catalysis_of_the_reaction:_deoxynucleoside_triphosphate_+_DNA(n)_=_diphosphate_+_DNA(n+1);_the_synthesis_of_DNA_from_deoxyribonucleotide_triphosphates_in_the_presence_of_a_DNA_template_and_a_3'hydroxyl_group."_[EC:2.7.7.7,_GOC:vw,_ISBN:0198547684]/"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_nucleotidyl_group_to_a_reactant."_[ISBN:0198506732]/"Interacting_selectively_and_non-covalently_with_a_4_iron,_4_sulfur_(4Fe-4S)_cluster;_this_cluster_consists_of_four_iron_atoms,_with_the_inorganic_sulfur_atoms_found_between_the_irons_and_acting_as_bridging_ligands."_[GOC:ai,_PMID:15952888,_Wikipedia:Iron-sulfur_cluster]/"Interacting_selectively_and_non-covalently_with_a_nucleoside,_a_compound_consisting_of_a_purine_or_pyrimidine_nitrogenous_base_linked_either_to_ribose_or_deoxyribose."_[GOC:hjd]/"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_iron-sulfur_cluster,_a_combination_of_iron_and_sulfur_atoms."_[GOC:ai]/"Interacting_selectively_and_non-covalently_with_any_metal_ion."_[GOC:ai]/"Interacting_selectively_and_non-covalently_with_any_nucleic_acid."_[GOC:jl]/"The_cellular_DNA_metabolic_process_resulting_in_the_formation_of_DNA,_deoxyribonucleic_acid,_one_of_the_two_main_types_of_nucleic_acid,_consisting_of_a_long_unbranched_macromolecule_formed_from_one_or_two_strands_of_linked_deoxyribonucleotides,_the_3'-phosphate_group_of_each_constituent_deoxyribonucleotide_being_joined_in_3',5'-phosphodiester_linkage_to_the_5'-hydroxyl_group_of_the_deoxyribose_moiety_of_the_next_one."_[GOC:mah]/"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
  </si>
  <si>
    <t>IPR006133/IPR006134/IPR006172/IPR012337/IPR015088/IPR017964/IPR023211/IPR036397/IPR038256/</t>
  </si>
  <si>
    <t>DNA-directed_DNA_polymerase,_family_B/DNA-directed_DNA_polymerase,_family_B,_conserved_site/DNA-directed_DNA_polymerase,_family_B,_exonuclease_domain/DNA-directed_DNA_polymerase,_family_B,_multifunctional_domain/DNA_polymerase,_palm_domain_superfamily/DNA_polymerase_alpha,_zinc_finger_domain_superfamily/Ribonuclease_H-like_superfamily/Ribonuclease_H_superfamily/Zinc_finger,_DNA-directed_DNA_polymerase,_family_B,_alpha/</t>
  </si>
  <si>
    <t>DNA-dir_DNA_pol_B/DNA-dir_DNA_pol_B_CS/DNA-dir_DNA_pol_B_exonuc/DNA-dir_DNA_pol_B_multi_dom/DNA_pol_palm_dom_sf/Pol_alpha_znc_sf/RNaseH-like_sf/RNaseH_sf/Znf_DNA-dir_DNA_pol_B_alpha/</t>
  </si>
  <si>
    <t>note=contains_similarity_to_Pfam_domain_PF00136_DNA_polymerase_family_B_contains_similarity_to_Interpro_domains_IPR029702_(DNA_polymerase_alpha_catalytic_subunit),_IPR006134_(DNA-directed_DNA_polymerase,_family_B,_multifunctional_domain),_IPR023211_(DNA_polymerase,_palm_domain)</t>
  </si>
  <si>
    <t>1965.7</t>
  </si>
  <si>
    <t>14,9746/4,56853/13,4518/5,75296</t>
  </si>
  <si>
    <t>23,6041/19,8816/18,2741</t>
  </si>
  <si>
    <t>13,2826/8,20643</t>
  </si>
  <si>
    <t>WBGene00012936</t>
  </si>
  <si>
    <t>31.1337</t>
  </si>
  <si>
    <t>Bm6181</t>
  </si>
  <si>
    <t>WBGene00226442</t>
  </si>
  <si>
    <t>GO:0003735/GO:0005840/GO:0006412/</t>
  </si>
  <si>
    <t>ribosome/structural_constituent_of_ribosome/translation/</t>
  </si>
  <si>
    <t>An_intracellular_organelle,_about_200_A_in_diameter,_consisting_of_RNA_and_protein._It_is_the_site_of_protein_biosynthesis_resulting_from_translation_of_messenger_RNA_(mRNA)._It_consists_of_two_subunits,_one_large_and_one_small,_each_containing_only_protein_and_RNA._Both_the_ribosome_and_its_subunits_are_characterized_by_their_sedimentation_coefficients,_expressed_in_Svedberg_units_(symbol:_S)._Hence,_the_prokaryotic_ribosome_(70S)_comprises_a_large_(50S)_subunit_and_a_small_(30S)_subunit,_while_the_eukaryotic_ribosome_(80S)_comprises_a_large_(60S)_subunit_and_a_small_(40S)_subunit._Two_sites_on_the_ribosomal_large_subunit_are_involved_in_translation,_namely_the_aminoacyl_site_(A_site)_and_peptidyl_site_(P_site)._Ribosomes_from_prokaryotes,_eukaryotes,_mitochondria,_and_chloroplasts_have_characteristically_distinct_ribosomal_proteins._[ISBN:0198506732]/"The_action_of_a_molecule_that_contributes_to_the_structural_integrity_of_the_ribosome."_[GOC:mah]/"The_cellular_metabolic_process_in_which_a_protein_is_formed,_using_the_sequence_of_a_mature_mRNA_or_circRNA_molecule_to_specify_the_sequence_of_amino_acids_in_a_polypeptide_chain._Translation_is_mediated_by_the_ribosome,_and_begins_with_the_formation_of_a_ternary_complex_between_aminoacylated_initiator_methionine_tRNA,_GTP,_and_initiation_factor_2,_which_subsequently_associates_with_the_small_subunit_of_the_ribosome_and_an_mRNA_or_circRNA._Translation_ends_with_the_release_of_a_polypeptide_chain_from_the_ribosome."_[GOC:go_curators]/</t>
  </si>
  <si>
    <t>IPR001971/IPR036967/</t>
  </si>
  <si>
    <t>Ribosomal_protein_S11/Ribosomal_protein_S11_superfamily/</t>
  </si>
  <si>
    <t>Ribosomal_S11/Ribosomal_S11_sf/</t>
  </si>
  <si>
    <t>note=B._malayi_BMA-MRPS-11_protein,_contains_similarity_to_Pfam_domain_PF00411_Ribosomal_protein_S11_contains_similarity_to_Interpro_domain_IPR001971_(Ribosomal_protein_S11)</t>
  </si>
  <si>
    <t>7209.EFO20791.1</t>
  </si>
  <si>
    <t>2.4e-94</t>
  </si>
  <si>
    <t>351.7</t>
  </si>
  <si>
    <t>GO:0000313,GO:0000314,GO:0003674,GO:0003735,GO:0005198,GO:0005575,GO:0005622,GO:0005623,GO:0005737,GO:0005739,GO:0005759,GO:0005761,GO:0005763,GO:0005840,GO:0006412,GO:0006518,GO:0006807,GO:0008150,GO:0008152,GO:0009058,GO:0009059,GO:0009987,GO:0010467,GO:0015935,GO:0019538,GO:0031974,GO:0032543,GO:0032991,GO:0034641,GO:0034645,GO:0043043,GO:0043170,GO:0043226,GO:0043227,GO:0043228,GO:0043229,GO:0043231,GO:0043232,GO:0043233,GO:0043603,GO:0043604,GO:0044237,GO:0044238,GO:0044249,GO:0044260,GO:0044267,GO:0044271,GO:0044391,GO:0044422,GO:0044424,GO:0044429,GO:0044444,GO:0044446,GO:0044464,GO:0070013,GO:0071704,GO:0098798,GO:0140053,GO:1901564,GO:1901566,GO:1901576,GO:1990904</t>
  </si>
  <si>
    <t>ko:K02948</t>
  </si>
  <si>
    <t>1KVYK@119089,3A0A4@33154,3BPCP@33208,3D14Y@33213,40D5S@6231,COG0100@1,KOG0408@2759</t>
  </si>
  <si>
    <t>Ribosomal protein S11</t>
  </si>
  <si>
    <t>39,5122/39,0244/39,5122</t>
  </si>
  <si>
    <t>WBGene00012244</t>
  </si>
  <si>
    <t>52.6829</t>
  </si>
  <si>
    <t>Bm4556</t>
  </si>
  <si>
    <t>WBGene00224817</t>
  </si>
  <si>
    <t>GO:0003997/GO:0005777/GO:0006631/GO:0006635/GO:0016627/GO:0055114/GO:0071949/</t>
  </si>
  <si>
    <t>FAD_binding/acyl-CoA_oxidase_activity/fatty_acid_beta-oxidation/fatty_acid_metabolic_process/oxidation-reduction_process/oxidoreductase_activity,_acting_on_the_CH-CH_group_of_donors/peroxisome/</t>
  </si>
  <si>
    <t>A_fatty_acid_oxidation_process_that_results_in_the_complete_oxidation_of_a_long-chain_fatty_acid._Fatty_acid_beta-oxidation_begins_with_the_addition_of_coenzyme_A_to_a_fatty_acid,_and_occurs_by_successive_cycles_of_reactions_during_each_of_which_the_fatty_acid_is_shortened_by_a_two-carbon_fragment_removed_as_acetyl_coenzyme_A;_the_cycle_continues_until_only_two_or_three_carbons_remain_(as_acetyl-CoA_or_propionyl-CoA_respectively)._[GOC:mah,_ISBN:0198506732,_MetaCyc:FAO-PWY]/"A_metabolic_process_that_results_in_the_removal_or_addition_of_one_or_more_electrons_to_or_from_a_substance,_with_or_without_the_concomitant_removal_or_addition_of_a_proton_or_protons."_[GOC:dhl,_GOC:ecd,_GOC:jh2,_GOC:jid,_GOC:mlg,_GOC:rph]/"A_small_organelle_enclosed_by_a_single_membrane,_and_found_in_most_eukaryotic_cells._Contains_peroxidases_and_other_enzymes_involved_in_a_variety_of_metabolic_processes_including_free_radical_detoxification,_lipid_catabolism_and_biosynthesis,_and_hydrogen_peroxide_metabolism."_[GOC:pm,_PMID:9302272,_UniProtKB-KW:KW-0576]/"Catalysis_of_an_oxidation-reduction_(redox)_reaction_in_which_a_CH-CH_group_acts_as_a_hydrogen_or_electron_donor_and_reduces_a_hydrogen_or_electron_acceptor."_[GOC:ai]/"Catalysis_of_the_reaction:_acyl-CoA_+_O2_=_trans-2,3-dehydroacyl-CoA_+_hydrogen_peroxide."_[EC:1.3.3.6]/"Interacting_selectively_and_non-covalently_with_the_oxidized_form,_FAD,_of_flavin-adenine_dinucleotide,_the_coenzyme_or_the_prosthetic_group_of_various_flavoprotein_oxidoreductase_enzymes."_[GOC:mah]/"The_chemical_reactions_and_pathways_involving_fatty_acids,_aliphatic_monocarboxylic_acids_liberated_from_naturally_occurring_fats_and_oils_by_hydrolysis."_[ISBN:0198547684]/</t>
  </si>
  <si>
    <t>IPR002655/IPR009100/IPR012258/IPR036250/</t>
  </si>
  <si>
    <t>Acyl-CoA_dehydrogenase-like,_C-terminal/Acyl-CoA_dehydrogenase/oxidase,_N-terminal_and_middle_domain_superfamily/Acyl-CoA_oxidase/Acyl-CoA_oxidase,_C-terminal/</t>
  </si>
  <si>
    <t>Acyl-CoA_oxidase/Acyl-CoA_oxidase_C/AcylCoA_DH/oxidase_NM_dom/AcylCo_DH-like_C/</t>
  </si>
  <si>
    <t>note=contains_similarity_to_Pfam_domain_PF01756_Acyl-CoAoxidase_contains_similarity_to_Interpro_domains_IPR006091(Acyl-CoA_oxidase/dehydrogenase,_central_domain),IPR002655_(Acyl-CoA_oxidase,_C-terminal),_IPR009075(Acyl-CoA_dehydrogenase/oxidase_C-terminal)</t>
  </si>
  <si>
    <t>7209.EFO15935.1</t>
  </si>
  <si>
    <t>1.8e-214</t>
  </si>
  <si>
    <t>752.3</t>
  </si>
  <si>
    <t>1.3.3.6</t>
  </si>
  <si>
    <t>ko:K00232</t>
  </si>
  <si>
    <t>ko00071,ko00592,ko01040,ko01100,ko01110,ko01212,ko03320,ko04024,ko04146,map00071,map00592,map01040,map01100,map01110,map01212,map03320,map04024,map04146</t>
  </si>
  <si>
    <t>M00087,M00113</t>
  </si>
  <si>
    <t>R01175,R01279,R03777,R03857,R03990,R04751,R04754,R07888,R07892,R07896,R07934,R07950</t>
  </si>
  <si>
    <t>RC00052,RC00076</t>
  </si>
  <si>
    <t>1KXZK@119089,39M88@33154,3B9Y8@33208,3CV4R@33213,40FHP@6231,COG1960@1,KOG0135@2759</t>
  </si>
  <si>
    <t>IQ</t>
  </si>
  <si>
    <t>Belongs to the acyl-CoA oxidase family</t>
  </si>
  <si>
    <t>19,4978/26,5879</t>
  </si>
  <si>
    <t>56,4254/23,7814</t>
  </si>
  <si>
    <t>WBGene00019060</t>
  </si>
  <si>
    <t>33.8257</t>
  </si>
  <si>
    <t>Bm17619</t>
  </si>
  <si>
    <t>WBGene00268761</t>
  </si>
  <si>
    <t>21,9178/36,9863</t>
  </si>
  <si>
    <t>Bm6540</t>
  </si>
  <si>
    <t>WBGene00226801</t>
  </si>
  <si>
    <t>IPR001752/IPR019821/IPR027417/IPR027640/IPR036961/</t>
  </si>
  <si>
    <t>Kinesin-like_protein/Kinesin_motor_domain/Kinesin_motor_domain,_conserved_site/Kinesin_motor_domain_superfamily/P-loop_containing_nucleoside_triphosphate_hydrolase/</t>
  </si>
  <si>
    <t>Kinesin-like_fam/Kinesin_motor_CS/Kinesin_motor_dom/Kinesin_motor_dom_sf/P-loop_NTPase/</t>
  </si>
  <si>
    <t>note=contains_similarity_to_Pfam_domain_PF00225_Kinesin_motor_domain_contains_similarity_to_Interpro_domains_IPR001752_(Kinesin_motor_domain),_IPR027417_(P-loop_containing_nucleoside_triphosphate_hydrolase),_IPR027640_(Kinesin-like_protein)</t>
  </si>
  <si>
    <t>7209.EFO24874.1</t>
  </si>
  <si>
    <t>1762.3</t>
  </si>
  <si>
    <t>GO:0000003,GO:0000226,GO:0000228,GO:0000280,GO:0000793,GO:0000794,GO:0005575,GO:0005622,GO:0005623,GO:0005634,GO:0005654,GO:0005694,GO:0005819,GO:0005856,GO:0006323,GO:0006996,GO:0007010,GO:0007017,GO:0007049,GO:0007051,GO:0008150,GO:0009987,GO:0010032,GO:0015630,GO:0016043,GO:0022402,GO:0022414,GO:0022607,GO:0030261,GO:0031974,GO:0031981,GO:0043226,GO:0043227,GO:0043228,GO:0043229,GO:0043231,GO:0043232,GO:0043233,GO:0044085,GO:0044422,GO:0044424,GO:0044428,GO:0044430,GO:0044446,GO:0044464,GO:0048285,GO:0051225,GO:0051255,GO:0051257,GO:0051276,GO:0051321,GO:0070013,GO:0070192,GO:0070925,GO:0071103,GO:0071840,GO:0140013,GO:1903046</t>
  </si>
  <si>
    <t>ko:K10395</t>
  </si>
  <si>
    <t>1KYAH@119089,38CGP@33154,3BH72@33208,3CVXT@33213,40BSF@6231,COG5059@1,KOG0244@2759</t>
  </si>
  <si>
    <t>18,6151/7,91367</t>
  </si>
  <si>
    <t>28,5072/28,4173</t>
  </si>
  <si>
    <t>14,2986/13,4892/11,3309/11,9604/18,705/16,4568/21,8525/29,4964/11,7806</t>
  </si>
  <si>
    <t>15,1079/14,2986/14,0288/11,241/11,8705/18,6151/16,187/22,482/29,946/11,8705</t>
  </si>
  <si>
    <t>15,018/11,1511/10,9712/12,0504/18,6151/7,01439/16,277/22,2122/28,8669</t>
  </si>
  <si>
    <t>WBGene00002229</t>
  </si>
  <si>
    <t>26.9784</t>
  </si>
  <si>
    <t>mitosis_spindle_orientation</t>
  </si>
  <si>
    <t>Bm4529</t>
  </si>
  <si>
    <t>WBGene00224790</t>
  </si>
  <si>
    <t>GO:0000166/GO:0004672/GO:0004674/GO:0004697/GO:0005524/GO:0006468/GO:0006935/GO:0007269/GO:0016301/GO:0016310/GO:0016740/GO:0035556/GO:0040012/GO:0046872/GO:0098793/</t>
  </si>
  <si>
    <t>ATP_binding/chemotaxis/intracellular_signal_transduction/kinase_activity/metal_ion_binding/neurotransmitter_secretion/nucleotide_binding/phosphorylation/presynapse/protein_kinase_C_activity/protein_kinase_activity/protein_phosphorylation/protein_serine/threonine_kinase_activity/regulation_of_locomotion/transferase_activity/</t>
  </si>
  <si>
    <t>Any_process_that_modulates_the_frequency,_rate_or_extent_of_locomotion_of_a_cell_or_organism._[GOC:ems]/"Catalysis_of_the_phosphorylation_of_an_amino_acid_residue_in_a_protein,_usually_according_to_the_reaction:_a_protein_+_ATP_=_a_phosphoprotein_+_ADP."_[MetaCyc:PROTEIN-KINASE-RXN]/"Catalysis_of_the_reaction:_ATP_+_a_protein_=_ADP_+_a_phosphoprotein._This_reaction_requires_diacylglycerol."_[EC:2.7.11.13]/"Catalysis_of_the_reactions:_ATP_+_protein_serine_=_ADP_+_protein_serine_phosphate,_and_ATP_+_protein_threonine_=_ADP_+_protein_threonine_phosphate."_[GOC:bf]/"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Catalysis_of_the_transfer_of_a_phosphate_group,_usually_from_ATP,_to_a_substrate_molecule."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y_metal_ion."_[GOC:ai]/"The_directed_movement_of_a_motile_cell_or_organism,_or_the_directed_growth_of_a_cell_guided_by_a_specific_chemical_concentration_gradient._Movement_may_be_towards_a_higher_concentration_(positive_chemotaxis)_or_towards_a_lower_concentration_(negative_chemotaxis)."_[ISBN:0198506732]/"The_part_of_a_synapse_that_is_part_of_the_presynaptic_cell."_[GOC:dos]/"The_process_in_which_a_signal_is_passed_on_to_downstream_components_within_the_cell,_which_become_activated_themselves_to_further_propagate_the_signal_and_finally_trigger_a_change_in_the_function_or_state_of_the_cell."_[GOC:bf,_GOC:jl,_GOC:signaling,_ISBN:3527303782]/"The_process_of_introducing_a_phosphate_group_into_a_molecule,_usually_with_the_formation_of_a_phosphoric_ester,_a_phosphoric_anhydride_or_a_phosphoric_amide."_[ISBN:0198506732]/"The_process_of_introducing_a_phosphate_group_on_to_a_protein."_[GOC:hb]/"The_regulated_release_of_neurotransmitter_from_the_presynapse_into_the_synaptic_cleft_via_calcium-regulated_exocytosis_during_synaptic_transmission."_[CHEBI:25512,_GOC:dph]/</t>
  </si>
  <si>
    <t>IPR000008/IPR000719/IPR000961/IPR002219/IPR008271/IPR011009/IPR014376/IPR017441/IPR017892/IPR020454/IPR034669/IPR035892/</t>
  </si>
  <si>
    <t>AGC-kinase,_C-terminal/C2_domain/C2_domain_superfamily/Diacylglycerol/phorbol-ester_binding/Novel_protein_kinase_C_epsilon,_catalytic_domain/Protein_kinase,_ATP_binding_site/Protein_kinase,_C-terminal/Protein_kinase-like_domain_superfamily/Protein_kinase_C,_delta/epsilon/eta/theta_types/Protein_kinase_C-like,_phorbol_ester/diacylglycerol-binding_domain/Protein_kinase_domain/Serine/threonine-protein_kinase,_active_site/</t>
  </si>
  <si>
    <t>AGC-kinase_C/C2_dom/C2_domain_sf/DAG/PE-bd/Kinase-like_dom_sf/PE/DAG-bd/Pkinase_C/Prot_kin_PKC_delta/Prot_kinase_dom/Protein_kinase_ATP_BS/Ser/Thr_kinase_AS/nPKC_epsilon/</t>
  </si>
  <si>
    <t>note=B._malayi_BMA-PKC-1_protein,_contains_similarity_toPfam_domains_PF00168_(C2_domain),_PF00069_(Protein_kinasedomain),_PF00433_(Protein_kinase_C_terminal_domain),PF00130_(Phorbol_esters/diacylglycerol_binding_domain_(C1domain))_contains_similarity_to_Interpro_domains_IPR014376(Protein_kinase_C,_delta/epsilon/eta/theta_types),IPR002290_(Serine/threonine/dual_specificity_proteinkinase,_catalytic_domain),_IPR020454(Diacylglycerol/phorbol-ester_binding),_IPR017892_(Proteinkinase,_C-terminal),_IPR011009_(Protein_kinase-likedomain),_IPR000719_(Protein_kinase_domain),_IPR000961(AGC-kinase,_C-terminal),_IPR002219_(Protein_kinaseC-like,_phorbol_ester/diacylglycerol-binding_domain),IPR000008_(C2_domain)</t>
  </si>
  <si>
    <t>7209.EFO24318.2</t>
  </si>
  <si>
    <t>1347.4</t>
  </si>
  <si>
    <t>GO:0000165,GO:0001505,GO:0002119,GO:0002164,GO:0003008,GO:0003674,GO:0003824,GO:0004672,GO:0004674,GO:0004697,GO:0005575,GO:0005623,GO:0006464,GO:0006468,GO:0006793,GO:0006796,GO:0006807,GO:0006810,GO:0006836,GO:0006887,GO:0006935,GO:0007154,GO:0007165,GO:0007166,GO:0007167,GO:0007169,GO:0007186,GO:0007218,GO:0007267,GO:0007268,GO:0007269,GO:0007275,GO:0007600,GO:0007606,GO:0007610,GO:0007611,GO:0007612,GO:0007635,GO:0008150,GO:0008152,GO:0008306,GO:0009605,GO:0009791,GO:0009987,GO:0016079,GO:0016192,GO:0016301,GO:0016310,GO:0016740,GO:0016772,GO:0016773,GO:0017156,GO:0019538,GO:0023014,GO:0023052,GO:0023061,GO:0032101,GO:0032103,GO:0032501,GO:0032502,GO:0032940,GO:0035556,GO:0036211,GO:0040011,GO:0040012,GO:0040017,GO:0040024,GO:0042221,GO:0042330,GO:0043170,GO:0043412,GO:0044237,GO:0044238,GO:0044260,GO:0044267,GO:0045055,GO:0046903,GO:0046907,GO:0048009,GO:0048489,GO:0048518,GO:0048519,GO:0048583,GO:0048584,GO:0048585,GO:0048856,GO:0050789,GO:0050794,GO:0050877,GO:0050890,GO:0050893,GO:0050896,GO:0050920,GO:0050921,GO:0050926,GO:0050927,GO:0050954,GO:0050975,GO:0051179,GO:0051234,GO:0051640,GO:0051641,GO:0051648,GO:0051649,GO:0051650,GO:0051656,GO:0051716,GO:0065007,GO:0065008,GO:0071704,GO:0097479,GO:0097480,GO:0098916,GO:0099003,GO:0099504,GO:0099536,GO:0099537,GO:0099643,GO:0140096,GO:1901564,GO:1902074,GO:1990504,GO:2001023,GO:2001024</t>
  </si>
  <si>
    <t>2.7.11.13</t>
  </si>
  <si>
    <t>ko:K18050</t>
  </si>
  <si>
    <t>ko04022,ko04071,ko04270,ko04371,ko04530,ko04666,ko04750,ko04925,ko04930,ko04931,ko04933,ko05206,map04022,map04071,map04270,map04371,map04530,map04666,map04750,map04925,map04930,map04931,map04933,map05206</t>
  </si>
  <si>
    <t>1KYQQ@119089,38B5Z@33154,3BDW7@33208,3CRM6@33213,40CGH@6231,KOG0694@1,KOG0694@2759</t>
  </si>
  <si>
    <t>Protein kinase C terminal domain</t>
  </si>
  <si>
    <t>5,35714/12,7747</t>
  </si>
  <si>
    <t>34,0659/32,4176</t>
  </si>
  <si>
    <t>53,2967/12,0879/4,94506</t>
  </si>
  <si>
    <t>7,82967/25,8242</t>
  </si>
  <si>
    <t>39,2857/26,0989</t>
  </si>
  <si>
    <t>39,4231/25,6868</t>
  </si>
  <si>
    <t>35,0275/39,9725</t>
  </si>
  <si>
    <t>WBGene00004032</t>
  </si>
  <si>
    <t>71.7033</t>
  </si>
  <si>
    <t>Bm6747</t>
  </si>
  <si>
    <t>WBGene00227008</t>
  </si>
  <si>
    <t>7209.EFO26595.2</t>
  </si>
  <si>
    <t>1125.9</t>
  </si>
  <si>
    <t>wee-1.3</t>
  </si>
  <si>
    <t>GO:0000003,GO:0000793,GO:0001556,GO:0001932,GO:0001933,GO:0002119,GO:0002164,GO:0003006,GO:0003674,GO:0003824,GO:0004672,GO:0004674,GO:0004713,GO:0004857,GO:0004860,GO:0004861,GO:0005575,GO:0005622,GO:0005623,GO:0005634,GO:0005635,GO:0005694,GO:0005737,GO:0005783,GO:0005886,GO:0006464,GO:0006468,GO:0006469,GO:0006793,GO:0006796,GO:0006807,GO:0006996,GO:0006997,GO:0006998,GO:0007049,GO:0007275,GO:0007276,GO:0007281,GO:0007292,GO:0008150,GO:0008152,GO:0009790,GO:0009791,GO:0009892,GO:0009987,GO:0009994,GO:0010256,GO:0010563,GO:0010564,GO:0010605,GO:0010721,GO:0010948,GO:0012505,GO:0016020,GO:0016043,GO:0016301,GO:0016310,GO:0016538,GO:0016740,GO:0016772,GO:0016773,GO:0018108,GO:0018193,GO:0018212,GO:0019207,GO:0019210,GO:0019220,GO:0019222,GO:0019538,GO:0019887,GO:0019898,GO:0019953,GO:0021700,GO:0022402,GO:0022411,GO:0022412,GO:0022414,GO:0030154,GO:0030234,GO:0030291,GO:0030397,GO:0031323,GO:0031324,GO:0031399,GO:0031400,GO:0031967,GO:0031975,GO:0032268,GO:0032269,GO:0032501,GO:0032502,GO:0032504,GO:0033673,GO:0036211,GO:0042325,GO:0042326,GO:0043086,GO:0043170,GO:0043226,GO:0043227,GO:0043228,GO:0043229,GO:0043231,GO:0043232,GO:0043412,GO:0043549,GO:0043900,GO:0043901,GO:0044092,GO:0044237,GO:0044238,GO:0044260,GO:0044267,GO:0044422,GO:0044424,GO:0044425,GO:0044428,GO:0044432,GO:0044444,GO:0044446,GO:0044464,GO:0044703,GO:0045595,GO:0045596,GO:0045786,GO:0045859,GO:0045936,GO:0048468,GO:0048469,GO:0048471,GO:0048477,GO:0048519,GO:0048523,GO:0048599,GO:0048609,GO:0048856,GO:0048869,GO:0050789,GO:0050790,GO:0050793,GO:0050794,GO:0051078,GO:0051081,GO:0051093,GO:0051171,GO:0051172,GO:0051174,GO:0051239,GO:0051241,GO:0051246,GO:0051248,GO:0051301,GO:0051321,GO:0051338,GO:0051348,GO:0051445,GO:0051447,GO:0051704,GO:0051726,GO:0060255,GO:0060278,GO:0060280,GO:0060281,GO:0060283,GO:0060284,GO:0061024,GO:0065007,GO:0065009,GO:0071695,GO:0071704,GO:0071840,GO:0071900,GO:0071901,GO:0071944,GO:0080090,GO:0090485,GO:0097038,GO:0098772,GO:0140096,GO:1900193,GO:1900194,GO:1901564,GO:1903046,GO:1903429,GO:1903430,GO:1903538,GO:1904145,GO:1905879,GO:1905880,GO:2000241,GO:2000242</t>
  </si>
  <si>
    <t>ko:K06633</t>
  </si>
  <si>
    <t>ko04110,ko04114,ko04914,map04110,map04114,map04914</t>
  </si>
  <si>
    <t>ko00000,ko00001,ko01000,ko01001,ko01009</t>
  </si>
  <si>
    <t>1KVTV@119089,38E4K@33154,3BDJN@33208,3CYBE@33213,40DDQ@6231,KOG0601@1,KOG0601@2759</t>
  </si>
  <si>
    <t>Acts as a negative regulator of entry into mitosis (G2 to M transition) by phosphorylation of the CDK1 kinase</t>
  </si>
  <si>
    <t>13,7975/12,4051/12,2785</t>
  </si>
  <si>
    <t>16,7089/16,7089</t>
  </si>
  <si>
    <t>6,83544/18,2278</t>
  </si>
  <si>
    <t>19,1139/10,6329/8,48101/19,2405</t>
  </si>
  <si>
    <t>15,443/20,8861</t>
  </si>
  <si>
    <t>WBGene00006938/WBGene00006940</t>
  </si>
  <si>
    <t>15.443/20.8861</t>
  </si>
  <si>
    <t>Bm13862</t>
  </si>
  <si>
    <t>WBGene00234123</t>
  </si>
  <si>
    <t>GO:0000166/GO:0005525/GO:0016787/</t>
  </si>
  <si>
    <t>GTP_binding/hydrolase_activity/nucleotide_binding/</t>
  </si>
  <si>
    <t>Catalysis_of_the_hydrolysis_of_various_bonds,_e.g._C-O,_C-N,_C-C,_phosphoric_anhydride_bonds,_etc._Hydrolase_is_the_systematic_name_for_any_enzyme_of_EC_class_3._[ISBN:0198506732]/"Interacting_selectively_and_non-covalently_with_GTP,_guanosine_triphosphate."_[GOC:ai]/"Interacting_selectively_and_non-covalently_with_a_nucleotide,_any_compound_consisting_of_a_nucleoside_that_is_esterified_with_(ortho)phosphate_or_an_oligophosphate_at_any_hydroxyl_group_on_the_ribose_or_deoxyribose."_[GOC:mah,_ISBN:0198547684]/</t>
  </si>
  <si>
    <t>IPR004130/IPR027417/IPR030231/</t>
  </si>
  <si>
    <t>GPN-loop_GTPase/GPN-loop_GTPase_2/P-loop_containing_nucleoside_triphosphate_hydrolase/</t>
  </si>
  <si>
    <t>Gpn/Gpn2/P-loop_NTPase/</t>
  </si>
  <si>
    <t>note=contains_similarity_to_Pfam_domain_PF03029_Conserved_hypothetical_ATP_binding_protein_contains_similarity_to_Interpro_domains_IPR004130_(GPN-loop_GTPase),_IPR030231_(GPN-loop_GTPase_2),_IPR027417_(P-loop_containing_nucleoside_triphosphate_hydrolase)</t>
  </si>
  <si>
    <t>7209.EJD76231.1</t>
  </si>
  <si>
    <t>497.7</t>
  </si>
  <si>
    <t>ko:K06883</t>
  </si>
  <si>
    <t>1KUX5@119089,38QUZ@33154,3BH8C@33208,3CU5D@33213,40BH5@6231,COG1100@1,KOG1533@2759</t>
  </si>
  <si>
    <t>Conserved hypothetical ATP binding protein</t>
  </si>
  <si>
    <t>50,3759/42,4812</t>
  </si>
  <si>
    <t>50,3759/50/49,6241/18,797</t>
  </si>
  <si>
    <t>49,2481/50</t>
  </si>
  <si>
    <t>WBGene00015029</t>
  </si>
  <si>
    <t>48.8722</t>
  </si>
  <si>
    <t>Bm1523</t>
  </si>
  <si>
    <t>WBGene00221784</t>
  </si>
  <si>
    <t>IPR008574/</t>
  </si>
  <si>
    <t>Protein_of_unknown_function_DUF856,_Caenorhabditis_species/</t>
  </si>
  <si>
    <t>DUF856_CAE_spp/</t>
  </si>
  <si>
    <t>note=contains_similarity_to_Pfam_domain_PF05884_Interactor_of_ZYG-11_contains_similarity_to_Interpro_domain_IPR008574_(Protein_of_unknown_function_DUF856,_Caenorhabditis_species)</t>
  </si>
  <si>
    <t>6326.BUX.s00713.806</t>
  </si>
  <si>
    <t>5.9e-07</t>
  </si>
  <si>
    <t>1KXET@119089,2E8YH@1,2SFCY@2759,3ACWV@33154,3BWM5@33208,3DCXF@33213,40EZ3@6231</t>
  </si>
  <si>
    <t>Bm4413</t>
  </si>
  <si>
    <t>WBGene00224674</t>
  </si>
  <si>
    <t>IPR016024/IPR024741/</t>
  </si>
  <si>
    <t>Armadillo-type_fold/Condensin-2_complex_subunit_G2/</t>
  </si>
  <si>
    <t>ARM-type_fold/Condensin2_G2/</t>
  </si>
  <si>
    <t>note=B._malayi_BMA-CAPG-2_protein,_contains_similarity_to_Pfam_domain_PF12422_Condensin_II_non_structural_maintenance_of_chromosomes_subunit_contains_similarity_to_Interpro_domains_IPR011989_(Armadillo-like_helical),_IPR024741_(Condensin-2_complex_subunit_G2),_IPR016024_(Armadillo-type_fold)</t>
  </si>
  <si>
    <t>7209.EJD74302.1</t>
  </si>
  <si>
    <t>1.2e-178</t>
  </si>
  <si>
    <t>634.0</t>
  </si>
  <si>
    <t>KOG1949@1,KOG1949@2759</t>
  </si>
  <si>
    <t>inner cell mass cell proliferation</t>
  </si>
  <si>
    <t>19,1715/26,1079</t>
  </si>
  <si>
    <t>17,1484/10,79</t>
  </si>
  <si>
    <t>17,052/16,2813/15,9923</t>
  </si>
  <si>
    <t>WBGene00010093</t>
  </si>
  <si>
    <t>16.6667</t>
  </si>
  <si>
    <t>Bm10886</t>
  </si>
  <si>
    <t>WBGene00231147</t>
  </si>
  <si>
    <t>7209.EJD75454.1</t>
  </si>
  <si>
    <t>2.9e-20</t>
  </si>
  <si>
    <t>GO:0000003,GO:0002119,GO:0002164,GO:0003006,GO:0003674,GO:0003676,GO:0003723,GO:0005488,GO:0005515,GO:0005575,GO:0005622,GO:0005623,GO:0005634,GO:0007275,GO:0007276,GO:0007281,GO:0007292,GO:0007548,GO:0008134,GO:0008150,GO:0008406,GO:0009791,GO:0009987,GO:0009994,GO:0010468,GO:0017151,GO:0019222,GO:0019899,GO:0019953,GO:0022412,GO:0022414,GO:0030154,GO:0032501,GO:0032502,GO:0032504,GO:0040025,GO:0040035,GO:0042802,GO:0042826,GO:0043226,GO:0043227,GO:0043229,GO:0043231,GO:0044424,GO:0044464,GO:0044703,GO:0045137,GO:0048468,GO:0048477,GO:0048513,GO:0048569,GO:0048599,GO:0048608,GO:0048609,GO:0048731,GO:0048806,GO:0048856,GO:0048869,GO:0050789,GO:0051704,GO:0060255,GO:0061458,GO:0065007,GO:0097159,GO:1901363</t>
  </si>
  <si>
    <t>1KU15@119089,28IKI@1,2QQXF@2759,39WED@33154,3BFER@33208,3D3U6@33213,40BMR@6231</t>
  </si>
  <si>
    <t>Has a broad role in development, specifically in the genetic pathway SynMuvB that negatively regulates specification of the vulval cell fate. Required for fem-3 3'-UTR-mediated repression in the regulation of the sperm oocyte switch. Acts by regulating the translation of fem-3 mRNA, by binding to its</t>
  </si>
  <si>
    <t>60,7038/31,3783</t>
  </si>
  <si>
    <t>Bm2122</t>
  </si>
  <si>
    <t>WBGene00222383</t>
  </si>
  <si>
    <t>7209.EFO23971.2</t>
  </si>
  <si>
    <t>1.5e-126</t>
  </si>
  <si>
    <t>459.9</t>
  </si>
  <si>
    <t>ko:K11291</t>
  </si>
  <si>
    <t>1KZM5@119089,39SU9@33154,3BCZB@33208,3CX4Z@33213,40GPH@6231,KOG4563@1,KOG4563@2759</t>
  </si>
  <si>
    <t>BD</t>
  </si>
  <si>
    <t>DNA replication-dependent nucleosome assembly</t>
  </si>
  <si>
    <t>16,3599/20,4499/21,0634</t>
  </si>
  <si>
    <t>WBGene00007500</t>
  </si>
  <si>
    <t>17.1779</t>
  </si>
  <si>
    <t>Bm9110</t>
  </si>
  <si>
    <t>WBGene00229371</t>
  </si>
  <si>
    <t>IPR001478/IPR036034/IPR040264/</t>
  </si>
  <si>
    <t>PDZ_domain/PDZ_superfamily/Uncharacterized_protein_T15H9.4-like/</t>
  </si>
  <si>
    <t>PDZ/PDZ_sf/T15H9.4-like/</t>
  </si>
  <si>
    <t>note=contains_similarity_to_Pfam_domain_PF13180_PDZ_domain_contains_similarity_to_Interpro_domain_IPR001478_(PDZ_domain)</t>
  </si>
  <si>
    <t>6326.BUX.s01144.282</t>
  </si>
  <si>
    <t>1.2e-32</t>
  </si>
  <si>
    <t>147.1</t>
  </si>
  <si>
    <t>1KZFK@119089,3AMY3@33154,3C154@33208,3DH68@33213,40GKB@6231,KOG3528@1,KOG3528@2759</t>
  </si>
  <si>
    <t>macromolecule localization</t>
  </si>
  <si>
    <t>17,4721/24,1636/18,5874</t>
  </si>
  <si>
    <t>24,1636/24,9071/21,5613/24,1636/24,9071/21,5613/21,5613</t>
  </si>
  <si>
    <t>WBGene00017633</t>
  </si>
  <si>
    <t>18.2156</t>
  </si>
  <si>
    <t>Bm1106</t>
  </si>
  <si>
    <t>WBGene00221367</t>
  </si>
  <si>
    <t>13,9942/22,449</t>
  </si>
  <si>
    <t>Bm7123</t>
  </si>
  <si>
    <t>WBGene00227384</t>
  </si>
  <si>
    <t>note=contains_similarity_to_Pfam_domain_PF02995_Protein_of_unknown_function_(DUF229)_contains_similarity_to_Interpro_domain_IPR004245_(Protein_of_unknown_function_DUF229)</t>
  </si>
  <si>
    <t>4.2e-274</t>
  </si>
  <si>
    <t>950.3</t>
  </si>
  <si>
    <t>25,9067/24,525/26,4249/26,2522/25,0432/25,734/21,9344/23,8342</t>
  </si>
  <si>
    <t>22,6252/25,3886/29,361/27,1157/26,943/27,9793/27,1157/9,49914/12,0898/22,7979/28,4974/22,4525/26,943/26,5976/22,1071/10,8808/22,7979/26,0794/27,6339/20,0345/29,5337/16,753/26,5976/27,4611/27,6339/26,4249/18,3074/16,9257/30,2245/26,7703/29,361/28,8428/24,0069/24,8705</t>
  </si>
  <si>
    <t>29,0155/27,6339/16,0622/23,8342/27,1157/25,5613/22,6252/20,2073/18,4801/24,8705/23,8342/20,38/30,7427/19,3437/27,1157/28,8428/22,6252/16,753/22,4525/29,5337/27,9793</t>
  </si>
  <si>
    <t>7,59931/27,9793/23,4888/25,0432/24,525/27,2884/26,0794/25,0432/26,5976/26,943/14,3351</t>
  </si>
  <si>
    <t>14,8532/6,04491/16,9257/24,1796/16,9257/28,152/27,2884/6,04491/8,63558/24,0069/21,0708/24,525/26,943</t>
  </si>
  <si>
    <t>10,0173/3,97237</t>
  </si>
  <si>
    <t>14,1623/10,19/18,4801/20,2073/13,2988/3,97237/14,5078</t>
  </si>
  <si>
    <t>27,6339/25,2159/25,5613</t>
  </si>
  <si>
    <t>27.6339/25.2159/25.5613</t>
  </si>
  <si>
    <t>Bm4887</t>
  </si>
  <si>
    <t>WBGene00225148</t>
  </si>
  <si>
    <t>GO:0000003/GO:0003684/GO:0005634/GO:0006284/GO:0006289/GO:0006974/GO:0008340/GO:0009411/GO:0010225/GO:0040025/GO:0070914/</t>
  </si>
  <si>
    <t>UV-damage_excision_repair/base-excision_repair/cellular_response_to_DNA_damage_stimulus/damaged_DNA_binding/determination_of_adult_lifespan/nucleotide-excision_repair/nucleus/reproduction/response_to_UV/response_to_UV-C/vulval_development/</t>
  </si>
  <si>
    <t>A_DNA_repair_process_in_which_a_small_region_of_the_strand_surrounding_the_damage_is_removed_from_the_DNA_helix_as_an_oligonucleotide._The_small_gap_left_in_the_DNA_helix_is_filled_in_by_the_sequential_action_of_DNA_polymerase_and_DNA_ligase._Nucleotide_excision_repair_recognizes_a_wide_range_of_substrates,_including_damage_caused_by_UV_irradiation_(pyrimidine_dimers_and_6-4_photoproducts)_and_chemicals_(intrastrand_cross-links_and_bulky_adducts)._[PMID:10197977]/"A_DNA_repair_process_that_is_initiated_by_an_endonuclease_that_introduces_a_single-strand_incision_immediately_5'_of_a_UV-induced_damage_site._UV-damage_excision_repair_acts_on_both_cyclobutane_pyrimidine_dimers_(CPDs)_and_pyrimidine-pyrimidone_6-4_photoproducts_(6-4PPs)."_[GOC:mah,_PMID:9619100]/"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process_that_results_in_a_change_in_state_or_activity_of_a_cell_(in_terms_of_movement,_secretion,_enzyme_production,_gene_expression,_etc.)_as_a_result_of_a_stimulus_indicating_damage_to_its_DNA_from_environmental_insults_or_errors_during_metabolism."_[GOC:go_curators]/"Any_process_that_results_in_a_change_in_state_or_activity_of_a_cell_or_an_organism_(in_terms_of_movement,_secretion,_enzyme_production,_gene_expression,_etc.)_as_a_result_of_a_UV-C_radiation_stimulus._UV-C_radiation_(UV-C_light)_spans_the_wavelengths_100_to_280_nm."_[GOC:tb]/"Any_process_that_results_in_a_change_in_state_or_activity_of_a_cell_or_an_organism_(in_terms_of_movement,_secretion,_enzyme_production,_gene_expression,_etc.)_as_a_result_of_an_ultraviolet_radiation_(UV_light)_stimulus._Ultraviolet_radiation_is_electromagnetic_radiation_with_a_wavelength_in_the_range_of_10_to_380_nanometers."_[GOC:hb]/"In_base_excision_repair,_an_altered_base_is_removed_by_a_DNA_glycosylase_enzyme,_followed_by_excision_of_the_resulting_sugar_phosphate._The_small_gap_left_in_the_DNA_helix_is_filled_in_by_the_sequential_action_of_DNA_polymerase_and_DNA_ligase."_[ISBN:0815316194]/"Interacting_selectively_and_non-covalently_with_damaged_DNA."_[GOC:jl]/"The_control_of_viability_and_duration_in_the_adult_phase_of_the_life-cycle."_[GOC:ems]/"The_process_whose_specific_outcome_is_the_progression_of_the_egg-laying_organ_of_female_and_hermaphrodite_nematodes_over_time,_from_its_formation_to_the_mature_structure._In_nematodes,_the_vulva_is_formed_from_ventral_epidermal_cells_during_larval_stages_to_give_rise_to_a_fully_formed_vulva_in_the_adult."_[GOC:ems,_GOC:kmv,_ISBN:087969307X]/"The_production_of_new_individuals_that_contain_some_portion_of_genetic_material_inherited_from_one_or_more_parent_organisms."_[GOC:go_curators,_GOC:isa_complete,_GOC:jl,_ISBN:0198506732]/</t>
  </si>
  <si>
    <t>IPR000465/IPR009061/IPR022652/IPR022656/IPR037129/</t>
  </si>
  <si>
    <t>Putative_DNA-binding_domain_superfamily/XPA/XPA,_C-terminal/XPA_domain_superfamily/Zinc_finger,_XPA-type,_conserved_site/</t>
  </si>
  <si>
    <t>DNA-bd_dom_put_sf/XPA/XPA_C/XPA_sf/Znf_XPA_CS/</t>
  </si>
  <si>
    <t>note=B._malayi_BMA-XPA-1_protein,_contains_similarity_toPfam_domains_PF01286_(XPA_protein_N-terminal),_PF05181(XPA_protein_C-terminus)_contains_similarity_to_Interprodomains_IPR009061_(DNA_binding_domain,_putative),IPR022656_(XPA_C-_terminal),_IPR022652_(Zinc_finger,XPA-type,_conserved_site),_IPR000465_(XPA)</t>
  </si>
  <si>
    <t>7209.EFO18614.1</t>
  </si>
  <si>
    <t>8.7e-128</t>
  </si>
  <si>
    <t>463.0</t>
  </si>
  <si>
    <t>GO:0000003,GO:0002119,GO:0002164,GO:0005575,GO:0005622,GO:0005623,GO:0005634,GO:0006139,GO:0006259,GO:0006281,GO:0006284,GO:0006289,GO:0006725,GO:0006807,GO:0006950,GO:0006974,GO:0007275,GO:0007568,GO:0008150,GO:0008152,GO:0008340,GO:0009314,GO:0009411,GO:0009416,GO:0009628,GO:0009791,GO:0009987,GO:0010225,GO:0010259,GO:0032501,GO:0032502,GO:0033554,GO:0034641,GO:0034644,GO:0040025,GO:0043170,GO:0043226,GO:0043227,GO:0043229,GO:0043231,GO:0044237,GO:0044238,GO:0044260,GO:0044424,GO:0044464,GO:0046483,GO:0048513,GO:0048569,GO:0048731,GO:0048856,GO:0050896,GO:0051716,GO:0070914,GO:0071214,GO:0071478,GO:0071482,GO:0071704,GO:0090304,GO:0104004,GO:1901360</t>
  </si>
  <si>
    <t>ko:K10847</t>
  </si>
  <si>
    <t>ko01524,ko03420,map01524,map03420</t>
  </si>
  <si>
    <t>1KWAC@119089,39FN8@33154,3BGIZ@33208,3CXXZ@33213,40DQ4@6231,COG5145@1,KOG4017@2759</t>
  </si>
  <si>
    <t>XPA protein N-terminal</t>
  </si>
  <si>
    <t>34,9594/43,4959</t>
  </si>
  <si>
    <t>46,3415/39,8374</t>
  </si>
  <si>
    <t>39,0244/39,0244/39,0244</t>
  </si>
  <si>
    <t>WBGene00006963</t>
  </si>
  <si>
    <t>51.626</t>
  </si>
  <si>
    <t>Bm13909</t>
  </si>
  <si>
    <t>WBGene00234170</t>
  </si>
  <si>
    <t>GO:0000387/GO:0000398/GO:0003723/GO:0005634/GO:0005681/GO:0005682/GO:0005685/GO:0005686/GO:0005687/GO:0006397/GO:0008380/GO:0043186/GO:0046540/</t>
  </si>
  <si>
    <t>P_granule/RNA_binding/RNA_splicing/U1_snRNP/U2_snRNP/U4/U6_x_U5_tri-snRNP_complex/U4_snRNP/U5_snRNP/mRNA_processing/mRNA_splicing,_via_spliceosome/nucleus/spliceosomal_complex/spliceosomal_snRNP_assembly/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</si>
  <si>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ribonucleoprotein_complex_formed_by_the_association_of_the_U4/U6_and_U5_small_nuclear_ribonucleoproteins."_[GOC:krc,_GOC:pr,_PMID:11867543]/"A_ribonucleoprotein_complex_that_contains_small_nuclear_RNA_U1."_[GOC:krc,_GOC:mah]/"A_ribonucleoprotein_complex_that_contains_small_nuclear_RNA_U2."_[GOC:krc,_GOC:mah]/"A_ribonucleoprotein_complex_that_contains_small_nuclear_RNA_U4."_[GOC:krc,_GOC:mah]/"A_ribonucleoprotein_complex_that_contains_small_nuclear_RNA_U5."_[GOC:krc,_GOC:mah]/"A_small_cytoplasmic,_non-membranous_RNA/protein_complex_aggregates_in_the_primordial_germ_cells_of_many_higher_eukaryotes."_[GOC:dph,_GOC:kmv,_PMID:11262230]/"Any_of_a_series_of_ribonucleoprotein_complexes_that_contain_snRNA(s)_and_small_nuclear_ribonucleoproteins_(snRNPs),_and_are_formed_sequentially_during_the_spliceosomal_splicing_of_one_or_more_substrate_RNAs,_and_which_also_contain_the_RNA_substrate(s)_from_the_initial_target_RNAs_of_splicing,_the_splicing_intermediate_RNA(s),_to_the_final_RNA_products._During_cis-splicing,_the_initial_target_RNA_is_a_single,_contiguous_RNA_transcript,_whether_mRNA,_snoRNA,_etc.,_and_the_released_products_are_a_spliced_RNA_and_an_excised_intron,_generally_as_a_lariat_structure._During_trans-splicing,_there_are_two_initial_substrate_RNAs,_the_spliced_leader_RNA_and_a_pre-mRNA."_[GOC:editors,_GOC:mah,_ISBN:0198547684,_PMID:19239890]/"Any_process_involved_in_the_conversion_of_a_primary_mRNA_transcript_into_one_or_more_mature_mRNA(s)_prior_to_translation_into_polypeptide."_[GOC:mah]/"Interacting_selectively_and_non-covalently_with_an_RNA_molecule_or_a_portion_thereof."_[GOC:jl,_GOC:mah]/"The_aggregation,_arrangement_and_bonding_together_of_one_or_more_snRNA_and_multiple_protein_components_to_form_a_ribonucleoprotein_complex_that_is_involved_in_formation_of_the_spliceosome."_[GOC:krc,_GOC:mah,_ISBN:0879695897]/"The_joining_together_of_exons_from_one_or_more_primary_transcripts_of_messenger_RNA_(mRNA)_and_the_excision_of_intron_sequences,_via_a_spliceosomal_mechanism,_so_that_mRNA_consisting_only_of_the_joined_exons_is_produced."_[GOC:krc,_ISBN:0198506732,_ISBN:0879695897]/"The_process_of_removing_sections_of_the_primary_RNA_transcript_to_remove_sequences_not_present_in_the_mature_form_of_the_RNA_and_joining_the_remaining_sections_to_form_the_mature_form_of_the_RNA."_[GOC:krc,_GOC:mah]/</t>
  </si>
  <si>
    <t>IPR001163/IPR010920/IPR027078/</t>
  </si>
  <si>
    <t>LSM_domain,_eukaryotic/archaea-type/LSM_domain_superfamily/Small_nuclear_ribonucleoprotein_E/</t>
  </si>
  <si>
    <t>LSM_dom_euk/arc/LSM_dom_sf/snRNP-E/</t>
  </si>
  <si>
    <t>note=B._malayi_BMA-SNR-6_protein,_contains_similarity_toPfam_domain_PF01423_LSM_domain_contains_similarity_toInterpro_domains_IPR001163_(Ribonucleoprotein_LSM_domain),IPR006649_(Ribonucleoprotein_LSM_domain,eukaryotic/archaea-type),_IPR010920_(Like-Sm_(LSM)domain),_IPR027078_(Small_nuclear_ribonucleoprotein_E)</t>
  </si>
  <si>
    <t>7209.EFO22351.1</t>
  </si>
  <si>
    <t>2.2e-41</t>
  </si>
  <si>
    <t>174.5</t>
  </si>
  <si>
    <t>GO:0000375,GO:0000377,GO:0000387,GO:0000398,GO:0005575,GO:0005622,GO:0005623,GO:0005634,GO:0005681,GO:0005682,GO:0005685,GO:0005686,GO:0005687,GO:0005737,GO:0006139,GO:0006396,GO:0006397,GO:0006725,GO:0006807,GO:0008150,GO:0008152,GO:0008380,GO:0009987,GO:0010467,GO:0016043,GO:0016070,GO:0016071,GO:0022607,GO:0022613,GO:0022618,GO:0030532,GO:0032991,GO:0034622,GO:0034641,GO:0035770,GO:0036464,GO:0043170,GO:0043186,GO:0043226,GO:0043227,GO:0043228,GO:0043229,GO:0043231,GO:0043232,GO:0043933,GO:0044085,GO:0044237,GO:0044238,GO:0044422,GO:0044424,GO:0044428,GO:0044444,GO:0044446,GO:0044464,GO:0045495,GO:0046483,GO:0046540,GO:0060293,GO:0065003,GO:0071011,GO:0071704,GO:0071826,GO:0071840,GO:0090304,GO:0097525,GO:0097526,GO:0120114,GO:1901360,GO:1990904</t>
  </si>
  <si>
    <t>ko:K11097</t>
  </si>
  <si>
    <t>M00351,M00352,M00354,M00355,M00398</t>
  </si>
  <si>
    <t>ko00000,ko00001,ko00002,ko03032,ko03041</t>
  </si>
  <si>
    <t>1KWSV@119089,3A3J0@33154,3BRF6@33208,3D83T@33213,40E0S@6231,COG1958@1,KOG1774@2759</t>
  </si>
  <si>
    <t>RNA splicing, via transesterification reactions with bulged adenosine as nucleophile</t>
  </si>
  <si>
    <t>WBGene00004919</t>
  </si>
  <si>
    <t>77.5281</t>
  </si>
  <si>
    <t>Bm8953</t>
  </si>
  <si>
    <t>WBGene00229214</t>
  </si>
  <si>
    <t>Bm5144</t>
  </si>
  <si>
    <t>WBGene00225405</t>
  </si>
  <si>
    <t>note=contains_similarity_to_Pfam_domain_PF00538_linker_histone_H1_and_H5_family_contains_similarity_to_Interpro_domains_IPR011991_(Winged_helix-turn-helix_DNA-binding_domain),_IPR005819_(Histone_H5),_IPR005818_(Linker_histone_H1/H5,_domain_H15)</t>
  </si>
  <si>
    <t>7209.EFO21535.1</t>
  </si>
  <si>
    <t>9.8e-48</t>
  </si>
  <si>
    <t>196.8</t>
  </si>
  <si>
    <t>ko:K11275</t>
  </si>
  <si>
    <t>1M86Z@119089,38FHA@33154,3BJV7@33208,3D2G8@33213,40R4J@6231,KOG4012@1,KOG4012@2759</t>
  </si>
  <si>
    <t>Histones H1 are necessary for the condensation of nucleosome chains into higher-order structures</t>
  </si>
  <si>
    <t>34,2995/33,8164</t>
  </si>
  <si>
    <t>36,2319/36,2319</t>
  </si>
  <si>
    <t>Bm5079</t>
  </si>
  <si>
    <t>WBGene00225340</t>
  </si>
  <si>
    <t>GO:0003676/GO:0003677/GO:0004003/GO:0005524/GO:0006139/GO:0008026/GO:0016818/</t>
  </si>
  <si>
    <t>ATP-dependent_DNA_helicase_activity/ATP-dependent_helicase_activity/ATP_binding/DNA_binding/hydrolase_activity,_acting_on_acid_anhydrides,_in_phosphorus-containing_anhydrides/nucleic_acid_binding/nucleobase-containing_compound_metabolic_process/</t>
  </si>
  <si>
    <t>Any_cellular_metabolic_process_involving_nucleobases,_nucleosides,_nucleotides_and_nucleic_acids._[GOC:ai]/"Any_molecular_function_by_which_a_gene_product_interacts_selectively_and_non-covalently_with_DNA_(deoxyribonucleic_acid)."_[GOC:dph,_GOC:jl,_GOC:tb,_GOC:vw]/"Catalysis_of_the_hydrolysis_of_any_acid_anhydride_which_contains_phosphorus."_[GOC:jl]/"Catalysis_of_the_reaction:_ATP_+_H2O_=_ADP_+_phosphate,_to_drive_the_unwinding_of_a_DNA_or_RNA_helix."_[EC:3.6.1.3,_GOC:jl]/"Catalysis_of_the_reaction:_ATP_+_H2O_=_ADP_+_phosphate;_this_reaction_drives_the_unwinding_of_the_DNA_helix."_[EC:3.6.1.3,_GOC:jl]/"Interacting_selectively_and_non-covalently_with_ATP,_adenosine_5'-triphosphate,_a_universally_important_coenzyme_and_enzyme_regulator."_[ISBN:0198506732]/"Interacting_selectively_and_non-covalently_with_any_nucleic_acid."_[GOC:jl]/</t>
  </si>
  <si>
    <t>IPR006554/IPR006555/IPR010614/IPR013020/IPR014013/</t>
  </si>
  <si>
    <t>ATP-dependent_helicase,_C-terminal/ATP-dependent_helicase_Rad3/Chl1-like/DEAD2/Helicase-like,_DEXD_box_c2_type/Helicase_superfamily_1/2,_ATP-binding_domain,_DinG/Rad3-type/</t>
  </si>
  <si>
    <t>ATP-dep_Helicase_C/DEAD_2/Helic_SF1/SF2_ATP-bd_DinG/Rad3/Helicase-like_DEXD_c2/Rad3/Chl1-like/</t>
  </si>
  <si>
    <t>note=B._malayi_BMA-CHL-1_protein,_contains_similarity_toPfam_domains_PF06733_(DEAD_2),_PF13307_(HelicaseC-terminal_domain)_contains_similarity_to_Interpro_domainsIPR010614_(DEAD2),_IPR027417_(P-loop_containing_nucleosidetriphosphate_hydrolase),_IPR006554_(Helicase-like,_DEXDbox_c2_type),_IPR006555_(ATP-dependent_helicase,C-terminal),_IPR013020_(DNA_helicase_(DNA_repair),_Rad3type)</t>
  </si>
  <si>
    <t>7209.EFO17918.1</t>
  </si>
  <si>
    <t>1.3e-273</t>
  </si>
  <si>
    <t>949.1</t>
  </si>
  <si>
    <t>GO:0003674,GO:0003678,GO:0003824,GO:0004386,GO:0005575,GO:0005622,GO:0005623,GO:0005634,GO:0006996,GO:0008150,GO:0008284,GO:0009987,GO:0016043,GO:0016462,GO:0016787,GO:0016817,GO:0016818,GO:0017111,GO:0032392,GO:0032508,GO:0042127,GO:0043226,GO:0043227,GO:0043229,GO:0043231,GO:0044424,GO:0044464,GO:0048518,GO:0048522,GO:0050789,GO:0050794,GO:0051276,GO:0065007,GO:0071103,GO:0071840,GO:0140097</t>
  </si>
  <si>
    <t>ko:K11273</t>
  </si>
  <si>
    <t>1KVXF@119089,38BI6@33154,3BCM0@33208,3CX8P@33213,40CTN@6231,COG1199@1,KOG1133@2759</t>
  </si>
  <si>
    <t>HELICc2</t>
  </si>
  <si>
    <t>55,3435/17,8117</t>
  </si>
  <si>
    <t>23,1552/35,2417/34,9873</t>
  </si>
  <si>
    <t>10,687/26,5903/8,6514</t>
  </si>
  <si>
    <t>24,5547/24,5547</t>
  </si>
  <si>
    <t>WBGene00010839</t>
  </si>
  <si>
    <t>36.0051</t>
  </si>
  <si>
    <t>Bm5461</t>
  </si>
  <si>
    <t>WBGene00225722</t>
  </si>
  <si>
    <t>note=B._malayi_BMA-MBR-1_protein,_contains_similarity_toPfam_domain_PF05225_helix-turn-helix,_Psq_domain_containssimilarity_to_Interpro_domains_IPR009057(Homeodomain-like),_IPR007889_(DNA_binding_HTH_domain,Psq-type)</t>
  </si>
  <si>
    <t>7209.EJD73608.1</t>
  </si>
  <si>
    <t>1.3e-205</t>
  </si>
  <si>
    <t>723.0</t>
  </si>
  <si>
    <t>1KWU8@119089,39SZ0@33154,3BF8U@33208,3CU20@33213,40DZD@6231,KOG4565@1,KOG4565@2759</t>
  </si>
  <si>
    <t>helix-turn-helix, Psq domain</t>
  </si>
  <si>
    <t>19,8804/19,7309/19,8804</t>
  </si>
  <si>
    <t>12,7055/10,9118</t>
  </si>
  <si>
    <t>9,71599/10,3139/5,38117</t>
  </si>
  <si>
    <t>WBGene00011315</t>
  </si>
  <si>
    <t>19.133</t>
  </si>
  <si>
    <t>Bm12613</t>
  </si>
  <si>
    <t>WBGene00232874</t>
  </si>
  <si>
    <t>GO:0003824/GO:0005230/GO:0006811/GO:0009058/GO:0016021/GO:0016788/GO:0034220/</t>
  </si>
  <si>
    <t>biosynthetic_process/catalytic_activity/extracellular_ligand-gated_ion_channel_activity/hydrolase_activity,_acting_on_ester_bonds/integral_component_of_membrane/ion_transmembrane_transport/ion_transport/</t>
  </si>
  <si>
    <t>A_process_in_which_an_ion_is_transported_across_a_membrane._[GOC:mah]/"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Catalysis_of_the_hydrolysis_of_any_ester_bond."_[GOC:jl]/"Enables_the_transmembrane_transfer_of_an_ion_by_a_channel_that_opens_when_a_specific_extracellular_ligand_has_been_bound_by_the_channel_complex_or_one_of_its_constituent_parts."_[GOC:mtg_transport,_ISBN:0815340729]/"The_chemical_reactions_and_pathways_resulting_in_the_formation_of_substances;_typically_the_energy-requiring_part_of_metabolism_in_which_simpler_substances_are_transformed_into_more_complex_ones."_[GOC:curators,_ISBN:0198547684]/"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
  </si>
  <si>
    <t>IPR000873/IPR001031/IPR001242/IPR009081/IPR020845/IPR023213/IPR025110/IPR029058/IPR036736/</t>
  </si>
  <si>
    <t>ACP-like_superfamily/AMP-binding,_conserved_site/AMP-binding_enzyme,_C-terminal_domain/AMP-dependent_synthetase/ligase/Alpha/Beta_hydrolase_fold/Chloramphenicol_acetyltransferase-like_domain_superfamily/Condensation_domain/Phosphopantetheine_binding_ACP_domain/Thioesterase/</t>
  </si>
  <si>
    <t>AB_hydrolase/ACP-like_sf/AMP-bd_C/AMP-binding_CS/AMP-dep_Synth/Lig/CAT-like_dom_sf/Condensatn/PP-bd_ACP/Thioesterase/</t>
  </si>
  <si>
    <t>note=contains_similarity_to_Pfam_domain_PF00668_Condensation_domain_contains_similarity_to_Interpro_domains_IPR001242_(Condensation_domain),_IPR009081_(Acyl_carrier_protein-like)</t>
  </si>
  <si>
    <t>7209.EFO26749.2</t>
  </si>
  <si>
    <t>5550.3</t>
  </si>
  <si>
    <t>1KVP5@119089,38HAR@33154,3BQ7X@33208,3D6C8@33213,40D0N@6231,COG1020@1,KOG1178@2759</t>
  </si>
  <si>
    <t>Condensation domain</t>
  </si>
  <si>
    <t>1,8995/1,99567/1,87545/2,0678/2,717/2,01972</t>
  </si>
  <si>
    <t>1,85141/1,99567/2,74104/1,92354</t>
  </si>
  <si>
    <t>2,5006/2,57273/4,97716</t>
  </si>
  <si>
    <t>Bm10387</t>
  </si>
  <si>
    <t>WBGene00230648</t>
  </si>
  <si>
    <t>GO:0000055/GO:0000056/GO:0005623/GO:0006913/GO:0017056/</t>
  </si>
  <si>
    <t>cell/nucleocytoplasmic_transport/ribosomal_large_subunit_export_from_nucleus/ribosomal_small_subunit_export_from_nucleus/structural_constituent_of_nuclear_pore/</t>
  </si>
  <si>
    <t>The_action_of_a_molecule_that_contributes_to_the_structural_integrity_of_the_nuclear_pore_complex,_a_protein-lined_channel_in_the_nuclear_envelope_that_allows_the_transfer_of_macromolecules._[GOC:mah,_PMID:25802992]/"The_basic_structural_and_functional_unit_of_all_organisms._Includes_the_plasma_membrane_and_any_external_encapsulating_structures_such_as_the_cell_wall_and_cell_envelope."_[GOC:go_curators]/"The_directed_movement_of_a_ribosomal_large_subunit_from_the_nucleus_into_the_cytoplasm."_[GOC:mah]/"The_directed_movement_of_a_ribosomal_small_subunit_from_the_nucleus_into_the_cytoplasm."_[GOC:mah]/"The_directed_movement_of_molecules_between_the_nucleus_and_the_cytoplasm."_[GOC:go_curators]/</t>
  </si>
  <si>
    <t>IPR037700/</t>
  </si>
  <si>
    <t>Nucleoporin_NUP88/NUP82/</t>
  </si>
  <si>
    <t>NUP88/NUP82/</t>
  </si>
  <si>
    <t>7209.EJD75050.1</t>
  </si>
  <si>
    <t>1.4e-292</t>
  </si>
  <si>
    <t>2CJI8@1,2SFPU@2759</t>
  </si>
  <si>
    <t>4,39716/40,9929/8,79433</t>
  </si>
  <si>
    <t>Bm1544</t>
  </si>
  <si>
    <t>WBGene00221805</t>
  </si>
  <si>
    <t>IPR019140/</t>
  </si>
  <si>
    <t>Mini-chromosome_maintenance_complex-binding_protein/</t>
  </si>
  <si>
    <t>MCM_complex-bd/</t>
  </si>
  <si>
    <t>132113.XP_003485851.1</t>
  </si>
  <si>
    <t>8.2e-17</t>
  </si>
  <si>
    <t>38EPW@33154,3BFTN@33208,3CWSA@33213,3SH2V@50557,41TKF@6656,46HV9@7399,KOG2545@1,KOG2545@2759</t>
  </si>
  <si>
    <t>Mini-chromosome maintenance replisome factor</t>
  </si>
  <si>
    <t>9,58409/42,1338</t>
  </si>
  <si>
    <t>Bm1948</t>
  </si>
  <si>
    <t>WBGene00222209</t>
  </si>
  <si>
    <t>GO:0016020/GO:0016021/GO:0033227/GO:0051033/</t>
  </si>
  <si>
    <t>RNA_transmembrane_transporter_activity/dsRNA_transport/integral_component_of_membrane/membrane/</t>
  </si>
  <si>
    <t>A_lipid_bilayer_along_with_all_the_proteins_and_protein_complexes_embedded_in_it_an_attached_to_it._[GOC:dos,_GOC:mah,_ISBN:0815316194]/"Enables_the_transfer_of_RNA,_ribonucleic_acid,_from_one_side_of_a_membrane_to_the_other."_[GOC:ai]/"The_component_of_a_membrane_consisting_of_the_gene_products_and_protein_complexes_having_at_least_some_part_of_their_peptide_sequence_embedded_in_the_hydrophobic_region_of_the_membrane."_[GOC:dos,_GOC:go_curators]/"The_directed_movement_of_dsRNA,_double-stranded_ribonucleic_acid,_into,_out_of_or_within_a_cell,_or_between_cells,_by_means_of_some_agent_such_as_a_transporter_or_pore."_[GOC:mah]/</t>
  </si>
  <si>
    <t>IPR025958/</t>
  </si>
  <si>
    <t>SID1_transmembrane_family/</t>
  </si>
  <si>
    <t>SID1_TM_fam/</t>
  </si>
  <si>
    <t>note=B._malayi_BMA-SID-1_protein,_contains_similarity_toPfam_domain_PF13965_dsRNA-gated_channel_SID-1_containssimilarity_to_Interpro_domain_IPR025958_(SID1transmembrane_family)</t>
  </si>
  <si>
    <t>7209.EFO27136.2</t>
  </si>
  <si>
    <t>3.3e-263</t>
  </si>
  <si>
    <t>914.4</t>
  </si>
  <si>
    <t>GO:0003674,GO:0003676,GO:0003723,GO:0003725,GO:0005215,GO:0005488,GO:0005575,GO:0005623,GO:0005886,GO:0005887,GO:0006403,GO:0006810,GO:0008150,GO:0009892,GO:0009987,GO:0010468,GO:0010605,GO:0010608,GO:0010629,GO:0015931,GO:0015932,GO:0016020,GO:0016021,GO:0016246,GO:0016441,GO:0016458,GO:0019222,GO:0022857,GO:0022884,GO:0031047,GO:0031224,GO:0031226,GO:0033036,GO:0033227,GO:0035194,GO:0040029,GO:0044425,GO:0044459,GO:0044464,GO:0048519,GO:0050657,GO:0050658,GO:0050789,GO:0051032,GO:0051033,GO:0051179,GO:0051234,GO:0051236,GO:0055085,GO:0060255,GO:0065007,GO:0071702,GO:0071705,GO:0071944,GO:0097159,GO:1901363</t>
  </si>
  <si>
    <t>1KZAP@119089,28NCG@1,2QUXZ@2759,38CGE@33154,3BDA6@33208,3CS8S@33213,40GE9@6231</t>
  </si>
  <si>
    <t>dsRNA-gated channel SID-1</t>
  </si>
  <si>
    <t>18,0461/18,5889</t>
  </si>
  <si>
    <t>18,0461/17,7748</t>
  </si>
  <si>
    <t>WBGene00004795</t>
  </si>
  <si>
    <t>18.1818</t>
  </si>
  <si>
    <t>Bm13063</t>
  </si>
  <si>
    <t>WBGene00233324</t>
  </si>
  <si>
    <t>Bm14692</t>
  </si>
  <si>
    <t>WBGene00235027</t>
  </si>
  <si>
    <t>6238.CBG19005</t>
  </si>
  <si>
    <t>1.8e-12</t>
  </si>
  <si>
    <t>1KZRV@119089,2E5BA@1,2SC54@2759,3ARS2@33154,3CNFZ@33208,3DIU6@33213,40GVV@6231,40S9N@6236</t>
  </si>
  <si>
    <t>WBGene00001714</t>
  </si>
  <si>
    <t>24.2188</t>
  </si>
  <si>
    <t>Bm4723</t>
  </si>
  <si>
    <t>WBGene00224984</t>
  </si>
  <si>
    <t>IPR006150/IPR028150/</t>
  </si>
  <si>
    <t>Cysteine-rich_repeat/Lustrin,_cysteine-rich_repeated/</t>
  </si>
  <si>
    <t>Cys_repeat_1/Lustrin_cystein/</t>
  </si>
  <si>
    <t>7209.EFO24722.1</t>
  </si>
  <si>
    <t>4.6e-293</t>
  </si>
  <si>
    <t>1013.8</t>
  </si>
  <si>
    <t>1KWKR@119089,3A4H8@33154,3BRBP@33208,3D8X3@33213,40DUF@6231,KOG4295@1,KOG4295@2759</t>
  </si>
  <si>
    <t>72,3577/72,3577</t>
  </si>
  <si>
    <t>Bm9642</t>
  </si>
  <si>
    <t>WBGene00229903</t>
  </si>
  <si>
    <t>7209.EFO21551.1</t>
  </si>
  <si>
    <t>1.3e-10</t>
  </si>
  <si>
    <t>73.2</t>
  </si>
  <si>
    <t>1KX9M@119089,2E9MK@1,2SFYV@2759,3ADKW@33154,3BW8R@33208,3DCP8@33213,40F6U@6231</t>
  </si>
  <si>
    <t>Bm8178</t>
  </si>
  <si>
    <t>WBGene00228439</t>
  </si>
  <si>
    <t>7209.EFO19802.2</t>
  </si>
  <si>
    <t>3.8e-65</t>
  </si>
  <si>
    <t>1KZ31@119089,3A77V@33154,3C0PH@33208,3DA56@33213,40GAI@6231,COG5066@1,KOG0439@2759</t>
  </si>
  <si>
    <t>45,2736/69,6517/62,1891/45,2736</t>
  </si>
  <si>
    <t>40,796/38,806</t>
  </si>
  <si>
    <t>WBGene00022708/WBGene00019410</t>
  </si>
  <si>
    <t>40.796/38.806</t>
  </si>
  <si>
    <t>Bm8945</t>
  </si>
  <si>
    <t>WBGene00229206</t>
  </si>
  <si>
    <t>Bm9676</t>
  </si>
  <si>
    <t>WBGene00229937</t>
  </si>
  <si>
    <t>IPR014939/IPR032054/IPR036390/</t>
  </si>
  <si>
    <t>CDT1_Geminin-binding_domain-like/DNA_replication_factor_Cdt1,_C-terminal/Winged_helix_DNA-binding_domain_superfamily/</t>
  </si>
  <si>
    <t>CDT1_Gemini-bd-like/Cdt1_C/WH_DNA-bd_sf/</t>
  </si>
  <si>
    <t>note=B._malayi_BMA-CDT-1_protein,_contains_similarity_toPfam_domain_PF08839_DNA_replication_factor_CDT1_likecontains_similarity_to_Interpro_domain_IPR014939_(CDT1Geminin-binding_domain-like)</t>
  </si>
  <si>
    <t>7209.EFO25834.2</t>
  </si>
  <si>
    <t>5.1e-241</t>
  </si>
  <si>
    <t>840.5</t>
  </si>
  <si>
    <t>cdt-1</t>
  </si>
  <si>
    <t>ko:K10727</t>
  </si>
  <si>
    <t>ko00000,ko03032,ko03036</t>
  </si>
  <si>
    <t>1KWI2@119089,38HTF@33154,3BDTD@33208,3CTBB@33213,40E2M@6231,KOG4762@1,KOG4762@2759</t>
  </si>
  <si>
    <t>DNA replication factor CDT1 like</t>
  </si>
  <si>
    <t>WBGene00000413</t>
  </si>
  <si>
    <t>21.521</t>
  </si>
  <si>
    <t>Bm5454</t>
  </si>
  <si>
    <t>WBGene00225715</t>
  </si>
  <si>
    <t>GO:0000413/GO:0003755/GO:0006457/GO:0016853/</t>
  </si>
  <si>
    <t>isomerase_activity/peptidyl-prolyl_cis-trans_isomerase_activity/protein_folding/protein_peptidyl-prolyl_isomerization/</t>
  </si>
  <si>
    <t>Catalysis_of_the_geometric_or_structural_changes_within_one_molecule._Isomerase_is_the_systematic_name_for_any_enzyme_of_EC_class_5._[ISBN:0198506732]/"Catalysis_of_the_reaction:_peptidyl-proline_(omega=180)_=_peptidyl-proline_(omega=0)."_[EC:5.2.1.8]/"The_modification_of_a_protein_by_cis-trans_isomerization_of_a_proline_residue."_[GOC:krc,_PMID:16959570]/"The_process_of_assisting_in_the_covalent_and_noncovalent_assembly_of_single_chain_polypeptides_or_multisubunit_complexes_into_the_correct_tertiary_structure."_[GOC:go_curators,_GOC:rb]/</t>
  </si>
  <si>
    <t>IPR002130/IPR020892/IPR024936/IPR029000/</t>
  </si>
  <si>
    <t>Cyclophilin-like_domain_superfamily/Cyclophilin-type_peptidyl-prolyl_cis-trans_isomerase/Cyclophilin-type_peptidyl-prolyl_cis-trans_isomerase,_conserved_site/Cyclophilin-type_peptidyl-prolyl_cis-trans_isomerase_domain/</t>
  </si>
  <si>
    <t>Cyclophilin-like_dom_sf/Cyclophilin-type_PPIase/Cyclophilin-type_PPIase_CS/Cyclophilin-type_PPIase_dom/</t>
  </si>
  <si>
    <t>note=B._malayi_BMA-CYN-11_protein,_contains_similarity_to_Pfam_domain_PF00160_Cyclophilin_type_peptidyl-prolyl_cis-trans_isomerase/CLD_contains_similarity_to_Interpro_domains_IPR002130_(Cyclophilin-type_peptidyl-prolyl_cis-trans_isomerase_domain),_IPR029000_(Cyclophilin-like_domain),_IPR024936_(Cyclophilin-type_peptidyl-prolyl_cis-trans_isomerase)</t>
  </si>
  <si>
    <t>7209.EFO20422.1</t>
  </si>
  <si>
    <t>2.4e-106</t>
  </si>
  <si>
    <t>391.3</t>
  </si>
  <si>
    <t>ko:K09567</t>
  </si>
  <si>
    <t>M00354</t>
  </si>
  <si>
    <t>1KUCR@119089,38S5T@33154,3BGNF@33208,3CW6I@33213,40AUT@6231,COG0652@1,KOG0879@2759</t>
  </si>
  <si>
    <t>83,0601/82,5137</t>
  </si>
  <si>
    <t>59,0164/67,2131</t>
  </si>
  <si>
    <t>48,6339/47,541</t>
  </si>
  <si>
    <t>WBGene00000887</t>
  </si>
  <si>
    <t>83.0601</t>
  </si>
  <si>
    <t>Bm7842</t>
  </si>
  <si>
    <t>WBGene00228103</t>
  </si>
  <si>
    <t>note=contains_similarity_to_Interpro_domain_IPR010997_(HRDC-like)</t>
  </si>
  <si>
    <t>Bm2819</t>
  </si>
  <si>
    <t>WBGene00223080</t>
  </si>
  <si>
    <t>note=B._malayi_BMA-MAM-2_protein,_contains_similarity_toPfam_domain_PF00629_MAM_domain_contains_similarity_toInterpro_domains_IPR000998_(MAM_domain),_IPR013320(Concanavalin_A-like_lectin/glucanase_domain)</t>
  </si>
  <si>
    <t>7209.EFO19755.2</t>
  </si>
  <si>
    <t>1295.8</t>
  </si>
  <si>
    <t>1KUSD@119089,28M5U@1,2QTNM@2759,38I5F@33154,3BNEK@33208,3D64R@33213,40BWP@6231</t>
  </si>
  <si>
    <t>19,6262/19,6262</t>
  </si>
  <si>
    <t>WBGene00008150</t>
  </si>
  <si>
    <t>43.6582</t>
  </si>
  <si>
    <t>Bm9135</t>
  </si>
  <si>
    <t>WBGene00229396</t>
  </si>
  <si>
    <t>21,9355/50,6452/70/17,4194/19,0323</t>
  </si>
  <si>
    <t>Bm14811</t>
  </si>
  <si>
    <t>WBGene00234996</t>
  </si>
  <si>
    <t>10,8696/19,6687</t>
  </si>
  <si>
    <t>Bm1731</t>
  </si>
  <si>
    <t>WBGene00221992</t>
  </si>
  <si>
    <t>GO:0005042/GO:0005515/GO:0007165/GO:0016020/GO:0016021/GO:0038007/</t>
  </si>
  <si>
    <t>integral_component_of_membrane/membrane/netrin-activated_signaling_pathway/netrin_receptor_activity/protein_binding/signal_transduction/</t>
  </si>
  <si>
    <t>A_lipid_bilayer_along_with_all_the_proteins_and_protein_complexes_embedded_in_it_an_attached_to_it._[GOC:dos,_GOC:mah,_ISBN:0815316194]/"A_series_of_molecular_events_initiated_by_the_binding_of_a_netrin_protein_to_a_receptor_on_the_surface_of_the_target_cell,_and_ending_with_regulation_of_a_downstream_cellular_process,_e.g._transcription._Netrins_can_act_as_chemoattractant_signals_for_some_cells_and_chemorepellent_signals_for_others._Netrins_also_have_roles_outside_of_cell_and_axon_guidance."_[GOC:signaling,_PMID:10399919,_PMID:15960985,_PMID:19785719,_PMID:20108323]/"Combining_with_a_netrin_signal_and_transmitting_the_signal_from_one_side_of_the_membrane_to_the_other_to_initiate_a_change_in_cell_activity."_[GOC:dph,_GOC:signaling,_PMID:15960985]/"Interacting_selectively_and_non-covalently_with_any_protein_or_protein_complex_(a_complex_of_two_or_more_proteins_that_may_include_other_nonprotein_molecules)."_[GOC:go_curators]/"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he_component_of_a_membrane_consisting_of_the_gene_products_and_protein_complexes_having_at_least_some_part_of_their_peptide_sequence_embedded_in_the_hydrophobic_region_of_the_membrane."_[GOC:dos,_GOC:go_curators]/</t>
  </si>
  <si>
    <t>IPR000488/IPR000884/IPR000906/IPR003598/IPR003599/IPR007110/IPR011029/IPR013783/IPR018890/IPR033772/IPR036179/IPR036383/IPR037936/</t>
  </si>
  <si>
    <t>Death-like_domain_superfamily/Death_domain/Immunoglobulin-like_domain/Immunoglobulin-like_domain_superfamily/Immunoglobulin-like_fold/Immunoglobulin_subtype/Immunoglobulin_subtype_2/Netrin_receptor_UNC5/Thrombospondin_type-1_(TSP1)_repeat/Thrombospondin_type-1_(TSP1)_repeat_superfamily/UPA_domain/Uncharacterised_protein_family_FAM171/ZU5_domain/</t>
  </si>
  <si>
    <t>DEATH-like_dom_sf/Death_domain/Ig-like_dom/Ig-like_dom_sf/Ig-like_fold/Ig_sub/Ig_sub2/TSP1_rpt/TSP1_rpt_sf/UNC5/UPA/Uncharacterised_FAM171/ZU5_dom/</t>
  </si>
  <si>
    <t>note=B._malayi_BMA-UNC-5_protein,_contains_similarity_toInterpro_domain_IPR013783_(Immunoglobulin-like_fold)</t>
  </si>
  <si>
    <t>7209.EFO25968.1</t>
  </si>
  <si>
    <t>1297.7</t>
  </si>
  <si>
    <t>GO:0000003,GO:0000902,GO:0000904,GO:0001558,GO:0001667,GO:0003006,GO:0003674,GO:0004888,GO:0005042,GO:0005488,GO:0005515,GO:0005575,GO:0005623,GO:0005886,GO:0005887,GO:0006928,GO:0006935,GO:0007154,GO:0007165,GO:0007166,GO:0007275,GO:0007399,GO:0007409,GO:0007411,GO:0007548,GO:0008045,GO:0008078,GO:0008150,GO:0008361,GO:0008406,GO:0009605,GO:0009653,GO:0009887,GO:0009987,GO:0010720,GO:0010769,GO:0010770,GO:0010975,GO:0010976,GO:0016020,GO:0016021,GO:0016043,GO:0016477,GO:0019899,GO:0019900,GO:0019901,GO:0022008,GO:0022414,GO:0022603,GO:0022604,GO:0023052,GO:0030030,GO:0030154,GO:0030182,GO:0030307,GO:0030516,GO:0031175,GO:0031224,GO:0031226,GO:0031344,GO:0031346,GO:0032501,GO:0032502,GO:0032535,GO:0032989,GO:0032990,GO:0033563,GO:0035262,GO:0038007,GO:0038023,GO:0040008,GO:0040011,GO:0040012,GO:0040017,GO:0042221,GO:0042330,GO:0044425,GO:0044459,GO:0044464,GO:0045137,GO:0045138,GO:0045595,GO:0045597,GO:0045664,GO:0045666,GO:0045773,GO:0045927,GO:0046661,GO:0048468,GO:0048513,GO:0048518,GO:0048522,GO:0048608,GO:0048638,GO:0048639,GO:0048666,GO:0048667,GO:0048699,GO:0048731,GO:0048812,GO:0048856,GO:0048858,GO:0048869,GO:0048870,GO:0050767,GO:0050769,GO:0050770,GO:0050772,GO:0050789,GO:0050793,GO:0050794,GO:0050896,GO:0051094,GO:0051128,GO:0051130,GO:0051179,GO:0051239,GO:0051240,GO:0051674,GO:0051716,GO:0051960,GO:0051962,GO:0060089,GO:0060284,GO:0061387,GO:0061458,GO:0061564,GO:0065007,GO:0065008,GO:0071679,GO:0071840,GO:0071944,GO:0090066,GO:0090598,GO:0097485,GO:0120035,GO:0120036,GO:0120039,GO:1990782,GO:2000026</t>
  </si>
  <si>
    <t>ko:K07521</t>
  </si>
  <si>
    <t>ko04360,map04360</t>
  </si>
  <si>
    <t>ko00000,ko00001,ko04516</t>
  </si>
  <si>
    <t>1KVAU@119089,38FF2@33154,3BB3I@33208,3CW83@33213,40C65@6231,KOG1480@1,KOG1480@2759</t>
  </si>
  <si>
    <t>UPA domain</t>
  </si>
  <si>
    <t>10,3226/48,4946</t>
  </si>
  <si>
    <t>20,6452/20,8602/6,23656</t>
  </si>
  <si>
    <t>22,6882/26,8817/27,0968/26,129</t>
  </si>
  <si>
    <t>24,6237/27,0968/27,0968/25,3763</t>
  </si>
  <si>
    <t>WBGene00006745</t>
  </si>
  <si>
    <t>38.6021</t>
  </si>
  <si>
    <t>Bm1242</t>
  </si>
  <si>
    <t>WBGene00221503</t>
  </si>
  <si>
    <t>IPR022559/</t>
  </si>
  <si>
    <t>Protein_SUP-1-like/</t>
  </si>
  <si>
    <t>SUP-1-like/</t>
  </si>
  <si>
    <t>note=contains_similarity_to_Pfam_domain_PF10853_Protein_of_unknown_function_(DUF2650)_contains_similarity_to_Interpro_domain_IPR022559_(Protein_of_unknown_function_DUF2650)</t>
  </si>
  <si>
    <t>6326.BUX.s01438.17</t>
  </si>
  <si>
    <t>5.3e-18</t>
  </si>
  <si>
    <t>1KZV8@119089,2EPVR@1,2ST00@2759,3AQJ4@33154,3C2T5@33208,3DIJ5@33213,40GU2@6231</t>
  </si>
  <si>
    <t>Protein of unknown function (DUF2650)</t>
  </si>
  <si>
    <t>1,92308/1,92308/1,92308</t>
  </si>
  <si>
    <t>WBGene00009915</t>
  </si>
  <si>
    <t>36.5385</t>
  </si>
  <si>
    <t>Bm17448</t>
  </si>
  <si>
    <t>WBGene00268591</t>
  </si>
  <si>
    <t>7209.EFO22742.1</t>
  </si>
  <si>
    <t>2.3e-09</t>
  </si>
  <si>
    <t>1KZYV@119089,2EQAY@1,2STCC@2759,3APSJ@33154,3C2V2@33208,3DIW5@33213,40GYJ@6231</t>
  </si>
  <si>
    <t>66,8407/26,1097</t>
  </si>
  <si>
    <t>22,4543/63,1854</t>
  </si>
  <si>
    <t>Bm7309</t>
  </si>
  <si>
    <t>WBGene00227570</t>
  </si>
  <si>
    <t>GO:0005524/</t>
  </si>
  <si>
    <t>ATP_binding/</t>
  </si>
  <si>
    <t>Interacting_selectively_and_non-covalently_with_ATP,_adenosine_5'-triphosphate,_a_universally_important_coenzyme_and_enzyme_regulator._[ISBN:0198506732]/</t>
  </si>
  <si>
    <t>IPR000330/IPR001650/IPR014001/IPR027417/IPR038718/</t>
  </si>
  <si>
    <t>Helicase,_C-terminal/Helicase_superfamily_1/2,_ATP-binding_domain/P-loop_containing_nucleoside_triphosphate_hydrolase/SNF2-like,_N-terminal_domain_superfamily/SNF2-related,_N-terminal_domain/</t>
  </si>
  <si>
    <t>Helicase_ATP-bd/Helicase_C/P-loop_NTPase/SNF2-like_sf/SNF2_N/</t>
  </si>
  <si>
    <t>7209.EJD73968.1</t>
  </si>
  <si>
    <t>1.7e-212</t>
  </si>
  <si>
    <t>746.1</t>
  </si>
  <si>
    <t>ko:K10877</t>
  </si>
  <si>
    <t>ko03440,map03440</t>
  </si>
  <si>
    <t>1KXQT@119089,38CZG@33154,3BXCD@33208,3DDR6@33213,40FKP@6231,COG0553@1,KOG0390@2759</t>
  </si>
  <si>
    <t>SNF2 family N-terminal domain</t>
  </si>
  <si>
    <t>18,5093/46,8323</t>
  </si>
  <si>
    <t>31,8012/29,0683</t>
  </si>
  <si>
    <t>WBGene00013792</t>
  </si>
  <si>
    <t>34.1615</t>
  </si>
  <si>
    <t>Bm2271</t>
  </si>
  <si>
    <t>WBGene00222532</t>
  </si>
  <si>
    <t>IPR000301/IPR008952/IPR018499/</t>
  </si>
  <si>
    <t>Tetraspanin/Tetraspanin,_EC2_domain_superfamily/Tetraspanin/Peripherin/</t>
  </si>
  <si>
    <t>Tetraspanin/Tetraspanin/Peripherin/Tetraspanin_EC2_sf/</t>
  </si>
  <si>
    <t>note=B._malayi_BMA-TSP-21_protein,_contains_similarity_to_Pfam_domain_PF00335_Tetraspanin_family_contains_similarity_to_Interpro_domains_IPR018499_(Tetraspanin/Peripherin),_IPR000301_(Tetraspanin),_IPR008952_(Tetraspanin,_EC2_domain)</t>
  </si>
  <si>
    <t>7209.EFO24945.2</t>
  </si>
  <si>
    <t>2.4e-126</t>
  </si>
  <si>
    <t>458.4</t>
  </si>
  <si>
    <t>GO:0003674,GO:0005488,GO:0005515,GO:0005575,GO:0005623,GO:0005886,GO:0007154,GO:0007165,GO:0007166,GO:0007167,GO:0007178,GO:0007179,GO:0008150,GO:0008593,GO:0009719,GO:0009966,GO:0009967,GO:0009987,GO:0010033,GO:0010453,GO:0010470,GO:0010646,GO:0010647,GO:0016020,GO:0016043,GO:0016323,GO:0017015,GO:0022603,GO:0022607,GO:0023051,GO:0023052,GO:0023056,GO:0030511,GO:0040008,GO:0040014,GO:0040018,GO:0042221,GO:0042659,GO:0042661,GO:0043933,GO:0044085,GO:0044425,GO:0044459,GO:0044464,GO:0045595,GO:0045747,GO:0045927,GO:0045995,GO:0048518,GO:0048522,GO:0048583,GO:0048584,GO:0048638,GO:0048639,GO:0050789,GO:0050793,GO:0050794,GO:0050896,GO:0051094,GO:0051239,GO:0051240,GO:0051259,GO:0051260,GO:0051716,GO:0065003,GO:0065007,GO:0070848,GO:0070887,GO:0071310,GO:0071363,GO:0071495,GO:0071559,GO:0071560,GO:0071840,GO:0071944,GO:0090092,GO:0090100,GO:0090287,GO:0098590,GO:1901048,GO:1903844,GO:1903846,GO:1905770,GO:1905902,GO:2000026,GO:2000027,GO:2000380</t>
  </si>
  <si>
    <t>ko:K17350</t>
  </si>
  <si>
    <t>1KWEX@119089,3A5PT@33154,3BSK3@33208,3D9WA@33213,40E6G@6231,KOG3882@1,KOG3882@2759</t>
  </si>
  <si>
    <t>Tetraspanin family</t>
  </si>
  <si>
    <t>26,8817/27,2401</t>
  </si>
  <si>
    <t>27,957/28,3154/28,6738</t>
  </si>
  <si>
    <t>12,9032/11,4695/11,4695/13,6201/13,6201/11,828/15,7706/14,6953/14,6953/12,5448/14,6953/13,6201/12,5448/15,4122/15,7706/26,1649/11,828/18,638/14,6953/15,0538</t>
  </si>
  <si>
    <t>18,9964/19,3548/17,5627/12,1864/12,1864/20,7885/18,638/15,0538/16,8459/12,5448/15,0538/18,9964/17,9211/20,0717/16,4875/15,0538/16,4875/16,4875/16,129/11,4695/19,7133/19,3548/18,2796/19,7133/13,9785/18,9964/16,129/21,8638/17,9211</t>
  </si>
  <si>
    <t>18,9964/19,3548/17,2043/13,2616/12,1864/20,4301/18,9964/14,3369/15,4122/13,6201/14,6953/20,0717/17,9211/19,3548/15,0538/14,6953/17,9211/16,4875/10,7527/19,7133/19,7133/18,2796/19,7133/12,9032/18,2796/16,129/21,147/17,5627</t>
  </si>
  <si>
    <t>19,7133/19,3548/14,6953/16,8459/13,6201/14,6953/13,9785/15,4122/18,638/19,7133/16,4875/7,16846/14,6953/14,3369/13,6201/14,6953/18,638/18,9964/18,9964/13,6201/15,0538/19,7133/21,5054/13,9785/12,1864/15,4122/14,6953/17,5627/20,0717/11,4695/18,2796/16,8459/18,638/20,4301/20,0717/15,4122/15,4122/19,7133/17,5627/21,5054/15,4122</t>
  </si>
  <si>
    <t>WBGene00023491</t>
  </si>
  <si>
    <t>27.957</t>
  </si>
  <si>
    <t>Bm1742</t>
  </si>
  <si>
    <t>WBGene00222003</t>
  </si>
  <si>
    <t>IPR001766/IPR030456/IPR036388/IPR036390/</t>
  </si>
  <si>
    <t>Fork_head_domain/Fork_head_domain_conserved_site_2/Winged_helix-like_DNA-binding_domain_superfamily/Winged_helix_DNA-binding_domain_superfamily/</t>
  </si>
  <si>
    <t>Fork_head_dom/TF_fork_head_CS_2/WH-like_DNA-bd_sf/WH_DNA-bd_sf/</t>
  </si>
  <si>
    <t>note=B._malayi_BMA-FKH-6_protein,_contains_similarity_toPfam_domain_PF00250_Fork_head_domain_contains_similarityto_Interpro_domains_IPR011991_(Winged_helix-turn-helixDNA-binding_domain),_IPR001766_(Transcription_factor,_forkhead)</t>
  </si>
  <si>
    <t>6326.BUX.s01109.281</t>
  </si>
  <si>
    <t>1.4e-34</t>
  </si>
  <si>
    <t>153.3</t>
  </si>
  <si>
    <t>GO:0000003,GO:0003006,GO:0003674,GO:0003676,GO:0003677,GO:0005488,GO:0005575,GO:0005622,GO:0005623,GO:0005634,GO:0007275,GO:0007530,GO:0007538,GO:0007542,GO:0007548,GO:0008150,GO:0008406,GO:0008584,GO:0018992,GO:0019100,GO:0022414,GO:0030238,GO:0032501,GO:0032502,GO:0043226,GO:0043227,GO:0043229,GO:0043231,GO:0043565,GO:0044424,GO:0044464,GO:0045137,GO:0046546,GO:0046661,GO:0048513,GO:0048608,GO:0048731,GO:0048856,GO:0061458,GO:0097159,GO:1901363</t>
  </si>
  <si>
    <t>1KZDB@119089,38HCB@33154,3BD7X@33208,3CT22@33213,40GNP@6231,COG5025@1,KOG2294@2759</t>
  </si>
  <si>
    <t>21,6814/9,73451/23,0089/23,8938/27,8761/20,354/23,0089/23,0089/23,0089/23,0089/24,7788/23,4513/20,354/26,5487/19,0265/24,7788/25,2212/16,8142/15,4867/23,0089/8,84956</t>
  </si>
  <si>
    <t>22,1239/3,09735/22,5664/23,8938/27,8761/19,9115/26,1062/19,9115/28,3186/19,0265/24,7788/24,7788/15,9292/15,4867/23,4513/11,0619</t>
  </si>
  <si>
    <t>21,2389/22,1239/27,8761/26,1062/28,3186/22,5664/19,9115/19,469/20,7965/19,9115/27,4336/19,469/10,6195</t>
  </si>
  <si>
    <t>23,0089/16,8142</t>
  </si>
  <si>
    <t>WBGene00001438</t>
  </si>
  <si>
    <t>33.6283</t>
  </si>
  <si>
    <t>Bm3770</t>
  </si>
  <si>
    <t>WBGene00224031</t>
  </si>
  <si>
    <t>note=B._malayi_BMA-CLEC-180_protein,_contains_similarityto_Pfam_domain_PF00059_Lectin_C-type_domain_containssimilarity_to_Interpro_domains_IPR016187_(C-type_lectinfold),_IPR016186_(C-type_lectin-like),_IPR001304_(C-typelectin)</t>
  </si>
  <si>
    <t>7209.EFO26455.1</t>
  </si>
  <si>
    <t>9e-239</t>
  </si>
  <si>
    <t>833.2</t>
  </si>
  <si>
    <t>1KWWW@119089,3AAN0@33154,3BURC@33208,3DBJI@33213,40EH7@6231,KOG1215@1,KOG1215@2759</t>
  </si>
  <si>
    <t>Bm4081</t>
  </si>
  <si>
    <t>WBGene00224342</t>
  </si>
  <si>
    <t>GO:0003677/GO:0005524/GO:0006260/</t>
  </si>
  <si>
    <t>ATP_binding/DNA_binding/DNA_replication/</t>
  </si>
  <si>
    <t>Any_molecular_function_by_which_a_gene_product_interacts_selectively_and_non-covalently_with_DNA_(deoxyribonucleic_acid)._[GOC:dph,_GOC:jl,_GOC:tb,_GOC:vw]/"Interacting_selectively_and_non-covalently_with_ATP,_adenosine_5'-triphosphate,_a_universally_important_coenzyme_and_enzyme_regulator."_[ISBN:0198506732]/"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
  </si>
  <si>
    <t>IPR003593/IPR003959/IPR008921/IPR013748/IPR027417/</t>
  </si>
  <si>
    <t>AAA+_ATPase_domain/ATPase,_AAA-type,_core/DNA_polymerase_III,_clamp_loader_complex,_gamma/delta/delta_subunit,_C-terminal/P-loop_containing_nucleoside_triphosphate_hydrolase/Replication_factor_C,_C-terminal/</t>
  </si>
  <si>
    <t>AAA+_ATPase/ATPase_AAA_core/DNA_pol3_clamp-load_cplx_C/P-loop_NTPase/Rep_factorC_C/</t>
  </si>
  <si>
    <t>note=contains_similarity_to_Pfam_domains_PF00004_(ATPasefamily_associated_with_various_cellular_activities_(AAA)),PF08542_(Replication_factor_C_C-terminal_domain)_containssimilarity_to_Interpro_domains_IPR003959_(ATPase,AAA-type,_core),_IPR008921_(DNA_polymerase_III,_clamploader_complex,_gamma/delta/delta_subunit,_C-terminal),IPR013748_(Replication_factor_C,_C-terminal_domain),IPR027417_(P-loop_containing_nucleoside_triphosphatehydrolase),_IPR003593_(AAA+_ATPase_domain)</t>
  </si>
  <si>
    <t>7209.EFO26207.1</t>
  </si>
  <si>
    <t>8.3e-170</t>
  </si>
  <si>
    <t>604.0</t>
  </si>
  <si>
    <t>ko:K10756</t>
  </si>
  <si>
    <t>ko03030,ko03420,ko03430,map03030,map03420,map03430</t>
  </si>
  <si>
    <t>M00289,M00295</t>
  </si>
  <si>
    <t>ko00000,ko00001,ko00002,ko03032,ko03036,ko03400</t>
  </si>
  <si>
    <t>1KXZ8@119089,38D9K@33154,3BH5A@33208,3CT1P@33213,40CZV@6231,COG0470@1,KOG0990@2759</t>
  </si>
  <si>
    <t>Replication factor C C-terminal domain</t>
  </si>
  <si>
    <t>27,5701/27,8816/28,6604</t>
  </si>
  <si>
    <t>WBGene00018409</t>
  </si>
  <si>
    <t>2.9595</t>
  </si>
  <si>
    <t>Bm5396</t>
  </si>
  <si>
    <t>WBGene00225657</t>
  </si>
  <si>
    <t>GO:0005044/GO:0006898/GO:0006955/GO:0030247/</t>
  </si>
  <si>
    <t>immune_response/polysaccharide_binding/receptor-mediated_endocytosis/scavenger_receptor_activity/</t>
  </si>
  <si>
    <t>An_endocytosis_process_in_which_cell_surface_receptors_ensure_specificity_of_transport._A_specific_receptor_on_the_cell_surface_binds_tightly_to_the_extracellular_macromolecule_(the_ligand)_that_it_recognizes;_the_plasma-membrane_region_containing_the_receptor-ligand_complex_then_undergoes_endocytosis,_forming_a_transport_vesicle_containing_the_receptor-ligand_complex_and_excluding_most_other_plasma-membrane_proteins._Receptor-mediated_endocytosis_generally_occurs_via_clathrin-coated_pits_and_vesicles._[GOC:mah,_ISBN:0716731363]/"Any_immune_system_process_that_functions_in_the_calibrated_response_of_an_organism_to_a_potential_internal_or_invasive_threat."_[GO_REF:0000022,_GOC:add,_GOC:mtg_15nov05]/"Combining_with_any_modified_low-density_lipoprotein_(LDL)_or_other_polyanionic_ligand_and_delivering_the_ligand_into_the_cell_via_endocytosis._Ligands_include_acetylated_and_oxidized_LDL,_Gram-positive_and_Gram-negative_bacteria,_apoptotic_cells,_amyloid-beta_fibrils,_and_advanced_glycation_end_products_(AGEs)."_[GOC:bf,_PMID:11790542,_PMID:12379907,_PMID:12621157,_PMID:20981357]/"Interacting_selectively_and_non-covalently_with_any_polysaccharide,_a_polymer_of_many_(typically_more_than_10)_monosaccharide_residues_linked_glycosidically."_[CHEBI:18154,_GOC:mah]/</t>
  </si>
  <si>
    <t>IPR000884/IPR001212/IPR036024/IPR036383/IPR039942/</t>
  </si>
  <si>
    <t>Somatomedin-B_and_thrombospondin_type-1_domain-containing_protein/Somatomedin_B-like_domain_superfamily/Somatomedin_B_domain/Thrombospondin_type-1_(TSP1)_repeat/Thrombospondin_type-1_(TSP1)_repeat_superfamily/</t>
  </si>
  <si>
    <t>SBSPON/Somatomedin_B-like_dom_sf/Somatomedin_B_dom/TSP1_rpt/TSP1_rpt_sf/</t>
  </si>
  <si>
    <t>note=contains_similarity_to_Pfam_domains_PF00090_(Thrombospondin_type_1_domain),_PF01033_(Somatomedin_B_domain)_contains_similarity_to_Interpro_domains_IPR000884_(Thrombospondin,_type_1_repeat),_IPR001212_(Somatomedin_B_domain)</t>
  </si>
  <si>
    <t>7209.EFO26469.2</t>
  </si>
  <si>
    <t>1.3e-203</t>
  </si>
  <si>
    <t>1KYCR@119089,2C4A0@1,2QV8I@2759,38BT9@33154,3BIKF@33208,3CTRA@33213,40E5Z@6231</t>
  </si>
  <si>
    <t>Somatomedin B domain</t>
  </si>
  <si>
    <t>62,7078/62,7078</t>
  </si>
  <si>
    <t>30,6413/16,6271/30,8789</t>
  </si>
  <si>
    <t>5,93824/6,88836/4,27553</t>
  </si>
  <si>
    <t>WBGene00011269</t>
  </si>
  <si>
    <t>37.0546</t>
  </si>
  <si>
    <t>Bm6102</t>
  </si>
  <si>
    <t>WBGene00226363</t>
  </si>
  <si>
    <t>IPR005550/IPR038273/</t>
  </si>
  <si>
    <t>Kinetochore_protein_Ndc80/Ndc80_domain_superfamily/</t>
  </si>
  <si>
    <t>Kinetochore_Ndc80/Ndc80_sf/</t>
  </si>
  <si>
    <t>note=B._malayi_BMA-NDC-80_protein,_contains_similarity_to_Pfam_domain_PF03801_HEC/Ndc80p_family_contains_similarity_to_Interpro_domain_IPR005550_(Kinetochore_protein_Ndc80)</t>
  </si>
  <si>
    <t>7209.EFO23976.2</t>
  </si>
  <si>
    <t>4.2e-240</t>
  </si>
  <si>
    <t>837.4</t>
  </si>
  <si>
    <t>GO:0000003,GO:0000070,GO:0000278,GO:0000280,GO:0000775,GO:0000776,GO:0000819,GO:0003006,GO:0003674,GO:0005488,GO:0005515,GO:0005575,GO:0005622,GO:0005623,GO:0005694,GO:0006928,GO:0006996,GO:0007017,GO:0007018,GO:0007049,GO:0007059,GO:0007079,GO:0007080,GO:0007088,GO:0007275,GO:0007346,GO:0007548,GO:0008104,GO:0008150,GO:0008406,GO:0008608,GO:0009653,GO:0009887,GO:0009987,GO:0010564,GO:0010638,GO:0010965,GO:0016043,GO:0019904,GO:0022402,GO:0022414,GO:0022607,GO:0030334,GO:0031262,GO:0031334,GO:0032501,GO:0032502,GO:0032879,GO:0032880,GO:0032991,GO:0033036,GO:0033043,GO:0033044,GO:0033045,GO:0033047,GO:0033365,GO:0034501,GO:0034502,GO:0034508,GO:0034613,GO:0034622,GO:0035262,GO:0040012,GO:0043226,GO:0043228,GO:0043229,GO:0043232,GO:0043254,GO:0043933,GO:0044085,GO:0044087,GO:0044089,GO:0044422,GO:0044424,GO:0044427,GO:0044446,GO:0044464,GO:0045137,GO:0045787,GO:0045840,GO:0045931,GO:0048285,GO:0048513,GO:0048518,GO:0048522,GO:0048608,GO:0048731,GO:0048856,GO:0050000,GO:0050789,GO:0050794,GO:0051128,GO:0051130,GO:0051179,GO:0051234,GO:0051270,GO:0051276,GO:0051303,GO:0051305,GO:0051310,GO:0051315,GO:0051382,GO:0051383,GO:0051640,GO:0051641,GO:0051649,GO:0051656,GO:0051726,GO:0051781,GO:0051783,GO:0051785,GO:0051983,GO:0051984,GO:0060341,GO:0061458,GO:0062033,GO:0065003,GO:0065004,GO:0065007,GO:0070727,GO:0070925,GO:0071459,GO:0071824,GO:0071840,GO:0090068,GO:0090230,GO:0090234,GO:0098687,GO:0098813,GO:0140014,GO:1901970,GO:1902115,GO:1902117,GO:1903047,GO:1903394,GO:1903827,GO:1903829,GO:1905340,GO:1905342,GO:1905561,GO:1905818,GO:1905820,GO:2000145,GO:2001252</t>
  </si>
  <si>
    <t>ko:K11547</t>
  </si>
  <si>
    <t>1KXCJ@119089,38HGM@33154,3B9AR@33208,3CWEJ@33213,40F4G@6231,COG5185@1,KOG0995@2759</t>
  </si>
  <si>
    <t>HEC/Ndc80p family</t>
  </si>
  <si>
    <t>16,6118/18,4211</t>
  </si>
  <si>
    <t>WBGene00003576</t>
  </si>
  <si>
    <t>15.9539</t>
  </si>
  <si>
    <t>Bm6824</t>
  </si>
  <si>
    <t>WBGene00227085</t>
  </si>
  <si>
    <t>GO:0005515/GO:0005887/GO:0016020/GO:0016021/GO:0017154/GO:0033563/GO:0033564/GO:0071526/GO:1902667/</t>
  </si>
  <si>
    <t>anterior/posterior_axon_guidance/dorsal/ventral_axon_guidance/integral_component_of_membrane/integral_component_of_plasma_membrane/membrane/protein_binding/regulation_of_axon_guidance/semaphorin-plexin_signaling_pathway/semaphorin_receptor_activity/</t>
  </si>
  <si>
    <t>A_lipid_bilayer_along_with_all_the_proteins_and_protein_complexes_embedded_in_it_an_attached_to_it._[GOC:dos,_GOC:mah,_ISBN:0815316194]/"A_series_of_molecular_signals_generated_as_a_consequence_of_a_semaphorin_receptor_(composed_of_a_plexin_and_a_neurophilin)_binding_to_a_semaphorin_ligand."_[GOC:BHF,_GOC:mah,_GOC:vk,_PMID:15239959]/"Any_process_that_modulates_the_frequency,_rate_or_extent_of_axon_guidance."_[GO_REF:0000058,_GOC:hjd,_GOC:TermGenie,_PMID:23006775]/"Combining_with_a_semaphorin,_and_transmitting_the_signal_from_one_side_of_the_membrane_to_the_other_to_initiate_a_change_in_cell_activity."_[GOC:mah,_GOC:signaling,_PMID:15239958]/"Interacting_selectively_and_non-covalently_with_any_protein_or_protein_complex_(a_complex_of_two_or_more_proteins_that_may_include_other_nonprotein_molecules)."_[GOC:go_curators]/"The_component_of_a_membrane_consisting_of_the_gene_products_and_protein_complexes_having_at_least_some_part_of_their_peptide_sequence_embedded_in_the_hydrophobic_region_of_the_membrane."_[GOC:dos,_GOC:go_curators]/"The_component_of_the_plasma_membrane_consisting_of_the_gene_products_and_protein_complexes_having_at_least_some_part_of_their_peptide_sequence_embedded_in_the_hydrophobic_region_of_the_membrane."_[GOC:dos,_GOC:go_curators]/"The_process_in_which_the_migration_of_an_axon_growth_cone_is_directed_to_a_specific_target_site_along_the_anterior-posterior_body_axis_in_response_to_a_combination_of_attractive_and_repulsive_cues._The_anterior-posterior_axis_is_defined_by_a_line_that_runs_from_the_head_or_mouth_of_an_organism_to_the_tail_or_opposite_end_of_the_organism."_[GOC:dph,_GOC:kmv,_GOC:tb]/"The_process_in_which_the_migration_of_an_axon_growth_cone_is_directed_to_a_specific_target_site_along_the_dorsal-ventral_body_axis_in_response_to_a_combination_of_attractive_and_repulsive_cues._The_dorsal/ventral_axis_is_defined_by_a_line_that_runs_orthogonal_to_both_the_anterior/posterior_and_left/right_axes._The_dorsal_end_is_defined_by_the_upper_or_back_side_of_an_organism._The_ventral_end_is_defined_by_the_lower_or_front_side_of_an_organism."_[GOC:dph,_GOC:kmv,_GOC:tb]/</t>
  </si>
  <si>
    <t>note=B._malayi_BMA-LAD-2_protein,_contains_similarity_toPfam_domains_PF00041_(Fibronectin_type_III_domain),PF07679_(Immunoglobulin_I-set_domain),_PF13895(Immunoglobulin_domain)_contains_similarity_to_Interprodomains_IPR003598_(Immunoglobulin_subtype_2),_IPR003961(Fibronectin_type_III),_IPR013098_(Immunoglobulin_I-set),IPR013783_(Immunoglobulin-like_fold),_IPR003599(Immunoglobulin_subtype)</t>
  </si>
  <si>
    <t>7209.EJD73902.1</t>
  </si>
  <si>
    <t>2229.9</t>
  </si>
  <si>
    <t>lad-2</t>
  </si>
  <si>
    <t>GO:0000902,GO:0000904,GO:0003674,GO:0004888,GO:0005488,GO:0005515,GO:0005575,GO:0005623,GO:0005886,GO:0005887,GO:0006928,GO:0006935,GO:0007154,GO:0007165,GO:0007166,GO:0007275,GO:0007399,GO:0007409,GO:0007411,GO:0008150,GO:0009605,GO:0009653,GO:0009987,GO:0010769,GO:0010975,GO:0016020,GO:0016021,GO:0016043,GO:0017154,GO:0022008,GO:0022603,GO:0022604,GO:0023052,GO:0030030,GO:0030154,GO:0030182,GO:0031175,GO:0031224,GO:0031226,GO:0031344,GO:0032101,GO:0032501,GO:0032502,GO:0032879,GO:0032989,GO:0032990,GO:0033563,GO:0033564,GO:0038023,GO:0040011,GO:0040012,GO:0042221,GO:0042330,GO:0044425,GO:0044459,GO:0044464,GO:0045595,GO:0045664,GO:0048468,GO:0048583,GO:0048666,GO:0048667,GO:0048699,GO:0048731,GO:0048812,GO:0048856,GO:0048858,GO:0048869,GO:0050767,GO:0050770,GO:0050789,GO:0050793,GO:0050794,GO:0050896,GO:0050920,GO:0051128,GO:0051239,GO:0051270,GO:0051716,GO:0051960,GO:0060089,GO:0060284,GO:0061564,GO:0065007,GO:0071526,GO:0071840,GO:0071944,GO:0097485,GO:0120035,GO:0120036,GO:0120039,GO:1902667,GO:2000026</t>
  </si>
  <si>
    <t>ko:K06756</t>
  </si>
  <si>
    <t>ko04514,map04514</t>
  </si>
  <si>
    <t>1KYH3@119089,38C7V@33154,3B984@33208,3CS11@33213,40C2J@6231,KOG3510@1,KOG3510@2759,KOG3513@1,KOG3513@2759</t>
  </si>
  <si>
    <t>Immunoglobulin</t>
  </si>
  <si>
    <t>23,2007/14,9873</t>
  </si>
  <si>
    <t>19,8984/8,89077</t>
  </si>
  <si>
    <t>27,011/26,0796/4,82642/29,0432</t>
  </si>
  <si>
    <t>10,2456/49,7883</t>
  </si>
  <si>
    <t>20,8298/10,4996/12,1931</t>
  </si>
  <si>
    <t>9,99153/9,65284</t>
  </si>
  <si>
    <t>13,8865/14,2252/20,2371/20,6605/16,5114/13,8865/5,84251/9,73751/11,2616/12,0237/8,72142/9,14479/20,2371/9,99153/20,8298/21,5919/7,62066/23,37/4,65707/22,6926/12,7858/10,6689/20,4911/14,2252/12,8704</t>
  </si>
  <si>
    <t>13,9712/13,9712/20,0677/20,7451/16,5114/13,8865/5,92718/9,56816/11,939/12,3624/8,8061/20,4064/9,82218/20,4064/21,5072/7,36664/24,1321/4,74174/22,1846/12,7011/10,4996/19,729/14,0559/12,9551</t>
  </si>
  <si>
    <t>12,0237/13,0398/20,9145/24,4708/22,5233/19,8984/16,1727/16,6808/14,1406/14,1406/13,8019/3,895/10,4996/5,50381/5,33446/7,70533/8,63675/7,28196/9,39881/9,48349/21,8459/12,9551/7,95936/23,7087/4,65707/4,74174/8,1287/21,8459/1,52413/13,1245/10,0762/9,31414/10,4149/12,4471/19,475/20,7451/12,7858</t>
  </si>
  <si>
    <t>WBGene00002243</t>
  </si>
  <si>
    <t>48.4335</t>
  </si>
  <si>
    <t>Bm10070</t>
  </si>
  <si>
    <t>WBGene00230331</t>
  </si>
  <si>
    <t>Bm11038</t>
  </si>
  <si>
    <t>WBGene00231299</t>
  </si>
  <si>
    <t>IPR000953/IPR002110/IPR016197/IPR020683/IPR023779/IPR023780/IPR036770/</t>
  </si>
  <si>
    <t>Ankyrin_repeat/Ankyrin_repeat-containing_domain/Ankyrin_repeat-containing_domain_superfamily/Chromo-like_domain_superfamily/Chromo/chromo_shadow_domain/Chromo_domain/Chromo_domain,_conserved_site/</t>
  </si>
  <si>
    <t>Ankyrin_rpt/Ankyrin_rpt-contain_dom/Ankyrin_rpt-contain_sf/Chromo-like_dom_sf/Chromo/chromo_shadow_dom/Chromo_domain/Chromodomain_CS/</t>
  </si>
  <si>
    <t>note=contains_similarity_to_Pfam_domain_PF12796_Ankyrin_repeats_(3_copies)_contains_similarity_to_Interpro_domain_IPR020683_(Ankyrin_repeat-containing_domain)</t>
  </si>
  <si>
    <t>6326.BUX.s01198.167</t>
  </si>
  <si>
    <t>68.9</t>
  </si>
  <si>
    <t>cec-3</t>
  </si>
  <si>
    <t>GO:0005575,GO:0005622,GO:0005623,GO:0005634,GO:0008150,GO:0009892,GO:0010468,GO:0010605,GO:0010629,GO:0019222,GO:0043226,GO:0043227,GO:0043229,GO:0043231,GO:0044424,GO:0044464,GO:0048519,GO:0050789,GO:0060255,GO:0065007</t>
  </si>
  <si>
    <t>1M0B2@119089,3A4DJ@33154,3BRD1@33208,3DC1G@33213,40H55@6231,KOG1911@1,KOG1911@2759</t>
  </si>
  <si>
    <t>Chromatin organization modifier domain</t>
  </si>
  <si>
    <t>39,6096/21,814</t>
  </si>
  <si>
    <t>19,0586/37,8875</t>
  </si>
  <si>
    <t>Bm4141</t>
  </si>
  <si>
    <t>WBGene00224402</t>
  </si>
  <si>
    <t>7209.EFO20343.1</t>
  </si>
  <si>
    <t>315.5</t>
  </si>
  <si>
    <t>1KWX3@119089,2E3Z9@1,2SAYC@2759,3A9KA@33154,3BV0U@33208,3DBH4@33213,40EWU@6231</t>
  </si>
  <si>
    <t>WBGene00018485</t>
  </si>
  <si>
    <t>39.8907</t>
  </si>
  <si>
    <t>Bm16901</t>
  </si>
  <si>
    <t>WBGene00249823</t>
  </si>
  <si>
    <t>GO:0003676/GO:0003887/GO:0005524/GO:0006261/GO:0071897/</t>
  </si>
  <si>
    <t>ATP_binding/DNA-dependent_DNA_replication/DNA-directed_DNA_polymerase_activity/DNA_biosynthetic_process/nucleic_acid_binding/</t>
  </si>
  <si>
    <t>A_DNA_replication_process_that_uses_parental_DNA_as_a_template_for_the_DNA-dependent_DNA_polymerases_that_synthesize_the_new_strands._[GOC:mah,_ISBN:0198506732]/"Catalysis_of_the_reaction:_deoxynucleoside_triphosphate_+_DNA(n)_=_diphosphate_+_DNA(n+1);_the_synthesis_of_DNA_from_deoxyribonucleotide_triphosphates_in_the_presence_of_a_DNA_template_and_a_3'hydroxyl_group."_[EC:2.7.7.7,_GOC:vw,_ISBN:0198547684]/"Interacting_selectively_and_non-covalently_with_ATP,_adenosine_5'-triphosphate,_a_universally_important_coenzyme_and_enzyme_regulator."_[ISBN:0198506732]/"Interacting_selectively_and_non-covalently_with_any_nucleic_acid."_[GOC:jl]/"The_cellular_DNA_metabolic_process_resulting_in_the_formation_of_DNA,_deoxyribonucleic_acid,_one_of_the_two_main_types_of_nucleic_acid,_consisting_of_a_long_unbranched_macromolecule_formed_from_one_or_two_strands_of_linked_deoxyribonucleotides,_the_3'-phosphate_group_of_each_constituent_deoxyribonucleotide_being_joined_in_3',5'-phosphodiester_linkage_to_the_5'-hydroxyl_group_of_the_deoxyribose_moiety_of_the_next_one."_[GOC:mah]/</t>
  </si>
  <si>
    <t>IPR001650/IPR002298/IPR011545/IPR014001/IPR027417/</t>
  </si>
  <si>
    <t>DEAD/DEAH_box_helicase_domain/DNA_polymerase_A/Helicase,_C-terminal/Helicase_superfamily_1/2,_ATP-binding_domain/P-loop_containing_nucleoside_triphosphate_hydrolase/</t>
  </si>
  <si>
    <t>DEAD/DEAH_box_helicase_dom/DNA_polymerase_A/Helicase_ATP-bd/Helicase_C/P-loop_NTPase/</t>
  </si>
  <si>
    <t>note=contains_similarity_to_Pfam_domains_PF00270_(DEAD/DEAH_box_helicase),_PF00271_(Helicase_conserved_C-terminal_domain)_contains_similarity_to_Interpro_domains_IPR011545_(DEAD/DEAH_box_helicase_domain),_IPR027417_(P-loop_containing_nucleoside_triphosphate_hydrolase),_IPR014001_(Helicase_superfamily_1/2,_ATP-binding_domain),_IPR001650_(Helicase,_C-terminal)</t>
  </si>
  <si>
    <t>7209.EFO24873.1</t>
  </si>
  <si>
    <t>3.8e-200</t>
  </si>
  <si>
    <t>704.1</t>
  </si>
  <si>
    <t>GO:0006139,GO:0006259,GO:0006281,GO:0006284,GO:0006287,GO:0006725,GO:0006807,GO:0006950,GO:0006974,GO:0008150,GO:0008152,GO:0009987,GO:0033554,GO:0034641,GO:0043170,GO:0044237,GO:0044238,GO:0044260,GO:0046483,GO:0050896,GO:0051716,GO:0071704,GO:0090304,GO:1901360</t>
  </si>
  <si>
    <t>ko:K02349</t>
  </si>
  <si>
    <t>1KY5I@119089,38BKB@33154,3BATG@33208,3CT13@33213,40E3G@6231,COG0749@1,KOG0950@2759</t>
  </si>
  <si>
    <t>double-strand break repair via alternative nonhomologous end joining</t>
  </si>
  <si>
    <t>64,218/15,1659</t>
  </si>
  <si>
    <t>40,7583/40,0474/40,2844</t>
  </si>
  <si>
    <t>WBGene00020964</t>
  </si>
  <si>
    <t>39.0995</t>
  </si>
  <si>
    <t>Bm10960</t>
  </si>
  <si>
    <t>WBGene00231221</t>
  </si>
  <si>
    <t>note=contains_similarity_to_Pfam_domain_PF00125_Core_histone_H2A/H2B/H3/H4_contains_similarity_to_Interpro_domains_IPR000164_(Histone_H3/CENP-A),_IPR009072_(Histone-fold),_IPR007125_(Histone_core)</t>
  </si>
  <si>
    <t>7209.EFO28170.2</t>
  </si>
  <si>
    <t>6e-61</t>
  </si>
  <si>
    <t>240.4</t>
  </si>
  <si>
    <t>GO:0000070,GO:0000226,GO:0000278,GO:0000280,GO:0000775,GO:0000776,GO:0000779,GO:0000785,GO:0000786,GO:0000793,GO:0000819,GO:0003674,GO:0003676,GO:0003677,GO:0003682,GO:0003690,GO:0005488,GO:0005575,GO:0005622,GO:0005623,GO:0005634,GO:0005694,GO:0006323,GO:0006325,GO:0006333,GO:0006334,GO:0006996,GO:0007010,GO:0007017,GO:0007049,GO:0007051,GO:0007052,GO:0007059,GO:0007088,GO:0007275,GO:0007346,GO:0008104,GO:0008150,GO:0009790,GO:0009792,GO:0009987,GO:0010564,GO:0010639,GO:0010948,GO:0016043,GO:0019237,GO:0022402,GO:0022607,GO:0031490,GO:0031491,GO:0031492,GO:0031497,GO:0032501,GO:0032502,GO:0032886,GO:0032991,GO:0032993,GO:0033036,GO:0033043,GO:0033365,GO:0034502,GO:0034508,GO:0034613,GO:0034622,GO:0034728,GO:0043226,GO:0043227,GO:0043228,GO:0043229,GO:0043231,GO:0043232,GO:0043565,GO:0043933,GO:0044085,GO:0044422,GO:0044424,GO:0044427,GO:0044446,GO:0044464,GO:0044815,GO:0044877,GO:0045184,GO:0045786,GO:0045839,GO:0045930,GO:0046602,GO:0046603,GO:0046605,GO:0046606,GO:0048285,GO:0048519,GO:0048523,GO:0048856,GO:0050789,GO:0050794,GO:0051128,GO:0051129,GO:0051179,GO:0051234,GO:0051276,GO:0051382,GO:0051383,GO:0051493,GO:0051494,GO:0051641,GO:0051726,GO:0051783,GO:0051784,GO:0065003,GO:0065004,GO:0065007,GO:0070199,GO:0070507,GO:0070727,GO:0070925,GO:0071103,GO:0071459,GO:0071824,GO:0071840,GO:0072594,GO:0097159,GO:0098687,GO:0098813,GO:0140014,GO:1901363,GO:1902850,GO:1903047,GO:1990837</t>
  </si>
  <si>
    <t>ko:K11253</t>
  </si>
  <si>
    <t>ko05034,ko05202,ko05322,map05034,map05202,map05322</t>
  </si>
  <si>
    <t>1KZNS@119089,3AREC@33154,3C35X@33208,3DIY9@33213,40GZU@6231,COG2036@1,KOG1745@2759</t>
  </si>
  <si>
    <t>31,0559/30,4348</t>
  </si>
  <si>
    <t>38,5093/40,3727</t>
  </si>
  <si>
    <t>WBGene00010036/WBGene00001831</t>
  </si>
  <si>
    <t>38.5093/40.3727</t>
  </si>
  <si>
    <t>Bm17730</t>
  </si>
  <si>
    <t>WBGene00268872</t>
  </si>
  <si>
    <t>Bm8972</t>
  </si>
  <si>
    <t>WBGene00229233</t>
  </si>
  <si>
    <t>note=contains_similarity_to_Pfam_domain_PF12697_Alpha/beta_hydrolase_family_contains_similarity_to_Interpro_domains_IPR000073_(Alpha/beta_hydrolase_fold-1),_IPR029058_(Alpha/Beta_hydrolase_fold)</t>
  </si>
  <si>
    <t>7209.EJD73683.1</t>
  </si>
  <si>
    <t>1.3e-148</t>
  </si>
  <si>
    <t>532.3</t>
  </si>
  <si>
    <t>ko:K18399</t>
  </si>
  <si>
    <t>1KURX@119089,395X5@33154,3B9R5@33208,3CT8Y@33213,40FNG@6231,COG0596@1,KOG2984@2759</t>
  </si>
  <si>
    <t>alpha/beta hydrolase fold</t>
  </si>
  <si>
    <t>43,4629/48,4099/50,53</t>
  </si>
  <si>
    <t>51,9435/51,5901</t>
  </si>
  <si>
    <t>WBGene00019280</t>
  </si>
  <si>
    <t>43.4629</t>
  </si>
  <si>
    <t>Bm17184</t>
  </si>
  <si>
    <t>WBGene00268327</t>
  </si>
  <si>
    <t>83,3333/81,0078/50,7752</t>
  </si>
  <si>
    <t>Bm6520</t>
  </si>
  <si>
    <t>WBGene00226781</t>
  </si>
  <si>
    <t>GO:0000166/GO:0003924/GO:0005525/GO:0016020/GO:0016021/</t>
  </si>
  <si>
    <t>GTP_binding/GTPase_activity/integral_component_of_membrane/membrane/nucleotide_binding/</t>
  </si>
  <si>
    <t>A_lipid_bilayer_along_with_all_the_proteins_and_protein_complexes_embedded_in_it_an_attached_to_it._[GOC:dos,_GOC:mah,_ISBN:0815316194]/"Catalysis_of_the_reaction:_GTP_+_H2O_=_GDP_+_phosphate."_[ISBN:0198547684]/"Interacting_selectively_and_non-covalently_with_GTP,_guanosine_triphosphate."_[GOC:ai]/"Interacting_selectively_and_non-covalently_with_a_nucleotide,_any_compound_consisting_of_a_nucleoside_that_is_esterified_with_(ortho)phosphate_or_an_oligophosphate_at_any_hydroxyl_group_on_the_ribose_or_deoxyribose."_[GOC:mah,_ISBN:0198547684]/"The_component_of_a_membrane_consisting_of_the_gene_products_and_protein_complexes_having_at_least_some_part_of_their_peptide_sequence_embedded_in_the_hydrophobic_region_of_the_membrane."_[GOC:dos,_GOC:go_curators]/</t>
  </si>
  <si>
    <t>IPR015894/IPR027417/IPR030386/IPR036543/</t>
  </si>
  <si>
    <t>GB1/RHD3-type_guanine_nucleotide-binding_(G)_domain/Guanylate-binding_protein,_C-terminal_domain_superfamily/Guanylate-binding_protein,_N-terminal/P-loop_containing_nucleoside_triphosphate_hydrolase/</t>
  </si>
  <si>
    <t>G_GB1_RHD3_dom/Guanylate-bd_C_sf/Guanylate-bd_N/P-loop_NTPase/</t>
  </si>
  <si>
    <t>note=B._malayi_BMA-ATLN-2_protein,_contains_similarity_to_Pfam_domain_PF02263_Guanylate-binding_protein,_N-terminal_domain_contains_similarity_to_Interpro_domains_IPR015894_(Guanylate-binding_protein,_N-terminal),_IPR027417_(P-loop_containing_nucleoside_triphosphate_hydrolase),_IPR003191_(Guanylate-binding_protein,_C-terminal)</t>
  </si>
  <si>
    <t>7209.EJD76657.1</t>
  </si>
  <si>
    <t>5.6e-278</t>
  </si>
  <si>
    <t>963.0</t>
  </si>
  <si>
    <t>ko:K17339</t>
  </si>
  <si>
    <t>1KTQ6@119089,39Y7N@33154,3BNTH@33208,3D5VV@33213,40BX0@6231,KOG2037@1,KOG2037@2759</t>
  </si>
  <si>
    <t>Guanylate-binding protein, N-terminal domain</t>
  </si>
  <si>
    <t>49,8047/42,1875</t>
  </si>
  <si>
    <t>47,0703/47,0703</t>
  </si>
  <si>
    <t>43,75/53,5156</t>
  </si>
  <si>
    <t>10,1562/20,7031</t>
  </si>
  <si>
    <t>20,3125/18,5547/18,3594/32,2266/18,5547/18,1641/17,9688</t>
  </si>
  <si>
    <t>21,0938/18,9453/18,9453/19,1406/18,75/17,3828/15,625/18,5547/18,3594/18,5547/32,2266/17,3828/17,9688/16,0156</t>
  </si>
  <si>
    <t>19,3359/17,1875/17,1875/18,1641/19,3359/18,75/31,25/18,5547</t>
  </si>
  <si>
    <t>WBGene00012763</t>
  </si>
  <si>
    <t>58.0078</t>
  </si>
  <si>
    <t>Bm3538</t>
  </si>
  <si>
    <t>WBGene00223799</t>
  </si>
  <si>
    <t>GO:0000166/GO:0000922/GO:0003774/GO:0003777/GO:0005524/GO:0005819/GO:0005874/GO:0007018/GO:0008017/GO:0051233/GO:1902845/</t>
  </si>
  <si>
    <t>ATP_binding/microtubule/microtubule-based_movement/microtubule_binding/microtubule_motor_activity/motor_activity/negative_regulation_of_mitotic_spindle_elongation/nucleotide_binding/spindle/spindle_midzone/spindle_pole/</t>
  </si>
  <si>
    <t>A_microtubule-based_process_that_results_in_the_movement_of_organelles,_other_microtubules,_or_other_cellular_components.__Examples_include_motor-driven_movement_along_microtubules_and_movement_driven_by_polymerization_or_depolymerization_of_microtubules._[GOC:cjm,_ISBN:0815316194]/"Any_of_the_long,_generally_straight,_hollow_tubes_of_internal_diameter_12-15_nm_and_external_diameter_24_nm_found_in_a_wide_variety_of_eukaryotic_cells;_each_consists_(usually)_of_13_protofilaments_of_polymeric_tubulin,_staggered_in_such_a_manner_that_the_tubulin_monomers_are_arranged_in_a_helical_pattern_on_the_microtubular_surface,_and_with_the_alpha/beta_axes_of_the_tubulin_subunits_parallel_to_the_long_axis_of_the_tubule;_exist_in_equilibrium_with_pool_of_tubulin_monomers_and_can_be_rapidly_assembled_or_disassembled_in_response_to_physiological_stimuli;_concerned_with_force_generation,_e.g._in_the_spindle."_[ISBN:0879693568]/"Any_process_that_stops,_prevents_or_reduces_the_frequency,_rate_or_extent_of_mitotic_spindle_elongation."_[GO_REF:0000058,_GOC:TermGenie,_PMID:23087209]/"Catalysis_of_movement_along_a_microtubule,_coupled_to_the_hydrolysis_of_a_nucleoside_triphosphate_(usually_ATP)."_[GOC:mah,_ISBN:0815316194]/"Catalysis_of_the_generation_of_force_resulting_either_in_movement_along_a_microfilament_or_microtubule,_or_in_torque_resulting_in_membrane_scission,_coupled_to_the_hydrolysis_of_a_nucleoside_triphosphate."_[GOC:mah,_GOC:vw,_ISBN:0815316194,_PMID:11242086]/"Either_of_the_ends_of_a_spindle,_where_spindle_microtubules_are_organized;_usually_contains_a_microtubule_organizing_center_and_accessory_molecules,_spindle_microtubules_and_astral_microtubules."_[GOC:clt]/"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microtubules,_filaments_composed_of_tubulin_monomers."_[GOC:krc]/"The_area_in_the_center_of_the_spindle_where_the_spindle_microtubules_from_opposite_poles_overlap."_[GOC:ai,_PMID:15296749]/"The_array_of_microtubules_and_associated_molecules_that_forms_between_opposite_poles_of_a_eukaryotic_cell_during_mitosis_or_meiosis_and_serves_to_move_the_duplicated_chromosomes_apart."_[ISBN:0198547684]/</t>
  </si>
  <si>
    <t>note=B._malayi_BMA-BMK-1_protein,_contains_similarity_toPfam_domain_PF00225_Kinesin_motor_domain_containssimilarity_to_Interpro_domains_IPR027417_(P-loopcontaining_nucleoside_triphosphate_hydrolase),_IPR001752(Kinesin_motor_domain),_IPR027640_(Kinesin-like_protein)</t>
  </si>
  <si>
    <t>7209.EJD76732.1</t>
  </si>
  <si>
    <t>1370.5</t>
  </si>
  <si>
    <t>bmk-1</t>
  </si>
  <si>
    <t>GO:0000922,GO:0003674,GO:0003774,GO:0003777,GO:0003824,GO:0005488,GO:0005515,GO:0005575,GO:0005622,GO:0005623,GO:0005819,GO:0005856,GO:0007088,GO:0007346,GO:0008150,GO:0008574,GO:0010564,GO:0010639,GO:0010948,GO:0015630,GO:0016462,GO:0016787,GO:0016817,GO:0016818,GO:0016887,GO:0017111,GO:0032886,GO:0032887,GO:0032888,GO:0033043,GO:0033044,GO:0033045,GO:0033046,GO:0033047,GO:0033048,GO:0042623,GO:0043226,GO:0043228,GO:0043229,GO:0043232,GO:0044422,GO:0044424,GO:0044430,GO:0044446,GO:0044464,GO:0045786,GO:0045839,GO:0045930,GO:0048519,GO:0048523,GO:0050789,GO:0050794,GO:0051128,GO:0051129,GO:0051233,GO:0051493,GO:0051494,GO:0051726,GO:0051783,GO:0051784,GO:0051983,GO:0051985,GO:0060236,GO:0065007,GO:0070507,GO:0090224,GO:1902845,GO:1990939,GO:2001251</t>
  </si>
  <si>
    <t>ko:K10398</t>
  </si>
  <si>
    <t>1KUCA@119089,39J7K@33154,3BFQS@33208,3CRYP@33213,40B19@6231,COG5059@1,KOG0243@2759</t>
  </si>
  <si>
    <t>20,3445/20,0215</t>
  </si>
  <si>
    <t>28,0947/28,5253</t>
  </si>
  <si>
    <t>21,7438/28,9559/29,0635/28,31/28,5253/28,8482/29,2788</t>
  </si>
  <si>
    <t>7,3197/31,1087</t>
  </si>
  <si>
    <t>26,6954/5,8127</t>
  </si>
  <si>
    <t>WBGene00000257</t>
  </si>
  <si>
    <t>29.1712</t>
  </si>
  <si>
    <t>meiosis/mitosis_spindle_elongation</t>
  </si>
  <si>
    <t>Bm12914</t>
  </si>
  <si>
    <t>WBGene00233175</t>
  </si>
  <si>
    <t>76,7123/76,7123</t>
  </si>
  <si>
    <t>Bm13019</t>
  </si>
  <si>
    <t>WBGene00233280</t>
  </si>
  <si>
    <t>IPR000082/IPR036364/</t>
  </si>
  <si>
    <t>SEA_domain/SEA_domain_superfamily/</t>
  </si>
  <si>
    <t>SEA_dom/SEA_dom_sf/</t>
  </si>
  <si>
    <t>note=contains_similarity_to_Interpro_domain_IPR000082_(SEA_domain)</t>
  </si>
  <si>
    <t>7209.EFO17343.1</t>
  </si>
  <si>
    <t>6.1e-61</t>
  </si>
  <si>
    <t>241.1</t>
  </si>
  <si>
    <t>1KXG0@119089,2C1HC@1,2SCQU@2759,3AE9H@33154,3BWNM@33208,3DCRG@33213,40F3C@6231</t>
  </si>
  <si>
    <t>SEA domain</t>
  </si>
  <si>
    <t>Bm10887</t>
  </si>
  <si>
    <t>WBGene00231148</t>
  </si>
  <si>
    <t>1.8e-18</t>
  </si>
  <si>
    <t>100.1</t>
  </si>
  <si>
    <t>Bm12854</t>
  </si>
  <si>
    <t>WBGene00233115</t>
  </si>
  <si>
    <t>Bm9197</t>
  </si>
  <si>
    <t>WBGene00229458</t>
  </si>
  <si>
    <t>7209.EFO23258.1</t>
  </si>
  <si>
    <t>1M0HE@119089,2EVU9@1,2SXRN@2759,3AUG9@33154,3C59G@33208,3DKGR@33213,40H4I@6231</t>
  </si>
  <si>
    <t>WBGene00017666</t>
  </si>
  <si>
    <t>28.777</t>
  </si>
  <si>
    <t>Bm5967</t>
  </si>
  <si>
    <t>WBGene00226228</t>
  </si>
  <si>
    <t>IPR010756/</t>
  </si>
  <si>
    <t>Telomere_length_and_silencing_protein_1/</t>
  </si>
  <si>
    <t>Tls1/</t>
  </si>
  <si>
    <t>note=contains_similarity_to_Pfam_domain_PF07052_Hepatocellular_carcinoma-associated_antigen_59_contains_similarity_to_Interpro_domain_IPR010756_(Hepatocellular_carcinoma-associated_antigen_59)</t>
  </si>
  <si>
    <t>7209.EFO17373.2</t>
  </si>
  <si>
    <t>2.9e-103</t>
  </si>
  <si>
    <t>381.7</t>
  </si>
  <si>
    <t>1KWS6@119089,38E1Z@33154,3BHSZ@33208,3CTNH@33213,40EA8@6231,KOG3345@1,KOG3345@2759</t>
  </si>
  <si>
    <t>Hepatocellular carcinoma-associated antigen 59</t>
  </si>
  <si>
    <t>91,1972/91,1972</t>
  </si>
  <si>
    <t>32,3944/34,8592</t>
  </si>
  <si>
    <t>35,2113/35,5634/35,2113/35,2113</t>
  </si>
  <si>
    <t>WBGene00011969</t>
  </si>
  <si>
    <t>29.9296</t>
  </si>
  <si>
    <t>Bm13988</t>
  </si>
  <si>
    <t>WBGene00234249</t>
  </si>
  <si>
    <t>/GO:0000439/GO:0005634/GO:0005675/GO:0006281/GO:0006289/GO:0006351/GO:0008270/GO:0046872/</t>
  </si>
  <si>
    <t>/DNA_repair/metal_ion_binding/nucleotide-excision_repair/nucleus/transcription,_DNA-templated/transcription_factor_TFIIH_core_complex/transcription_factor_TFIIH_holo_complex/zinc_ion_binding/</t>
  </si>
  <si>
    <t>/"A_DNA_repair_process_in_which_a_small_region_of_the_strand_surrounding_the_damage_is_removed_from_the_DNA_helix_as_an_oligonucleotide._The_small_gap_left_in_the_DNA_helix_is_filled_in_by_the_sequential_action_of_DNA_polymerase_and_DNA_ligase._Nucleotide_excision_repair_recognizes_a_wide_range_of_substrates,_including_damage_caused_by_UV_irradiation_(pyrimidine_dimers_and_6-4_photoproducts)_and_chemicals_(intrastrand_cross-links_and_bulky_adducts)."_[PMID:10197977]/"A_complex_that_is_capable_of_kinase_activity_directed_towards_the_C-terminal_Domain_(CTD)_of_the_largest_subunit_of_RNA_polymerase_II_and_is_essential_for_initiation_at_RNA_polymerase_II_promoters_in_vitro._It_is_composed_of__the_core_TFIIH_complex_and_the_TFIIK_complex."_[GOC:ew,_GOC:krc,_PMID:14500720,_PMID:22308316,_PMID:22572993,_PMID:7813015]/"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Interacting_selectively_and_non-covalently_with_any_metal_ion."_[GOC:ai]/"Interacting_selectively_and_non-covalently_with_zinc_(Zn)_ions."_[GOC:ai]/"The_7_subunit_core_of_TFIIH_that_is_a_part_of_either_the_general_transcription_factor_holo-TFIIH_or_the_nucleotide-excision_repair_factor_3_complex._In_S._cerevisiae/humans_the_complex_is_composed_of:_Ssl2/XPB,_Tfb1/p62,_Tfb2/p52,_Ssl1/p44,_Tfb4/p34,_Tfb5/p8_and_Rad3/XPD."_[GOC:ew,_GOC:krc,_PMID:14500720,_PMID:17215295,_PMID:22308316,_PMID:22572993,_PMID:23028141,_PMID:7813015]/"The_cellular_synthesis_of_RNA_on_a_template_of_DNA."_[GOC:jl,_GOC:txnOH]/"The_process_of_restoring_DNA_after_damage._Genomes_are_subject_to_damage_by_chemical_and_physical_agents_in_the_environment_(e.g._UV_and_ionizing_radiations,_chemical_mutagens,_fungal_and_bacterial_toxins,_etc.)_and_by_free_radicals_or_alkylating_agents_endogenously_generated_in_metabolism._DNA_is_also_damaged_because_of_errors_during_its_replication._A_variety_of_different_DNA_repair_pathways_have_been_reported_that_include_direct_reversal,_base_excision_repair,_nucleotide_excision_repair,_photoreactivation,_bypass,_double-strand_break_repair_pathway,_and_mismatch_repair_pathway."_[PMID:11563486]/</t>
  </si>
  <si>
    <t>IPR002035/IPR004595/IPR007198/IPR012170/IPR013083/IPR036465/</t>
  </si>
  <si>
    <t>Ssl1-like/TFIIH_C1-like_domain/TFIIH_subunit_Ssl1/p44/Zinc_finger,_RING/FYVE/PHD-type/von_Willebrand_factor,_type_A/von_Willebrand_factor_A-like_domain_superfamily/</t>
  </si>
  <si>
    <t>Ssl1-like/TFIIH_C1-like_dom/TFIIH_SSL1/p44/VWF_A/Znf_RING/FYVE/PHD/vWFA_dom_sf/</t>
  </si>
  <si>
    <t>note=contains_similarity_to_Pfam_domain_PF04056_Ssl1-like_contains_similarity_to_Interpro_domains_IPR012170_(TFIIH_subunit_Ssl1/p44),_IPR007198_(Ssl1-like),_IPR002035_(von_Willebrand_factor,_type_A)</t>
  </si>
  <si>
    <t>7209.EJD75581.1</t>
  </si>
  <si>
    <t>2.3e-204</t>
  </si>
  <si>
    <t>ko:K03142,ko:K14766</t>
  </si>
  <si>
    <t>ko00000,ko00001,ko00002,ko03009,ko03021,ko03400</t>
  </si>
  <si>
    <t>1M8G4@119089,38CIQ@33154,3BB63@33208,3CUR6@33213,40AMW@6231,COG5151@1,KOG2147@1,KOG2147@2759,KOG2807@2759</t>
  </si>
  <si>
    <t>TFIIH C1-like domain</t>
  </si>
  <si>
    <t>49,7382/21,466</t>
  </si>
  <si>
    <t>19,8953/16,4921</t>
  </si>
  <si>
    <t>38,7435/41,3613/41,8848</t>
  </si>
  <si>
    <t>29,8429/28,7958</t>
  </si>
  <si>
    <t>WBGene00011814</t>
  </si>
  <si>
    <t>51.5707</t>
  </si>
  <si>
    <t>Bm8405</t>
  </si>
  <si>
    <t>WBGene00228666</t>
  </si>
  <si>
    <t>GO:0003810/GO:0018149/</t>
  </si>
  <si>
    <t>peptide_cross-linking/protein-glutamine_gamma-glutamyltransferase_activity/</t>
  </si>
  <si>
    <t>Catalysis_of_the_reaction:_protein_glutamine_+_alkylamine_=_protein_N5-alkylglutamine_+_NH3._This_reaction_is_the_formation_of_the_N6-(L-isoglutamyl)-L-lysine_isopeptide,_resulting_in_cross-linking_polypeptide_chains;_the_gamma-carboxamide_groups_of_peptidyl-glutamine_residues_act_as_acyl_donors,_and_the_6-amino-groups_of_peptidyl-lysine_residues_act_as_acceptors,_to_give_intra-_and_intermolecular_N6-(5-glutamyl)lysine_cross-links._[EC:2.3.2.13,_RESID:AA0124]/"The_formation_of_a_covalent_cross-link_between_or_within_protein_chains."_[GOC:jsg]/</t>
  </si>
  <si>
    <t>IPR001102/IPR002931/IPR013783/IPR014756/IPR036238/IPR036985/IPR038765/</t>
  </si>
  <si>
    <t>Immunoglobulin-like_fold/Immunoglobulin_E-set/Papain-like_cysteine_peptidase_superfamily/Transglutaminase,_C-terminal_domain_superfamily/Transglutaminase,_N-terminal/Transglutaminase-like/Transglutaminase-like_superfamily/</t>
  </si>
  <si>
    <t>Ig-like_fold/Ig_E-set/Papain_like_cys_pep_sf/Transglutaminase-like/Transglutaminase-like_sf/Transglutaminase_C_sf/Transglutaminase_N/</t>
  </si>
  <si>
    <t>7739.XP_002605645.1</t>
  </si>
  <si>
    <t>8.5e-31</t>
  </si>
  <si>
    <t>143.3</t>
  </si>
  <si>
    <t>Chordata</t>
  </si>
  <si>
    <t>2CD5G@1,2QQ46@2759,38DTB@33154,3B9AA@33208,3CRPR@33213,487Q2@7711</t>
  </si>
  <si>
    <t>protein-glutamine gamma-glutamyltransferase activity</t>
  </si>
  <si>
    <t>8,9725/8,82779</t>
  </si>
  <si>
    <t>3,61794/5,93343</t>
  </si>
  <si>
    <t>8,53835/9,40666/10,8538/9,84081/8,39363/9,26194/9,91317/8,90014/10,1302</t>
  </si>
  <si>
    <t>9,84081/9,26194/10,1302/8,17656/9,11722/9,55137/10,1302/9,84081/9,47902</t>
  </si>
  <si>
    <t>10,2026/9,47902/9,98553/10,275/11,288/9,3343/10,4197/9,69609/10,8538/9,26194/9,55137/10,1302/8,90014/9,76845/9,04486</t>
  </si>
  <si>
    <t>Bm3750</t>
  </si>
  <si>
    <t>WBGene00224011</t>
  </si>
  <si>
    <t>note=contains_similarity_to_Pfam_domain_PF04870_Moultingcycle_contains_similarity_to_Interpro_domain_IPR006954(Moulting_cycle_MLT-10-like_protein)</t>
  </si>
  <si>
    <t>7209.EFO15811.1</t>
  </si>
  <si>
    <t>1e-197</t>
  </si>
  <si>
    <t>696.8</t>
  </si>
  <si>
    <t>1KY6G@119089,2CZZU@1,2SC9C@2759,3AI46@33154,3BZI8@33208,3DFWT@33213,40FUP@6231</t>
  </si>
  <si>
    <t>26,7176/19,084/16,3359/26,1069/27,0229/27,0229/24,2748</t>
  </si>
  <si>
    <t>15,5725/26,7176/25,6489/26,8702/23,2061/14,3511/26,7176/19,542/24,1221/17,0992/23,8168/24,2748/17,7099/12,9771/8,54962/27,0229</t>
  </si>
  <si>
    <t>9,16031/20,7634/17,5573/18,626</t>
  </si>
  <si>
    <t>27,9389/13,4351/14,0458/27,4809/7,17557</t>
  </si>
  <si>
    <t>10,9924/17,8626/9,16031/13,5878/11,145/10,0763/10,9924/19,542/16,4886/16,4886/17,7099/28,7023/29,313</t>
  </si>
  <si>
    <t>11,4504/19,084/16,7939</t>
  </si>
  <si>
    <t>12,0611/13,5878</t>
  </si>
  <si>
    <t>8,39695/25,9542/9,92366/31,145/23,8168/22,4427</t>
  </si>
  <si>
    <t>25,0382/27,3282/27,3282/27,0229/27,4809/27,3282/23,9695/28,3969</t>
  </si>
  <si>
    <t>WBGene00012310/WBGene00021451/WBGene00012200/WBGene00012199/WBGene00044074/WBGene00021450/WBGene00013126/WBGene00009311</t>
  </si>
  <si>
    <t>25.0382/27.3282/27.3282/27.0229/27.4809/27.3282/23.9695/28.3969</t>
  </si>
  <si>
    <t>Bm3901</t>
  </si>
  <si>
    <t>WBGene00224162</t>
  </si>
  <si>
    <t>GO:0006614/GO:0008312/GO:0048500/</t>
  </si>
  <si>
    <t>7S_RNA_binding/SRP-dependent_cotranslational_protein_targeting_to_membrane/signal_recognition_particle/</t>
  </si>
  <si>
    <t>A_complex_of_protein_and_RNA_which_facilitates_translocation_of_proteins_across_membranes._[GOC:mlg]/"Interacting_selectively_and_non-covalently_with_7S_RNA,_the_RNA_component_of_the_signal_recognition_particle_(SRP)."_[GOC:jl,_PMID:6181418]/"The_targeting_of_proteins_to_a_membrane_that_occurs_during_translation_and_is_dependent_upon_two_key_components,_the_signal-recognition_particle_(SRP)_and_the_SRP_receptor._SRP_is_a_cytosolic_particle_that_transiently_binds_to_the_endoplasmic_reticulum_(ER)_signal_sequence_in_a_nascent_protein,_to_the_large_ribosomal_unit,_and_to_the_SRP_receptor_in_the_ER_membrane."_[ISBN:0716731363]/</t>
  </si>
  <si>
    <t>IPR002778/IPR036521/</t>
  </si>
  <si>
    <t>Signal_recognition_particle,_SRP19_subunit/Signal_recognition_particle,_subunit_SRP19-like_superfamily/</t>
  </si>
  <si>
    <t>SRP19-like_sf/Signal_recog_particle_SRP19/</t>
  </si>
  <si>
    <t>note=contains_similarity_to_Pfam_domain_PF01922_SRP19_protein_contains_similarity_to_Interpro_domain_IPR002778_(Signal_recognition_particle,_SRP19_subunit)</t>
  </si>
  <si>
    <t>7209.EFO19597.1</t>
  </si>
  <si>
    <t>1.1e-58</t>
  </si>
  <si>
    <t>232.6</t>
  </si>
  <si>
    <t>ko:K03105</t>
  </si>
  <si>
    <t>ko00000,ko00001,ko02044</t>
  </si>
  <si>
    <t>3.A.5.7,3.A.5.9</t>
  </si>
  <si>
    <t>1KX5F@119089,3A02P@33154,3BPGP@33208,3D6NV@33213,40EM5@6231,COG1400@1,KOG3198@2759</t>
  </si>
  <si>
    <t>SRP19 protein</t>
  </si>
  <si>
    <t>43,1507/41,7808/44,5205</t>
  </si>
  <si>
    <t>WBGene00018159</t>
  </si>
  <si>
    <t>41.0959</t>
  </si>
  <si>
    <t>Bm17549</t>
  </si>
  <si>
    <t>WBGene00268692</t>
  </si>
  <si>
    <t>2e-12</t>
  </si>
  <si>
    <t>30,2251/49,5177</t>
  </si>
  <si>
    <t>51,1254/32,7974/27,6527/49,8392/48,8746/48,2315</t>
  </si>
  <si>
    <t>Bm18208</t>
  </si>
  <si>
    <t>WBGene00269357</t>
  </si>
  <si>
    <t>IPR003598/IPR003599/IPR007110/IPR013098/IPR013783/IPR036179/</t>
  </si>
  <si>
    <t>Immunoglobulin-like_domain/Immunoglobulin-like_domain_superfamily/Immunoglobulin-like_fold/Immunoglobulin_I-set/Immunoglobulin_subtype/Immunoglobulin_subtype_2/</t>
  </si>
  <si>
    <t>Ig-like_dom/Ig-like_dom_sf/Ig-like_fold/Ig_I-set/Ig_sub/Ig_sub2/</t>
  </si>
  <si>
    <t>7209.EJD76234.1</t>
  </si>
  <si>
    <t>9.4e-151</t>
  </si>
  <si>
    <t>540.0</t>
  </si>
  <si>
    <t>rig-5</t>
  </si>
  <si>
    <t>1KV39@119089,39RYB@33154,3BEBW@33208,3D12F@33213,40CCK@6231,KOG3510@1,KOG3510@2759</t>
  </si>
  <si>
    <t>Immunoglobulin domain</t>
  </si>
  <si>
    <t>27,0732/24,878</t>
  </si>
  <si>
    <t>18,5366/17,3171/18,5366/17,3171/17,8049</t>
  </si>
  <si>
    <t>18,2927/17,8049/18,7805/17,561/17,3171</t>
  </si>
  <si>
    <t>11,7073/17,8049/15,8537/17,0732</t>
  </si>
  <si>
    <t>WBGene00004372</t>
  </si>
  <si>
    <t>43.9024</t>
  </si>
  <si>
    <t>Bm9694</t>
  </si>
  <si>
    <t>WBGene00229955</t>
  </si>
  <si>
    <t>IPR021717/</t>
  </si>
  <si>
    <t>Nucleoporin_Nup120/160/</t>
  </si>
  <si>
    <t>Nucleoporin_Nup160/</t>
  </si>
  <si>
    <t>note=B._malayi_BMA-NPP-6_protein</t>
  </si>
  <si>
    <t>7209.EFO22252.2</t>
  </si>
  <si>
    <t>2421.7</t>
  </si>
  <si>
    <t>GO:0005575,GO:0005622,GO:0005623,GO:0005634,GO:0005635,GO:0005643,GO:0006996,GO:0006997,GO:0007275,GO:0008104,GO:0008150,GO:0009790,GO:0009792,GO:0009987,GO:0012505,GO:0016020,GO:0016043,GO:0031090,GO:0031965,GO:0031967,GO:0031975,GO:0032501,GO:0032502,GO:0032991,GO:0033036,GO:0033365,GO:0034501,GO:0034502,GO:0034504,GO:0034613,GO:0043226,GO:0043227,GO:0043229,GO:0043231,GO:0044422,GO:0044424,GO:0044428,GO:0044446,GO:0044464,GO:0048856,GO:0051179,GO:0051641,GO:0070727,GO:0071459,GO:0071840,GO:0090435</t>
  </si>
  <si>
    <t>ko:K14303</t>
  </si>
  <si>
    <t>M00427</t>
  </si>
  <si>
    <t>ko00000,ko00001,ko00002,ko03019,ko03036</t>
  </si>
  <si>
    <t>1.I.1</t>
  </si>
  <si>
    <t>1KYI7@119089,38EKK@33154,3BCME@33208,3CXCW@33213,40F9W@6231,KOG4521@1,KOG4521@2759</t>
  </si>
  <si>
    <t>Nucleoporin Nup120/160</t>
  </si>
  <si>
    <t>87,6844/89,6755</t>
  </si>
  <si>
    <t>61,6519/82,0796/82,0796</t>
  </si>
  <si>
    <t>21,9764/21,9764/12,6106</t>
  </si>
  <si>
    <t>14,9705/14,9705</t>
  </si>
  <si>
    <t>13,7168/8,33333</t>
  </si>
  <si>
    <t>WBGene00003792</t>
  </si>
  <si>
    <t>17.7729</t>
  </si>
  <si>
    <t>Bm2838</t>
  </si>
  <si>
    <t>WBGene00223099</t>
  </si>
  <si>
    <t>GO:0003677/GO:0003697/GO:0003899/GO:0005666/GO:0006351/</t>
  </si>
  <si>
    <t>DNA-directed_5'-3'_RNA_polymerase_activity/DNA_binding/RNA_polymerase_III_complex/single-stranded_DNA_binding/transcription,_DNA-templated/</t>
  </si>
  <si>
    <t>Any_molecular_function_by_which_a_gene_product_interacts_selectively_and_non-covalently_with_DNA_(deoxyribonucleic_acid)._[GOC:dph,_GOC:jl,_GOC:tb,_GOC:vw]/"Catalysis_of_the_reaction:_nucleoside_triphosphate_+_RNA(n)_=_diphosphate_+_RNA(n+1)._Utilizes_a_DNA_template,_i.e._the_catalysis_of_DNA-template-directed_extension_of_the_3'-end_of_an_RNA_strand_by_one_nucleotide_at_a_time._Can_initiate_a_chain_'de_novo'."_[EC:2.7.7.6,_GOC:pf]/"Interacting_selectively_and_non-covalently_with_single-stranded_DNA."_[GOC:elh,_GOC:vw,_PMID:22976174]/"RNA_polymerase_III,_one_of_three_nuclear_DNA-directed_RNA_polymerases_found_in_all_eukaryotes,_is_a_multisubunit_complex;_typically_it_produces_5S_rRNA,_tRNAs_and_some_of_the_small_nuclear_RNAs._Two_large_subunits_comprise_the_most_conserved_portion_including_the_catalytic_site_and_share_similarity_with_other_eukaryotic_and_bacterial_multisubunit_RNA_polymerases._The_remainder_of_the_complex_is_composed_of_smaller_subunits_(generally_ten_or_more),_some_of_which_are_also_found_in_RNA_polymerase_I_and_others_of_which_are_also_found_in_RNA_polymerases_I_and_II._Although_the_core_is_competent_to_mediate_ribonucleic_acid_synthesis,_it_requires_additional_factors_to_select_the_appropriate_template."_[GOC:krc,_GOC:mtg_sensu]/"The_cellular_synthesis_of_RNA_on_a_template_of_DNA."_[GOC:jl,_GOC:txnOH]/</t>
  </si>
  <si>
    <t>IPR008806/IPR013197/IPR036388/IPR039748/</t>
  </si>
  <si>
    <t>DNA-directed_RNA_polymerase_III_subunit_RPC3/RNA_polymerase_III_Rpc82,_C_-terminal/RNA_polymerase_III_subunit_RPC82-related,_helix-turn-helix/Winged_helix-like_DNA-binding_domain_superfamily/</t>
  </si>
  <si>
    <t>RNA_pol_III_RPC82-rel_HTH/RNA_pol_III_Rpc82_C/RPC3/WH-like_DNA-bd_sf/</t>
  </si>
  <si>
    <t>note=contains_similarity_to_Pfam_domains_PF08221_(RNA_polymerase_III_subunit_RPC82_helix-turn-helix_domain),_PF05645_(RNA_polymerase_III_subunit_RPC82)_contains_similarity_to_Interpro_domains_IPR011991_(Winged_helix-turn-helix_DNA-binding_domain),_IPR013197_(RNA_polymerase_III_subunit_RPC82-related,_helix-turn-helix),_IPR008806_(RNA_polymerase_III_Rpc82,_C_-terminal)</t>
  </si>
  <si>
    <t>7209.EJD74152.1</t>
  </si>
  <si>
    <t>6.5e-266</t>
  </si>
  <si>
    <t>922.9</t>
  </si>
  <si>
    <t>ko:K03023</t>
  </si>
  <si>
    <t>1KXX8@119089,38F2V@33154,3BF6E@33208,3D0CE@33213,40FZP@6231,KOG2587@1,KOG2587@2759</t>
  </si>
  <si>
    <t>RNA polymerase III subunit RPC82</t>
  </si>
  <si>
    <t>36,4162/36,2235</t>
  </si>
  <si>
    <t>WBGene00016750</t>
  </si>
  <si>
    <t>39.8844</t>
  </si>
  <si>
    <t>Bm7313</t>
  </si>
  <si>
    <t>WBGene00227574</t>
  </si>
  <si>
    <t>note=contains_similarity_to_Pfam_domain_PF00017_SH2_domain_contains_similarity_to_Interpro_domain_IPR000980_(SH2_domain)</t>
  </si>
  <si>
    <t>7209.EFO23008.2</t>
  </si>
  <si>
    <t>2e-211</t>
  </si>
  <si>
    <t>741.9</t>
  </si>
  <si>
    <t>1M8CF@119089,39MKU@33154,3CP7B@33208,3DE0E@33213,40R7S@6231,COG0515@1,KOG0194@2759</t>
  </si>
  <si>
    <t>Tyrosine kinase, catalytic domain</t>
  </si>
  <si>
    <t>44,8/37/33,6</t>
  </si>
  <si>
    <t>30,6/30,4/28,8/31,2/31,4/27/31</t>
  </si>
  <si>
    <t>32,8/33,6/25,6</t>
  </si>
  <si>
    <t>20,8/19/14,6</t>
  </si>
  <si>
    <t>23,8/22,4/14,8</t>
  </si>
  <si>
    <t>7,4/27,2/8,4/28/27,2/23,2/27,2/26,6/22,6/22/27,6/25,2/27,2/28,2/9,6/28/27,2</t>
  </si>
  <si>
    <t>26,2/30/24,8/29,4/24,4</t>
  </si>
  <si>
    <t>24/29,8/28,2</t>
  </si>
  <si>
    <t>WBGene00002194/WBGene00018999/WBGene00002208</t>
  </si>
  <si>
    <t>24/29.8/28.2</t>
  </si>
  <si>
    <t>Bm1321</t>
  </si>
  <si>
    <t>WBGene00221582</t>
  </si>
  <si>
    <t>Bm7296</t>
  </si>
  <si>
    <t>WBGene00227557</t>
  </si>
  <si>
    <t>IPR000008/IPR035892/</t>
  </si>
  <si>
    <t>C2_domain/C2_domain_superfamily/</t>
  </si>
  <si>
    <t>C2_dom/C2_domain_sf/</t>
  </si>
  <si>
    <t>note=contains_similarity_to_Pfam_domain_PF00168_C2_domain_contains_similarity_to_Interpro_domain_IPR000008_(C2_domain)</t>
  </si>
  <si>
    <t>7209.EFO24185.1</t>
  </si>
  <si>
    <t>1.3e-212</t>
  </si>
  <si>
    <t>745.7</t>
  </si>
  <si>
    <t>GO:0005575,GO:0005622,GO:0005623,GO:0005737,GO:0005814,GO:0005815,GO:0005856,GO:0015630,GO:0043226,GO:0043228,GO:0043229,GO:0043232,GO:0044422,GO:0044424,GO:0044430,GO:0044444,GO:0044446,GO:0044450,GO:0044464</t>
  </si>
  <si>
    <t>1KZ5H@119089,2EJ7C@1,2SPF8@2759,3AKX2@33154,3C0YS@33208,3DH2B@33213,40G9N@6231</t>
  </si>
  <si>
    <t>Protein kinase C conserved region 2 (CalB)</t>
  </si>
  <si>
    <t>WBGene00013742</t>
  </si>
  <si>
    <t>28.6026</t>
  </si>
  <si>
    <t>Bm8667</t>
  </si>
  <si>
    <t>WBGene00228928</t>
  </si>
  <si>
    <t>IPR001005/IPR009057/IPR015216/IPR017877/IPR039110/</t>
  </si>
  <si>
    <t>Homeobox-like_domain_superfamily/KNL2-like/Myb-like_domain/SANT/Myb_domain/SANT_associated/</t>
  </si>
  <si>
    <t>Homeobox-like_sf/KNL2-like/Myb-like_dom/SANT/Myb/SANTA/</t>
  </si>
  <si>
    <t>note=contains_similarity_to_Pfam_domain_PF09133_SANTA_(SANT_Associated)_contains_similarity_to_Interpro_domains_IPR015216_(SANT_associated),_IPR009057_(Homeodomain-like)</t>
  </si>
  <si>
    <t>7209.EFO26068.2</t>
  </si>
  <si>
    <t>1264.6</t>
  </si>
  <si>
    <t>1M0C3@119089,2FGI7@1,2THX0@2759,39E93@33154,3CI6Q@33208,3DZQU@33213,40H9W@6231</t>
  </si>
  <si>
    <t>SANTA (SANT Associated)</t>
  </si>
  <si>
    <t>Bm13801</t>
  </si>
  <si>
    <t>WBGene00234062</t>
  </si>
  <si>
    <t>GO:0005515/GO:0005654/GO:0007094/GO:0009792/GO:0033316/GO:0051726/</t>
  </si>
  <si>
    <t>embryo_development_ending_in_birth_or_egg_hatching/meiotic_spindle_assembly_checkpoint/mitotic_spindle_assembly_checkpoint/nucleoplasm/protein_binding/regulation_of_cell_cycle/</t>
  </si>
  <si>
    <t>A_cell_cycle_checkpoint_that_delays_the_metaphase/anaphase_transition_of_a_meiotic_cell_cycle_until_the_spindle_is_correctly_assembled_and_chromosomes_are_attached_to_the_spindle._[GOC:mah]/"A_cell_cycle_checkpoint_that_delays_the_metaphase/anaphase_transition_of_a_mitotic_nuclear_division_until_the_spindle_is_correctly_assembled_and_chromosomes_are_attached_to_the_spindle."_[GOC:mtg_cell_cycle,_PMID:12360190]/"Any_process_that_modulates_the_rate_or_extent_of_progression_through_the_cell_cycle."_[GOC:ai,_GOC:dph,_GOC:tb]/"Interacting_selectively_and_non-covalently_with_any_protein_or_protein_complex_(a_complex_of_two_or_more_proteins_that_may_include_other_nonprotein_molecules)."_[GOC:go_curators]/"That_part_of_the_nuclear_content_other_than_the_chromosomes_or_the_nucleolus."_[GOC:ma,_ISBN:0124325653]/"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
  </si>
  <si>
    <t>note=B._malayi_BMA-BUB-3_protein,_contains_similarity_toPfam_domain_PF00400_WD_domain,_G-beta_repeat_containssimilarity_to_Interpro_domains_IPR001680_(WD40_repeat),IPR017986_(WD40-repeat-containing_domain),_IPR015943(WD40/YVTN_repeat-like-containing_domain)</t>
  </si>
  <si>
    <t>7209.EFO27412.1</t>
  </si>
  <si>
    <t>1.7e-182</t>
  </si>
  <si>
    <t>GO:0000003,GO:0000075,GO:0000278,GO:0003674,GO:0005488,GO:0005515,GO:0005575,GO:0005622,GO:0005623,GO:0005634,GO:0005654,GO:0007049,GO:0007088,GO:0007093,GO:0007094,GO:0007275,GO:0007346,GO:0008150,GO:0009790,GO:0009792,GO:0009987,GO:0010564,GO:0010639,GO:0010948,GO:0010965,GO:0022402,GO:0022414,GO:0030071,GO:0031577,GO:0031974,GO:0031981,GO:0032501,GO:0032502,GO:0033043,GO:0033044,GO:0033045,GO:0033046,GO:0033047,GO:0033048,GO:0033313,GO:0033316,GO:0040020,GO:0043226,GO:0043227,GO:0043229,GO:0043231,GO:0043233,GO:0044422,GO:0044424,GO:0044428,GO:0044446,GO:0044464,GO:0044779,GO:0045786,GO:0045835,GO:0045839,GO:0045841,GO:0045930,GO:0048519,GO:0048523,GO:0048856,GO:0050789,GO:0050794,GO:0051128,GO:0051129,GO:0051321,GO:0051445,GO:0051447,GO:0051726,GO:0051783,GO:0051784,GO:0051983,GO:0051985,GO:0065007,GO:0070013,GO:0071173,GO:0071174,GO:1901987,GO:1901988,GO:1901990,GO:1901991,GO:1901993,GO:1901994,GO:1902099,GO:1902100,GO:1902102,GO:1902103,GO:1903046,GO:1903047,GO:1905132,GO:1905133,GO:1905818,GO:1905819,GO:2000241,GO:2000242,GO:2000816,GO:2001251</t>
  </si>
  <si>
    <t>ko:K02180</t>
  </si>
  <si>
    <t>ko04110,ko04111,ko05166,map04110,map04111,map05166</t>
  </si>
  <si>
    <t>ko00000,ko00001,ko03036,ko03041</t>
  </si>
  <si>
    <t>1KTVK@119089,38HXP@33154,3BBVG@33208,3D0BV@33213,40CHF@6231,KOG1036@1,KOG1036@2759</t>
  </si>
  <si>
    <t>49,1124/51,7751/51,7751</t>
  </si>
  <si>
    <t>WBGene00013209</t>
  </si>
  <si>
    <t>53.5503</t>
  </si>
  <si>
    <t>meiosis/mitosis_spindle_orientation</t>
  </si>
  <si>
    <t>Bm4240</t>
  </si>
  <si>
    <t>WBGene00224501</t>
  </si>
  <si>
    <t>GO:0005739/GO:0005960/GO:0019464/</t>
  </si>
  <si>
    <t>glycine_cleavage_complex/glycine_decarboxylation_via_glycine_cleavage_system/mitochondrion/</t>
  </si>
  <si>
    <t>A_protein_complex_that_catalyzes_the_reversible_oxidation_of_glycine._In_E._coli,_it_has_four_components:_dihydrolipoamide_dehydrogenase,_glycine_dehydrogenase_(decarboxylating),_lipoyl-GcvH-protein_and_aminomethyltransferase,_also_known_as_L,_P,_H,_and_T._[GOC:mah,_MetaCyc:GCVMULTI-CPLX]/"A_semiautonomous,_self_replicating_organelle_that_occurs_in_varying_numbers,_shapes,_and_sizes_in_the_cytoplasm_of_virtually_all_eukaryotic_cells._It_is_notably_the_site_of_tissue_respiration."_[GOC:giardia,_ISBN:0198506732]/"The_chemical_reactions_and_pathways_resulting_in_the_breakdown_of_glycine_by_oxidative_cleavage_to_carbon_dioxide,_ammonia,_and_a_methylene_group,_mediated_by_enzymes_of_the_glycine_cleavage_complex."_[MetaCyc:GLYCLEAV-PWY]/</t>
  </si>
  <si>
    <t>IPR000089/IPR002930/IPR003016/IPR011053/IPR017453/IPR033753/</t>
  </si>
  <si>
    <t>2-oxo_acid_dehydrogenase,_lipoyl-binding_site/Biotin/lipoyl_attachment/Glycine_cleavage_system_H-protein/Glycine_cleavage_system_H-protein,_subgroup/Glycine_cleavage_system_H-protein/Simiate/Single_hybrid_motif/</t>
  </si>
  <si>
    <t>2-oxoA_DH_lipoyl-BS/Biotin_lipoyl/GCV_H/GCV_H/Fam206/GCV_H_sub/Single_hybrid_motif/</t>
  </si>
  <si>
    <t>note=contains_similarity_to_Pfam_domain_PF01597_Glycine_cleavage_H-protein_contains_similarity_to_Interpro_domains_IPR017453_(Glycine_cleavage_system_H-protein,_subgroup),_IPR011053_(Single_hybrid_motif),_IPR002930_(Glycine_cleavage_system_H-protein)</t>
  </si>
  <si>
    <t>7209.EFO18188.1</t>
  </si>
  <si>
    <t>6e-72</t>
  </si>
  <si>
    <t>276.9</t>
  </si>
  <si>
    <t>ko:K02437</t>
  </si>
  <si>
    <t>ko00260,ko00630,ko01100,ko01110,ko01130,ko01200,map00260,map00630,map01100,map01110,map01130,map01200</t>
  </si>
  <si>
    <t>M00532</t>
  </si>
  <si>
    <t>R01221</t>
  </si>
  <si>
    <t>RC00022,RC02834</t>
  </si>
  <si>
    <t>1KZF4@119089,3A5U5@33154,3BPTR@33208,3D6G9@33213,40DXX@6231,COG0509@1,KOG3373@2759</t>
  </si>
  <si>
    <t>The H protein shuttles the methylamine group of glycine from the P protein to the T protein</t>
  </si>
  <si>
    <t>77,1084/96,3855</t>
  </si>
  <si>
    <t>43,3735/43,3735/43,3735</t>
  </si>
  <si>
    <t>36,1446/39,759/43,9759</t>
  </si>
  <si>
    <t>Bm4024</t>
  </si>
  <si>
    <t>WBGene00224285</t>
  </si>
  <si>
    <t>note=B._malayi_BMA-GRL-4_protein,_contains_similarity_toPfam_domain_PF04155_Ground-like_domain_contains_similarityto_Interpro_domain_IPR007284_(Ground-like_domain)</t>
  </si>
  <si>
    <t>7209.EFO26408.2</t>
  </si>
  <si>
    <t>4.1e-46</t>
  </si>
  <si>
    <t>191.8</t>
  </si>
  <si>
    <t>1KXMU@119089,2E962@1,2SFJM@2759,3AH7Q@33154,3BYGR@33208,3DDB8@33213,40FRX@6231</t>
  </si>
  <si>
    <t>40,8088/40,4412</t>
  </si>
  <si>
    <t>31,6176/68,75</t>
  </si>
  <si>
    <t>32,3529/34,9265/35,2941</t>
  </si>
  <si>
    <t>WBGene00001713</t>
  </si>
  <si>
    <t>42.2794</t>
  </si>
  <si>
    <t>Bm3958</t>
  </si>
  <si>
    <t>WBGene00224219</t>
  </si>
  <si>
    <t>7209.EFO23683.1</t>
  </si>
  <si>
    <t>1.8e-148</t>
  </si>
  <si>
    <t>ko:K16796</t>
  </si>
  <si>
    <t>ko04390,ko04550,map04390,map04550</t>
  </si>
  <si>
    <t>1KW4Z@119089,3931A@33154,3B9QG@33208,3D0C7@33213,40DJP@6231,KOG0527@1,KOG0527@2759</t>
  </si>
  <si>
    <t>95,4424/97,8552</t>
  </si>
  <si>
    <t>13,6729/15,8177</t>
  </si>
  <si>
    <t>24,933/20,1072/25,7373/18,4987/20,1072</t>
  </si>
  <si>
    <t>WBGene00004949</t>
  </si>
  <si>
    <t>26.2735</t>
  </si>
  <si>
    <t>Bm11697</t>
  </si>
  <si>
    <t>WBGene00231958</t>
  </si>
  <si>
    <t>IPR002350/IPR036058/</t>
  </si>
  <si>
    <t>Kazal_domain/Kazal_domain_superfamily/</t>
  </si>
  <si>
    <t>Kazal_dom/Kazal_dom_sf/</t>
  </si>
  <si>
    <t>note=contains_similarity_to_Pfam_domain_PF07648_Kazal-type_serine_protease_inhibitor_domain_contains_similarity_to_Interpro_domain_IPR002350_(Kazal_domain)</t>
  </si>
  <si>
    <t>7209.EFO15539.1</t>
  </si>
  <si>
    <t>6.9e-126</t>
  </si>
  <si>
    <t>457.2</t>
  </si>
  <si>
    <t>1KW2J@119089,3A4CV@33154,3BS0C@33208,3D8YG@33213,40DKK@6231,KOG3649@1,KOG3649@2759</t>
  </si>
  <si>
    <t>Kazal-type serine protease inhibitor domain</t>
  </si>
  <si>
    <t>3,68272/9,63173/7,36544/9,91501/14,1643/13,881/9,06516</t>
  </si>
  <si>
    <t>4,53258/8,78187/7,08215/9,06516/15,0142/13,881/9,63173</t>
  </si>
  <si>
    <t>9,34844/8,49858/7,64873/9,63173/14,4476/13,0312/8,78187</t>
  </si>
  <si>
    <t>WBGene00009257</t>
  </si>
  <si>
    <t>36.2606</t>
  </si>
  <si>
    <t>Bm9861</t>
  </si>
  <si>
    <t>WBGene00230122</t>
  </si>
  <si>
    <t>GO:0003676/GO:0003677/GO:0005634/GO:0006260/GO:0006281/GO:0006310/GO:0046872/</t>
  </si>
  <si>
    <t>DNA_binding/DNA_recombination/DNA_repair/DNA_replication/metal_ion_binding/nucleic_acid_binding/nucleus/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</si>
  <si>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Any_process_in_which_a_new_genotype_is_formed_by_reassortment_of_genes_resulting_in_gene_combinations_different_from_those_that_were_present_in_the_parents._In_eukaryotes_genetic_recombination_can_occur_by_chromosome_assortment,_intrachromosomal_recombination,_or_nonreciprocal_interchromosomal_recombination._Interchromosomal_recombination_occurs_by_crossing_over._In_bacteria_it_may_occur_by_genetic_transformation,_conjugation,_transduction,_or_F-duction."_[ISBN:0198506732]/"Interacting_selectively_and_non-covalently_with_any_metal_ion."_[GOC:ai]/"Interacting_selectively_and_non-covalently_with_any_nucleic_acid."_[GOC:jl]/"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he_process_of_restoring_DNA_after_damage._Genomes_are_subject_to_damage_by_chemical_and_physical_agents_in_the_environment_(e.g._UV_and_ionizing_radiations,_chemical_mutagens,_fungal_and_bacterial_toxins,_etc.)_and_by_free_radicals_or_alkylating_agents_endogenously_generated_in_metabolism._DNA_is_also_damaged_because_of_errors_during_its_replication._A_variety_of_different_DNA_repair_pathways_have_been_reported_that_include_direct_reversal,_base_excision_repair,_nucleotide_excision_repair,_photoreactivation,_bypass,_double-strand_break_repair_pathway,_and_mismatch_repair_pathway."_[PMID:11563486]/</t>
  </si>
  <si>
    <t>IPR004365/IPR004591/IPR007199/IPR012340/IPR013955/IPR031657/</t>
  </si>
  <si>
    <t>Nucleic_acid-binding,_OB-fold/OB-fold_nucleic_acid_binding_domain,_AA-tRNA_synthetase-type/Replication_factor-A_protein_1,_N-terminal/Replication_factor_A,_C-terminal/Replication_factor_A_protein_1/Replication_protein_A,_OB_domain/</t>
  </si>
  <si>
    <t>NA-bd_OB-fold/NA-bd_OB_tRNA/REPA_OB_2/Rep_factor-A_C/Rep_factor-A_N/Rfa1/</t>
  </si>
  <si>
    <t>note=B._malayi_BMA-SDZ-24_protein,_contains_similarity_to_Pfam_domains_PF08646_(Replication_factor-A_C_terminal_domain),_PF01336_(OB-fold_nucleic_acid_binding_domain),_PF04057_(Replication_factor-A_protein_1,_N-terminal_domain)_contains_similarity_to_Interpro_domains_IPR004591_(Replication_factor_A_protein_1),_IPR007199_(Replication_factor-A_protein_1,_N-terminal),_IPR012340_(Nucleic_acid-binding,_OB-fold),_IPR004365_(OB-fold_nucleic_acid_binding_domain,_AA-tRNA_synthetase-type),_IPR013955_(Replication_factor_A,_C-terminal)</t>
  </si>
  <si>
    <t>7209.EFO18545.2</t>
  </si>
  <si>
    <t>1109.4</t>
  </si>
  <si>
    <t>GO:0000228,GO:0003674,GO:0003676,GO:0003677,GO:0003690,GO:0003697,GO:0005488,GO:0005515,GO:0005575,GO:0005622,GO:0005623,GO:0005634,GO:0005654,GO:0005657,GO:0005662,GO:0005694,GO:0006139,GO:0006259,GO:0006260,GO:0006725,GO:0006807,GO:0008150,GO:0008152,GO:0009058,GO:0009059,GO:0009987,GO:0019899,GO:0030894,GO:0031974,GO:0031981,GO:0032991,GO:0032993,GO:0034641,GO:0034645,GO:0043085,GO:0043170,GO:0043226,GO:0043227,GO:0043228,GO:0043229,GO:0043231,GO:0043232,GO:0043233,GO:0043596,GO:0043601,GO:0044093,GO:0044237,GO:0044238,GO:0044249,GO:0044260,GO:0044422,GO:0044424,GO:0044427,GO:0044428,GO:0044446,GO:0044454,GO:0044464,GO:0046483,GO:0050790,GO:0051095,GO:0051096,GO:0051336,GO:0051345,GO:0065007,GO:0065009,GO:0070013,GO:0071704,GO:0090304,GO:0097159,GO:1901360,GO:1901363,GO:1901576</t>
  </si>
  <si>
    <t>ko:K07466</t>
  </si>
  <si>
    <t>ko03030,ko03420,ko03430,ko03440,ko03460,map03030,map03420,map03430,map03440,map03460</t>
  </si>
  <si>
    <t>M00288</t>
  </si>
  <si>
    <t>ko00000,ko00001,ko00002,ko03000,ko03032,ko03400</t>
  </si>
  <si>
    <t>1KVKU@119089,38B63@33154,3BGF3@33208,3D0HT@33213,40CPT@6231,COG1599@1,KOG0851@2759</t>
  </si>
  <si>
    <t>DNA recombination</t>
  </si>
  <si>
    <t>28,5481/31,8108</t>
  </si>
  <si>
    <t>21,5334/13,8662</t>
  </si>
  <si>
    <t>33,1158/13,7031/13,0506</t>
  </si>
  <si>
    <t>16,9657/16,4763</t>
  </si>
  <si>
    <t>WBGene00017546/WBGene00019859/WBGene00019858</t>
  </si>
  <si>
    <t>33.1158/13.7031/13.0506</t>
  </si>
  <si>
    <t>Bm2958</t>
  </si>
  <si>
    <t>WBGene00223219</t>
  </si>
  <si>
    <t>GO:0016020/GO:0016021/GO:0022857/GO:0055085/</t>
  </si>
  <si>
    <t>integral_component_of_membrane/membrane/transmembrane_transport/transmembrane_transporter_activity/</t>
  </si>
  <si>
    <t>A_lipid_bilayer_along_with_all_the_proteins_and_protein_complexes_embedded_in_it_an_attached_to_it._[GOC:dos,_GOC:mah,_ISBN:0815316194]/"Enables_the_transfer_of_a_substance,_usually_a_specific_substance_or_a_group_of_related_substances,_from_one_side_of_a_membrane_to_the_other."_[GOC:jid,_GOC:mtg_transport,_ISBN:0815340729]/"The_component_of_a_membrane_consisting_of_the_gene_products_and_protein_complexes_having_at_least_some_part_of_their_peptide_sequence_embedded_in_the_hydrophobic_region_of_the_membrane."_[GOC:dos,_GOC:go_curators]/"The_process_in_which_a_solute_is_transported_across_a_lipid_bilayer,_from_one_side_of_a_membrane_to_the_other."_[GOC:dph,_GOC:jid]/</t>
  </si>
  <si>
    <t>IPR002293/</t>
  </si>
  <si>
    <t>Amino_acid/polyamine_transporter_I/</t>
  </si>
  <si>
    <t>AA/rel_permease1/</t>
  </si>
  <si>
    <t>6238.CBG23209</t>
  </si>
  <si>
    <t>1.7e-122</t>
  </si>
  <si>
    <t>446.4</t>
  </si>
  <si>
    <t>1KYSN@119089,38BBK@33154,3BZMX@33208,3DF04@33213,40FJT@6231,40V8J@6236,COG0531@1,KOG1287@2759</t>
  </si>
  <si>
    <t>38,5375/19,9605</t>
  </si>
  <si>
    <t>39,1304/45,0593/46,2451</t>
  </si>
  <si>
    <t>15,0198/39,9209/31,0277/26,2846/29,249/17,7866/12,0553/35,7708/34,1897/25,4941/37,9447</t>
  </si>
  <si>
    <t>24,3083/11,8577/18,7747/20,751/13,2411</t>
  </si>
  <si>
    <t>41,3043/14,8221/26,6798/12,8458/12,8458/36,166/16,6008/39,1304/38,7352/13,6364/16,4032/44,664/42,6877/41,1067/15,6126/11,4625/14,2292/43,083/28,8538/37,5494/9,48617/26,6798</t>
  </si>
  <si>
    <t>1,77866/13,0435/7,11462/5,92885/2,7668</t>
  </si>
  <si>
    <t>15,2174/16,6008/17,3913/16,2055</t>
  </si>
  <si>
    <t>23,7154/15,2174/27,4704/29,0514/28,0632/16,4032/28,4585/26,2846/28,4585/13,6364/26,4822/15,0198</t>
  </si>
  <si>
    <t>22,332/24,7036/24,5059/14,6245/13,834/28,8538/27,2727/28,6561/16,2055/28,2609/26,2846/27,8656/13,834/26,6798/14,4269</t>
  </si>
  <si>
    <t>16,2055/25,0988/15,415/15,415/26,6798/25,6917/15,8103/16,0079/27,668/26,2846/26,087/28,6561/14,2292/15,2174/15,8103/25,8893/25,6917</t>
  </si>
  <si>
    <t>12,0553/15,415/13,4387/15,0198/14,6245/12,8458/12,253/14,2292/13,6364/15,2174/12,0553/14,0316/14,6245</t>
  </si>
  <si>
    <t>WBGene00000007</t>
  </si>
  <si>
    <t>48.0237</t>
  </si>
  <si>
    <t>Bm8931</t>
  </si>
  <si>
    <t>WBGene00229192</t>
  </si>
  <si>
    <t>11,5023/13,3803</t>
  </si>
  <si>
    <t>Bm6354</t>
  </si>
  <si>
    <t>WBGene00226615</t>
  </si>
  <si>
    <t>note=B._malayi_BMA-DHS-6_protein</t>
  </si>
  <si>
    <t>Bm6192</t>
  </si>
  <si>
    <t>WBGene00226453</t>
  </si>
  <si>
    <t>IPR001356/IPR009057/IPR031701/</t>
  </si>
  <si>
    <t>Homeobox-like_domain_superfamily/Homeobox_domain/Homeobox_protein_SIX1,_N-terminal_SD_domain/</t>
  </si>
  <si>
    <t>Homeobox-like_sf/Homeobox_dom/SIX1_SD/</t>
  </si>
  <si>
    <t>note=B._malayi_BMA-CEH-32_protein</t>
  </si>
  <si>
    <t>7209.EJD74276.1</t>
  </si>
  <si>
    <t>1.8e-132</t>
  </si>
  <si>
    <t>GO:0003674,GO:0003700,GO:0005575,GO:0005622,GO:0005623,GO:0005634,GO:0006355,GO:0007275,GO:0008150,GO:0009653,GO:0009791,GO:0009886,GO:0009889,GO:0010468,GO:0010556,GO:0019219,GO:0019222,GO:0031323,GO:0031326,GO:0032501,GO:0032502,GO:0043226,GO:0043227,GO:0043229,GO:0043231,GO:0044424,GO:0044464,GO:0048856,GO:0050789,GO:0050794,GO:0051171,GO:0051252,GO:0060255,GO:0065007,GO:0080090,GO:0140110,GO:1903506,GO:2000112,GO:2001141</t>
  </si>
  <si>
    <t>ko:K19473</t>
  </si>
  <si>
    <t>1KVH2@119089,38EMS@33154,3BA8M@33208,3D0A1@33213,40CS7@6231,KOG0775@1,KOG0775@2759</t>
  </si>
  <si>
    <t>Transcriptional regulator, SIX1, N-terminal SD domain</t>
  </si>
  <si>
    <t>30,099/15,0495</t>
  </si>
  <si>
    <t>24,5545/27,5248/17,0297</t>
  </si>
  <si>
    <t>29,1089/27,3267</t>
  </si>
  <si>
    <t>24,5545/24,1584</t>
  </si>
  <si>
    <t>24,1584/24,3564</t>
  </si>
  <si>
    <t>22,9703/23,7624</t>
  </si>
  <si>
    <t>WBGene00000453</t>
  </si>
  <si>
    <t>35.2475</t>
  </si>
  <si>
    <t>Bm17213</t>
  </si>
  <si>
    <t>WBGene00268356</t>
  </si>
  <si>
    <t>Bm17260</t>
  </si>
  <si>
    <t>WBGene00268403</t>
  </si>
  <si>
    <t>5e-08</t>
  </si>
  <si>
    <t>65.5</t>
  </si>
  <si>
    <t>Bm4707</t>
  </si>
  <si>
    <t>WBGene00224968</t>
  </si>
  <si>
    <t>/GO:0000794/GO:0000977/GO:0005634/GO:0030849/GO:0070176/</t>
  </si>
  <si>
    <t>/DRM_complex/RNA_polymerase_II_regulatory_region_sequence-specific_DNA_binding/autosome/condensed_nuclear_chromosome/nucleus/</t>
  </si>
  <si>
    <t>/"A_highly_compacted_molecule_of_DNA_and_associated_proteins_resulting_in_a_cytologically_distinct_nuclear_chromosome."_[GOC:elh]/"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transcriptional_repressor_complex_that_contains_the_lin-9,_lin-35,_lin-37,_lin-52,_lin-53,_lin-5is_involved_in_4-,_dpl-1_and_efl-1_proteins,_and_is_involved_in_cell_fate_specification."_[PMID:17075059]/"Any_chromosome_other_than_a_sex_chromosome."_[GOC:mah]/"Interacting_selectively_and_non-covalently_with_a_specific_sequence_of_DNA_that_is_part_of_a_regulatory_region_that_controls_the_transcription_of_a_gene_or_cistron_by_RNA_polymerase_II."_[GOC:txnOH]/</t>
  </si>
  <si>
    <t>IPR005172/IPR028307/IPR033467/</t>
  </si>
  <si>
    <t>CRC_domain/Lin-54_family/Tesmin/TSO1-like_CXC_domain/</t>
  </si>
  <si>
    <t>CRC/Lin-54_fam/Tesmin/TSO1-like_CXC/</t>
  </si>
  <si>
    <t>note=B._malayi_BMA-LIN-54_protein,_contains_similarity_to_Pfam_domain_PF03638_Tesmin/TSO1-like_CXC_domain,_cysteine-rich_domain_contains_similarity_to_Interpro_domains_IPR005172_(CRC_domain),_IPR028307_(Lin-54_family)</t>
  </si>
  <si>
    <t>7209.EFO22256.2</t>
  </si>
  <si>
    <t>4.7e-207</t>
  </si>
  <si>
    <t>727.2</t>
  </si>
  <si>
    <t>lin-54</t>
  </si>
  <si>
    <t>GO:0000228,GO:0000793,GO:0000794,GO:0000976,GO:0000977,GO:0001012,GO:0001067,GO:0003674,GO:0003676,GO:0003677,GO:0003690,GO:0005488,GO:0005515,GO:0005575,GO:0005622,GO:0005623,GO:0005634,GO:0005654,GO:0005694,GO:0006355,GO:0006357,GO:0008150,GO:0009889,GO:0010468,GO:0010556,GO:0017053,GO:0019219,GO:0019222,GO:0030849,GO:0031323,GO:0031326,GO:0031974,GO:0031981,GO:0032991,GO:0043226,GO:0043227,GO:0043228,GO:0043229,GO:0043231,GO:0043232,GO:0043233,GO:0043565,GO:0044212,GO:0044422,GO:0044424,GO:0044428,GO:0044446,GO:0044451,GO:0044464,GO:0050789,GO:0050794,GO:0051171,GO:0051252,GO:0060255,GO:0065007,GO:0070013,GO:0070176,GO:0080090,GO:0090568,GO:0090571,GO:0097159,GO:1901363,GO:1903506,GO:1990837,GO:2000112,GO:2001141</t>
  </si>
  <si>
    <t>ko:K21776</t>
  </si>
  <si>
    <t>1KVJ8@119089,38F3J@33154,3B945@33208,3CY0Q@33213,40CSD@6231,KOG1171@1,KOG1171@2759</t>
  </si>
  <si>
    <t>Tesmin/TSO1-like CXC domain, cysteine-rich domain</t>
  </si>
  <si>
    <t>21,1087/29,6375</t>
  </si>
  <si>
    <t>30,7036/30,7036/22,6013</t>
  </si>
  <si>
    <t>16,2047/20,4691</t>
  </si>
  <si>
    <t>WBGene00003037</t>
  </si>
  <si>
    <t>30.7036</t>
  </si>
  <si>
    <t>Bm11676</t>
  </si>
  <si>
    <t>WBGene00231937</t>
  </si>
  <si>
    <t>Bm7626</t>
  </si>
  <si>
    <t>WBGene00227887</t>
  </si>
  <si>
    <t>IPR025602/</t>
  </si>
  <si>
    <t>BCP1_family/</t>
  </si>
  <si>
    <t>note=contains_similarity_to_Pfam_domain_PF13862_p21-C-terminal_region-binding_protein_contains_similarity_to_Interpro_domain_IPR025602_(BCP1_family)</t>
  </si>
  <si>
    <t>7209.EFO24603.2</t>
  </si>
  <si>
    <t>1.1e-131</t>
  </si>
  <si>
    <t>477.6</t>
  </si>
  <si>
    <t>ko:K15262</t>
  </si>
  <si>
    <t>ko00000,ko03009</t>
  </si>
  <si>
    <t>1KWMT@119089,38DNQ@33154,3BFX4@33208,3CZW4@33213,40EEG@6231,KOG3034@1,KOG3034@2759</t>
  </si>
  <si>
    <t>p21-C-terminal region-binding protein</t>
  </si>
  <si>
    <t>14,1636/14,652/14,2857</t>
  </si>
  <si>
    <t>WBGene00022851</t>
  </si>
  <si>
    <t>12.3321</t>
  </si>
  <si>
    <t>Bm9053</t>
  </si>
  <si>
    <t>WBGene00229314</t>
  </si>
  <si>
    <t>GO:0042802/GO:0047617/</t>
  </si>
  <si>
    <t>acyl-CoA_hydrolase_activity/identical_protein_binding/</t>
  </si>
  <si>
    <t>Catalysis_of_the_reaction:_acyl-CoA_+_H2O_=_CoA_+_a_carboxylate._[EC:3.1.2.20,_MetaCyc:ACYL-COA-HYDROLASE-RXN]/"Interacting_selectively_and_non-covalently_with_an_identical_protein_or_proteins."_[GOC:jl]/</t>
  </si>
  <si>
    <t>IPR003736/IPR006683/IPR029069/IPR039298/</t>
  </si>
  <si>
    <t>Acyl-coenzyme_A_thioesterase_13/HotDog_domain_superfamily/Phenylacetic_acid_degradation-related_domain/Thioesterase_domain/</t>
  </si>
  <si>
    <t>ACOT13/HotDog_dom_sf/PAAI_dom/Thioestr_dom/</t>
  </si>
  <si>
    <t>note=contains_similarity_to_Pfam_domain_PF03061_Thioesterase_superfamily_contains_similarity_to_Interpro_domains_IPR029069_(HotDog_domain),_IPR006683_(Thioesterase_superfamily)</t>
  </si>
  <si>
    <t>7209.EJD75297.1</t>
  </si>
  <si>
    <t>1.7e-85</t>
  </si>
  <si>
    <t>322.0</t>
  </si>
  <si>
    <t>GO:0003674,GO:0005488,GO:0005515,GO:0042802</t>
  </si>
  <si>
    <t>ko:K17362</t>
  </si>
  <si>
    <t>ko00000,ko01000,ko01004</t>
  </si>
  <si>
    <t>1KWF2@119089,39ZWT@33154,3BQMZ@33208,3D78R@33213,40E00@6231,COG2050@1,KOG3328@2759</t>
  </si>
  <si>
    <t>Thioesterase superfamily</t>
  </si>
  <si>
    <t>42,4581/39,1061</t>
  </si>
  <si>
    <t>34,6369/37,9888</t>
  </si>
  <si>
    <t>WBGene00018370</t>
  </si>
  <si>
    <t>41.3408</t>
  </si>
  <si>
    <t>Bm9508</t>
  </si>
  <si>
    <t>WBGene00229769</t>
  </si>
  <si>
    <t>7209.EFO17428.1</t>
  </si>
  <si>
    <t>2.7e-141</t>
  </si>
  <si>
    <t>508.1</t>
  </si>
  <si>
    <t>1KXZN@119089,2AGGS@1,2RYZT@2759,39DE7@33154,3CHDA@33208,3DYWF@33213,40FVZ@6231</t>
  </si>
  <si>
    <t>Bm4541</t>
  </si>
  <si>
    <t>WBGene00224802</t>
  </si>
  <si>
    <t>note=B._malayi_BMA-DPY-20_protein,_contains_similarity_to_Pfam_domain_PF02892_BED_zinc_finger_contains_similarity_to_Interpro_domain_IPR003656_(Zinc_finger,_BED-type)</t>
  </si>
  <si>
    <t>7209.EJD75128.1</t>
  </si>
  <si>
    <t>1169.1</t>
  </si>
  <si>
    <t>1KWZ3@119089,2E337@1,2SA89@2759,3ABA4@33154,3BUKM@33208,3DAYK@33213,40ER1@6231</t>
  </si>
  <si>
    <t>WBGene00001570</t>
  </si>
  <si>
    <t>17.5166</t>
  </si>
  <si>
    <t>Bm1668</t>
  </si>
  <si>
    <t>WBGene00221929</t>
  </si>
  <si>
    <t>GO:0007165/</t>
  </si>
  <si>
    <t>signal_transduction/</t>
  </si>
  <si>
    <t>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
  </si>
  <si>
    <t>IPR000198/IPR008936/</t>
  </si>
  <si>
    <t>Rho_GTPase-activating_protein_domain/Rho_GTPase_activation_protein/</t>
  </si>
  <si>
    <t>RhoGAP_dom/Rho_GTPase_activation_prot/</t>
  </si>
  <si>
    <t>note=contains_similarity_to_Pfam_domain_PF00620_RhoGAP_domain_contains_similarity_to_Interpro_domains_IPR008936_(Rho_GTPase_activation_protein),_IPR000198_(Rho_GTPase-activating_protein_domain)</t>
  </si>
  <si>
    <t>7209.EJD76161.1</t>
  </si>
  <si>
    <t>1.5e-247</t>
  </si>
  <si>
    <t>862.1</t>
  </si>
  <si>
    <t>ko:K20641</t>
  </si>
  <si>
    <t>1KUKQ@119089,38FZ8@33154,3B9BI@33208,3D3C3@33213,40B7N@6231,KOG4724@1,KOG4724@2759</t>
  </si>
  <si>
    <t>RhoGAP domain</t>
  </si>
  <si>
    <t>30,1948/22,7273/36,2013/29,0584</t>
  </si>
  <si>
    <t>17,8571/11,039</t>
  </si>
  <si>
    <t>7,46753/8,92857/13,6364</t>
  </si>
  <si>
    <t>10,3896/10,5519</t>
  </si>
  <si>
    <t>WBGene00007064</t>
  </si>
  <si>
    <t>33.9286</t>
  </si>
  <si>
    <t>Bm5914</t>
  </si>
  <si>
    <t>WBGene00226175</t>
  </si>
  <si>
    <t>GO:0008270/GO:0016567/GO:0046872/GO:0061630/</t>
  </si>
  <si>
    <t>metal_ion_binding/protein_ubiquitination/ubiquitin_protein_ligase_activity/zinc_ion_binding/</t>
  </si>
  <si>
    <t>Catalysis_of_the_transfer_of_ubiquitin_to_a_substrate_protein_via_the_reaction_X-ubiquitin_+_S_-&gt;_X_+_S-ubiquitin,_where_X_is_either_an_E2_or_E3_enzyme,_the_X-ubiquitin_linkage_is_a_thioester_bond,_and_the_S-ubiquitin_linkage_is_an_amide_bond:_an_isopeptide_bond_between_the_C-terminal_glycine_of_ubiquitin_and_the_epsilon-amino_group_of_lysine_residues_in_the_substrate_or,_in_the_linear_extension_of_ubiquitin_chains,_a_peptide_bond_the_between_the_C-terminal_glycine_and_N-terminal_methionine_of_ubiquitin_residues._[GOC:BioGRID,_GOC:dph,_GOC:mah,_GOC:tb,_PMID:22863777]/"Interacting_selectively_and_non-covalently_with_any_metal_ion."_[GOC:ai]/"Interacting_selectively_and_non-covalently_with_zinc_(Zn)_ions."_[GOC:ai]/"The_process_in_which_one_or_more_ubiquitin_groups_are_added_to_a_protein."_[GOC:ai]/</t>
  </si>
  <si>
    <t>IPR003126/IPR011011/IPR013083/IPR040204/</t>
  </si>
  <si>
    <t>E3_ubiquitin-protein_ligase_UBR7/Zinc_finger,_FYVE/PHD-type/Zinc_finger,_RING/FYVE/PHD-type/Zinc_finger,_UBR-type/</t>
  </si>
  <si>
    <t>UBR7/Znf_FYVE_PHD/Znf_RING/FYVE/PHD/Znf_UBR/</t>
  </si>
  <si>
    <t>note=contains_similarity_to_Pfam_domain_PF02207_Putativezinc_finger_in_N-recognin_(UBR_box)_contains_similarity_toInterpro_domains_IPR013993_(Zinc_finger,_N-recognin,metazoa),_IPR013083_(Zinc_finger,_RING/FYVE/PHD-type),IPR003126_(Zinc_finger,_N-recognin),_IPR011011_(Zincfinger,_FYVE/PHD-type)</t>
  </si>
  <si>
    <t>7209.EFO22316.1</t>
  </si>
  <si>
    <t>5.4e-206</t>
  </si>
  <si>
    <t>723.4</t>
  </si>
  <si>
    <t>ko:K11979</t>
  </si>
  <si>
    <t>1KYWN@119089,38GJS@33154,3BA1D@33208,3CXRE@33213,40E4K@6231,KOG2752@1,KOG2752@2759</t>
  </si>
  <si>
    <t>Putative zinc finger in N-recognin (UBR box)</t>
  </si>
  <si>
    <t>88,3544/88,3544</t>
  </si>
  <si>
    <t>34,1772/34,1772/33,924</t>
  </si>
  <si>
    <t>25,0633/25,0633</t>
  </si>
  <si>
    <t>15,443/32,1519</t>
  </si>
  <si>
    <t>20/33,6709</t>
  </si>
  <si>
    <t>WBGene00011912</t>
  </si>
  <si>
    <t>31.6456</t>
  </si>
  <si>
    <t>Bm4249</t>
  </si>
  <si>
    <t>WBGene00224510</t>
  </si>
  <si>
    <t>GO:0005634/GO:0040022/GO:0051321/</t>
  </si>
  <si>
    <t>feminization_of_hermaphroditic_germ-line/meiotic_cell_cycle/nucleus/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</si>
  <si>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Progression_through_the_phases_of_the_meiotic_cell_cycle,_in_which_canonically_a_cell_replicates_to_produce_four_offspring_with_half_the_chromosomal_content_of_the_progenitor_cell_via_two_nuclear_divisions."_[GOC:ai]/"The_determination_of_female_sex_and_sexual_phenotype_in_the_germ-line_of_the_hermaphrodite."_[GOC:ems]/</t>
  </si>
  <si>
    <t>IPR022209/</t>
  </si>
  <si>
    <t>Pre-mRNA_splicing_factor/</t>
  </si>
  <si>
    <t>CWC25/</t>
  </si>
  <si>
    <t>note=contains_similarity_to_Pfam_domain_PF12542_Pre-mRNAsplicing_factor_contains_similarity_to_Interpro_domainIPR022209_(Pre-mRNA_splicing_factor)</t>
  </si>
  <si>
    <t>7209.EFO18486.1</t>
  </si>
  <si>
    <t>2.3e-118</t>
  </si>
  <si>
    <t>432.2</t>
  </si>
  <si>
    <t>GO:0000003,GO:0003006,GO:0003674,GO:0005488,GO:0005515,GO:0005575,GO:0005622,GO:0005623,GO:0005634,GO:0007049,GO:0007275,GO:0007530,GO:0008150,GO:0009987,GO:0018992,GO:0022414,GO:0032501,GO:0032502,GO:0040021,GO:0040022,GO:0043226,GO:0043227,GO:0043229,GO:0043231,GO:0044424,GO:0044464,GO:0048856,GO:0051321</t>
  </si>
  <si>
    <t>1KX58@119089,39SK2@33154,3BKH9@33208,3D3IT@33213,40EMQ@6231,KOG3869@1,KOG3869@2759</t>
  </si>
  <si>
    <t>Pre-mRNA splicing factor</t>
  </si>
  <si>
    <t>85,9195/85,9195</t>
  </si>
  <si>
    <t>36,4943/41,954</t>
  </si>
  <si>
    <t>Bm7000</t>
  </si>
  <si>
    <t>WBGene00227261</t>
  </si>
  <si>
    <t>GO:0016747/</t>
  </si>
  <si>
    <t>transferase_activity,_transferring_acyl_groups_other_than_amino-acyl_groups/</t>
  </si>
  <si>
    <t>Catalysis_of_the_transfer_of_an_acyl_group,_other_than_amino-acyl,_from_one_compound_(donor)_to_another_(acceptor)._[GOC:jl]/</t>
  </si>
  <si>
    <t>IPR000182/IPR016181/IPR039135/</t>
  </si>
  <si>
    <t>Acyl-CoA_N-acyltransferase/GNAT_domain/N-acetyltransferase_9-like/</t>
  </si>
  <si>
    <t>Acyl_CoA_acyltransferase/GNAT_dom/NAT9-like/</t>
  </si>
  <si>
    <t>note=contains_similarity_to_Pfam_domain_PF13302_Acetyltransferase_(GNAT)_domain_contains_similarity_to_Interpro_domains_IPR000182_(GNAT_domain),_IPR016181_(Acyl-CoA_N-acyltransferase)</t>
  </si>
  <si>
    <t>7209.EFO20484.1</t>
  </si>
  <si>
    <t>1.5e-80</t>
  </si>
  <si>
    <t>305.8</t>
  </si>
  <si>
    <t>1KX4R@119089,39DDF@33154,3BQIU@33208,3CT76@33213,40EP3@6231,KOG4135@1,KOG4135@2759</t>
  </si>
  <si>
    <t>transferase activity, transferring acyl groups</t>
  </si>
  <si>
    <t>38,4615/38,4615</t>
  </si>
  <si>
    <t>39,4872/39,4872/38,9744</t>
  </si>
  <si>
    <t>WBGene00022055</t>
  </si>
  <si>
    <t>45.1282</t>
  </si>
  <si>
    <t>Bm2439</t>
  </si>
  <si>
    <t>WBGene00222700</t>
  </si>
  <si>
    <t>GO:0004114/GO:0050953/</t>
  </si>
  <si>
    <t>3',5'-cyclic-nucleotide_phosphodiesterase_activity/sensory_perception_of_light_stimulus/</t>
  </si>
  <si>
    <t>Catalysis_of_the_reaction:_nucleoside_3',5'-cyclic_phosphate_+_H2O_=_nucleoside_5'-phosphate._[EC:3.1.4.17]/"The_series_of_events_required_for_an_organism_to_receive_a_sensory_light_stimulus,_convert_it_to_a_molecular_signal,_and_recognize_and_characterize_the_signal._This_is_a_neurological_process."_[GOC:ai]/</t>
  </si>
  <si>
    <t>IPR008015/IPR014756/IPR017287/IPR037036/</t>
  </si>
  <si>
    <t>GMP_phosphodiesterase,_delta_subunit/GMP_phosphodiesterase,_delta_subunit_superfamily/Immunoglobulin_E-set/Retinal_rod_rhodopsin-sensitive_cGMP_3',_5'-cyclic_phosphodiesterase,_delta_subunit/</t>
  </si>
  <si>
    <t>Ig_E-set/PDED_dom/PDED_dom_sf/Rhodop-sen_GMP-Pdiesterase_dsu/</t>
  </si>
  <si>
    <t>note=B._malayi_BMA-PDL-1_protein,_contains_similarity_toPfam_domain_PF05351_GMP-PDE,_delta_subunit_containssimilarity_to_Interpro_domains_IPR014756_(ImmunoglobulinE-set),_IPR008015_(GMP_phosphodiesterase,_delta_subunit),IPR017287_(Retinal_rod_rhodopsin-sensitive_cGMP_3',5'-cyclic_phosphodiesterase,_delta_subunit)</t>
  </si>
  <si>
    <t>7209.EFO19106.2</t>
  </si>
  <si>
    <t>1.9e-74</t>
  </si>
  <si>
    <t>285.0</t>
  </si>
  <si>
    <t>ko:K13758</t>
  </si>
  <si>
    <t>R01234</t>
  </si>
  <si>
    <t>1KVVS@119089,39UQD@33154,3BF72@33208,3D6NI@33213,40D5Q@6231,KOG4038@1,KOG4038@2759</t>
  </si>
  <si>
    <t>GMP-PDE, delta subunit</t>
  </si>
  <si>
    <t>44,5205/71,2329</t>
  </si>
  <si>
    <t>WBGene00003966</t>
  </si>
  <si>
    <t>72.6027</t>
  </si>
  <si>
    <t>Bm2337</t>
  </si>
  <si>
    <t>WBGene00222598</t>
  </si>
  <si>
    <t>2.1e-114</t>
  </si>
  <si>
    <t>418.7</t>
  </si>
  <si>
    <t>58,2524/49,1909/53,7217</t>
  </si>
  <si>
    <t>13,5922/13,5922</t>
  </si>
  <si>
    <t>12,945/6,79612/11,3269</t>
  </si>
  <si>
    <t>Bm8610</t>
  </si>
  <si>
    <t>WBGene00228871</t>
  </si>
  <si>
    <t>1.7e-138</t>
  </si>
  <si>
    <t>48,329/26,9923/33,162/32,9049/65,8098</t>
  </si>
  <si>
    <t>61,1825/57,0694/55,527/44,2159/60,6684/52,9563</t>
  </si>
  <si>
    <t>27,2494/29,0488/27,5064</t>
  </si>
  <si>
    <t>10,7969/32,9049/27,5064/29,8201/29,563/27,7635/29,0488</t>
  </si>
  <si>
    <t>22,365/25,7069/27,7635/28,5347/24,4216/23,1362/29,563/8,48329/28,5347/23,1362/15,4242/24,6787/22,365/22,6221/20,8226/24,9357/26,2211/19,0231/29,0488/23,9075/25,964/18,509/24,1645/23,1362/25,1928/26,7352/22,108/24,4216/21,3368/23,1362/23,1362</t>
  </si>
  <si>
    <t>19,5373/26,4781/27,5064/27,5064/23,9075/19,2802/23,6504/27,5064/29,3059/30,3342/30,5913/29,8201/28,5347/23,3933/19,2802/23,9075/24,4216/23,9075/23,9075/24,1645/22,6221/23,1362/22,108/22,6221/25,7069/26,2211/28,7918/29,0488/29,3059/28,7918/30,0771/28,0206/28,7918/29,3059/21,3368/23,3933/24,1645/24,1645/24,6787/25,4499/24,9357/25,1928/25,7069/16,7095/26,2211/19,0231/25,964/22,365/24,4216/26,7352/19,7943/25,7069/22,6221/23,6504</t>
  </si>
  <si>
    <t>21,8509/28,0206/25,1928/21,3368/20,0514/29,8201/22,108/23,1362/22,8792/23,1362/18,509/24,1645/18,2519/26,2211/24,1645/23,6504/23,1362/22,365/23,1362/25,1928/24,9357</t>
  </si>
  <si>
    <t>Bm3753</t>
  </si>
  <si>
    <t>WBGene00224014</t>
  </si>
  <si>
    <t>IPR009836/</t>
  </si>
  <si>
    <t>Glycine-rich_domain-containing_protein-like/</t>
  </si>
  <si>
    <t>GRDP-like/</t>
  </si>
  <si>
    <t>note=contains_similarity_to_Pfam_domain_PF07173_Protein_of_unknown_function_(DUF1399)_contains_similarity_to_Interpro_domain_IPR009836_(Protein_of_unknown_function_DUF1399)</t>
  </si>
  <si>
    <t>7209.EFO23208.1</t>
  </si>
  <si>
    <t>1475.7</t>
  </si>
  <si>
    <t>1KU9T@119089,28JC1@1,2QRQZ@2759,38E6R@33154,3BHPZ@33208,3D58M@33213,40BZG@6231</t>
  </si>
  <si>
    <t>Glycine-rich domain-containing protein-like</t>
  </si>
  <si>
    <t>46,4912/59,7744/39,2231</t>
  </si>
  <si>
    <t>WBGene00017980</t>
  </si>
  <si>
    <t>63.9098</t>
  </si>
  <si>
    <t>Bm11946</t>
  </si>
  <si>
    <t>WBGene00232207</t>
  </si>
  <si>
    <t>GO:0000166/GO:0003676/GO:0005524/GO:0005634/GO:0005737/GO:0005739/GO:0008033/GO:0008270/GO:0008340/GO:0016740/GO:0040014/GO:0046872/GO:0052381/</t>
  </si>
  <si>
    <t>ATP_binding/cytoplasm/determination_of_adult_lifespan/metal_ion_binding/mitochondrion/nucleic_acid_binding/nucleotide_binding/nucleus/regulation_of_multicellular_organism_growth/tRNA_dimethylallyltransferase_activity/tRNA_processing/transferase_activity/zinc_ion_binding/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</si>
  <si>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semiautonomous,_self_replicating_organelle_that_occurs_in_varying_numbers,_shapes,_and_sizes_in_the_cytoplasm_of_virtually_all_eukaryotic_cells._It_is_notably_the_site_of_tissue_respiration."_[GOC:giardia,_ISBN:0198506732]/"All_of_the_contents_of_a_cell_excluding_the_plasma_membrane_and_nucleus,_but_including_other_subcellular_structures."_[ISBN:0198547684]/"Any_process_that_modulates_the_frequency,_rate_or_extent_of_growth_of_the_body_of_an_organism_so_that_it_reaches_its_usual_body_size."_[GOC:dph,_GOC:ems,_GOC:tb]/"Catalysis_of_the_reaction:_dimethylallyl_diphosphate_+_tRNA_=_diphosphate_+_tRNA_containing_6-dimethylallyladenosine."_[EC:2.5.1.75]/"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y_metal_ion."_[GOC:ai]/"Interacting_selectively_and_non-covalently_with_any_nucleic_acid."_[GOC:jl]/"Interacting_selectively_and_non-covalently_with_zinc_(Zn)_ions."_[GOC:ai]/"The_control_of_viability_and_duration_in_the_adult_phase_of_the_life-cycle."_[GOC:ems]/"The_process_in_which_a_pre-tRNA_molecule_is_converted_to_a_mature_tRNA,_ready_for_addition_of_an_aminoacyl_group."_[GOC:jl,_PMID:12533506]/</t>
  </si>
  <si>
    <t>IPR003604/IPR018022/IPR027417/IPR030666/IPR036236/IPR039657/</t>
  </si>
  <si>
    <t>Dimethylallyltransferase/IPP_transferase/Matrin/U1-C-like,_C2H2-type_zinc_finger/P-loop_containing_nucleoside_triphosphate_hydrolase/Zinc_finger_C2H2_superfamily/tRNA_isopentenyltransferase,_eukaryotes/</t>
  </si>
  <si>
    <t>Dimethylallyltransferase/IPP_transferase_euk/IPT/Matrin/U1-like-C_Znf_C2H2/P-loop_NTPase/Znf_C2H2_sf/</t>
  </si>
  <si>
    <t>note=contains_similarity_to_Pfam_domain_PF01745_Isopentenyl_transferase_contains_similarity_to_Interpro_domains_IPR027417_(P-loop_containing_nucleoside_triphosphate_hydrolase),_IPR002648_(Isopentenyl_transferase)</t>
  </si>
  <si>
    <t>7209.EFO25495.2</t>
  </si>
  <si>
    <t>2.9e-200</t>
  </si>
  <si>
    <t>704.5</t>
  </si>
  <si>
    <t>GO:0003674,GO:0003824,GO:0005575,GO:0005622,GO:0005623,GO:0005634,GO:0005737,GO:0005739,GO:0006139,GO:0006396,GO:0006399,GO:0006400,GO:0006725,GO:0006807,GO:0007275,GO:0007568,GO:0008033,GO:0008150,GO:0008152,GO:0008340,GO:0009451,GO:0009987,GO:0010259,GO:0010467,GO:0016070,GO:0016740,GO:0016765,GO:0032501,GO:0032502,GO:0034470,GO:0034641,GO:0034660,GO:0040008,GO:0040014,GO:0043170,GO:0043226,GO:0043227,GO:0043229,GO:0043231,GO:0043412,GO:0044237,GO:0044238,GO:0044424,GO:0044444,GO:0044464,GO:0046483,GO:0048638,GO:0048856,GO:0050789,GO:0050793,GO:0051239,GO:0052381,GO:0065007,GO:0071704,GO:0090304,GO:0140098,GO:0140101,GO:1901360</t>
  </si>
  <si>
    <t>2.5.1.75</t>
  </si>
  <si>
    <t>ko:K00791</t>
  </si>
  <si>
    <t>ko00908,ko01100,ko01110,map00908,map01100,map01110</t>
  </si>
  <si>
    <t>R01122</t>
  </si>
  <si>
    <t>RC02820</t>
  </si>
  <si>
    <t>ko00000,ko00001,ko01000,ko01006,ko03016</t>
  </si>
  <si>
    <t>1KV6T@119089,39RQC@33154,3BCJP@33208,3CY54@33213,40AR7@6231,COG0324@1,KOG1384@2759</t>
  </si>
  <si>
    <t>Belongs to the IPP transferase family</t>
  </si>
  <si>
    <t>38,4091/27,7273</t>
  </si>
  <si>
    <t>WBGene00001740</t>
  </si>
  <si>
    <t>40.2273</t>
  </si>
  <si>
    <t>Bm11594</t>
  </si>
  <si>
    <t>WBGene00231855</t>
  </si>
  <si>
    <t>GO:0000166/GO:0003774/GO:0003777/GO:0005524/GO:0005871/GO:0005874/GO:0007018/GO:0008017/GO:0008574/GO:0035720/GO:0036064/GO:0042073/GO:0043005/GO:0043025/GO:0043053/GO:0046626/GO:0048471/GO:0060271/GO:0061066/GO:0097730/GO:1902856/GO:1902857/GO:1905515/</t>
  </si>
  <si>
    <t>ATP-dependent_microtubule_motor_activity,_plus-end-directed/ATP_binding/ciliary_basal_body/cilium_assembly/dauer_entry/intraciliary_anterograde_transport/intraciliary_transport/kinesin_complex/microtubule/microtubule-based_movement/microtubule_binding/microtubule_motor_activity/motor_activity/negative_regulation_of_non-motile_cilium_assembly/neuron_projection/neuronal_cell_body/non-motile_cilium/non-motile_cilium_assembly/nucleotide_binding/perinuclear_region_of_cytoplasm/positive_regulation_of_dauer_larval_development/positive_regulation_of_non-motile_cilium_assembly/regulation_of_insulin_receptor_signaling_pathway/</t>
  </si>
  <si>
    <t>A_cilium_which_may_have_a_variable_array_of_axonemal_microtubules_but_does_not_contain_molecular_motors._[GOC:cilia,_GOC:dgh,_GOC:kmv,_PMID:17009929,_PMID:20144998,_PMID:22118931]/"A_membrane-tethered,_short_cylindrical_array_of_microtubules_and_associated_proteins_found_at_the_base_of_a_eukaryotic_cilium_(also_called_flagellum)_that_is_similar_in_structure_to_a_centriole_and_derives_from_it._The_cilium_basal_body_is_the_site_of_assembly_and_remodelling_of_the_cilium_and_serves_as_a_nucleation_site_for_axoneme_growth._As_well_as_anchoring_the_cilium,_it_is_thought_to_provide_a_selective_gateway_regulating_the_entry_of_ciliary_proteins_and_vesicles_by_intraflagellar_transport."_[GOC:cilia,_GOC:clt,_PMID:21750193]/"A_microtubule-based_process_that_results_in_the_movement_of_organelles,_other_microtubules,_or_other_cellular_components.__Examples_include_motor-driven_movement_along_microtubules_and_movement_driven_by_polymerization_or_depolymerization_of_microtubules."_[GOC:cjm,_ISBN:0815316194]/"A_prolongation_or_process_extending_from_a_nerve_cell,_e.g._an_axon_or_dendrite."_[GOC:jl,_http://www.cogsci.princeton.edu/~wn/]/"Any_complex_that_includes_a_dimer_of_molecules_from_the_kinesin_superfamily,_a_group_of_related_proteins_that_contain_an_extended_region_of_predicted_alpha-helical_coiled_coil_in_the_main_chain_that_likely_produces_dimerization._The_native_complexes_of_several_kinesin_family_members_have_also_been_shown_to_contain_additional_peptides,_often_designated_light_chains_as_all_of_the_noncatalytic_subunits_that_are_currently_known_are_smaller_than_the_chain_that_contains_the_motor_unit._Kinesin_complexes_generally_possess_a_force-generating_enzymatic_activity,_or_motor,_which_converts_the_free_energy_of_the_gamma_phosphate_bond_of_ATP_into_mechanical_work."_[GOC:mah,_http://www.proweb.org/kinesin//KinesinMotility.html,_http://www.proweb.org/kinesin//KinesinStructure.html]/"Any_of_the_long,_generally_straight,_hollow_tubes_of_internal_diameter_12-15_nm_and_external_diameter_24_nm_found_in_a_wide_variety_of_eukaryotic_cells;_each_consists_(usually)_of_13_protofilaments_of_polymeric_tubulin,_staggered_in_such_a_manner_that_the_tubulin_monomers_are_arranged_in_a_helical_pattern_on_the_microtubular_surface,_and_with_the_alpha/beta_axes_of_the_tubulin_subunits_parallel_to_the_long_axis_of_the_tubule;_exist_in_equilibrium_with_pool_of_tubulin_monomers_and_can_be_rapidly_assembled_or_disassembled_in_response_to_physiological_stimuli;_concerned_with_force_generation,_e.g._in_the_spindle."_[ISBN:0879693568]/"Any_process_that_activates_or_increases_the_frequency,_rate_or_extent_of_non-motile_cilium_assembly."_[GO_REF:0000058,_GOC:cilia,_GOC:kmv,_GOC:TermGenie,_PMID:23807208]/"Any_process_that_increases_the_rate,_frequency,_or_extent_of_dauer_larval_development,_the_process_whose_specific_outcome_is_the_progression_of_the_dauer_larva_over_time,_through_the_facultative_diapause_of_the_dauer_(enduring)_larval_stage,_with_specialized_traits_adapted_for_dispersal_and_long-term_survival,_with_elevated_stress_resistance_and_without_feeding."_[GOC:dph,_GOC:kmv]/"Any_process_that_modulates_the_frequency,_rate_or_extent_of_insulin_receptor_signaling."_[GOC:bf]/"Any_process_that_stops,_prevents_or_reduces_the_frequency,_rate_or_extent_of_non-motile_cilium_assembly."_[GO_REF:0000058,_GOC:cilia,_GOC:kmv,_GOC:TermGenie,_PMID:23807208]/"Catalysis_of_movement_along_a_microtubule,_coupled_to_the_hydrolysis_of_a_nucleoside_triphosphate_(usually_ATP)."_[GOC:mah,_ISBN:0815316194]/"Catalysis_of_movement_along_a_microtubule_toward_the_plus_end,_coupled_to_the_hydrolysis_of_ATP."_[EC:3.6.4.4,_GOC:vw]/"Catalysis_of_the_generation_of_force_resulting_either_in_movement_along_a_microfilament_or_microtubule,_or_in_torque_resulting_in_membrane_scission,_coupled_to_the_hydrolysis_of_a_nucleoside_triphosphate."_[GOC:mah,_GOC:vw,_ISBN:0815316194,_PMID:11242086]/"Cytoplasm_situated_near,_or_occurring_around,_the_nucleus."_[GOC:jid]/"Entry_into_the_facultative_diapause_of_the_dauer_(enduring)_larval_stage_of_nematode_development."_[GOC:cab1,_GOC:kmv,_PMID:10077613]/"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microtubules,_filaments_composed_of_tubulin_monomers."_[GOC:krc]/"The_aggregation,_arrangement_and_bonding_together_of_a_set_of_components_to_form_a_non-motile_cilium."_[GO_REF:0000079,_GOC:cilia,_GOC:kmv,_GOC:TermGenie,_PMID:14521833,_PMID:14521834]/"The_assembly_of_a_cilium,_a_specialized_eukaryotic_organelle_that_consists_of_a_filiform_extrusion_of_the_cell_surface._Each_cilium_is_bounded_by_an_extrusion_of_the_cytoplasmic_membrane,_and_contains_a_regular_longitudinal_array_of_microtubules,_anchored_basally_in_a_centriole."_[GOC:BHF,_GOC:cilia,_GOC:dph,_GOC:kmv,_GOC:pr,_GOC:vw,_ISBN:0198506732,_PMID:13978319,_PMID:27350441,_Reactome:R-HSA-5617833.2]/"The_bidirectional_movement_of_large_protein_complexes_along_microtubules_within_a_cilium,_mediated_by_motor_proteins."_[GOC:cilia,_GOC:kmv,_PMID:17981739,_PMID:18180368,_PMID:22869374,_Reactome:R-HSA-5620924.2]/"The_directed_movement_of_large_protein_complexes_along_microtubules_from_the_cell_body_toward_the_tip_of_a_cilium_(also_called_flagellum),_mediated_by_motor_proteins."_[GOC:BHF,_GOC:cilia,_PMID:17895364]/"The_portion_of_a_neuron_that_includes_the_nucleus,_but_excludes_cell_projections_such_as_axons_and_dendrites."_[GOC:go_curators]/</t>
  </si>
  <si>
    <t>note=contains_similarity_to_Interpro_domain_IPR027640_(Kinesin-like_protein)</t>
  </si>
  <si>
    <t>7209.EFO16338.2</t>
  </si>
  <si>
    <t>1.5e-249</t>
  </si>
  <si>
    <t>869.0</t>
  </si>
  <si>
    <t>GO:0002119,GO:0002164,GO:0003674,GO:0003774,GO:0003777,GO:0003824,GO:0005575,GO:0005622,GO:0005623,GO:0005737,GO:0005815,GO:0005856,GO:0005871,GO:0005875,GO:0005929,GO:0006810,GO:0006928,GO:0006996,GO:0007017,GO:0007018,GO:0007275,GO:0008150,GO:0008574,GO:0009791,GO:0009966,GO:0009987,GO:0010638,GO:0010639,GO:0010646,GO:0010970,GO:0015630,GO:0016043,GO:0016462,GO:0016787,GO:0016817,GO:0016818,GO:0016887,GO:0017111,GO:0022607,GO:0022611,GO:0023051,GO:0030030,GO:0030031,GO:0030705,GO:0031344,GO:0031345,GO:0031346,GO:0031503,GO:0032501,GO:0032502,GO:0032991,GO:0033043,GO:0035720,GO:0036064,GO:0036477,GO:0040024,GO:0042073,GO:0042623,GO:0042995,GO:0043005,GO:0043025,GO:0043053,GO:0043226,GO:0043228,GO:0043229,GO:0043232,GO:0044085,GO:0044087,GO:0044089,GO:0044297,GO:0044422,GO:0044424,GO:0044430,GO:0044441,GO:0044444,GO:0044446,GO:0044463,GO:0044464,GO:0044782,GO:0045724,GO:0046626,GO:0046907,GO:0048471,GO:0048518,GO:0048519,GO:0048522,GO:0048523,GO:0048580,GO:0048582,GO:0048583,GO:0048856,GO:0050789,GO:0050793,GO:0050794,GO:0051094,GO:0051128,GO:0051129,GO:0051130,GO:0051179,GO:0051234,GO:0051239,GO:0051240,GO:0051641,GO:0051649,GO:0055115,GO:0060271,GO:0060491,GO:0061062,GO:0061063,GO:0061065,GO:0061066,GO:0065007,GO:0070925,GO:0071840,GO:0097458,GO:0097730,GO:0099111,GO:0120025,GO:0120031,GO:0120032,GO:0120033,GO:0120034,GO:0120035,GO:0120036,GO:0120038,GO:1900076,GO:1902017,GO:1902018,GO:1902115,GO:1902116,GO:1902117,GO:1902855,GO:1902856,GO:1902857,GO:1905515,GO:1990939,GO:2000026</t>
  </si>
  <si>
    <t>ko:K20198</t>
  </si>
  <si>
    <t>1KTV7@119089,39M8E@33154,3BFWS@33208,3CTMZ@33213,40AWM@6231,COG5059@1,KOG4280@2759</t>
  </si>
  <si>
    <t>21,5909/21,3068/16,6193/26,2784/15,483/29,2614/27,8409/18,1818/27,6989/24,858/24,858/26,2784/18,3239/24,858</t>
  </si>
  <si>
    <t>22,8693/21,733/21,1648/17,3295/17,3295/15,3409/29,6875/27,983/18,1818/27,5568/25,142/24,5739/26,7045/18,608/25</t>
  </si>
  <si>
    <t>22,4432/17,6136/15,3409/29,8295/28,6932/25,5682/18,75/27,8409/11,0795/25,5682/24,4318/26,9886/25,7102</t>
  </si>
  <si>
    <t>Bm3865</t>
  </si>
  <si>
    <t>WBGene00224126</t>
  </si>
  <si>
    <t>IPR001357/IPR022047/IPR036420/</t>
  </si>
  <si>
    <t>BRCT_domain/BRCT_domain_superfamily/Microcephalin-like/</t>
  </si>
  <si>
    <t>BRCT_dom/BRCT_dom_sf/Microcephalin-like/</t>
  </si>
  <si>
    <t>note=B._malayi_BMA-MADF-2_protein,_contains_similarity_to_Pfam_domains_PF12738_(twin_BRCT_domain),_PF10545_(Alcohol_dehydrogenase_transcription_factor_Myb/SANT-like)_contains_similarity_to_Interpro_domains_IPR022047_(Microcephalin-like),_IPR006578_(MADF_domain),_IPR001357_(BRCT_domain)</t>
  </si>
  <si>
    <t>7209.EFO20176.2</t>
  </si>
  <si>
    <t>ko:K19403</t>
  </si>
  <si>
    <t>1M05D@119089,2EARF@1,2SGYD@2759,39AVJ@33154,3CEXZ@33208,3DWBA@33213,40HCA@6231</t>
  </si>
  <si>
    <t>breast cancer carboxy-terminal domain</t>
  </si>
  <si>
    <t>25,0794/23,3333/18,4127</t>
  </si>
  <si>
    <t>Bm17067</t>
  </si>
  <si>
    <t>WBGene00255707</t>
  </si>
  <si>
    <t>GO:0003723/GO:0005845/GO:0106005/</t>
  </si>
  <si>
    <t>RNA_5'-cap_(guanine-N7)-methylation/RNA_binding/mRNA_cap_binding_complex/</t>
  </si>
  <si>
    <t>Any_protein_complex_that_binds_to_an_mRNA_cap_at_any_time_in_the_lifetime_of_the_mRNA._[GOC:jid]/"Interacting_selectively_and_non-covalently_with_an_RNA_molecule_or_a_portion_thereof."_[GOC:jl,_GOC:mah]/"The_process_whereby_a_guanine_in_5-cap_is_methylated_at_the_N7_position_of_guanine."_[GOC:hjd]/</t>
  </si>
  <si>
    <t>IPR028271/</t>
  </si>
  <si>
    <t>RNA_guanine-N7_methyltransferase_activating_subunit/</t>
  </si>
  <si>
    <t>RAMAC/</t>
  </si>
  <si>
    <t>note=contains_similarity_to_Pfam_domain_PF15320_mRNA_capmethylation,_RNMT-activating_mini_protein_containssimilarity_to_Interpro_domain_IPR028271_(RNMT-activatingmini_protein)</t>
  </si>
  <si>
    <t>Bm10142</t>
  </si>
  <si>
    <t>WBGene00230403</t>
  </si>
  <si>
    <t>Bm5988</t>
  </si>
  <si>
    <t>WBGene00226249</t>
  </si>
  <si>
    <t>GO:0005525/GO:0008340/GO:0032008/GO:0032504/GO:0040018/</t>
  </si>
  <si>
    <t>GTP_binding/determination_of_adult_lifespan/multicellular_organism_reproduction/positive_regulation_of_TOR_signaling/positive_regulation_of_multicellular_organism_growth/</t>
  </si>
  <si>
    <t>Any_process_that_activates_or_increases_the_frequency,_rate_or_extent_of_TOR_signaling._[GOC:mah]/"Any_process_that_activates_or_increases_the_frequency,_rate_or_extent_of_growth_of_an_organism_to_reach_its_usual_body_size."_[GOC:dph,_GOC:go_curators,_GOC:tb]/"Interacting_selectively_and_non-covalently_with_GTP,_guanosine_triphosphate."_[GOC:ai]/"The_biological_process_in_which_new_individuals_are_produced_by_one_or_two_multicellular_organisms._The_new_individuals_inherit_some_proportion_of_their_genetic_material_from_the_parent_or_parents."_[GOC:isa_complete,_GOC:jid]/"The_control_of_viability_and_duration_in_the_adult_phase_of_the_life-cycle."_[GOC:ems]/</t>
  </si>
  <si>
    <t>IPR006762/IPR027417/IPR039397/</t>
  </si>
  <si>
    <t>Gtr1/RagA_G_protein/P-loop_containing_nucleoside_triphosphate_hydrolase/RagA/B/</t>
  </si>
  <si>
    <t>Gtr1_RagA/P-loop_NTPase/RagA/B/</t>
  </si>
  <si>
    <t>note=B._malayi_BMA-RAGA-1_protein,_contains_similarity_to_Pfam_domain_PF04670_Gtr1/RagA_G_protein_conserved_region_contains_similarity_to_Interpro_domains_IPR027417_(P-loop_containing_nucleoside_triphosphate_hydrolase),_IPR006762_(Gtr1/RagA_G_protein)</t>
  </si>
  <si>
    <t>7209.EFO27430.1</t>
  </si>
  <si>
    <t>1.2e-166</t>
  </si>
  <si>
    <t>592.4</t>
  </si>
  <si>
    <t>GO:0000003,GO:0007275,GO:0007568,GO:0008150,GO:0008340,GO:0009966,GO:0009967,GO:0010259,GO:0010646,GO:0010647,GO:0023051,GO:0023056,GO:0032006,GO:0032008,GO:0032501,GO:0032502,GO:0032504,GO:0040008,GO:0040014,GO:0040018,GO:0045927,GO:0048518,GO:0048522,GO:0048583,GO:0048584,GO:0048638,GO:0048639,GO:0048856,GO:0050789,GO:0050793,GO:0050794,GO:0051094,GO:0051239,GO:0051240,GO:0065007,GO:1902531,GO:1902533</t>
  </si>
  <si>
    <t>ko:K16185</t>
  </si>
  <si>
    <t>ko04140,ko04150,map04140,map04150</t>
  </si>
  <si>
    <t>1KURQ@119089,38EME@33154,3B94I@33208,3CU48@33213,40C37@6231,KOG3886@1,KOG3886@2759</t>
  </si>
  <si>
    <t>43,7908/45,098</t>
  </si>
  <si>
    <t>51,3072/67,9739/24,183</t>
  </si>
  <si>
    <t>75,1634/75,1634/75,1634</t>
  </si>
  <si>
    <t>42,8105/64,0523</t>
  </si>
  <si>
    <t>68,3007/68,3007/68,3007</t>
  </si>
  <si>
    <t>67,6471/67,9739</t>
  </si>
  <si>
    <t>WBGene00006414</t>
  </si>
  <si>
    <t>71.2418</t>
  </si>
  <si>
    <t>Bm3447</t>
  </si>
  <si>
    <t>WBGene00223708</t>
  </si>
  <si>
    <t>GO:0005509/GO:0016020/GO:0016021/</t>
  </si>
  <si>
    <t>calcium_ion_binding/integral_component_of_membrane/membrane/</t>
  </si>
  <si>
    <t>A_lipid_bilayer_along_with_all_the_proteins_and_protein_complexes_embedded_in_it_an_attached_to_it._[GOC:dos,_GOC:mah,_ISBN:0815316194]/"Interacting_selectively_and_non-covalently_with_calcium_ions_(Ca2+)."_[GOC:ai]/"The_component_of_a_membrane_consisting_of_the_gene_products_and_protein_complexes_having_at_least_some_part_of_their_peptide_sequence_embedded_in_the_hydrophobic_region_of_the_membrane."_[GOC:dos,_GOC:go_curators]/</t>
  </si>
  <si>
    <t>IPR000152/IPR000742/IPR001507/IPR001881/IPR009030/IPR013032/IPR018097/IPR024731/</t>
  </si>
  <si>
    <t>EGF-like,_conserved_site/EGF-like_calcium-binding,_conserved_site/EGF-like_calcium-binding_domain/EGF-like_domain/EGF-type_aspartate/asparagine_hydroxylation_site/EGF_domain/Growth_factor_receptor_cysteine-rich_domain_superfamily/Zona_pellucida_domain/</t>
  </si>
  <si>
    <t>EGF-like_CS/EGF-like_Ca-bd_dom/EGF-like_dom/EGF-type_Asp/Asn_hydroxyl_site/EGF_Ca-bd_CS/EGF_dom/Growth_fac_rcpt_cys_sf/ZP_dom/</t>
  </si>
  <si>
    <t>note=B._malayi_BMA-FBN-1_protein,_contains_similarity_toPfam_domains_PF07645_(Calcium-binding_EGF_domain),_PF12947(EGF_domain)_contains_similarity_to_Interpro_domainsIPR001881_(EGF-like_calcium-binding_domain),_IPR000742(Epidermal_growth_factor-like_domain),_IPR009030(Insulin-like_growth_factor_binding_protein,_N-terminal),IPR001507_(Zona_pellucida_domain),_IPR024731_(EGF_domain,merozoite_surface_protein_1-like),_IPR023413_(Greenfluorescent_protein-like)</t>
  </si>
  <si>
    <t>7209.EFO27377.1</t>
  </si>
  <si>
    <t>3542.3</t>
  </si>
  <si>
    <t>fbn-1</t>
  </si>
  <si>
    <t>1KVAK@119089,38BUP@33154,3BA2W@33208,3CUNH@33213,40BRA@6231,KOG1217@1,KOG1217@2759</t>
  </si>
  <si>
    <t>EGF domain</t>
  </si>
  <si>
    <t>6,44038/4,0615</t>
  </si>
  <si>
    <t>6,44038/3,94546</t>
  </si>
  <si>
    <t>6,64346/6,41137/3,82942/3,82942</t>
  </si>
  <si>
    <t>Bm6194</t>
  </si>
  <si>
    <t>WBGene00226455</t>
  </si>
  <si>
    <t>3e-222</t>
  </si>
  <si>
    <t>778.1</t>
  </si>
  <si>
    <t>37,3109/49,4118</t>
  </si>
  <si>
    <t>48,4034/21,3445/52,437/25,8824</t>
  </si>
  <si>
    <t>74,2857/73,2773</t>
  </si>
  <si>
    <t>46,0504/48,9076</t>
  </si>
  <si>
    <t>10,5882/23,0252</t>
  </si>
  <si>
    <t>42,8571/41,8487</t>
  </si>
  <si>
    <t>34,4538/36,9748</t>
  </si>
  <si>
    <t>33,2773/28,7395</t>
  </si>
  <si>
    <t>21,5126/21,3445</t>
  </si>
  <si>
    <t>45.8824</t>
  </si>
  <si>
    <t>Bm10267</t>
  </si>
  <si>
    <t>WBGene00230528</t>
  </si>
  <si>
    <t>IPR000719/IPR008266/IPR011009/IPR017441/</t>
  </si>
  <si>
    <t>Protein_kinase,_ATP_binding_site/Protein_kinase-like_domain_superfamily/Protein_kinase_domain/Tyrosine-protein_kinase,_active_site/</t>
  </si>
  <si>
    <t>Kinase-like_dom_sf/Prot_kinase_dom/Protein_kinase_ATP_BS/Tyr_kinase_AS/</t>
  </si>
  <si>
    <t>7209.EFO17787.1</t>
  </si>
  <si>
    <t>1244.2</t>
  </si>
  <si>
    <t>1KZ9P@119089,2QTCP@2759,38BED@33154,3BCNJ@33208,3CX11@33213,40GEN@6231,COG0515@1</t>
  </si>
  <si>
    <t>Protein tyrosine kinase</t>
  </si>
  <si>
    <t>Bm16925</t>
  </si>
  <si>
    <t>WBGene00255510</t>
  </si>
  <si>
    <t>note=contains_similarity_to_Pfam_domains_PF00560_(Leucine_Rich_Repeat),_PF13516_(Leucine_Rich_repeat),_PF12799_(Leucine_Rich_repeats_(2_copies))_contains_similarity_to_Interpro_domains_IPR025875_(Leucine_rich_repeat_4),_IPR001611_(Leucine-rich_repeat),_IPR003591_(Leucine-rich_repeat,_typical_subtype)</t>
  </si>
  <si>
    <t>7209.EFO21330.2</t>
  </si>
  <si>
    <t>2.2e-168</t>
  </si>
  <si>
    <t>GO:0000075,GO:0000076,GO:0000151,GO:0000278,GO:0003674,GO:0005488,GO:0005515,GO:0005575,GO:0005622,GO:0005623,GO:0005634,GO:0007049,GO:0007093,GO:0007346,GO:0008150,GO:0009987,GO:0010389,GO:0010564,GO:0010948,GO:0010972,GO:0022402,GO:0031461,GO:0031462,GO:0031570,GO:0032991,GO:0033314,GO:0043226,GO:0043227,GO:0043229,GO:0043231,GO:0044424,GO:0044464,GO:0044774,GO:0044818,GO:0045786,GO:0045930,GO:0048519,GO:0048523,GO:0050789,GO:0050794,GO:0051726,GO:0065007,GO:1901987,GO:1901988,GO:1901990,GO:1901991,GO:1902494,GO:1902749,GO:1902750,GO:1903047,GO:1990234</t>
  </si>
  <si>
    <t>ko:K10348</t>
  </si>
  <si>
    <t>1M0H7@119089,390TA@33154,3C6KQ@33208,3DMJE@33213,40H8P@6231,COG4886@1,KOG0619@2759</t>
  </si>
  <si>
    <t>Leucine-rich repeats, outliers</t>
  </si>
  <si>
    <t>93,7198/93,7198</t>
  </si>
  <si>
    <t>WBGene00018016</t>
  </si>
  <si>
    <t>21.7391</t>
  </si>
  <si>
    <t>Bm5805</t>
  </si>
  <si>
    <t>WBGene00226066</t>
  </si>
  <si>
    <t>GO:0003677/GO:0006357/GO:0046983/</t>
  </si>
  <si>
    <t>DNA_binding/protein_dimerization_activity/regulation_of_transcription_by_RNA_polymerase_II/</t>
  </si>
  <si>
    <t>Any_molecular_function_by_which_a_gene_product_interacts_selectively_and_non-covalently_with_DNA_(deoxyribonucleic_acid)._[GOC:dph,_GOC:jl,_GOC:tb,_GOC:vw]/"Any_process_that_modulates_the_frequency,_rate_or_extent_of_transcription_mediated_by_RNA_polymerase_II."_[GOC:go_curators,_GOC:txnOH]/"The_formation_of_a_protein_dimer,_a_macromolecular_structure_consists_of_two_noncovalently_associated_identical_or_nonidentical_subunits."_[ISBN:0198506732]/</t>
  </si>
  <si>
    <t>IPR011598/IPR015660/IPR036638/</t>
  </si>
  <si>
    <t>Achaete-scute_transcription_factor-related/Helix-loop-helix_DNA-binding_domain_superfamily/Myc-type,_basic_helix-loop-helix_(bHLH)_domain/</t>
  </si>
  <si>
    <t>HLH_DNA-bd_sf/MASH1/Ascl1a-like/bHLH_dom/</t>
  </si>
  <si>
    <t>note=B._malayi_BMA-HLH-6_protein,_contains_similarity_toPfam_domain_PF00010_Helix-loop-helix_DNA-binding_domaincontains_similarity_to_Interpro_domains_IPR015660(Achaete-scute_transcription_factor-related),_IPR011598(Myc-type,_basic_helix-loop-helix_(bHLH)_domain)</t>
  </si>
  <si>
    <t>7209.EFO14561.1</t>
  </si>
  <si>
    <t>1.8e-47</t>
  </si>
  <si>
    <t>195.7</t>
  </si>
  <si>
    <t>hlh-6</t>
  </si>
  <si>
    <t>GO:0000981,GO:0002119,GO:0002164,GO:0003674,GO:0003700,GO:0003705,GO:0005575,GO:0005622,GO:0005623,GO:0005634,GO:0006139,GO:0006351,GO:0006355,GO:0006357,GO:0006366,GO:0006725,GO:0006807,GO:0007275,GO:0008150,GO:0008152,GO:0009058,GO:0009059,GO:0009653,GO:0009791,GO:0009887,GO:0009889,GO:0009987,GO:0010467,GO:0010468,GO:0010556,GO:0016070,GO:0018130,GO:0019219,GO:0019222,GO:0019438,GO:0022612,GO:0031323,GO:0031326,GO:0032501,GO:0032502,GO:0032774,GO:0034641,GO:0034645,GO:0034654,GO:0035264,GO:0035295,GO:0040007,GO:0042995,GO:0043170,GO:0043226,GO:0043227,GO:0043229,GO:0043231,GO:0044237,GO:0044238,GO:0044249,GO:0044260,GO:0044271,GO:0044424,GO:0044464,GO:0046483,GO:0048513,GO:0048565,GO:0048589,GO:0048731,GO:0048732,GO:0048856,GO:0050789,GO:0050794,GO:0051171,GO:0051252,GO:0055123,GO:0060255,GO:0060465,GO:0065007,GO:0071704,GO:0080090,GO:0090304,GO:0097659,GO:0140110,GO:1901360,GO:1901362,GO:1901576,GO:1903506,GO:1905905,GO:2000112,GO:2001141</t>
  </si>
  <si>
    <t>ko:K09067</t>
  </si>
  <si>
    <t>1KWS4@119089,3A83I@33154,3BTM9@33208,3DAFZ@33213,40DX1@6231,KOG4029@1,KOG4029@2759</t>
  </si>
  <si>
    <t>Helix-loop-helix DNA-binding domain</t>
  </si>
  <si>
    <t>21,7647/28,2353/24,7059/20,5882/25,8824</t>
  </si>
  <si>
    <t>21,7647/25,8824/27,0588/21,7647/27,0588</t>
  </si>
  <si>
    <t>WBGene00001952</t>
  </si>
  <si>
    <t>37.6471</t>
  </si>
  <si>
    <t>Bm11055</t>
  </si>
  <si>
    <t>WBGene00231316</t>
  </si>
  <si>
    <t>GO:0000002/GO:0004518/GO:0004527/GO:0005739/GO:0008297/GO:0016787/GO:0043504/GO:0090305/</t>
  </si>
  <si>
    <t>exonuclease_activity/hydrolase_activity/mitochondrial_DNA_repair/mitochondrial_genome_maintenance/mitochondrion/nuclease_activity/nucleic_acid_phosphodiester_bond_hydrolysis/single-stranded_DNA_exodeoxyribonuclease_activity/</t>
  </si>
  <si>
    <t>A_semiautonomous,_self_replicating_organelle_that_occurs_in_varying_numbers,_shapes,_and_sizes_in_the_cytoplasm_of_virtually_all_eukaryotic_cells._It_is_notably_the_site_of_tissue_respiration._[GOC:giardia,_ISBN:0198506732]/"Catalysis_of_the_hydrolysis_of_ester_linkages_within_nucleic_acids."_[ISBN:0198547684]/"Catalysis_of_the_hydrolysis_of_ester_linkages_within_nucleic_acids_by_removing_nucleotide_residues_from_the_3'_or_5'_end."_[GOC:mah,_ISBN:0198547684]/"Catalysis_of_the_hydrolysis_of_various_bonds,_e.g._C-O,_C-N,_C-C,_phosphoric_anhydride_bonds,_etc._Hydrolase_is_the_systematic_name_for_any_enzyme_of_EC_class_3."_[ISBN:0198506732]/"Catalysis_of_the_sequential_cleavage_of_mononucleotides_from_a_free_5'_or_3'_terminus_of_a_single-stranded_DNA_molecule."_[GOC:mah]/"The_maintenance_of_the_structure_and_integrity_of_the_mitochondrial_genome;_includes_replication_and_segregation_of_the_mitochondrial_chromosome."_[GOC:ai,_GOC:vw]/"The_nucleic_acid_metabolic_process_in_which_the_phosphodiester_bonds_between_nucleotides_are_cleaved_by_hydrolysis."_[GOC:dph,_GOC:tb]/"The_process_of_restoring_mitochondrial_DNA_after_damage."_[PMID:12565799,_PMID:15189144,_PMID:16050976]/</t>
  </si>
  <si>
    <t>IPR026970/IPR038726/</t>
  </si>
  <si>
    <t>Mitochondrial_genome_maintenance_exonuclease_1/PD-(D/E)XK_endonuclease-like_domain,_AddAB-type/</t>
  </si>
  <si>
    <t>MGME1/PDDEXK_AddAB-type/</t>
  </si>
  <si>
    <t>note=contains_similarity_to_Pfam_domain_PF12705_PD-(D/E)XK_nuclease_superfamily</t>
  </si>
  <si>
    <t>7209.EFO23629.2</t>
  </si>
  <si>
    <t>2.4e-111</t>
  </si>
  <si>
    <t>408.7</t>
  </si>
  <si>
    <t>ko:K19465</t>
  </si>
  <si>
    <t>1KX5A@119089,28NZV@1,2QVKE@2759,38HNX@33154,3BE2K@33208,3CX1A@33213,40ESU@6231</t>
  </si>
  <si>
    <t>mitochondrial DNA repair</t>
  </si>
  <si>
    <t>WBGene00077500</t>
  </si>
  <si>
    <t>25.9016</t>
  </si>
  <si>
    <t>Bm17193</t>
  </si>
  <si>
    <t>WBGene00268336</t>
  </si>
  <si>
    <t>1.9e-07</t>
  </si>
  <si>
    <t>63.5</t>
  </si>
  <si>
    <t>Bm11332</t>
  </si>
  <si>
    <t>WBGene00231593</t>
  </si>
  <si>
    <t>GO:0042802/GO:0044237/</t>
  </si>
  <si>
    <t>cellular_metabolic_process/identical_protein_binding/</t>
  </si>
  <si>
    <t>Interacting_selectively_and_non-covalently_with_an_identical_protein_or_proteins._[GOC:jl]/"The_chemical_reactions_and_pathways_by_which_individual_cells_transform_chemical_substances."_[GOC:go_curators]/</t>
  </si>
  <si>
    <t>IPR000649/IPR037171/</t>
  </si>
  <si>
    <t>Initiation_factor_2B-related/NagB/RpiA_transferase-like/</t>
  </si>
  <si>
    <t>IF-2B-related/NagB/RpiA_transferase-like/</t>
  </si>
  <si>
    <t>note=contains_similarity_to_Pfam_domain_PF01008_Initiation_factor_2_subunit_family_contains_similarity_to_Interpro_domain_IPR000649_(Initiation_factor_2B-related)</t>
  </si>
  <si>
    <t>7209.EFO19821.1</t>
  </si>
  <si>
    <t>1e-157</t>
  </si>
  <si>
    <t>562.8</t>
  </si>
  <si>
    <t>ko:K03239</t>
  </si>
  <si>
    <t>ko00000,ko00001,ko03012</t>
  </si>
  <si>
    <t>1KU9P@119089,38HZY@33154,3BEJN@33208,3CSWJ@33213,40BKF@6231,COG1184@1,KOG1466@2759</t>
  </si>
  <si>
    <t>Belongs to the eIF-2B alpha beta delta subunits family</t>
  </si>
  <si>
    <t>WBGene00014221</t>
  </si>
  <si>
    <t>47.7273</t>
  </si>
  <si>
    <t>Bm9808</t>
  </si>
  <si>
    <t>WBGene00230069</t>
  </si>
  <si>
    <t>IPR007587/IPR016024/</t>
  </si>
  <si>
    <t>Armadillo-type_fold/SIT4_phosphatase-associated_protein_family/</t>
  </si>
  <si>
    <t>ARM-type_fold/SAPS/</t>
  </si>
  <si>
    <t>note=B._malayi_BMA-SAPS-1_protein,_contains_similarity_to_Pfam_domain_PF04499_SIT4_phosphatase-associated_protein_contains_similarity_to_Interpro_domain_IPR007587_(SIT4_phosphatase-associated_protein_family)</t>
  </si>
  <si>
    <t>7209.EFO27431.2</t>
  </si>
  <si>
    <t>1327.8</t>
  </si>
  <si>
    <t>ko:K15501</t>
  </si>
  <si>
    <t>1M881@119089,38EWF@33154,3BBW9@33208,3CTNR@33213,40R58@6231,KOG2073@1,KOG2073@2759</t>
  </si>
  <si>
    <t>phosphatase 6, regulatory subunit</t>
  </si>
  <si>
    <t>15,5128/15,5128/16,7949</t>
  </si>
  <si>
    <t>15,7692/16,5385/15,7692</t>
  </si>
  <si>
    <t>15,8974/16,9231/16,1538</t>
  </si>
  <si>
    <t>8,97436/10,7692/10,8974/12,3077</t>
  </si>
  <si>
    <t>WBGene00008166</t>
  </si>
  <si>
    <t>18.8462</t>
  </si>
  <si>
    <t>Bm9695</t>
  </si>
  <si>
    <t>WBGene00229956</t>
  </si>
  <si>
    <t>GO:0016567/</t>
  </si>
  <si>
    <t>protein_ubiquitination/</t>
  </si>
  <si>
    <t>The_process_in_which_one_or_more_ubiquitin_groups_are_added_to_a_protein._[GOC:ai]/</t>
  </si>
  <si>
    <t>IPR031620/</t>
  </si>
  <si>
    <t>DDB1-_and_CUL4-associated_factor_17/</t>
  </si>
  <si>
    <t>DCAF17/</t>
  </si>
  <si>
    <t>9031.ENSGALP00000015546</t>
  </si>
  <si>
    <t>2.2e-08</t>
  </si>
  <si>
    <t>Aves</t>
  </si>
  <si>
    <t>28HSS@1,2QQ41@2759,38C5U@33154,3BD5Z@33208,3CYI9@33213,485DU@7711,491I4@7742,4GIFC@8782</t>
  </si>
  <si>
    <t>DDB1- and CUL4-associated factor 17</t>
  </si>
  <si>
    <t>84,2027/84,2027</t>
  </si>
  <si>
    <t>19,6721/29,8063</t>
  </si>
  <si>
    <t>Bm17164</t>
  </si>
  <si>
    <t>WBGene00268307</t>
  </si>
  <si>
    <t>1.5e-07</t>
  </si>
  <si>
    <t>Bm17467</t>
  </si>
  <si>
    <t>WBGene00268610</t>
  </si>
  <si>
    <t>10,6426/12,6506/10,0402/11,6466/10,6426</t>
  </si>
  <si>
    <t>12,249/12,249/12,6506/4,21687/6,82731/6,82731/1,00402/11,6466/11,8474/13,6546/10,4418/8,43373/11,245/10,241</t>
  </si>
  <si>
    <t>12,0482/12,0482/12,6506/4,61847/11,8474/12,4498/12,8514/11,245/8,23293</t>
  </si>
  <si>
    <t>Bm17457</t>
  </si>
  <si>
    <t>WBGene00268600</t>
  </si>
  <si>
    <t>1.6e-17</t>
  </si>
  <si>
    <t>Bm13947</t>
  </si>
  <si>
    <t>WBGene00234208</t>
  </si>
  <si>
    <t>GO:0003824/GO:0004372/GO:0006730/GO:0009792/GO:0016740/GO:0019264/GO:0030170/GO:0035999/</t>
  </si>
  <si>
    <t>catalytic_activity/embryo_development_ending_in_birth_or_egg_hatching/glycine_biosynthetic_process_from_serine/glycine_hydroxymethyltransferase_activity/one-carbon_metabolic_process/pyridoxal_phosphate_binding/tetrahydrofolate_interconversion/transferase_activity/</t>
  </si>
  <si>
    <t>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Catalysis_of_the_reaction:_5,10-methylenetetrahydrofolate_+_glycine_+_H2O_=_tetrahydrofolate_+_L-serine."_[EC:2.1.2.1]/"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Interacting_selectively_and_non-covalently_with_pyridoxal_5'_phosphate,_3-hydroxy-5-(hydroxymethyl)-2-methyl4-pyridine_carboxaldehyde_5'_phosphate,_the_biologically_active_form_of_vitamin_B6."_[GOC:mah,_ISBN:0198506732]/"The_chemical_reactions_and_pathways_by_which_one-carbon_(C1)_units_are_transferred_between_tetrahydrofolate_molecules,_to_synthesise_other_tetrahydrofolate_molecules."_[GOC:yaf,_PMID:1825999,_UniPathway:UPA00193]/"The_chemical_reactions_and_pathways_involving_the_transfer_of_one-carbon_units_in_various_oxidation_states."_[GOC:hjd,_GOC:mah,_GOC:pde]/"The_chemical_reactions_and_pathways_resulting_in_the_formation_of_glycine_from_other_compounds,_including_serine."_[GOC:go_curators]/"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
  </si>
  <si>
    <t>IPR001085/IPR015421/IPR015422/IPR015424/IPR019798/IPR039429/</t>
  </si>
  <si>
    <t>Pyridoxal_phosphate-dependent_transferase/Pyridoxal_phosphate-dependent_transferase,_major_domain/Pyridoxal_phosphate-dependent_transferase_domain_1/Serine_hydroxymethyltransferase/Serine_hydroxymethyltransferase,_pyridoxal_phosphate_binding_site/Serine_hydroxymethyltransferase-like_domain/</t>
  </si>
  <si>
    <t>PyrdxlP-dep_Trfase/PyrdxlP-dep_Trfase_dom1/PyrdxlP-dep_Trfase_major/SHMT-like_dom/Ser_HO-MeTrfase/Ser_HO-MeTrfase_PLP_BS/</t>
  </si>
  <si>
    <t>note=B._malayi_BMA-MEL-32_protein,_contains_similarity_to_Pfam_domain_PF00464_Serine_hydroxymethyltransferase_contains_similarity_to_Interpro_domains_IPR001085_(Serine_hydroxymethyltransferase),_IPR015422_(Pyridoxal_phosphate-dependent_transferase,_major_region,_subdomain_2),_IPR015424_(Pyridoxal_phosphate-dependent_transferase),_IPR015421_(Pyridoxal_phosphate-dependent_transferase,_major_region,_subdomain_1)</t>
  </si>
  <si>
    <t>7209.EFO27028.1</t>
  </si>
  <si>
    <t>9.1e-254</t>
  </si>
  <si>
    <t>882.5</t>
  </si>
  <si>
    <t>GO:0003674,GO:0003824,GO:0004372,GO:0005488,GO:0006082,GO:0006520,GO:0006807,GO:0007275,GO:0008144,GO:0008150,GO:0008152,GO:0009069,GO:0009790,GO:0009792,GO:0009987,GO:0016740,GO:0016741,GO:0016742,GO:0019752,GO:0019842,GO:0030170,GO:0032501,GO:0032502,GO:0036094,GO:0043167,GO:0043168,GO:0043436,GO:0044237,GO:0044238,GO:0044281,GO:0048037,GO:0048856,GO:0050662,GO:0070279,GO:0071704,GO:0097159,GO:1901363,GO:1901564,GO:1901605</t>
  </si>
  <si>
    <t>2.1.2.1</t>
  </si>
  <si>
    <t>ko:K00600</t>
  </si>
  <si>
    <t>ko00260,ko00460,ko00630,ko00670,ko00680,ko01100,ko01110,ko01120,ko01130,ko01200,ko01230,ko01523,map00260,map00460,map00630,map00670,map00680,map01100,map01110,map01120,map01130,map01200,map01230,map01523</t>
  </si>
  <si>
    <t>M00140,M00141,M00346,M00532</t>
  </si>
  <si>
    <t>R00945,R09099</t>
  </si>
  <si>
    <t>RC00022,RC00112,RC01583,RC02958</t>
  </si>
  <si>
    <t>1KUI5@119089,38EKT@33154,3BAU2@33208,3CT2W@33213,40BIJ@6231,COG0112@1,KOG2467@2759</t>
  </si>
  <si>
    <t>Interconversion of serine and glycine</t>
  </si>
  <si>
    <t>59,7107/50,2066</t>
  </si>
  <si>
    <t>25/63,0165/62,3967</t>
  </si>
  <si>
    <t>58,8843/58,8843</t>
  </si>
  <si>
    <t>58,4711/55,3719</t>
  </si>
  <si>
    <t>54,7521/58,0578</t>
  </si>
  <si>
    <t>50,2066/58,4711</t>
  </si>
  <si>
    <t>50,8264/50,4132</t>
  </si>
  <si>
    <t>WBGene00003214</t>
  </si>
  <si>
    <t>66.5289</t>
  </si>
  <si>
    <t>Bm10157</t>
  </si>
  <si>
    <t>WBGene00230418</t>
  </si>
  <si>
    <t>note=contains_similarity_to_Interpro_domains_IPR001841_(Zinc_finger,_RING-type),_IPR013083_(Zinc_finger,_RING/FYVE/PHD-type)</t>
  </si>
  <si>
    <t>Bm10567</t>
  </si>
  <si>
    <t>WBGene00230828</t>
  </si>
  <si>
    <t>Bm9124</t>
  </si>
  <si>
    <t>WBGene00229385</t>
  </si>
  <si>
    <t>GO:0005634/GO:0046982/</t>
  </si>
  <si>
    <t>nucleus/protein_heterodimerization_activity/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</si>
  <si>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Interacting_selectively_and_non-covalently_with_a_nonidentical_protein_to_form_a_heterodimer."_[GOC:ai]/</t>
  </si>
  <si>
    <t>IPR003958/IPR009072/</t>
  </si>
  <si>
    <t>Histone-fold/Transcription_factor_CBF/NF-Y/archaeal_histone_domain/</t>
  </si>
  <si>
    <t>CBFA_NFYB_domain/Histone-fold/</t>
  </si>
  <si>
    <t>note=contains_similarity_to_Pfam_domain_PF00808_Histone-like_transcription_factor_(CBF/NF-Y)_and_archaeal_histone_contains_similarity_to_Interpro_domains_IPR009072_(Histone-fold),_IPR003958_(Transcription_factor_CBF/NF-Y/archaeal_histone)</t>
  </si>
  <si>
    <t>7209.EFO18927.1</t>
  </si>
  <si>
    <t>4.4e-67</t>
  </si>
  <si>
    <t>260.8</t>
  </si>
  <si>
    <t>ko:K02326</t>
  </si>
  <si>
    <t>ko00000,ko00001,ko00002,ko01000,ko03032,ko03036,ko03400</t>
  </si>
  <si>
    <t>1M8D8@119089,3A60M@33154,3BPN4@33208,3E4WG@33213,40R8S@6231,KOG0870@1,KOG0870@2759</t>
  </si>
  <si>
    <t>Histone-like transcription factor (CBF/NF-Y) and archaeal histone</t>
  </si>
  <si>
    <t>35,3659/31,0976</t>
  </si>
  <si>
    <t>Bm10638</t>
  </si>
  <si>
    <t>WBGene00230899</t>
  </si>
  <si>
    <t>94,7581/94,7581</t>
  </si>
  <si>
    <t>35,0806/28,629</t>
  </si>
  <si>
    <t>Bm5885</t>
  </si>
  <si>
    <t>WBGene00226146</t>
  </si>
  <si>
    <t>GO:0006221/GO:0007049/GO:0045747/</t>
  </si>
  <si>
    <t>cell_cycle/positive_regulation_of_Notch_signaling_pathway/pyrimidine_nucleotide_biosynthetic_process/</t>
  </si>
  <si>
    <t>Any_process_that_activates_or_increases_the_frequency,_rate_or_extent_of_the_Notch_signaling_pathway._[GOC:go_curators]/"The_chemical_reactions_and_pathways_resulting_in_the_formation_of_a_pyrimidine_nucleotide,_a_compound_consisting_of_nucleoside_(a_pyrimidine_base_linked_to_a_deoxyribose_or_ribose_sugar)_esterified_with_a_phosphate_group_at_either_the_3'_or_5'-hydroxyl_group_of_the_sugar."_[GOC:go_curators,_ISBN:0198506732]/"The_progression_of_biochemical_and_morphological_phases_and_events_that_occur_in_a_cell_during_successive_cell_replication_or_nuclear_replication_events._Canonically,_the_cell_cycle_comprises_the_replication_and_segregation_of_genetic_material_followed_by_the_division_of_the_cell,_but_in_endocycles_or_syncytial_cells_nuclear_replication_or_nuclear_division_may_not_be_followed_by_cell_division."_[GOC:go_curators,_GOC:mtg_cell_cycle]/</t>
  </si>
  <si>
    <t>IPR000781/IPR035912/</t>
  </si>
  <si>
    <t>Enhancer_of_rudimentary/Enhancer_of_rudimentary_superfamily/</t>
  </si>
  <si>
    <t>EHR_sf/Enh_rudimentary/</t>
  </si>
  <si>
    <t>note=contains_similarity_to_Pfam_domain_PF01133_Enhancerof_rudimentary_contains_similarity_to_Interpro_domainIPR000781_(Enhancer_of_rudimentary)</t>
  </si>
  <si>
    <t>7209.EFO20271.1</t>
  </si>
  <si>
    <t>1.9e-52</t>
  </si>
  <si>
    <t>1KZR2@119089,3A1JU@33154,3BQCK@33208,3D74U@33213,40GVF@6231,KOG1766@1,KOG1766@2759</t>
  </si>
  <si>
    <t>May have a role in the cell cycle</t>
  </si>
  <si>
    <t>49,0196/64,7059</t>
  </si>
  <si>
    <t>62,7451/62,7451</t>
  </si>
  <si>
    <t>53,9216/40,1961</t>
  </si>
  <si>
    <t>63,7255/63,7255</t>
  </si>
  <si>
    <t>WBGene00011892/WBGene00009444</t>
  </si>
  <si>
    <t>53.9216/40.1961</t>
  </si>
  <si>
    <t>Bm9164</t>
  </si>
  <si>
    <t>WBGene00229425</t>
  </si>
  <si>
    <t>74,6702/74,6702</t>
  </si>
  <si>
    <t>Bm10773</t>
  </si>
  <si>
    <t>WBGene00231034</t>
  </si>
  <si>
    <t>68,254/68,254/82,1429/23,0159</t>
  </si>
  <si>
    <t>Bm10082</t>
  </si>
  <si>
    <t>WBGene00230343</t>
  </si>
  <si>
    <t>IPR019527/IPR036322/</t>
  </si>
  <si>
    <t>RZZ_complex,_subunit_KNTC1/ROD,_C-terminal/WD40-repeat-containing_domain_superfamily/</t>
  </si>
  <si>
    <t>RZZ-complex_KNTC1/ROD_C/WD40_repeat_dom_sf/</t>
  </si>
  <si>
    <t>note=B._malayi_BMA-ROD-1_protein,_contains_similarity_toPfam_domain_PF10493_Rough_deal_protein_C-terminal_regioncontains_similarity_to_Interpro_domains_IPR017986(WD40-repeat-containing_domain),_IPR019527_(RZZ_complex,subunit_KNTC1/ROD,_C-terminal)</t>
  </si>
  <si>
    <t>7209.EFO27631.2</t>
  </si>
  <si>
    <t>3449.8</t>
  </si>
  <si>
    <t>GO:0000070,GO:0000278,GO:0000280,GO:0000775,GO:0000776,GO:0000819,GO:0003674,GO:0005488,GO:0005515,GO:0005575,GO:0005622,GO:0005623,GO:0005694,GO:0006928,GO:0006996,GO:0007017,GO:0007018,GO:0007049,GO:0007059,GO:0007079,GO:0007088,GO:0007346,GO:0008104,GO:0008150,GO:0009987,GO:0010564,GO:0010638,GO:0010695,GO:0010696,GO:0010965,GO:0016043,GO:0019904,GO:0022402,GO:0022607,GO:0030071,GO:0031334,GO:0032879,GO:0032880,GO:0032886,GO:0032991,GO:0033036,GO:0033043,GO:0033044,GO:0033045,GO:0033047,GO:0033365,GO:0034501,GO:0034502,GO:0034508,GO:0034613,GO:0034622,GO:0043226,GO:0043228,GO:0043229,GO:0043232,GO:0043254,GO:0043933,GO:0044085,GO:0044087,GO:0044089,GO:0044422,GO:0044424,GO:0044427,GO:0044446,GO:0044464,GO:0045787,GO:0045840,GO:0045931,GO:0048285,GO:0048518,GO:0048522,GO:0050000,GO:0050789,GO:0050794,GO:0051128,GO:0051130,GO:0051179,GO:0051234,GO:0051276,GO:0051303,GO:0051305,GO:0051382,GO:0051383,GO:0051493,GO:0051495,GO:0051640,GO:0051641,GO:0051649,GO:0051656,GO:0051726,GO:0051781,GO:0051783,GO:0051785,GO:0051983,GO:0051984,GO:0051988,GO:0060341,GO:0062033,GO:0065003,GO:0065004,GO:0065007,GO:0070507,GO:0070727,GO:0070925,GO:0071459,GO:0071824,GO:0071840,GO:0090068,GO:0090230,GO:0090231,GO:0090232,GO:0090234,GO:0090235,GO:0090266,GO:0090267,GO:0090268,GO:0098687,GO:0098813,GO:0140014,GO:1901970,GO:1901976,GO:1901978,GO:1901987,GO:1901990,GO:1902099,GO:1902115,GO:1902117,GO:1902423,GO:1903047,GO:1903394,GO:1903504,GO:1903827,GO:1903829,GO:1905340,GO:1905342,GO:1905561,GO:1905818,GO:1905820,GO:1990423,GO:2001252</t>
  </si>
  <si>
    <t>ko:K11577</t>
  </si>
  <si>
    <t>1KX8X@119089,39CFQ@33154,3CGGB@33208,3DXXZ@33213,40F40@6231,KOG4256@1,KOG4256@2759</t>
  </si>
  <si>
    <t>regulation of mitotic cell cycle</t>
  </si>
  <si>
    <t>16,3038/28,3465</t>
  </si>
  <si>
    <t>15,8407/55,6739</t>
  </si>
  <si>
    <t>17,786/17,8786/5,00232</t>
  </si>
  <si>
    <t>WBGene00018900</t>
  </si>
  <si>
    <t>16.1649</t>
  </si>
  <si>
    <t>Bm7859</t>
  </si>
  <si>
    <t>WBGene00228120</t>
  </si>
  <si>
    <t>GO:0000166/GO:0003677/GO:0003916/GO:0003918/GO:0005524/GO:0006259/GO:0006265/GO:0016853/GO:0061505/</t>
  </si>
  <si>
    <t>ATP_binding/DNA_binding/DNA_metabolic_process/DNA_topoisomerase_II_activity/DNA_topoisomerase_activity/DNA_topoisomerase_type_II_(ATP-hydrolyzing)_activity/DNA_topological_change/isomerase_activity/nucleotide_binding/</t>
  </si>
  <si>
    <t>Any_cellular_metabolic_process_involving_deoxyribonucleic_acid._This_is_one_of_the_two_main_types_of_nucleic_acid,_consisting_of_a_long,_unbranched_macromolecule_formed_from_one,_or_more_commonly,_two,_strands_of_linked_deoxyribonucleotides._[ISBN:0198506732]/"Any_molecular_function_by_which_a_gene_product_interacts_selectively_and_non-covalently_with_DNA_(deoxyribonucleic_acid)."_[GOC:dph,_GOC:jl,_GOC:tb,_GOC:vw]/"Catalysis_of_a_DNA_topological_transformation_by_transiently_cleaving_a_pair_of_complementary_DNA_strands_to_form_a_gate_through_which_a_second_double-stranded_DNA_segment_is_passed,_after_which_the_severed_strands_in_the_first_DNA_segment_are_rejoined;_changes_the_linking_number_in_multiples_of_2."_[GOC:dph]/"Catalysis_of_a_DNA_topological_transformation_by_transiently_cleaving_a_pair_of_complementary_DNA_strands_to_form_a_gate_through_which_a_second_double-stranded_DNA_segment_is_passed,_after_which_the_severed_strands_in_the_first_DNA_segment_are_rejoined;_product_release_is_coupled_to_ATP_binding_and_hydrolysis;_changes_the_linking_number_in_multiples_of_2."_[PMID:8811192]/"Catalysis_of_the_geometric_or_structural_changes_within_one_molecule._Isomerase_is_the_systematic_name_for_any_enzyme_of_EC_class_5."_[ISBN:0198506732]/"Catalysis_of_the_transient_cleavage_and_passage_of_individual_DNA_strands_or_double_helices_through_one_another,_resulting_a_topological_transformation_in_double-stranded_DNA."_[GOC:mah,_PMID:8811192]/"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The_process_in_which_a_transformation_is_induced_in_the_topological_structure_of_a_double-stranded_DNA_helix,_resulting_in_a_change_in_linking_number."_[ISBN:071673706X,_ISBN:0935702490]/</t>
  </si>
  <si>
    <t>IPR001154/IPR001241/IPR002205/IPR003594/IPR006171/IPR013506/IPR013757/IPR013758/IPR013759/IPR013760/IPR014721/IPR018522/IPR020568/IPR031660/IPR034157/IPR036890/</t>
  </si>
  <si>
    <t>C-terminal_associated_domain_of_TOPRIM/DNA_topoisomerase,_type_IIA/DNA_topoisomerase,_type_IIA,_conserved_site/DNA_topoisomerase,_type_IIA,_subunit_A/C-terminal/DNA_topoisomerase,_type_IIA,_subunit_A/_C-terminal,_alpha-beta/DNA_topoisomerase,_type_IIA,_subunit_B,_C-terminal/DNA_topoisomerase,_type_IIA,_subunit_B,_domain_2/DNA_topoisomerase,_type_IIA-like_domain_superfamily/DNA_topoisomerase_2,_TOPRIM_domain/DNA_topoisomerase_II,_eukaryotic-type/Histidine_kinase/HSP90-like_ATPase/Histidine_kinase/HSP90-like_ATPase_superfamily/Ribosomal_protein_S5_domain_2-type_fold/Ribosomal_protein_S5_domain_2-type_fold,_subgroup/TOPRIM__domain/Type_IIA_DNA_topoisomerase_subunit_A,_alpha-helical_domain_superfamily/</t>
  </si>
  <si>
    <t>HATPase_C/HATPase_C_sf/Ribosomal_S5_D2-typ_fold/Ribosomal_S5_D2-typ_fold_subgr/TOPRIM_C/TOPRIM_TopoII/TOPRIM_domain/TopoIIA_CS/TopoII_euk/Topo_IIA/Topo_IIA-like_dom_sf/Topo_IIA_A/C/Topo_IIA_A/C_ab/Topo_IIA_A_a_sf/Topo_IIA_B_C/Topo_IIA_bsu_dom2/</t>
  </si>
  <si>
    <t>note=contains_similarity_to_Pfam_domains_PF00521_(DNA_gyrase/topoisomerase_IV,_subunit_A),_PF02518_(Histidine_kinase-,_DNA_gyrase_B-,_and_HSP90-like_ATPase),_PF01751_(Toprim_domain),_PF00204_(DNA_gyrase_B)_contains_similarity_to_Interpro_domains_IPR002205_(DNA_topoisomerase,_type_IIA,_subunit_A/C-terminal),_IPR013506_(DNA_topoisomerase,_type_IIA,_subunit_B,_domain_2),_IPR001241_(DNA_topoisomerase,_type_IIA),_IPR020568_(Ribosomal_protein_S5_domain_2-type_fold),_IPR024946_(Arginine_repressor_C-terminal-like_domain),_IPR013758_(DNA_topoisomerase,_type_IIA,_subunit_A/_C-terminal,_alpha-beta),_IPR013757_(Type_IIA_DNA_topoisomerase_subunit_A,_alpha-helical_domain),_IPR003594_(Histidine_kinase-like_ATPase,_C-terminal_domain),_IPR013759_(DNA_topoisomerase,_type_IIA,_central_domain),_IPR006171_(Toprim_domain),_IPR001154_(DNA_topoisomerase_II,_eukaryotic-type),_IPR014721_(Ribosomal_protein_S5_domain_2-type_fold,_subgroup),_IPR013760_(DNA_topoisomerase,_type_IIA-like_domain)</t>
  </si>
  <si>
    <t>7209.EJD75192.1</t>
  </si>
  <si>
    <t>2040.0</t>
  </si>
  <si>
    <t>GO:0000070,GO:0000278,GO:0000280,GO:0000819,GO:0006996,GO:0007049,GO:0007059,GO:0008150,GO:0009987,GO:0016043,GO:0022402,GO:0048285,GO:0051276,GO:0051304,GO:0051306,GO:0071840,GO:0098813,GO:0140014,GO:1903047</t>
  </si>
  <si>
    <t>5.99.1.3</t>
  </si>
  <si>
    <t>ko:K03164</t>
  </si>
  <si>
    <t>ko01524,map01524</t>
  </si>
  <si>
    <t>ko00000,ko00001,ko01000,ko03032,ko03036</t>
  </si>
  <si>
    <t>1KXR3@119089,38CPA@33154,3BFVW@33208,3CW22@33213,40BF1@6231,COG0187@1,KOG0355@2759</t>
  </si>
  <si>
    <t>Control of topological states of DNA by transient breakage and subsequent rejoining of DNA strands. Topoisomerase II makes double-strand breaks</t>
  </si>
  <si>
    <t>14,5288/37,6309</t>
  </si>
  <si>
    <t>56,0864/56,7408</t>
  </si>
  <si>
    <t>11,4529/28,7304/11,9764/16,034/19,6335/42,1466/45,5497/25,7853/40,9686</t>
  </si>
  <si>
    <t>WBGene00010785</t>
  </si>
  <si>
    <t>59.0969</t>
  </si>
  <si>
    <t>Bm7880</t>
  </si>
  <si>
    <t>WBGene00228141</t>
  </si>
  <si>
    <t>53,0786/23,8854</t>
  </si>
  <si>
    <t>24,5223/30,0425</t>
  </si>
  <si>
    <t>Bm5746</t>
  </si>
  <si>
    <t>WBGene00226007</t>
  </si>
  <si>
    <t>GO:0005634/GO:0006352/GO:0009792/GO:0009794/GO:0045944/GO:0046982/</t>
  </si>
  <si>
    <t>DNA-templated_transcription,_initiation/embryo_development_ending_in_birth_or_egg_hatching/nucleus/positive_regulation_of_transcription_by_RNA_polymerase_II/protein_heterodimerization_activity/regulation_of_mitotic_cell_cycle,_embryonic/</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</si>
  <si>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process_involved_in_the_assembly_of_the_RNA_polymerase_preinitiation_complex_(PIC)_at_the_core_promoter_region_of_a_DNA_template,_resulting_in_the_subsequent_synthesis_of_RNA_from_that_promoter._The_initiation_phase_includes_PIC_assembly_and_the_formation_of_the_first_few_bonds_in_the_RNA_chain,_including_abortive_initiation,_which_occurs_when_the_first_few_nucleotides_are_repeatedly_synthesized_and_then_released._The_initiation_phase_ends_just_before_and_does_not_include_promoter_clearance,_or_release,_which_is_the_transition_between_the_initiation_and_elongation_phases_of_transcription."_[GOC:jid,_GOC:txnOH,_PMID:18280161]/"Any_process_that_activates_or_increases_the_frequency,_rate_or_extent_of_transcription_from_an_RNA_polymerase_II_promoter."_[GOC:go_curators,_GOC:txnOH]/"Any_process_that_modulates_the_frequency,_rate_or_extent_of_replication_and_segregation_of_genetic_material_in_the_embryo."_[GOC:dph,_GOC:go_curators,_GOC:tb]/"Interacting_selectively_and_non-covalently_with_a_nonidentical_protein_to_form_a_heterodimer."_[GOC:ai]/"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
  </si>
  <si>
    <t>IPR003162/IPR009072/</t>
  </si>
  <si>
    <t>Histone-fold/Transcription_initiation_factor_TAFII31/</t>
  </si>
  <si>
    <t>Histone-fold/TFIID-31/</t>
  </si>
  <si>
    <t>note=B._malayi_BMA-TAF-9_protein,_contains_similarity_toPfam_domain_PF02291_Transcription_initiation_factor_IID,31kD_subunit_contains_similarity_to_Interpro_domainsIPR003162_(Transcription_initiation_factor_TAFII31),IPR009072_(Histone-fold)</t>
  </si>
  <si>
    <t>7209.EFO20247.1</t>
  </si>
  <si>
    <t>4.7e-88</t>
  </si>
  <si>
    <t>ko:K03133</t>
  </si>
  <si>
    <t>1KX7F@119089,3A03X@33154,3BJEC@33208,3CYJ1@33213,40F5T@6231,COG5094@1,KOG3334@2759</t>
  </si>
  <si>
    <t>Transcription initiation factor IID, 31kD subunit</t>
  </si>
  <si>
    <t>43,0233/40,6977</t>
  </si>
  <si>
    <t>43,0233/40,1163/40,1163</t>
  </si>
  <si>
    <t>WBGene00006391</t>
  </si>
  <si>
    <t>36.6279</t>
  </si>
  <si>
    <t>Bm4172</t>
  </si>
  <si>
    <t>WBGene00224433</t>
  </si>
  <si>
    <t>7209.EJD75949.1</t>
  </si>
  <si>
    <t>7.9e-183</t>
  </si>
  <si>
    <t>1KYM2@119089,3AIBW@33154,3BYIS@33208,3DFGS@33213,40FST@6231,COG5599@1,KOG0789@2759</t>
  </si>
  <si>
    <t>63,6103/36,9627</t>
  </si>
  <si>
    <t>29,5129/30,9456</t>
  </si>
  <si>
    <t>23,2092/30,9456</t>
  </si>
  <si>
    <t>Bm12098</t>
  </si>
  <si>
    <t>WBGene00232359</t>
  </si>
  <si>
    <t>Bm3821</t>
  </si>
  <si>
    <t>WBGene00224082</t>
  </si>
  <si>
    <t>IPR002223/IPR006150/IPR028150/IPR036880/</t>
  </si>
  <si>
    <t>Cysteine-rich_repeat/Lustrin,_cysteine-rich_repeated/Pancreatic_trypsin_inhibitor_Kunitz_domain/Pancreatic_trypsin_inhibitor_Kunitz_domain_superfamily/</t>
  </si>
  <si>
    <t>Cys_repeat_1/Kunitz_BPTI/Kunitz_BPTI_sf/Lustrin_cystein/</t>
  </si>
  <si>
    <t>note=contains_similarity_to_Pfam_domains_PF00014_(Kunitz/Bovine_pancreatic_trypsin_inhibitor_domain),_PF14625_(Lustrin,_cysteine-rich_repeated_domain)_contains_similarity_to_Interpro_domains_IPR002223_(Proteinase_inhibitor_I2,_Kunitz_metazoa),_IPR028150_(Lustrin,_cysteine-rich_repeated_domain),_IPR006150_(Cysteine-rich_repeat)</t>
  </si>
  <si>
    <t>7209.EJD73833.1</t>
  </si>
  <si>
    <t>1335.5</t>
  </si>
  <si>
    <t>1M7Q6@119089,3A1QS@33154,3BQT6@33208,3D7KS@33213,40C3M@6231,KOG4295@1,KOG4295@2759</t>
  </si>
  <si>
    <t>BPTI/Kunitz family of serine protease inhibitors.</t>
  </si>
  <si>
    <t>13,8869/6,94345/13,8869</t>
  </si>
  <si>
    <t>1,64639/5,65497/6,01288/3,72226/3,72226/1,64639/1,64639/1,36006/2,86328/6,65712/4,58125</t>
  </si>
  <si>
    <t>1,71797/5,58339/6,01288/3,86543/4,00859/1,71797/1,93271/2,14746/1,86113/2,86328/6,7287/4,29492</t>
  </si>
  <si>
    <t>3,5791/3,79384/5,86972/5,79814/5,79814/1,07373/4,22334/3,43593/3,22119/4,08017/3,72226</t>
  </si>
  <si>
    <t>Bm7232</t>
  </si>
  <si>
    <t>WBGene00227493</t>
  </si>
  <si>
    <t>GO:0005515/GO:0005930/GO:0034464/GO:0035721/GO:0036064/GO:0043005/GO:0061512/GO:1905515/</t>
  </si>
  <si>
    <t>BBSome/axoneme/ciliary_basal_body/intraciliary_retrograde_transport/neuron_projection/non-motile_cilium_assembly/protein_binding/protein_localization_to_cilium/</t>
  </si>
  <si>
    <t>A_ciliary_protein_complex_involved_in_cilium_biogenesis._It_consists_of_at_least_seven_Bardet-Biedl_syndrome_(BBS)_proteins_and_BBIP10._It_moves_in_association_with_IFT_trains_through_cilia_(likely_as_an_IFT-A/B_adaptor_or_cargo),_and_is_required_for_the_integrity_of_IFT-A_and_IFT-B._[GOC:BHF,_GOC:cilia,_PMID:15231740,_PMID:17574030,_PMID:26498262]/"A_membrane-tethered,_short_cylindrical_array_of_microtubules_and_associated_proteins_found_at_the_base_of_a_eukaryotic_cilium_(also_called_flagellum)_that_is_similar_in_structure_to_a_centriole_and_derives_from_it._The_cilium_basal_body_is_the_site_of_assembly_and_remodelling_of_the_cilium_and_serves_as_a_nucleation_site_for_axoneme_growth._As_well_as_anchoring_the_cilium,_it_is_thought_to_provide_a_selective_gateway_regulating_the_entry_of_ciliary_proteins_and_vesicles_by_intraflagellar_transport."_[GOC:cilia,_GOC:clt,_PMID:21750193]/"A_process_in_which_a_protein_is_transported_to,_or_maintained_in,_a_location_within_a_cilium."_[GOC:dph]/"A_prolongation_or_process_extending_from_a_nerve_cell,_e.g._an_axon_or_dendrite."_[GOC:jl,_http://www.cogsci.princeton.edu/~wn/]/"Interacting_selectively_and_non-covalently_with_any_protein_or_protein_complex_(a_complex_of_two_or_more_proteins_that_may_include_other_nonprotein_molecules)."_[GOC:go_curators]/"The_aggregation,_arrangement_and_bonding_together_of_a_set_of_components_to_form_a_non-motile_cilium."_[GO_REF:0000079,_GOC:cilia,_GOC:kmv,_GOC:TermGenie,_PMID:14521833,_PMID:14521834]/"The_bundle_of_microtubules_and_associated_proteins_that_forms_the_core_of_cilia_(also_called_flagella)_in_eukaryotic_cells_and_is_responsible_for_their_movements."_[GOC:bf,_GOC:cilia,_ISBN:0198547684]/"The_directed_movement_of_large_protein_complexes_along_microtubules_from_the_tip_of_a_cilium_(also_called_flagellum)_toward_the_cell_body,_mediated_by_motor_proteins."_[GOC:BHF,_GOC:cilia]/</t>
  </si>
  <si>
    <t>IPR015943/IPR028784/IPR032728/IPR036322/</t>
  </si>
  <si>
    <t>Bardet-Biedl_syndrome_1,_N-terminal/Bardet-Biedl_syndrome_1_protein/WD40-repeat-containing_domain_superfamily/WD40/YVTN_repeat-like-containing_domain_superfamily/</t>
  </si>
  <si>
    <t>BBS1/BBS1_N/WD40/YVTN_repeat-like_dom_sf/WD40_repeat_dom_sf/</t>
  </si>
  <si>
    <t>note=B._malayi_BMA-BBS-1_protein,_contains_similarity_toPfam_domain_PF14779_Ciliary_BBSome_complex_subunit_1contains_similarity_to_Interpro_domains_IPR028784(Bardet-Biedl_syndrome_1_protein),_IPR017986(WD40-repeat-containing_domain),_IPR015943_(WD40/YVTNrepeat-like-containing_domain)</t>
  </si>
  <si>
    <t>7209.EJD75430.1</t>
  </si>
  <si>
    <t>1.1e-290</t>
  </si>
  <si>
    <t>1005.4</t>
  </si>
  <si>
    <t>GO:0005575,GO:0005622,GO:0005623,GO:0005737,GO:0005815,GO:0005856,GO:0005929,GO:0005930,GO:0006810,GO:0006928,GO:0006996,GO:0007017,GO:0007018,GO:0008104,GO:0008150,GO:0009987,GO:0010970,GO:0015630,GO:0016043,GO:0022607,GO:0030030,GO:0030031,GO:0030705,GO:0031503,GO:0032838,GO:0033036,GO:0033365,GO:0034613,GO:0035721,GO:0036064,GO:0042073,GO:0042995,GO:0043005,GO:0043226,GO:0043228,GO:0043229,GO:0043232,GO:0044085,GO:0044422,GO:0044424,GO:0044430,GO:0044441,GO:0044444,GO:0044446,GO:0044463,GO:0044464,GO:0044782,GO:0046907,GO:0051179,GO:0051234,GO:0051641,GO:0051649,GO:0060271,GO:0061512,GO:0070727,GO:0070925,GO:0071840,GO:0097014,GO:0097458,GO:0099111,GO:0099568,GO:0120025,GO:0120031,GO:0120036,GO:0120038,GO:1905515</t>
  </si>
  <si>
    <t>ko:K16746</t>
  </si>
  <si>
    <t>1KU2E@119089,2CMUT@1,2QS2X@2759,38JA7@33154,3BD97@33208,3CU21@33213,40AYD@6231</t>
  </si>
  <si>
    <t>Ciliary BBSome complex subunit 1</t>
  </si>
  <si>
    <t>53,2759/16,7241</t>
  </si>
  <si>
    <t>16,0345/18,6207/14,1379/16,3793</t>
  </si>
  <si>
    <t>31,0345/29,1379</t>
  </si>
  <si>
    <t>17,7586/8,96552/12,5862</t>
  </si>
  <si>
    <t>18,7931/19,3103</t>
  </si>
  <si>
    <t>16,0345/20,5172</t>
  </si>
  <si>
    <t>31,3793/31,2069</t>
  </si>
  <si>
    <t>WBGene00000241</t>
  </si>
  <si>
    <t>36.2069</t>
  </si>
  <si>
    <t>Bm2626</t>
  </si>
  <si>
    <t>WBGene00222887</t>
  </si>
  <si>
    <t>GO:0004146/GO:0006545/GO:0046654/GO:0050661/GO:0055114/</t>
  </si>
  <si>
    <t>NADP_binding/dihydrofolate_reductase_activity/glycine_biosynthetic_process/oxidation-reduction_process/tetrahydrofolate_biosynthetic_process/</t>
  </si>
  <si>
    <t>A_metabolic_process_that_results_in_the_removal_or_addition_of_one_or_more_electrons_to_or_from_a_substance,_with_or_without_the_concomitant_removal_or_addition_of_a_proton_or_protons._[GOC:dhl,_GOC:ecd,_GOC:jh2,_GOC:jid,_GOC:mlg,_GOC:rph]/"Catalysis_of_the_reaction:_5,6,7,8-tetrahydrofolate_+_NADP+_=_7,8-dihydrofolate_+_NADPH_+_H+."_[EC:1.5.1.3]/"Interacting_selectively_and_non-covalently_with_nicotinamide-adenine_dinucleotide_phosphate,_a_coenzyme_involved_in_many_redox_and_biosynthetic_reactions;_binding_may_be_to_either_the_oxidized_form,_NADP+,_or_the_reduced_form,_NADPH."_[GOC:ai]/"The_chemical_reactions_and_pathways_resulting_in_the_formation_of_glycine,_aminoethanoic_acid."_[GOC:go_curators]/"The_chemical_reactions_and_pathways_resulting_in_the_formation_of_tetrahydrofolate,_5,6,7,8-tetrahydrofolic_acid,_a_folate_derivative_bearing_additional_hydrogens_on_the_pterin_group."_[ISBN:0198506732]/</t>
  </si>
  <si>
    <t>IPR001796/IPR012259/IPR017925/IPR024072/</t>
  </si>
  <si>
    <t>Dihydrofolate_reductase/Dihydrofolate_reductase-like_domain_superfamily/Dihydrofolate_reductase_conserved_site/Dihydrofolate_reductase_domain/</t>
  </si>
  <si>
    <t>DHFR/DHFR-like_dom_sf/DHFR_CS/DHFR_dom/</t>
  </si>
  <si>
    <t>note=B._malayi_BMA-DHFR-1_protein,_contains_similarity_to_Pfam_domain_PF00186_Dihydrofolate_reductase_contains_similarity_to_Interpro_domains_IPR024072_(Dihydrofolate_reductase-like_domain),_IPR012259_(Dihydrofolate_reductase),_IPR001796_(Dihydrofolate_reductase_domain)</t>
  </si>
  <si>
    <t>7209.EFO25014.2</t>
  </si>
  <si>
    <t>5.3e-85</t>
  </si>
  <si>
    <t>1.5.1.3</t>
  </si>
  <si>
    <t>ko:K00287</t>
  </si>
  <si>
    <t>ko00670,ko00790,ko01100,ko01523,map00670,map00790,map01100,map01523</t>
  </si>
  <si>
    <t>M00126,M00840</t>
  </si>
  <si>
    <t>R00936,R00937,R00939,R00940,R02235,R02236,R11765</t>
  </si>
  <si>
    <t>RC00109,RC00110,RC00158</t>
  </si>
  <si>
    <t>1KWH7@119089,3A5M4@33154,3BGCW@33208,3CWCR@33213,40DXN@6231,COG0262@1,KOG1324@2759</t>
  </si>
  <si>
    <t>Belongs to the dihydrofolate reductase family</t>
  </si>
  <si>
    <t>88,6487/88,6487</t>
  </si>
  <si>
    <t>32,973/32,973/32,973</t>
  </si>
  <si>
    <t>40/27,5676/38,3784</t>
  </si>
  <si>
    <t>36,7568/28,1081</t>
  </si>
  <si>
    <t>38,9189/37,2973</t>
  </si>
  <si>
    <t>WBGene00007974</t>
  </si>
  <si>
    <t>36.7568</t>
  </si>
  <si>
    <t>Bm6622</t>
  </si>
  <si>
    <t>WBGene00226883</t>
  </si>
  <si>
    <t>7209.EJD75219.1</t>
  </si>
  <si>
    <t>1728.4</t>
  </si>
  <si>
    <t>GO:0005575,GO:0005623,GO:0005929,GO:0006996,GO:0008104,GO:0008150,GO:0009987,GO:0016043,GO:0022607,GO:0030030,GO:0030031,GO:0033036,GO:0033365,GO:0034613,GO:0035869,GO:0042995,GO:0043226,GO:0044085,GO:0044422,GO:0044441,GO:0044463,GO:0044464,GO:0044782,GO:0051179,GO:0051641,GO:0060271,GO:0061512,GO:0070727,GO:0070925,GO:0071840,GO:0120025,GO:0120031,GO:0120036,GO:0120038,GO:1904491,GO:1905515,GO:1990805</t>
  </si>
  <si>
    <t>1KYUJ@119089,2CR9H@1,2R7DP@2759,39Y2D@33154,3BJ17@33208,3D430@33213,40FCS@6231</t>
  </si>
  <si>
    <t>WBGene00021643</t>
  </si>
  <si>
    <t>24.2574</t>
  </si>
  <si>
    <t>Bm4460</t>
  </si>
  <si>
    <t>WBGene00224721</t>
  </si>
  <si>
    <t>GO:0005096/GO:0005938/GO:0043547/</t>
  </si>
  <si>
    <t>GTPase_activator_activity/cell_cortex/positive_regulation_of_GTPase_activity/</t>
  </si>
  <si>
    <t>Any_process_that_activates_or_increases_the_activity_of_a_GTPase._[GOC:jl,_GOC:mah]/"Binds_to_and_increases_the_activity_of_a_GTPase,_an_enzyme_that_catalyzes_the_hydrolysis_of_GTP."_[GOC:mah]/"The_region_of_a_cell_that_lies_just_beneath_the_plasma_membrane_and_often,_but_not_always,_contains_a_network_of_actin_filaments_and_associated_proteins."_[GOC:mah,_ISBN:0815316194]/</t>
  </si>
  <si>
    <t>IPR000008/IPR016137/IPR024066/IPR035892/IPR036305/</t>
  </si>
  <si>
    <t>C2_domain/C2_domain_superfamily/RGS,_subdomain_1/3/RGS_domain/RGS_domain_superfamily/</t>
  </si>
  <si>
    <t>C2_dom/C2_domain_sf/RGS/RGS_sf/RGS_subdom1/3/</t>
  </si>
  <si>
    <t>note=B._malayi_BMA-RGS-7_protein,_contains_similarity_toPfam_domain_PF00615_Regulator_of_G_protein_signalingdomain_contains_similarity_to_Interpro_domains_IPR024066(RGS,_subdomain_1),_IPR016137_(RGS_domain)</t>
  </si>
  <si>
    <t>7209.EFO19250.1</t>
  </si>
  <si>
    <t>4.3e-193</t>
  </si>
  <si>
    <t>681.8</t>
  </si>
  <si>
    <t>1KXB7@119089,3AE2A@33154,3BW64@33208,3DCUH@33213,40F92@6231,KOG3589@1,KOG3589@2759</t>
  </si>
  <si>
    <t>positive regulation of GTPase activity</t>
  </si>
  <si>
    <t>11,7381/20,5418</t>
  </si>
  <si>
    <t>19,9774/20,2032</t>
  </si>
  <si>
    <t>4,40181/5,07901</t>
  </si>
  <si>
    <t>4,62754/6,88488/6,32054</t>
  </si>
  <si>
    <t>4,51467/5,19187/5,98194</t>
  </si>
  <si>
    <t>4,96614/7,78781</t>
  </si>
  <si>
    <t>4,06321/6,65914/9,14221</t>
  </si>
  <si>
    <t>5,19187/7,90068/6,09481/6,77201/7,56208/8,23928/6,20767/5,86907/6,54628/8,01354/6,43341/6,77201/10,3837/6,32054/5,86907/7,67494/5,75621/6,32054/6,43341/7,56208</t>
  </si>
  <si>
    <t>5,30474/7,90068/5,86907/6,65914/7,33634/8,23928/6,20767/6,09481/6,77201/8,01354/6,99774/6,88488/10,3837/6,32054/5,75621/7,56208/5,64334/6,32054/6,54628/7,44921</t>
  </si>
  <si>
    <t>4,74041/6,43341/6,65914/5,19187/6,54628/5,98194/6,77201/10,2709/11,2867/6,88488/6,32054/7,44921/5,53047/6,09481/6,54628/7,33634/6,88488/6,20767/6,32054/5,53047/7,90068/2,59594/6,32054</t>
  </si>
  <si>
    <t>WBGene00004350</t>
  </si>
  <si>
    <t>24.4921</t>
  </si>
  <si>
    <t>Bm13787</t>
  </si>
  <si>
    <t>WBGene00234048</t>
  </si>
  <si>
    <t>GO:0006886/GO:0015031/GO:0016020/GO:0016192/GO:0030117/GO:0045176/</t>
  </si>
  <si>
    <t>apical_protein_localization/intracellular_protein_transport/membrane/membrane_coat/protein_transport/vesicle-mediated_transport/</t>
  </si>
  <si>
    <t>A_cellular_transport_process_in_which_transported_substances_are_moved_in_membrane-bounded_vesicles;_transported_substances_are_enclosed_in_the_vesicle_lumen_or_located_in_the_vesicle_membrane._The_process_begins_with_a_step_that_directs_a_substance_to_the_forming_vesicle,_and_includes_vesicle_budding_and_coating._Vesicles_are_then_targeted_to,_and_fuse_with,_an_acceptor_membrane._[GOC:ai,_GOC:mah,_ISBN:08789310662000]/"A_lipid_bilayer_along_with_all_the_proteins_and_protein_complexes_embedded_in_it_an_attached_to_it."_[GOC:dos,_GOC:mah,_ISBN:0815316194]/"Any_of_several_different_proteinaceous_coats_that_can_associate_with_membranes._Membrane_coats_include_those_formed_by_clathrin_plus_an_adaptor_complex,_the_COPI_and_COPII_complexes,_and_possibly_others._They_are_found_associated_with_membranes_on_many_vesicles_as_well_as_other_membrane_features_such_as_pits_and_perhaps_tubules."_[GOC:mah]/"Any_process_in_which_a_protein_is_transported_to,_or_maintained_in,_apical_regions_of_the_cell."_[GOC:bf]/"The_directed_movement_of_proteins_in_a_cell,_including_the_movement_of_proteins_between_specific_compartments_or_structures_within_a_cell,_such_as_organelles_of_a_eukaryotic_cell."_[GOC:mah]/"The_directed_movement_of_proteins_into,_out_of_or_within_a_cell,_or_between_cells,_by_means_of_some_agent_such_as_a_transporter_or_pore."_[GOC:ai]/</t>
  </si>
  <si>
    <t>IPR000804/IPR011012/IPR016635/IPR022775/</t>
  </si>
  <si>
    <t>AP_complex,_mu/sigma_subunit/Adaptor_protein_complex,_sigma_subunit/Clathrin_adaptor_complex,_small_chain/Longin-like_domain_superfamily/</t>
  </si>
  <si>
    <t>AP_complex_ssu/AP_mu_sigma_su/Clathrin_sm-chain_CS/Longin-like_dom_sf/</t>
  </si>
  <si>
    <t>note=B._malayi_BMA-APS-1_protein,_contains_similarity_toPfam_domain_PF01217_Clathrin_adaptor_complex_small_chaincontains_similarity_to_Interpro_domains_IPR022775_(APcomplex,_mu/sigma_subunit),_IPR016635_(Adaptor_proteincomplex,_sigma_subunit),_IPR011012_(Longin-like_domain)</t>
  </si>
  <si>
    <t>7209.EFO23363.1</t>
  </si>
  <si>
    <t>1e-81</t>
  </si>
  <si>
    <t>309.3</t>
  </si>
  <si>
    <t>GO:0003674,GO:0005488,GO:0005515,GO:0005575,GO:0005622,GO:0005623,GO:0005737,GO:0005794,GO:0005798,GO:0008104,GO:0008150,GO:0012505,GO:0012506,GO:0012510,GO:0016020,GO:0030117,GO:0030118,GO:0030119,GO:0030120,GO:0030121,GO:0030125,GO:0030130,GO:0030131,GO:0030133,GO:0030135,GO:0030136,GO:0030140,GO:0030276,GO:0030658,GO:0030659,GO:0030660,GO:0030662,GO:0030665,GO:0031090,GO:0031410,GO:0031982,GO:0032991,GO:0033036,GO:0043226,GO:0043227,GO:0043229,GO:0043231,GO:0044422,GO:0044424,GO:0044425,GO:0044431,GO:0044433,GO:0044444,GO:0044446,GO:0044464,GO:0045176,GO:0048475,GO:0051179,GO:0097708,GO:0098588,GO:0098796,GO:0098805</t>
  </si>
  <si>
    <t>ko:K12394</t>
  </si>
  <si>
    <t>1KUBV@119089,38D1K@33154,3BC12@33208,3D0HC@33213,40C08@6231,COG5030@1,KOG0934@2759</t>
  </si>
  <si>
    <t>Belongs to the adaptor complexes small subunit family</t>
  </si>
  <si>
    <t>76,4331/87,2611</t>
  </si>
  <si>
    <t>89,172/77,0701/53,5032</t>
  </si>
  <si>
    <t>59,2357/89,8089/89,8089</t>
  </si>
  <si>
    <t>56,6879/87,2611/86,6242</t>
  </si>
  <si>
    <t>81,5287/74,5223/66,879</t>
  </si>
  <si>
    <t>65,6051/74,5223/78,9809</t>
  </si>
  <si>
    <t>WBGene00000159</t>
  </si>
  <si>
    <t>91.7197</t>
  </si>
  <si>
    <t>Bm3471</t>
  </si>
  <si>
    <t>WBGene00223732</t>
  </si>
  <si>
    <t>GO:0005737/GO:0005856/GO:0005929/GO:0034464/GO:0042995/GO:1905515/</t>
  </si>
  <si>
    <t>BBSome/cell_projection/cilium/cytoplasm/cytoskeleton/non-motile_cilium_assembly/</t>
  </si>
  <si>
    <t>A_ciliary_protein_complex_involved_in_cilium_biogenesis._It_consists_of_at_least_seven_Bardet-Biedl_syndrome_(BBS)_proteins_and_BBIP10._It_moves_in_association_with_IFT_trains_through_cilia_(likely_as_an_IFT-A/B_adaptor_or_cargo),_and_is_required_for_the_integrity_of_IFT-A_and_IFT-B._[GOC:BHF,_GOC:cilia,_PMID:15231740,_PMID:17574030,_PMID:26498262]/"A_prolongation_or_process_extending_from_a_cell,_e.g._a_flagellum_or_axon."_[GOC:jl,_http://www.cogsci.princeton.edu/~wn/]/"A_specialized_eukaryotic_organelle_that_consists_of_a_filiform_extrusion_of_the_cell_surface_and_of_some_cytoplasmic_parts._Each_cilium_is_largely_bounded_by_an_extrusion_of_the_cytoplasmic_(plasma)_membrane,_and_contains_a_regular_longitudinal_array_of_microtubules,_anchored_to_a_basal_body."_[GOC:cilia,_GOC:curators,_GOC:kmv,_GOC:vw,_ISBN:0198547684,_PMID:16824949,_PMID:17009929,_PMID:20144998]/"All_of_the_contents_of_a_cell_excluding_the_plasma_membrane_and_nucleus,_but_including_other_subcellular_structures."_[ISBN:0198547684]/"Any_of_the_various_filamentous_elements_that_form_the_internal_framework_of_cells,_and_typically_remain_after_treatment_of_the_cells_with_mild_detergent_to_remove_membrane_constituents_and_soluble_components_of_the_cytoplasm._The_term_embraces_intermediate_filaments,_microfilaments,_microtubules,_the_microtrabecular_lattice,_and_other_structures_characterized_by_a_polymeric_filamentous_nature_and_long-range_order_within_the_cell._The_various_elements_of_the_cytoskeleton_not_only_serve_in_the_maintenance_of_cellular_shape_but_also_have_roles_in_other_cellular_functions,_including_cellular_movement,_cell_division,_endocytosis,_and_movement_of_organelles."_[GOC:mah,_ISBN:0198547684,_PMID:16959967]/"The_aggregation,_arrangement_and_bonding_together_of_a_set_of_components_to_form_a_non-motile_cilium."_[GO_REF:0000079,_GOC:cilia,_GOC:kmv,_GOC:TermGenie,_PMID:14521833,_PMID:14521834]/</t>
  </si>
  <si>
    <t>IPR011047/IPR016616/IPR029333/IPR029429/IPR029430/</t>
  </si>
  <si>
    <t>Bardet-Biedl_syndrome_2_protein/Ciliary_BBSome_complex_subunit_2,_C-terminal_domain/Ciliary_BBSome_complex_subunit_2,_N-terminal/Ciliary_BBSome_complex_subunit_2,_middle_region/Quinoprotein_alcohol_dehydrogenase-like_superfamily/</t>
  </si>
  <si>
    <t>BBS2_C/BBS2_Mid/BBS2_N/Bardet-Biedl_syndrome_2_prot/Quinoprotein_ADH-like_supfam/</t>
  </si>
  <si>
    <t>note=B._malayi_BMA-BBS-2_protein,_contains_similarity_toPfam_domains_PF14782_(Ciliary_BBSome_complex_subunit_2,C-terminal),_PF14781_(Ciliary_BBSome_complex_subunit_2,N-terminal),_PF14783_(Ciliary_BBSome_complex_subunit_2,middle_region)_contains_similarity_to_Interpro_domainsIPR016616_(Bardet-Biedl_syndrome_2_protein),_IPR029430(Ciliary_BBSome_complex_subunit_2,_N-terminal),_IPR029429(Ciliary_BBSome_complex_subunit_2,_middle_region),IPR029333_(Ciliary_BBSome_complex_subunit_2,_C-terminaldomain),_IPR015943_(WD40/YVTN_repeat-like-containingdomain),_IPR011047_(Quinonprotein_alcoholdehydrogenase-like_superfamily)</t>
  </si>
  <si>
    <t>7209.EJD75163.1</t>
  </si>
  <si>
    <t>1176.4</t>
  </si>
  <si>
    <t>GO:0005575,GO:0005622,GO:0005623,GO:0005815,GO:0005856,GO:0005929,GO:0006996,GO:0008150,GO:0009987,GO:0015630,GO:0016043,GO:0022607,GO:0030030,GO:0030031,GO:0036064,GO:0042995,GO:0043005,GO:0043226,GO:0043228,GO:0043229,GO:0043232,GO:0044085,GO:0044422,GO:0044424,GO:0044430,GO:0044441,GO:0044446,GO:0044463,GO:0044464,GO:0044782,GO:0060271,GO:0070925,GO:0071840,GO:0097458,GO:0120025,GO:0120031,GO:0120036,GO:0120038,GO:1905515</t>
  </si>
  <si>
    <t>ko:K16747</t>
  </si>
  <si>
    <t>1KTWX@119089,2C0K6@1,2QPWU@2759,38CFK@33154,3BA3E@33208,3CWRC@33213,40AR3@6231</t>
  </si>
  <si>
    <t>Ciliary BBSome complex subunit 2, C-terminal</t>
  </si>
  <si>
    <t>12,0766/27,8351</t>
  </si>
  <si>
    <t>15,4639/6,33284/13,1075/7,36377/14,7275/13,6966/6,62739</t>
  </si>
  <si>
    <t>WBGene00000242</t>
  </si>
  <si>
    <t>36.5243</t>
  </si>
  <si>
    <t>Bm8136</t>
  </si>
  <si>
    <t>WBGene00228397</t>
  </si>
  <si>
    <t>IPR024337/</t>
  </si>
  <si>
    <t>tRNA-splicing_endonuclease,_subunit_Sen54/</t>
  </si>
  <si>
    <t>tRNA_splic_suSen54/</t>
  </si>
  <si>
    <t>6087.XP_004206205.1</t>
  </si>
  <si>
    <t>1.7e-06</t>
  </si>
  <si>
    <t>60.5</t>
  </si>
  <si>
    <t>2E4R6@1,2SBK7@2759</t>
  </si>
  <si>
    <t>tRNA-splicing endonuclease subunit sen54 N-term</t>
  </si>
  <si>
    <t>52,0249/76,6355</t>
  </si>
  <si>
    <t>Bm1334</t>
  </si>
  <si>
    <t>WBGene00221595</t>
  </si>
  <si>
    <t>IPR006634/</t>
  </si>
  <si>
    <t>TRAM/LAG1/CLN8_homology_domain/</t>
  </si>
  <si>
    <t>TLC-dom/</t>
  </si>
  <si>
    <t>note=contains_similarity_to_Pfam_domain_PF03798_TLC_domain_contains_similarity_to_Interpro_domain_IPR006634_(TRAM/LAG1/CLN8_homology_domain)</t>
  </si>
  <si>
    <t>7209.EFO23686.2</t>
  </si>
  <si>
    <t>1.2e-42</t>
  </si>
  <si>
    <t>180.3</t>
  </si>
  <si>
    <t>1KW2X@119089,3A4WE@33154,3BRJZ@33208,3D8PT@33213,40DR5@6231,KOG4474@1,KOG4474@2759</t>
  </si>
  <si>
    <t>TRAM, LAG1 and CLN8 homology domains.</t>
  </si>
  <si>
    <t>28,1369/29,2776</t>
  </si>
  <si>
    <t>Bm3598</t>
  </si>
  <si>
    <t>WBGene00223859</t>
  </si>
  <si>
    <t>GO:0005739/GO:0034553/</t>
  </si>
  <si>
    <t>mitochondrial_respiratory_chain_complex_II_assembly/mitochondrion/</t>
  </si>
  <si>
    <t>A_semiautonomous,_self_replicating_organelle_that_occurs_in_varying_numbers,_shapes,_and_sizes_in_the_cytoplasm_of_virtually_all_eukaryotic_cells._It_is_notably_the_site_of_tissue_respiration._[GOC:giardia,_ISBN:0198506732]/"The_aggregation,_arrangement_and_bonding_together_of_a_set_of_components_to_form_respiratory_chain_complex_II,_in_the_mitochondrial_inner_membrane."_[GOC:dgf]/</t>
  </si>
  <si>
    <t>IPR008381/</t>
  </si>
  <si>
    <t>Succinate_dehydrogenase_assembly_factor_3,_mitochondrial/</t>
  </si>
  <si>
    <t>SDHAF3/Sdh7/</t>
  </si>
  <si>
    <t>note=contains_similarity_to_Pfam_domain_PF05347_Complex_1_protein_(LYR_family)_contains_similarity_to_Interpro_domains_IPR008381_(ACN9),_IPR008011_(Complex_1_LYR_protein)</t>
  </si>
  <si>
    <t>7209.EFO23177.1</t>
  </si>
  <si>
    <t>3.9e-50</t>
  </si>
  <si>
    <t>204.1</t>
  </si>
  <si>
    <t>1KWJW@119089,3A8MJ@33154,3BTYF@33208,3DA3G@33213,40E4U@6231,KOG4100@1,KOG4100@2759</t>
  </si>
  <si>
    <t>Complex1_LYR-like</t>
  </si>
  <si>
    <t>WBGene00009139</t>
  </si>
  <si>
    <t>40.9091</t>
  </si>
  <si>
    <t>Bm5165</t>
  </si>
  <si>
    <t>WBGene00225426</t>
  </si>
  <si>
    <t>GO:0004888/GO:0005216/GO:0005230/GO:0006811/GO:0016021/GO:0022848/GO:0034220/GO:0045211/</t>
  </si>
  <si>
    <t>acetylcholine-gated_cation-selective_channel_activity/extracellular_ligand-gated_ion_channel_activity/integral_component_of_membrane/ion_channel_activity/ion_transmembrane_transport/ion_transport/postsynaptic_membrane/transmembrane_signaling_receptor_activity/</t>
  </si>
  <si>
    <t>A_process_in_which_an_ion_is_transported_across_a_membrane._[GOC:mah]/"A_specialized_area_of_membrane_facing_the_presynaptic_membrane_on_the_tip_of_the_nerve_ending_and_separated_from_it_by_a_minute_cleft_(the_synaptic_cleft)._Neurotransmitters_cross_the_synaptic_cleft_and_transmit_the_signal_to_the_postsynaptic_membrane."_[ISBN:0198506732]/"Combining_with_an_extracellular_or_intracellular_signal_and_transmitting_the_signal_from_one_side_of_the_membrane_to_the_other_to_initiate_a_change_in_cell_activity_or_state_as_part_of_signal_transduction."_[GOC:go_curators,_Wikipedia:Transmembrane_receptor]/"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Enables_the_transmembrane_transfer_of_an_ion_by_a_channel_that_opens_when_a_specific_extracellular_ligand_has_been_bound_by_the_channel_complex_or_one_of_its_constituent_parts."_[GOC:mtg_transport,_ISBN:0815340729]/"Selectively_enables_the_transmembrane_transfer_of_a_cation_by_a_channel_that_opens_upon_binding_acetylcholine."_[GOC:mah,_PMID:2466967]/"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
  </si>
  <si>
    <t>note=B._malayi_BMA-ACR-12_protein,_contains_similarity_to_Pfam_domains_PF02931_(Neurotransmitter-gated_ion-channel_ligand_binding_domain),_PF02932_(Neurotransmitter-gated_ion-channel_transmembrane_region)_contains_similarity_to_Interpro_domains_IPR027361_(Nicotinic_acetylcholine-gated_receptor,_transmembrane_domain),_IPR002394_(Nicotinic_acetylcholine_receptor),_IPR006201_(Neurotransmitter-gated_ion-channel),_IPR006202_(Neurotransmitter-gated_ion-channel_ligand-binding_domain),_IPR006029_(Neurotransmitter-gated_ion-channel_transmembrane_domain)</t>
  </si>
  <si>
    <t>7209.EFO23093.1</t>
  </si>
  <si>
    <t>2.5e-109</t>
  </si>
  <si>
    <t>1KU19@119089,39A5N@33154,3BNUJ@33208,3D5AB@33213,40BJ8@6231,KOG3645@1,KOG3645@2759</t>
  </si>
  <si>
    <t>acetylcholine-gated cation-selective channel activity</t>
  </si>
  <si>
    <t>34/12,5455</t>
  </si>
  <si>
    <t>48,3636/23,6364/41,2727</t>
  </si>
  <si>
    <t>25,4545/20,9091</t>
  </si>
  <si>
    <t>33,6364/33,6364</t>
  </si>
  <si>
    <t>WBGene00000051</t>
  </si>
  <si>
    <t>56.7273</t>
  </si>
  <si>
    <t>Bm7529</t>
  </si>
  <si>
    <t>WBGene00227790</t>
  </si>
  <si>
    <t>GO:0003684/GO:0006281/</t>
  </si>
  <si>
    <t>DNA_repair/damaged_DNA_binding/</t>
  </si>
  <si>
    <t>Interacting_selectively_and_non-covalently_with_damaged_DNA._[GOC:jl]/"The_process_of_restoring_DNA_after_damage._Genomes_are_subject_to_damage_by_chemical_and_physical_agents_in_the_environment_(e.g._UV_and_ionizing_radiations,_chemical_mutagens,_fungal_and_bacterial_toxins,_etc.)_and_by_free_radicals_or_alkylating_agents_endogenously_generated_in_metabolism._DNA_is_also_damaged_because_of_errors_during_its_replication._A_variety_of_different_DNA_repair_pathways_have_been_reported_that_include_direct_reversal,_base_excision_repair,_nucleotide_excision_repair,_photoreactivation,_bypass,_double-strand_break_repair_pathway,_and_mismatch_repair_pathway."_[PMID:11563486]/</t>
  </si>
  <si>
    <t>IPR001126/IPR001357/IPR017961/IPR036420/IPR036775/</t>
  </si>
  <si>
    <t>BRCT_domain/BRCT_domain_superfamily/DNA_polymerase,_Y-family,_little_finger_domain/DNA_polymerase,_Y-family,_little_finger_domain_superfamily/UmuC_domain/</t>
  </si>
  <si>
    <t>BRCT_dom/BRCT_dom_sf/DNA_pol_Y-fam_lit_finger_sf/DNA_pol_Y-fam_little_finger/UmuC/</t>
  </si>
  <si>
    <t>note=B._malayi_BMA-REV-1_protein,_contains_similarity_toPfam_domains_PF11799_(impB/mucB/samB_family_C-terminaldomain),_PF00817_(impB/mucB/samB_family),_PF00533_(BRCA1_CTerminus_(BRCT)_domain)_contains_similarity_to_Interprodomains_IPR001126_(DNA-repair_protein,_UmuC-like),IPR017961_(DNA_polymerase,_Y-family,_little_fingerdomain),_IPR012112_(DNA_repair_protein,_Rev1),_IPR001357(BRCT_domain)</t>
  </si>
  <si>
    <t>7209.EFO26145.1</t>
  </si>
  <si>
    <t>1267.3</t>
  </si>
  <si>
    <t>ko:K03515</t>
  </si>
  <si>
    <t>1KVJ3@119089,395E4@33154,3BF32@33208,3CWVQ@33213,40AW6@6231,COG0389@1,KOG2093@2759</t>
  </si>
  <si>
    <t>Deoxycytidyl transferase involved in DNA repair. Transfers a dCMP residue from dCTP to the 3'-end of a DNA primer in a template-dependent reaction. May assist in the first step in the bypass of abasic lesions by the insertion of a nucleotide opposite the lesion. Required for normal induction of mutations by physical and chemical agents</t>
  </si>
  <si>
    <t>84,2742/88,9785</t>
  </si>
  <si>
    <t>14,9194/21,2366</t>
  </si>
  <si>
    <t>7,93011/4,43548/5,91398</t>
  </si>
  <si>
    <t>31,1828/19,2204</t>
  </si>
  <si>
    <t>WBGene00014066</t>
  </si>
  <si>
    <t>36.5591</t>
  </si>
  <si>
    <t>Bm2833</t>
  </si>
  <si>
    <t>WBGene00223094</t>
  </si>
  <si>
    <t>GO:0004197/GO:0006508/GO:0008233/GO:0008234/GO:0016787/GO:0042981/</t>
  </si>
  <si>
    <t>cysteine-type_endopeptidase_activity/cysteine-type_peptidase_activity/hydrolase_activity/peptidase_activity/proteolysis/regulation_of_apoptotic_process/</t>
  </si>
  <si>
    <t>Any_process_that_modulates_the_occurrence_or_rate_of_cell_death_by_apoptotic_process._[GOC:jl,_GOC:mtg_apoptosis]/"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internal,_alpha-peptide_bonds_in_a_polypeptide_chain_by_a_mechanism_in_which_the_sulfhydryl_group_of_a_cysteine_residue_at_the_active_center_acts_as_a_nucleophile."_[GOC:mah,_http://merops.sanger.ac.uk/about/glossary.htm#CATTYPE,_http://merops.sanger.ac.uk/about/glossary.htm#ENDOPEPTIDASE]/"Catalysis_of_the_hydrolysis_of_peptide_bonds_in_a_polypeptide_chain_by_a_mechanism_in_which_the_sulfhydryl_group_of_a_cysteine_residue_at_the_active_center_acts_as_a_nucleophile."_[GOC:mah,_http://merops.sanger.ac.uk/about/glossary.htm#CATTYPE]/"Catalysis_of_the_hydrolysis_of_various_bonds,_e.g._C-O,_C-N,_C-C,_phosphoric_anhydride_bonds,_etc._Hydrolase_is_the_systematic_name_for_any_enzyme_of_EC_class_3."_[ISBN:0198506732]/"The_hydrolysis_of_proteins_into_smaller_polypeptides_and/or_amino_acids_by_cleavage_of_their_peptide_bonds."_[GOC:bf,_GOC:mah]/</t>
  </si>
  <si>
    <t>IPR001309/IPR001315/IPR002138/IPR002398/IPR011029/IPR015917/IPR016129/IPR029030/IPR033139/</t>
  </si>
  <si>
    <t>CARD_domain/Caspase-like_domain_superfamily/Death-like_domain_superfamily/Peptidase_C14,__p20_domain/Peptidase_C14,_caspase_non-catalytic_subunit_p10/Peptidase_C14A,_caspase_catalytic_domain/Peptidase_C14_family/Peptidase_family_C14A,_His_active_site/Peptidase_family_C14A,_cysteine_active_site/</t>
  </si>
  <si>
    <t>CARD/Caspase-like_dom_sf/Caspase_cys_AS/Caspase_his_AS/DEATH-like_dom_sf/Pept_C14/Pept_C14A/Pept_C14_p10/Pept_C14_p20/</t>
  </si>
  <si>
    <t>note=B._malayi_BMA-CED-3_protein,_contains_similarity_toPfam_domains_PF00656_(Caspase_domain),_PF00619_(Caspaserecruitment_domain)_contains_similarity_to_Interprodomains_IPR015917_(Peptidase_C14A,_caspase_precursor_p45,core),_IPR011600_(Peptidase_C14,_caspase_domain),IPR011029_(Death-like_domain),_IPR017350_(Caspase,interleukin-1_beta_convertase-type),_IPR029030(Caspase-like_domain),_IPR001315_(CARD_domain)</t>
  </si>
  <si>
    <t>7209.EFO24820.1</t>
  </si>
  <si>
    <t>3.5e-228</t>
  </si>
  <si>
    <t>797.3</t>
  </si>
  <si>
    <t>GO:0003674,GO:0003824,GO:0004175,GO:0004197,GO:0005488,GO:0005515,GO:0005575,GO:0005622,GO:0005623,GO:0005737,GO:0005739,GO:0005829,GO:0006508,GO:0006807,GO:0006915,GO:0006919,GO:0006950,GO:0006952,GO:0006996,GO:0007010,GO:0007015,GO:0007275,GO:0008047,GO:0008150,GO:0008152,GO:0008154,GO:0008219,GO:0008233,GO:0008234,GO:0008303,GO:0008656,GO:0009056,GO:0009057,GO:0009605,GO:0009607,GO:0009617,GO:0009790,GO:0009792,GO:0009893,GO:0009987,GO:0010453,GO:0010467,GO:0010468,GO:0010604,GO:0010628,GO:0010941,GO:0010942,GO:0010950,GO:0010952,GO:0010954,GO:0012501,GO:0016020,GO:0016043,GO:0016485,GO:0016504,GO:0016505,GO:0016540,GO:0016787,GO:0019222,GO:0019538,GO:0019725,GO:0022411,GO:0030029,GO:0030036,GO:0030042,GO:0030155,GO:0030162,GO:0030163,GO:0030234,GO:0031323,GO:0031325,GO:0031638,GO:0031647,GO:0032268,GO:0032270,GO:0032501,GO:0032502,GO:0032984,GO:0032991,GO:0036477,GO:0040012,GO:0040028,GO:0040034,GO:0042592,GO:0042659,GO:0042742,GO:0042802,GO:0042981,GO:0043025,GO:0043028,GO:0043065,GO:0043067,GO:0043068,GO:0043085,GO:0043170,GO:0043207,GO:0043226,GO:0043227,GO:0043229,GO:0043231,GO:0043280,GO:0043281,GO:0043523,GO:0043525,GO:0043624,GO:0043933,GO:0044093,GO:0044238,GO:0044297,GO:0044424,GO:0044444,GO:0044445,GO:0044456,GO:0044464,GO:0045202,GO:0045595,GO:0045862,GO:0046662,GO:0046716,GO:0048471,GO:0048518,GO:0048519,GO:0048520,GO:0048522,GO:0048523,GO:0048580,GO:0048583,GO:0048584,GO:0048585,GO:0048856,GO:0050789,GO:0050790,GO:0050793,GO:0050794,GO:0050795,GO:0050803,GO:0050807,GO:0050829,GO:0050896,GO:0051094,GO:0051128,GO:0051130,GO:0051171,GO:0051173,GO:0051239,GO:0051240,GO:0051246,GO:0051247,GO:0051261,GO:0051336,GO:0051345,GO:0051604,GO:0051704,GO:0051707,GO:0052547,GO:0052548,GO:0060249,GO:0060255,GO:0061062,GO:0061134,GO:0065007,GO:0065008,GO:0065009,GO:0070011,GO:0070613,GO:0071704,GO:0071840,GO:0080090,GO:0097153,GO:0097194,GO:0097200,GO:0097202,GO:0097435,GO:0097458,GO:0098542,GO:0098772,GO:0098793,GO:0140096,GO:1901046,GO:1901214,GO:1901216,GO:1901564,GO:1901565,GO:1901575,GO:1902494,GO:1902742,GO:1903317,GO:1903319,GO:1904747,GO:1904748,GO:1905368,GO:1905369,GO:1905802,GO:1905803,GO:1905806,GO:1905808,GO:1905843,GO:1905845,GO:2000026,GO:2000116,GO:2000241,GO:2000243,GO:2001056,GO:2001228,GO:2001230</t>
  </si>
  <si>
    <t>3.4.22.55</t>
  </si>
  <si>
    <t>ko:K02186,ko:K20106</t>
  </si>
  <si>
    <t>ko04210,ko04215,map04210,map04215</t>
  </si>
  <si>
    <t>ko00000,ko00001,ko01000,ko01002,ko01009</t>
  </si>
  <si>
    <t>1KVRG@119089,39TBN@33154,3BEXJ@33208,3CRKK@33213,40D63@6231,KOG3573@1,KOG3573@2759</t>
  </si>
  <si>
    <t>phosphatidylserine is a specific marker only present at the surface of apoptotic cells and acts as a specific signal for engulfment. By cleaving and converting dcr-1 into a deoxyribonuclease (DNase), promotes apoptotic chromosomal DNA fragmentation. By cleaving mitochondrial fission protein drp-1, may regulate the removal of mitochondria during apoptosis. During germline apoptosis, cleaves translation initiation factor ifg-1 (isoform p170) promoting cap-independent translation. During male tail morphogenesis, promotes apoptosis of the tail-spike cell downstream of ced-4 but independently of egl-1 and ced-9. By cleaving cnt-1, prevents the activation of the prosurvival akt-1 2 signaling pathway and thus promotes apoptosis. Downstream of</t>
  </si>
  <si>
    <t>92,6606/92,6606</t>
  </si>
  <si>
    <t>27,7523/16,9725/16,9725/27,2936</t>
  </si>
  <si>
    <t>Bm10182</t>
  </si>
  <si>
    <t>WBGene00230443</t>
  </si>
  <si>
    <t>note=contains_similarity_to_Interpro_domain_IPR016181_(Acyl-CoA_N-acyltransferase)</t>
  </si>
  <si>
    <t>37,1245/48,0687</t>
  </si>
  <si>
    <t>Bm17757</t>
  </si>
  <si>
    <t>WBGene00268899</t>
  </si>
  <si>
    <t>Bm14815</t>
  </si>
  <si>
    <t>WBGene00235000</t>
  </si>
  <si>
    <t>Bm6955</t>
  </si>
  <si>
    <t>WBGene00227216</t>
  </si>
  <si>
    <t>GO:0005515/GO:0042802/</t>
  </si>
  <si>
    <t>identical_protein_binding/protein_binding/</t>
  </si>
  <si>
    <t>Interacting_selectively_and_non-covalently_with_an_identical_protein_or_proteins._[GOC:jl]/"Interacting_selectively_and_non-covalently_with_any_protein_or_protein_complex_(a_complex_of_two_or_more_proteins_that_may_include_other_nonprotein_molecules)."_[GOC:go_curators]/</t>
  </si>
  <si>
    <t>IPR000210/IPR011333/IPR011705/</t>
  </si>
  <si>
    <t>BTB/Kelch-associated/BTB/POZ_domain/SKP1/BTB/POZ_domain_superfamily/</t>
  </si>
  <si>
    <t>BACK/BTB/POZ_dom/SKP1/BTB/POZ_sf/</t>
  </si>
  <si>
    <t>note=B._malayi_BMA-GCL-1_protein,_contains_similarity_toPfam_domains_PF00651_(BTB/POZ_domain),_PF07707_(BTB_AndC-terminal_Kelch)_contains_similarity_to_Interpro_domainsIPR000210_(BTB/POZ-like),_IPR011333_(BTB/POZ_fold),IPR013069_(BTB/POZ),_IPR011705_(BTB/Kelch-associated)</t>
  </si>
  <si>
    <t>7209.EFO23539.2</t>
  </si>
  <si>
    <t>2.3e-242</t>
  </si>
  <si>
    <t>844.7</t>
  </si>
  <si>
    <t>ko:K10485</t>
  </si>
  <si>
    <t>1KV90@119089,38E9A@33154,3BHTN@33208,3CR6S@33213,40CNA@6231,KOG4682@1,KOG4682@2759</t>
  </si>
  <si>
    <t>Broad-Complex, Tramtrack and Bric a brac</t>
  </si>
  <si>
    <t>38,447/17,9924</t>
  </si>
  <si>
    <t>27,4621/26,7045</t>
  </si>
  <si>
    <t>14,0152/9,84848</t>
  </si>
  <si>
    <t>22,5379/12,6894</t>
  </si>
  <si>
    <t>25,3788/18,5606/8,14394</t>
  </si>
  <si>
    <t>25,7576/15,7197/5,49242/19,8864/19,697/19,8864/20,0758/19,8864/19,8864/19,8864/19,8864/19,5076/19,697/19,697/19,8864/19,8864/19,8864/20,0758/20,0758/20,0758/20,0758/20,0758/20,0758/20,0758/20,0758/20,0758/19,8864/20,2652/20,2652/20,0758/19,8864/20,2652/20,0758</t>
  </si>
  <si>
    <t>WBGene00013382</t>
  </si>
  <si>
    <t>33.5227</t>
  </si>
  <si>
    <t>Bm11113</t>
  </si>
  <si>
    <t>WBGene00231374</t>
  </si>
  <si>
    <t>Bm1925</t>
  </si>
  <si>
    <t>WBGene00222186</t>
  </si>
  <si>
    <t>GO:0005215/GO:0005930/GO:0006935/GO:0006972/GO:0008017/GO:0008306/GO:0030992/GO:0036064/GO:0042073/GO:0043053/GO:0045184/GO:0048609/GO:0055088/GO:0065003/GO:1905515/</t>
  </si>
  <si>
    <t>associative_learning/axoneme/chemotaxis/ciliary_basal_body/dauer_entry/establishment_of_protein_localization/hyperosmotic_response/intraciliary_transport/intraciliary_transport_particle_B/lipid_homeostasis/microtubule_binding/multicellular_organismal_reproductive_process/non-motile_cilium_assembly/protein-containing_complex_assembly/transporter_activity/</t>
  </si>
  <si>
    <t>A_membrane-tethered,_short_cylindrical_array_of_microtubules_and_associated_proteins_found_at_the_base_of_a_eukaryotic_cilium_(also_called_flagellum)_that_is_similar_in_structure_to_a_centriole_and_derives_from_it._The_cilium_basal_body_is_the_site_of_assembly_and_remodelling_of_the_cilium_and_serves_as_a_nucleation_site_for_axoneme_growth._As_well_as_anchoring_the_cilium,_it_is_thought_to_provide_a_selective_gateway_regulating_the_entry_of_ciliary_proteins_and_vesicles_by_intraflagellar_transport._[GOC:cilia,_GOC:clt,_PMID:21750193]/"Any_process_involved_in_the_maintenance_of_an_internal_steady_state_of_lipid_within_an_organism_or_cell."_[GOC:BHF,_GOC:rl]/"Any_process_that_results_in_a_change_in_state_or_activity_of_a_cell_or_an_organism_(in_terms_of_movement,_secretion,_enzyme_production,_gene_expression,_etc.)_as_a_result_of_detection_of,_or_exposure_to,_a_hyperosmotic_environment,_i.e._an_environment_with_a_higher_concentration_of_solutes_than_the_organism_or_cell."_[GOC:jl,_PMID:12142009]/"Enables_the_directed_movement_of_substances_(such_as_macromolecules,_small_molecules,_ions)_into,_out_of_or_within_a_cell,_or_between_cells."_[GOC:ai,_GOC:dgf]/"Entry_into_the_facultative_diapause_of_the_dauer_(enduring)_larval_stage_of_nematode_development."_[GOC:cab1,_GOC:kmv,_PMID:10077613]/"Interacting_selectively_and_non-covalently_with_microtubules,_filaments_composed_of_tubulin_monomers."_[GOC:krc]/"Learning_by_associating_a_stimulus_(the_cause)_with_a_particular_outcome_(the_effect)."_[ISBN:0582227089]/"The_aggregation,_arrangement_and_bonding_together_of_a_set_of_components_to_form_a_non-motile_cilium."_[GO_REF:0000079,_GOC:cilia,_GOC:kmv,_GOC:TermGenie,_PMID:14521833,_PMID:14521834]/"The_aggregation,_arrangement_and_bonding_together_of_a_set_of_macromolecules_to_form_a_protein-containing_complex."_[GOC:jl]/"The_bidirectional_movement_of_large_protein_complexes_along_microtubules_within_a_cilium,_mediated_by_motor_proteins."_[GOC:cilia,_GOC:kmv,_PMID:17981739,_PMID:18180368,_PMID:22869374,_Reactome:R-HSA-5620924.2]/"The_bundle_of_microtubules_and_associated_proteins_that_forms_the_core_of_cilia_(also_called_flagella)_in_eukaryotic_cells_and_is_responsible_for_their_movements."_[GOC:bf,_GOC:cilia,_ISBN:0198547684]/"The_directed_movement_of_a_motile_cell_or_organism,_or_the_directed_growth_of_a_cell_guided_by_a_specific_chemical_concentration_gradient._Movement_may_be_towards_a_higher_concentration_(positive_chemotaxis)_or_towards_a_lower_concentration_(negative_chemotaxis)."_[ISBN:0198506732]/"The_directed_movement_of_a_protein_to_a_specific_location."_[GOC:bf]/"The_larger_subcomplex_of_the_intraciliary_transport_particle;_characterized_complexes_have_molecular_weights_around_550_kDa."_[GOC:cilia,_GOC:kmv,_PMID:14570576,_PMID:19253336]/"The_process,_occurring_above_the_cellular_level,_that_is_pertinent_to_the_reproductive_function_of_a_multicellular_organism._This_includes_the_integrated_processes_at_the_level_of_tissues_and_organs."_[GOC:dph,_GOC:jid,_GOC:tb]/</t>
  </si>
  <si>
    <t>IPR018799/IPR040468/IPR041476/</t>
  </si>
  <si>
    <t>TRAF3-interacting_protein_1/TRAF3-interacting_protein_1,_C-terminal_domain/TRAF3-interacting_protein_1,_N-terminal/</t>
  </si>
  <si>
    <t>TRAF3IP1/TRAF3IP1_C/TRAF3IP1_N/</t>
  </si>
  <si>
    <t>note=B._malayi_BMA-DYF-11_protein,_contains_similarity_to_Pfam_domain_PF10243_Microtubule-binding_protein_MIP-T3_contains_similarity_to_Interpro_domain_IPR018799_(TRAF3-interacting_protein_1)</t>
  </si>
  <si>
    <t>7209.EFO23623.1</t>
  </si>
  <si>
    <t>4.5e-173</t>
  </si>
  <si>
    <t>dyf-11</t>
  </si>
  <si>
    <t>GO:0000003,GO:0002119,GO:0002164,GO:0003008,GO:0003674,GO:0005215,GO:0005575,GO:0005622,GO:0005623,GO:0005737,GO:0005815,GO:0005856,GO:0005929,GO:0005930,GO:0006810,GO:0006928,GO:0006935,GO:0006950,GO:0006970,GO:0006972,GO:0006996,GO:0007017,GO:0007018,GO:0007275,GO:0007610,GO:0007611,GO:0007612,GO:0008104,GO:0008150,GO:0008306,GO:0009605,GO:0009628,GO:0009791,GO:0009987,GO:0010970,GO:0015630,GO:0016043,GO:0022414,GO:0022607,GO:0022611,GO:0030030,GO:0030031,GO:0030705,GO:0030990,GO:0030992,GO:0031503,GO:0032501,GO:0032502,GO:0032504,GO:0032838,GO:0032991,GO:0033036,GO:0036064,GO:0040011,GO:0040024,GO:0042073,GO:0042221,GO:0042330,GO:0042592,GO:0042995,GO:0043053,GO:0043226,GO:0043228,GO:0043229,GO:0043232,GO:0044085,GO:0044422,GO:0044424,GO:0044430,GO:0044441,GO:0044444,GO:0044446,GO:0044463,GO:0044464,GO:0044782,GO:0045184,GO:0046907,GO:0048609,GO:0048856,GO:0048878,GO:0050877,GO:0050890,GO:0050896,GO:0051179,GO:0051234,GO:0051641,GO:0051649,GO:0055088,GO:0055115,GO:0060271,GO:0065007,GO:0065008,GO:0070925,GO:0071840,GO:0097014,GO:0099111,GO:0099568,GO:0120025,GO:0120031,GO:0120036,GO:0120038,GO:1905515</t>
  </si>
  <si>
    <t>ko:K19680</t>
  </si>
  <si>
    <t>1KVVM@119089,39S6S@33154,3BGSB@33208,3CTIQ@33213,40D91@6231,KOG3809@1,KOG3809@2759</t>
  </si>
  <si>
    <t>Microtubule-binding protein MIP-T3</t>
  </si>
  <si>
    <t>43,2489/39,4515</t>
  </si>
  <si>
    <t>WBGene00001127</t>
  </si>
  <si>
    <t>32.7004</t>
  </si>
  <si>
    <t>Bm6632</t>
  </si>
  <si>
    <t>WBGene00226893</t>
  </si>
  <si>
    <t>GO:0005634/GO:0006281/GO:0006508/GO:0008081/GO:0008234/</t>
  </si>
  <si>
    <t>DNA_repair/cysteine-type_peptidase_activity/nucleus/phosphoric_diester_hydrolase_activity/proteolysis/</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</si>
  <si>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Catalysis_of_the_hydrolysis_of_a_phosphodiester_to_give_a_phosphomonoester_and_a_free_hydroxyl_group."_[EC:3.1.4,_GOC:curators]/"Catalysis_of_the_hydrolysis_of_peptide_bonds_in_a_polypeptide_chain_by_a_mechanism_in_which_the_sulfhydryl_group_of_a_cysteine_residue_at_the_active_center_acts_as_a_nucleophile."_[GOC:mah,_http://merops.sanger.ac.uk/about/glossary.htm#CATTYPE]/"The_hydrolysis_of_proteins_into_smaller_polypeptides_and/or_amino_acids_by_cleavage_of_their_peptide_bonds."_[GOC:bf,_GOC:mah]/"The_process_of_restoring_DNA_after_damage._Genomes_are_subject_to_damage_by_chemical_and_physical_agents_in_the_environment_(e.g._UV_and_ionizing_radiations,_chemical_mutagens,_fungal_and_bacterial_toxins,_etc.)_and_by_free_radicals_or_alkylating_agents_endogenously_generated_in_metabolism._DNA_is_also_damaged_because_of_errors_during_its_replication._A_variety_of_different_DNA_repair_pathways_have_been_reported_that_include_direct_reversal,_base_excision_repair,_nucleotide_excision_repair,_photoreactivation,_bypass,_double-strand_break_repair_pathway,_and_mismatch_repair_pathway."_[PMID:11563486]/</t>
  </si>
  <si>
    <t>IPR003653/IPR010347/IPR027415/IPR038765/</t>
  </si>
  <si>
    <t>Papain-like_cysteine_peptidase_superfamily/Tyrosyl-DNA_phosphodiesterase,_C-terminal/Tyrosyl-DNA_phosphodiesterase_I/Ulp1_protease_family,_C-terminal_catalytic_domain/</t>
  </si>
  <si>
    <t>Papain_like_cys_pep_sf/Peptidase_C48_C/TDP_C/Tdp1/</t>
  </si>
  <si>
    <t>note=B._malayi_BMA-ULP-3_protein,_contains_similarity_toPfam_domain_PF02902_Ulp1_protease_family,_C-terminalcatalytic_domain_contains_similarity_to_Interpro_domainIPR003653_(Peptidase_C48,_SUMO/Sentrin/Ubl1)</t>
  </si>
  <si>
    <t>7209.EJD75879.1</t>
  </si>
  <si>
    <t>1191.8</t>
  </si>
  <si>
    <t>ko:K10862</t>
  </si>
  <si>
    <t>1KVPP@119089,38CZE@33154,3BEY4@33208,3CU7Q@33213,40DA8@6231,COG2828@1,KOG2031@1,KOG2031@2759,KOG3246@2759</t>
  </si>
  <si>
    <t>Tyrosyl-DNA phosphodiesterase</t>
  </si>
  <si>
    <t>25,4844/25,6334</t>
  </si>
  <si>
    <t>9,83607/15,3502</t>
  </si>
  <si>
    <t>WBGene00018678</t>
  </si>
  <si>
    <t>25.7824</t>
  </si>
  <si>
    <t>Bm748</t>
  </si>
  <si>
    <t>WBGene00221009</t>
  </si>
  <si>
    <t>1.6e-116</t>
  </si>
  <si>
    <t>426.0</t>
  </si>
  <si>
    <t>19,5335/18,6589/20,4082</t>
  </si>
  <si>
    <t>13,9942/22,7405/24,7813/25,3644/13,7026</t>
  </si>
  <si>
    <t>13,7026/23,3236/12,828</t>
  </si>
  <si>
    <t>Bm13991</t>
  </si>
  <si>
    <t>WBGene00234252</t>
  </si>
  <si>
    <t>GO:0003896/GO:0003899/GO:0006260/GO:0006269/GO:0016740/</t>
  </si>
  <si>
    <t>DNA-directed_5'-3'_RNA_polymerase_activity/DNA_primase_activity/DNA_replication/DNA_replication,_synthesis_of_RNA_primer/transferase_activity/</t>
  </si>
  <si>
    <t>Catalysis_of_the_reaction:_nucleoside_triphosphate_+_RNA(n)_=_diphosphate_+_RNA(n+1)._Utilizes_a_DNA_template,_i.e._the_catalysis_of_DNA-template-directed_extension_of_the_3'-end_of_an_RNA_strand_by_one_nucleotide_at_a_time._Can_initiate_a_chain_'de_novo'._[EC:2.7.7.6,_GOC:pf]/"Catalysis_of_the_synthesis_of_a_short_RNA_primer_on_a_DNA_template,_providing_a_free_3'-OH_that_can_be_extended_by_DNA-directed_DNA_polymerases."_[GOC:mah,_GOC:mcc,_ISBN:0716720094,_PMID:26184436]/"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he_synthesis_of_a_short_RNA_polymer,_usually_4-15_nucleotides_long,_using_one_strand_of_unwound_DNA_as_a_template;_the_RNA_then_serves_as_a_primer_from_which_DNA_polymerases_extend_synthesis."_[PMID:11395402]/</t>
  </si>
  <si>
    <t>IPR002755/IPR014052/</t>
  </si>
  <si>
    <t>DNA_primase,_small_subunit/DNA_primase,_small_subunit,_eukaryotic/archaeal/</t>
  </si>
  <si>
    <t>DNA_primase_S/DNA_primase_ssu_euk/arc/</t>
  </si>
  <si>
    <t>note=contains_similarity_to_Pfam_domain_PF01896_Eukaryotic_and_archaeal_DNA_primase_small_subunit_contains_similarity_to_Interpro_domains_IPR014052_(DNA_primase,_small_subunit,_eukaryotic/archaeal),_IPR002755_(DNA_primase,_small_subunit)</t>
  </si>
  <si>
    <t>7209.EFO25443.1</t>
  </si>
  <si>
    <t>1e-213</t>
  </si>
  <si>
    <t>749.2</t>
  </si>
  <si>
    <t>ko:K02684</t>
  </si>
  <si>
    <t>1KVZI@119089,38C84@33154,3BETM@33208,3CSBP@33213,40AKG@6231,COG1467@1,KOG2851@2759</t>
  </si>
  <si>
    <t>Belongs to the eukaryotic-type primase small subunit family</t>
  </si>
  <si>
    <t>38,8095/19,5238</t>
  </si>
  <si>
    <t>18,3333/16,6667</t>
  </si>
  <si>
    <t>27,619/38,5714</t>
  </si>
  <si>
    <t>29,5238/35</t>
  </si>
  <si>
    <t>WBGene00020761/WBGene00004180</t>
  </si>
  <si>
    <t>27.619/38.5714</t>
  </si>
  <si>
    <t>Bm2245</t>
  </si>
  <si>
    <t>WBGene00222506</t>
  </si>
  <si>
    <t>GO:0004601/GO:0006979/GO:0020037/GO:0055114/GO:0098869/</t>
  </si>
  <si>
    <t>cellular_oxidant_detoxification/heme_binding/oxidation-reduction_process/peroxidase_activity/response_to_oxidative_stress/</t>
  </si>
  <si>
    <t>A_metabolic_process_that_results_in_the_removal_or_addition_of_one_or_more_electrons_to_or_from_a_substance,_with_or_without_the_concomitant_removal_or_addition_of_a_proton_or_protons._[GOC:dhl,_GOC:ecd,_GOC:jh2,_GOC:jid,_GOC:mlg,_GOC:rph]/"Any_process_carried_out_at_the_cellular_level_that_reduces_or_removes_the_toxicity_superoxide_radicals_or_hydrogen_peroxide."_[GOC:dos,_GOC:vw]/"Any_process_that_results_in_a_change_in_state_or_activity_of_a_cell_or_an_organism_(in_terms_of_movement,_secretion,_enzyme_production,_gene_expression,_etc.)_as_a_result_of_oxidative_stress,_a_state_often_resulting_from_exposure_to_high_levels_of_reactive_oxygen_species,_e.g._superoxide_anions,_hydrogen_peroxide_(H2O2),_and_hydroxyl_radicals."_[GOC:jl,_PMID:12115731]/"Catalysis_of_the_reaction:_donor_+_hydrogen_peroxide_=_oxidized_donor_+_2_H2O."_[EC:1.11.1.7]/"Interacting_selectively_and_non-covalently_with_heme,_any_compound_of_iron_complexed_in_a_porphyrin_(tetrapyrrole)_ring."_[CHEBI:30413,_GOC:ai]/</t>
  </si>
  <si>
    <t>IPR003582/IPR010255/IPR019791/IPR037120/</t>
  </si>
  <si>
    <t>Haem_peroxidase,_animal_type/Haem_peroxidase_domain_superfamily,_animal_type/Haem_peroxidase_superfamily/ShKT_domain/</t>
  </si>
  <si>
    <t>Haem_peroxidase_animal/Haem_peroxidase_sf/Haem_peroxidase_sf_animal/ShKT_dom/</t>
  </si>
  <si>
    <t>note=contains_similarity_to_Pfam_domains_PF01549_(ShK_domain-like),_PF03098_(Animal_haem_peroxidase)_contains_similarity_to_Interpro_domains_IPR010255_(Haem_peroxidase),_IPR019791_(Haem_peroxidase,_animal),_IPR003582_(ShKT_domain)</t>
  </si>
  <si>
    <t>7209.EJD73644.1</t>
  </si>
  <si>
    <t>5.1e-278</t>
  </si>
  <si>
    <t>963.8</t>
  </si>
  <si>
    <t>1KU56@119089,39WWB@33154,3BMTU@33208,3D614@33213,40C8I@6231,KOG2408@1,KOG2408@2759</t>
  </si>
  <si>
    <t>Animal haem peroxidase</t>
  </si>
  <si>
    <t>11,9018/13,7423/15,2147/23,1902</t>
  </si>
  <si>
    <t>43,681/7,60736/10,9202/10,7975/10,9202/11,5337</t>
  </si>
  <si>
    <t>25,8896/30,7975/24,6626/23,5583/24,4172</t>
  </si>
  <si>
    <t>25,2761/30,9202/24,2945/24,0491/23,9264</t>
  </si>
  <si>
    <t>23,4356/30,4294/25,0307</t>
  </si>
  <si>
    <t>WBGene00015841</t>
  </si>
  <si>
    <t>48.7117</t>
  </si>
  <si>
    <t>Bm17718</t>
  </si>
  <si>
    <t>WBGene00268860</t>
  </si>
  <si>
    <t>Bm6212</t>
  </si>
  <si>
    <t>WBGene00226473</t>
  </si>
  <si>
    <t>GO:0003899/GO:0005634/GO:0006351/</t>
  </si>
  <si>
    <t>DNA-directed_5'-3'_RNA_polymerase_activity/nucleus/transcription,_DNA-templated/</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</si>
  <si>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Catalysis_of_the_reaction:_nucleoside_triphosphate_+_RNA(n)_=_diphosphate_+_RNA(n+1)._Utilizes_a_DNA_template,_i.e._the_catalysis_of_DNA-template-directed_extension_of_the_3'-end_of_an_RNA_strand_by_one_nucleotide_at_a_time._Can_initiate_a_chain_'de_novo'."_[EC:2.7.7.6,_GOC:pf]/"The_cellular_synthesis_of_RNA_on_a_template_of_DNA."_[GOC:jl,_GOC:txnOH]/</t>
  </si>
  <si>
    <t>IPR006886/</t>
  </si>
  <si>
    <t>DNA-directed_RNA_polymerase_III_subunit_Rpc5/</t>
  </si>
  <si>
    <t>RNA_pol_III_Rpc5/</t>
  </si>
  <si>
    <t>note=contains_similarity_to_Pfam_domain_PF04801_Sin-likeprotein_conserved_region_contains_similarity_to_Interprodomain_IPR006886_(DNA-directed_RNA_polymerase_III_subunitRpc5)</t>
  </si>
  <si>
    <t>7209.EFO19660.2</t>
  </si>
  <si>
    <t>2.6e-84</t>
  </si>
  <si>
    <t>318.2</t>
  </si>
  <si>
    <t>ko:K14721</t>
  </si>
  <si>
    <t>ko00230,ko00240,ko03020,ko04623,ko05169,map00230,map00240,map03020,map04623,map05169</t>
  </si>
  <si>
    <t>1KXBF@119089,396QS@33154,3CB2X@33208,3DSBI@33213,40F3W@6231,KOG2354@1,KOG2354@2759</t>
  </si>
  <si>
    <t>Sin-like protein conserved region</t>
  </si>
  <si>
    <t>Bm4596</t>
  </si>
  <si>
    <t>WBGene00224857</t>
  </si>
  <si>
    <t>IPR000719/IPR008266/IPR011009/IPR017441/IPR040734/</t>
  </si>
  <si>
    <t>Protein_kinase,_ATP_binding_site/Protein_kinase-like_domain_superfamily/Protein_kinase_domain/Tyrosine-protein_kinase,_active_site/Zyg-1,_polo_box_domain_2/</t>
  </si>
  <si>
    <t>Kinase-like_dom_sf/Prot_kinase_dom/Protein_kinase_ATP_BS/Tyr_kinase_AS/Zyg-1_PB2/</t>
  </si>
  <si>
    <t>note=B._malayi_BMA-ZYG-1_protein,_contains_similarity_toPfam_domain_PF00069_Protein_kinase_domain_containssimilarity_to_Interpro_domains_IPR011009_(Proteinkinase-like_domain),_IPR000719_(Protein_kinase_domain)</t>
  </si>
  <si>
    <t>7209.EJD75333.1</t>
  </si>
  <si>
    <t>1236.9</t>
  </si>
  <si>
    <t>GO:0000003,GO:0000226,GO:0000278,GO:0003674,GO:0003824,GO:0004672,GO:0004674,GO:0005488,GO:0005515,GO:0005575,GO:0005622,GO:0005623,GO:0005737,GO:0005813,GO:0005814,GO:0005815,GO:0005856,GO:0006464,GO:0006468,GO:0006793,GO:0006796,GO:0006807,GO:0006996,GO:0007010,GO:0007017,GO:0007049,GO:0007051,GO:0007088,GO:0007098,GO:0007099,GO:0007275,GO:0007346,GO:0008104,GO:0008150,GO:0008152,GO:0009266,GO:0009581,GO:0009582,GO:0009605,GO:0009628,GO:0009790,GO:0009792,GO:0009794,GO:0009987,GO:0010564,GO:0010638,GO:0010824,GO:0010825,GO:0010965,GO:0015630,GO:0016043,GO:0016048,GO:0016301,GO:0016310,GO:0016740,GO:0016772,GO:0016773,GO:0018105,GO:0018193,GO:0018209,GO:0019538,GO:0022402,GO:0022607,GO:0030071,GO:0031023,GO:0032465,GO:0032501,GO:0032502,GO:0032879,GO:0032880,GO:0032886,GO:0032954,GO:0033036,GO:0033043,GO:0033044,GO:0033045,GO:0033047,GO:0034613,GO:0036211,GO:0040019,GO:0042802,GO:0043170,GO:0043226,GO:0043228,GO:0043229,GO:0043232,GO:0043412,GO:0044085,GO:0044087,GO:0044089,GO:0044237,GO:0044238,GO:0044260,GO:0044267,GO:0044422,GO:0044424,GO:0044430,GO:0044444,GO:0044446,GO:0044450,GO:0044464,GO:0045787,GO:0045931,GO:0045977,GO:0045995,GO:0046605,GO:0046607,GO:0048518,GO:0048522,GO:0048856,GO:0050789,GO:0050793,GO:0050794,GO:0050896,GO:0051094,GO:0051128,GO:0051130,GO:0051179,GO:0051225,GO:0051239,GO:0051240,GO:0051298,GO:0051301,GO:0051302,GO:0051493,GO:0051495,GO:0051606,GO:0051641,GO:0051726,GO:0051783,GO:0051983,GO:0060341,GO:0065007,GO:0070507,GO:0070727,GO:0070925,GO:0071704,GO:0071840,GO:0090068,GO:0090169,GO:0090224,GO:0090231,GO:0090232,GO:0090266,GO:0090267,GO:0090268,GO:0098534,GO:0140096,GO:1901564,GO:1901976,GO:1901978,GO:1901987,GO:1901990,GO:1902099,GO:1902115,GO:1902117,GO:1902412,GO:1903436,GO:1903504,GO:1903827,GO:1903829,GO:1904779,GO:1905340,GO:1905342,GO:1905818,GO:1905832,GO:2000026</t>
  </si>
  <si>
    <t>ko:K08863</t>
  </si>
  <si>
    <t>1KYXR@119089,3AK40@33154,3BZSJ@33208,3DG5P@33213,40G49@6231,KOG0032@1,KOG0032@2759</t>
  </si>
  <si>
    <t>Paternal copy is required to regulate synthesis of daughter centrioles prior to fertilization. Maternal copy regulates centrosome duplication during later cell cycles. Functions upstream of sas-5 and sas-6, and is required for their localization to the centrosome</t>
  </si>
  <si>
    <t>15,1149/73,6397</t>
  </si>
  <si>
    <t>73,5187/74,8489</t>
  </si>
  <si>
    <t>6,89238/8,70617</t>
  </si>
  <si>
    <t>14,3894/15,3567</t>
  </si>
  <si>
    <t>Bm10254</t>
  </si>
  <si>
    <t>WBGene00230515</t>
  </si>
  <si>
    <t>7209.EFO21432.1</t>
  </si>
  <si>
    <t>1.2e-77</t>
  </si>
  <si>
    <t>296.6</t>
  </si>
  <si>
    <t>1M063@119089,3A8SR@33154,3BTZG@33208,3DAV7@33213,40HEC@6231,COG5208@1,KOG1658@2759</t>
  </si>
  <si>
    <t>WBGene00013150</t>
  </si>
  <si>
    <t>16.9811</t>
  </si>
  <si>
    <t>Bm8839</t>
  </si>
  <si>
    <t>WBGene00229100</t>
  </si>
  <si>
    <t>note=B._malayi_BMA-CDC-7_protein,_contains_similarity_toPfam_domain_PF00069_Protein_kinase_domain_containssimilarity_to_Interpro_domains_IPR002290(Serine/threonine/dual_specificity_protein_kinase,catalytic_domain),_IPR011009_(Protein_kinase-like_domain),IPR000719_(Protein_kinase_domain)</t>
  </si>
  <si>
    <t>7209.EFO25473.2</t>
  </si>
  <si>
    <t>2.5e-220</t>
  </si>
  <si>
    <t>ko:K02214</t>
  </si>
  <si>
    <t>ko04110,ko04111,ko04113,map04110,map04111,map04113</t>
  </si>
  <si>
    <t>ko00000,ko00001,ko01000,ko01001,ko03032</t>
  </si>
  <si>
    <t>1KZJD@119089,38HJI@33154,3B95V@33208,3CSGI@33213,40E2D@6231,KOG1167@1,KOG1167@2759</t>
  </si>
  <si>
    <t>87,8713/75,2475</t>
  </si>
  <si>
    <t>75/89,8515</t>
  </si>
  <si>
    <t>29,4554/30,6931</t>
  </si>
  <si>
    <t>WBGene00016421</t>
  </si>
  <si>
    <t>26.2376</t>
  </si>
  <si>
    <t>Bm9890</t>
  </si>
  <si>
    <t>WBGene00230151</t>
  </si>
  <si>
    <t>21,374/28,4987</t>
  </si>
  <si>
    <t>Bm3068</t>
  </si>
  <si>
    <t>WBGene00223329</t>
  </si>
  <si>
    <t>GO:0030246/</t>
  </si>
  <si>
    <t>carbohydrate_binding/</t>
  </si>
  <si>
    <t>Interacting_selectively_and_non-covalently_with_any_carbohydrate,_which_includes_monosaccharides,_oligosaccharides_and_polysaccharides_as_well_as_substances_derived_from_monosaccharides_by_reduction_of_the_carbonyl_group_(alditols),_by_oxidation_of_one_or_more_hydroxy_groups_to_afford_the_corresponding_aldehydes,_ketones,_or_carboxylic_acids,_or_by_replacement_of_one_or_more_hydroxy_group(s)_by_a_hydrogen_atom._Cyclitols_are_generally_not_regarded_as_carbohydrates._[CHEBI:16646,_GOC:mah]/</t>
  </si>
  <si>
    <t>IPR001079/IPR013320/</t>
  </si>
  <si>
    <t>Concanavalin_A-like_lectin/glucanase_domain_superfamily/Galectin,_carbohydrate_recognition_domain/</t>
  </si>
  <si>
    <t>ConA-like_dom_sf/Galectin_CRD/</t>
  </si>
  <si>
    <t>note=B._malayi_BMA-LEC-12_protein,_contains_similarity_to_Pfam_domain_PF00337_Galactoside-binding_lectin_contains_similarity_to_Interpro_domains_IPR001079_(Galectin,_carbohydrate_recognition_domain),_IPR013320_(Concanavalin_A-like_lectin/glucanase_domain)</t>
  </si>
  <si>
    <t>7209.EFO20790.2</t>
  </si>
  <si>
    <t>4.1e-165</t>
  </si>
  <si>
    <t>ko:K06832,ko:K20300</t>
  </si>
  <si>
    <t>ko00000,ko04091,ko04131,ko04516</t>
  </si>
  <si>
    <t>1KVQP@119089,38F0D@33154,3BAQ8@33208,3D0B9@33213,40DEU@6231,KOG3587@1,KOG3587@2759</t>
  </si>
  <si>
    <t>Galectin</t>
  </si>
  <si>
    <t>49,2447/30,8157</t>
  </si>
  <si>
    <t>39,2749/39,2749/16,9184</t>
  </si>
  <si>
    <t>19,6375/23,565/18,429</t>
  </si>
  <si>
    <t>32,0242/27,1903/26,8882/26,5861/12,6888/11,4804/11,7825/12,0846/11,1782/11,4804/8,45921/11,7825/11,7825/20,2417</t>
  </si>
  <si>
    <t>30,5136/12,6888/11,7825/11,7825/11,1782/8,76133/11,1782/19,3353</t>
  </si>
  <si>
    <t>27,7946/27,4924/10,574/9,96979/12,6888/11,7825/11,1782/13,2931</t>
  </si>
  <si>
    <t>WBGene00017080</t>
  </si>
  <si>
    <t>38.0665</t>
  </si>
  <si>
    <t>Bm8990</t>
  </si>
  <si>
    <t>WBGene00229251</t>
  </si>
  <si>
    <t>7209.EFO21611.1</t>
  </si>
  <si>
    <t>7.9e-120</t>
  </si>
  <si>
    <t>437.2</t>
  </si>
  <si>
    <t>1M0A0@119089,2D541@1,2SXA4@2759,3AUF5@33154,3C3IE@33208,3DJIN@33213,40H1Y@6231</t>
  </si>
  <si>
    <t>29,8153/61,2137/91,2929</t>
  </si>
  <si>
    <t>Bm3248</t>
  </si>
  <si>
    <t>WBGene00223509</t>
  </si>
  <si>
    <t>IPR001611/IPR032675/IPR037390/</t>
  </si>
  <si>
    <t>Cilia-_and_flagella-associated_protein_410/Leucine-rich_repeat/Leucine-rich_repeat_domain_superfamily/</t>
  </si>
  <si>
    <t>CFAP410/LRR_dom_sf/Leu-rich_rpt/</t>
  </si>
  <si>
    <t>note=contains_similarity_to_Pfam_domain_PF12799_Leucine_Rich_repeats_(2_copies)_contains_similarity_to_Interpro_domain_IPR025875_(Leucine_rich_repeat_4)</t>
  </si>
  <si>
    <t>135651.CBN08660</t>
  </si>
  <si>
    <t>3.1e-33</t>
  </si>
  <si>
    <t>148.7</t>
  </si>
  <si>
    <t>1M3BC@119089,39VPY@33154,3BE0F@33208,3CZMX@33213,40JZ2@6231,40ZV1@6236,KOG2123@1,KOG2123@2759</t>
  </si>
  <si>
    <t>occurring C-terminal to leucine-rich repeats</t>
  </si>
  <si>
    <t>28,7805/28,7805</t>
  </si>
  <si>
    <t>WBGene00017320</t>
  </si>
  <si>
    <t>39.5122</t>
  </si>
  <si>
    <t>Bm9452</t>
  </si>
  <si>
    <t>WBGene00229713</t>
  </si>
  <si>
    <t>IPR008952/IPR018499/</t>
  </si>
  <si>
    <t>Tetraspanin,_EC2_domain_superfamily/Tetraspanin/Peripherin/</t>
  </si>
  <si>
    <t>Tetraspanin/Peripherin/Tetraspanin_EC2_sf/</t>
  </si>
  <si>
    <t>note=contains_similarity_to_Interpro_domain_IPR008952_(Tetraspanin,_EC2_domain)</t>
  </si>
  <si>
    <t>Bm6184</t>
  </si>
  <si>
    <t>WBGene00226445</t>
  </si>
  <si>
    <t>note=B._malayi_BMA-LPR-5_protein,_contains_similarity_toInterpro_domains_IPR012674_(Calycin),_IPR011038(Calycin-like)</t>
  </si>
  <si>
    <t>7209.EFO23706.1</t>
  </si>
  <si>
    <t>1.1e-271</t>
  </si>
  <si>
    <t>942.2</t>
  </si>
  <si>
    <t>1KV12@119089,28PWD@1,2QWJ0@2759,39YXF@33154,3BGQ8@33208,3D521@33213,40B88@6231</t>
  </si>
  <si>
    <t>32,7715/48,5019/29,588/27,3408</t>
  </si>
  <si>
    <t>WBGene00012256</t>
  </si>
  <si>
    <t>49.4382</t>
  </si>
  <si>
    <t>Bm13970</t>
  </si>
  <si>
    <t>WBGene00234231</t>
  </si>
  <si>
    <t>GO:0004367/GO:0005975/GO:0006072/GO:0009331/GO:0016491/GO:0016616/GO:0042803/GO:0046168/GO:0051287/GO:0055114/</t>
  </si>
  <si>
    <t>NAD_binding/carbohydrate_metabolic_process/glycerol-3-phosphate_catabolic_process/glycerol-3-phosphate_dehydrogenase_[NAD+]_activity/glycerol-3-phosphate_dehydrogenase_complex/glycerol-3-phosphate_metabolic_process/oxidation-reduction_process/oxidoreductase_activity/oxidoreductase_activity,_acting_on_the_CH-OH_group_of_donors,_NAD_or_NADP_as_acceptor/protein_homodimerization_activity/</t>
  </si>
  <si>
    <t>A_metabolic_process_that_results_in_the_removal_or_addition_of_one_or_more_electrons_to_or_from_a_substance,_with_or_without_the_concomitant_removal_or_addition_of_a_proton_or_protons._[GOC:dhl,_GOC:ecd,_GOC:jh2,_GOC:jid,_GOC:mlg,_GOC:rph]/"An_enzyme_complex_that_catalyzes_the_dehydrogenation_of_sn-glycerol_3-phosphate_to_form_glycerone_phosphate."_[EC:1.1.5.3]/"Catalysis_of_an_oxidation-reduction_(redox)_reaction,_a_reversible_chemical_reaction_in_which_the_oxidation_state_of_an_atom_or_atoms_within_a_molecule_is_altered._One_substrate_acts_as_a_hydrogen_or_electron_donor_and_becomes_oxidized,_while_the_other_acts_as_hydrogen_or_electron_acceptor_and_becomes_reduced."_[GOC:go_curators]/"Catalysis_of_an_oxidation-reduction_(redox)_reaction_in_which_a_CH-OH_group_acts_as_a_hydrogen_or_electron_donor_and_reduces_NAD+_or_NADP."_[EC:1.1.1.-,_GOC:ai]/"Catalysis_of_the_reaction:_sn-glycerol_3-phosphate_+_NAD+_=_glycerone_phosphate_+_NADH_+_H+."_[EC:1.1.1.8,_EC:1.1.1.94]/"Interacting_selectively_and_non-covalently_with_an_identical_protein_to_form_a_homodimer."_[GOC:jl]/"Interacting_selectively_and_non-covalently_with_nicotinamide_adenine_dinucleotide,_a_coenzyme_involved_in_many_redox_and_biosynthetic_reactions;_binding_may_be_to_either_the_oxidized_form,_NAD+,_or_the_reduced_form,_NADH."_[GOC:ai]/"The_chemical_reactions_and_pathways_involving_carbohydrates,_any_of_a_group_of_organic_compounds_based_of_the_general_formula_Cx(H2O)y._Includes_the_formation_of_carbohydrate_derivatives_by_the_addition_of_a_carbohydrate_residue_to_another_molecule."_[GOC:mah,_ISBN:0198506732]/"The_chemical_reactions_and_pathways_involving_glycerol-3-phosphate,_a_phosphoric_monoester_of_glycerol."_[GOC:go_curators,_ISBN:0198506732]/"The_chemical_reactions_and_pathways_resulting_in_the_breakdown_of_glycerol-3-phosphate,_a_phosphoric_monoester_of_glycerol."_[GOC:ai]/</t>
  </si>
  <si>
    <t>IPR006109/IPR006168/IPR008927/IPR011128/IPR013328/IPR017751/IPR036291/</t>
  </si>
  <si>
    <t>6-phosphogluconate_dehydrogenase,_domain_2/6-phosphogluconate_dehydrogenase-like,_C-terminal_domain_superfamily/Glycerol-3-phosphate_dehydrogenase,_NAD-dependent/Glycerol-3-phosphate_dehydrogenase,_NAD-dependent,_C-terminal/Glycerol-3-phosphate_dehydrogenase,_NAD-dependent,_N-terminal/Glycerol-3-phosphate_dehydrogenase,_NAD-dependent,_eukaryotic/NAD(P)-binding_domain_superfamily/</t>
  </si>
  <si>
    <t>6-PGluconate_DH-like_C_sf/6PGD_dom2/G3P_DH_NAD-dep/G3P_DH_NAD-dep_C/G3P_DH_NAD-dep_N/G3P_DH_NAD-dep_euk/NAD(P)-bd_dom_sf/</t>
  </si>
  <si>
    <t>note=contains_similarity_to_Pfam_domains_PF01210_(NAD-dependent_glycerol-3-phosphate_dehydrogenase_N-terminus),_PF07479_(NAD-dependent_glycerol-3-phosphate_dehydrogenase_C-terminus)_contains_similarity_to_Interpro_domains_IPR008927_(6-phosphogluconate_dehydrogenase,_C-terminal-like),_IPR006168_(Glycerol-3-phosphate_dehydrogenase,_NAD-dependent),_IPR017751_(Glycerol-3-phosphate_dehydrogenase,_NAD-dependent,_eukaryotic),_IPR006109_(Glycerol-3-phosphate_dehydrogenase,_NAD-dependent,_C-terminal),_IPR013328_(Dehydrogenase,_multihelical),_IPR011128_(Glycerol-3-phosphate_dehydrogenase,_NAD-dependent,_N-terminal),_IPR016040_(NAD(P)-binding_domain)</t>
  </si>
  <si>
    <t>7209.EJD74484.1</t>
  </si>
  <si>
    <t>2e-194</t>
  </si>
  <si>
    <t>684.9</t>
  </si>
  <si>
    <t>GO:0003674,GO:0003824,GO:0004367,GO:0004368,GO:0006950,GO:0006970,GO:0006972,GO:0006973,GO:0008150,GO:0008152,GO:0009628,GO:0009987,GO:0016491,GO:0016614,GO:0016616,GO:0016901,GO:0019725,GO:0033554,GO:0042592,GO:0050896,GO:0051716,GO:0055114,GO:0065007,GO:0065008,GO:0071214,GO:0071470,GO:0071474,GO:0104004</t>
  </si>
  <si>
    <t>1.1.1.8</t>
  </si>
  <si>
    <t>ko:K00006</t>
  </si>
  <si>
    <t>ko00564,ko01110,ko04011,map00564,map01110,map04011</t>
  </si>
  <si>
    <t>R00842</t>
  </si>
  <si>
    <t>RC00029</t>
  </si>
  <si>
    <t>1KUBW@119089,38E7F@33154,3BCI8@33208,3CVH2@33213,40B0B@6231,COG0240@1,KOG2711@2759</t>
  </si>
  <si>
    <t>Glycerol-3-phosphate dehydrogenase</t>
  </si>
  <si>
    <t>55,2113/56,338</t>
  </si>
  <si>
    <t>63,0986/57,4648</t>
  </si>
  <si>
    <t>34,3662/56,9014</t>
  </si>
  <si>
    <t>56,0563/44,2254/55,7746/11,2676</t>
  </si>
  <si>
    <t>61,6901/50,7042</t>
  </si>
  <si>
    <t>50,9859/22,8169</t>
  </si>
  <si>
    <t>34,6479/49,8592</t>
  </si>
  <si>
    <t>38,8732/55,7746/45,6338</t>
  </si>
  <si>
    <t>50,1408/53,2394</t>
  </si>
  <si>
    <t>53,5211/50,1408</t>
  </si>
  <si>
    <t>52,3944/53,2394/54,6479/52,3944</t>
  </si>
  <si>
    <t>44,2254/43,662</t>
  </si>
  <si>
    <t>WBGene00010778/WBGene00009824</t>
  </si>
  <si>
    <t>61.6901/50.7042</t>
  </si>
  <si>
    <t>Bm7493</t>
  </si>
  <si>
    <t>WBGene00227754</t>
  </si>
  <si>
    <t>IPR019258/</t>
  </si>
  <si>
    <t>Mediator_complex,_subunit_Med4/</t>
  </si>
  <si>
    <t>Mediator_Med4/</t>
  </si>
  <si>
    <t>note=B._malayi_BMA-MDT-4_protein,_contains_similarity_toPfam_domain_PF10018_Vitamin-D-receptor_interactingMediator_subunit_4_contains_similarity_to_Interpro_domainIPR019258_(Mediator_complex,_subunit_Med4)</t>
  </si>
  <si>
    <t>7209.EFO26944.1</t>
  </si>
  <si>
    <t>7.3e-132</t>
  </si>
  <si>
    <t>476.9</t>
  </si>
  <si>
    <t>GO:0000428,GO:0005575,GO:0005622,GO:0005623,GO:0005634,GO:0005654,GO:0005667,GO:0006355,GO:0006357,GO:0008150,GO:0009889,GO:0010468,GO:0010556,GO:0016591,GO:0019219,GO:0019222,GO:0030880,GO:0031323,GO:0031326,GO:0031974,GO:0031981,GO:0032991,GO:0043226,GO:0043227,GO:0043229,GO:0043231,GO:0043233,GO:0044422,GO:0044424,GO:0044428,GO:0044446,GO:0044451,GO:0044464,GO:0044798,GO:0050789,GO:0050794,GO:0051171,GO:0051252,GO:0055029,GO:0060255,GO:0061695,GO:0065007,GO:0070013,GO:0070847,GO:0080090,GO:0090575,GO:1902494,GO:1903506,GO:1990234,GO:2000112,GO:2001141</t>
  </si>
  <si>
    <t>ko:K14618,ko:K15146</t>
  </si>
  <si>
    <t>ko04919,ko04977,map04919,map04977</t>
  </si>
  <si>
    <t>ko00000,ko00001,ko03021</t>
  </si>
  <si>
    <t>1KWZ4@119089,38G5E@33154,3BGVP@33208,3CR9R@33213,40EJ0@6231,KOG4552@1,KOG4552@2759</t>
  </si>
  <si>
    <t>31,8182/25,974/31,4935</t>
  </si>
  <si>
    <t>WBGene00007012</t>
  </si>
  <si>
    <t>32.4675</t>
  </si>
  <si>
    <t>Bm261</t>
  </si>
  <si>
    <t>WBGene00220522</t>
  </si>
  <si>
    <t>7209.EJD73605.1</t>
  </si>
  <si>
    <t>2.1e-14</t>
  </si>
  <si>
    <t>10,804/10,3015</t>
  </si>
  <si>
    <t>Bm4720</t>
  </si>
  <si>
    <t>WBGene00224981</t>
  </si>
  <si>
    <t>IPR000276/IPR017452/IPR019430/</t>
  </si>
  <si>
    <t>7TM_GPCR,_serpentine_receptor_class_x__(Srx)/GPCR,_rhodopsin-like,_7TM/G_protein-coupled_receptor,_rhodopsin-like/</t>
  </si>
  <si>
    <t>7TM_GPCR_serpentine_rcpt_Srx/GPCR_Rhodpsn/GPCR_Rhodpsn_7TM/</t>
  </si>
  <si>
    <t>note=contains_similarity_to_Pfam_domain_PF10328_Serpentine_type_7TM_GPCR_chemoreceptor_Srx_contains_similarity_to_Interpro_domains_IPR019430_(7TM_GPCR,_serpentine_receptor_class_x_(Srx)),_IPR000276_(G_protein-coupled_receptor,_rhodopsin-like)</t>
  </si>
  <si>
    <t>7209.EFO18603.1</t>
  </si>
  <si>
    <t>1e-212</t>
  </si>
  <si>
    <t>1KTKZ@119089,297T8@1,2RETG@2759,39Z1D@33154,3BMZA@33208,3D4PX@33213,40BUR@6231</t>
  </si>
  <si>
    <t>38,7164/43,6853</t>
  </si>
  <si>
    <t>Bm4782</t>
  </si>
  <si>
    <t>WBGene00225043</t>
  </si>
  <si>
    <t>GO:0004888/GO:0005216/GO:0005230/GO:0006811/GO:0016020/GO:0016021/GO:0034220/</t>
  </si>
  <si>
    <t>extracellular_ligand-gated_ion_channel_activity/integral_component_of_membrane/ion_channel_activity/ion_transmembrane_transport/ion_transport/membrane/transmembrane_signaling_receptor_activity/</t>
  </si>
  <si>
    <t>A_lipid_bilayer_along_with_all_the_proteins_and_protein_complexes_embedded_in_it_an_attached_to_it._[GOC:dos,_GOC:mah,_ISBN:0815316194]/"A_process_in_which_an_ion_is_transported_across_a_membrane."_[GOC:mah]/"Combining_with_an_extracellular_or_intracellular_signal_and_transmitting_the_signal_from_one_side_of_the_membrane_to_the_other_to_initiate_a_change_in_cell_activity_or_state_as_part_of_signal_transduction."_[GOC:go_curators,_Wikipedia:Transmembrane_receptor]/"Enables_the_facilitated_diffusion_of_an_ion_(by_an_energy-independent_process)_by_passage_through_a_transmembrane_aqueous_pore_or_channel_without_evidence_for_a_carrier-mediated_mechanism._May_be_either_selective_(it_enables_passage_of_a_specific_ion_only)_or_non-selective_(it_enables_passage_of_two_or_more_ions_of_same_charge_but_different_size)."_[GOC:cy,_GOC:mtg_transport,_GOC:pr,_ISBN:0815340729]/"Enables_the_transmembrane_transfer_of_an_ion_by_a_channel_that_opens_when_a_specific_extracellular_ligand_has_been_bound_by_the_channel_complex_or_one_of_its_constituent_parts."_[GOC:mtg_transport,_ISBN:0815340729]/"The_component_of_a_membrane_consisting_of_the_gene_products_and_protein_complexes_having_at_least_some_part_of_their_peptide_sequence_embedded_in_the_hydrophobic_region_of_the_membrane."_[GOC:dos,_GOC:go_curators]/"The_directed_movement_of_charged_atoms_or_small_charged_molecules_into,_out_of_or_within_a_cell,_or_between_cells,_by_means_of_some_agent_such_as_a_transporter_or_pore."_[GOC:ai]/</t>
  </si>
  <si>
    <t>note=B._malayi_BMA-DEG-3_protein,_contains_similarity_toPfam_domain_PF02932_Neurotransmitter-gated_ion-channeltransmembrane_region_contains_similarity_to_Interprodomains_IPR027361_(Nicotinic_acetylcholine-gated_receptor,transmembrane_domain),_IPR006201_(Neurotransmitter-gatedion-channel),_IPR006202_(Neurotransmitter-gatedion-channel_ligand-binding_domain),_IPR006029(Neurotransmitter-gated_ion-channel_transmembrane_domain)</t>
  </si>
  <si>
    <t>281687.CJA11305</t>
  </si>
  <si>
    <t>1.8e-99</t>
  </si>
  <si>
    <t>370.2</t>
  </si>
  <si>
    <t>deg-3</t>
  </si>
  <si>
    <t>GO:0008150,GO:0010941,GO:0043067,GO:0050789,GO:0050794,GO:0065007</t>
  </si>
  <si>
    <t>1KXKR@119089,38HVW@33154,3BP0I@33208,3D2J4@33213,40CFJ@6231,41069@6236,KOG3645@1,KOG3645@2759</t>
  </si>
  <si>
    <t>41,7808/42,2945/41,6096</t>
  </si>
  <si>
    <t>14,726/19,863</t>
  </si>
  <si>
    <t>7,70548/31,1644/14,5548</t>
  </si>
  <si>
    <t>28,7671/27,0548</t>
  </si>
  <si>
    <t>24,4863/26,5411</t>
  </si>
  <si>
    <t>WBGene00000951</t>
  </si>
  <si>
    <t>43.6644</t>
  </si>
  <si>
    <t>Bm9136</t>
  </si>
  <si>
    <t>WBGene00229397</t>
  </si>
  <si>
    <t>23,5849/45,9119/70,4403/16,6667/18,239</t>
  </si>
  <si>
    <t>Bm12166</t>
  </si>
  <si>
    <t>WBGene00232427</t>
  </si>
  <si>
    <t>7209.EFO19765.1</t>
  </si>
  <si>
    <t>1.7e-233</t>
  </si>
  <si>
    <t>1KX3M@119089,2E06A@1,2S7MU@2759,3AB6D@33154,3BV5T@33208,3DAMX@33213,40ESZ@6231</t>
  </si>
  <si>
    <t>WBGene00013902</t>
  </si>
  <si>
    <t>Bm2618</t>
  </si>
  <si>
    <t>WBGene00222879</t>
  </si>
  <si>
    <t>GO:0043531/</t>
  </si>
  <si>
    <t>ADP_binding/</t>
  </si>
  <si>
    <t>Interacting_selectively_and_non-covalently_with_ADP,_adenosine_5'-diphosphate._[GOC:jl]/</t>
  </si>
  <si>
    <t>IPR002182/IPR011029/IPR027417/IPR036388/</t>
  </si>
  <si>
    <t>Death-like_domain_superfamily/NB-ARC/P-loop_containing_nucleoside_triphosphate_hydrolase/Winged_helix-like_DNA-binding_domain_superfamily/</t>
  </si>
  <si>
    <t>DEATH-like_dom_sf/NB-ARC/P-loop_NTPase/WH-like_DNA-bd_sf/</t>
  </si>
  <si>
    <t>note=B._malayi_BMA-CED-4_protein,_contains_similarity_toPfam_domain_PF00931_NB-ARC_domain_contains_similarity_toInterpro_domains_IPR002182_(NB-ARC),_IPR027417_(P-loopcontaining_nucleoside_triphosphate_hydrolase),_IPR011029(Death-like_domain)</t>
  </si>
  <si>
    <t>7209.EJD73880.1</t>
  </si>
  <si>
    <t>2.3e-272</t>
  </si>
  <si>
    <t>944.5</t>
  </si>
  <si>
    <t>GO:0000166,GO:0002020,GO:0003674,GO:0005488,GO:0005515,GO:0005524,GO:0005575,GO:0005622,GO:0005623,GO:0005634,GO:0005737,GO:0005739,GO:0005829,GO:0006508,GO:0006807,GO:0006915,GO:0006919,GO:0006950,GO:0006952,GO:0006996,GO:0007010,GO:0007015,GO:0007275,GO:0008047,GO:0008144,GO:0008150,GO:0008152,GO:0008154,GO:0008219,GO:0008303,GO:0008361,GO:0008635,GO:0008656,GO:0009605,GO:0009607,GO:0009617,GO:0009653,GO:0009790,GO:0009792,GO:0009893,GO:0009987,GO:0010467,GO:0010468,GO:0010604,GO:0010628,GO:0010941,GO:0010942,GO:0010950,GO:0010952,GO:0010954,GO:0012501,GO:0016020,GO:0016043,GO:0016485,GO:0016504,GO:0016505,GO:0017076,GO:0019222,GO:0019538,GO:0019725,GO:0019899,GO:0019904,GO:0022411,GO:0022607,GO:0030029,GO:0030036,GO:0030042,GO:0030155,GO:0030162,GO:0030234,GO:0030554,GO:0031323,GO:0031325,GO:0031638,GO:0031647,GO:0032268,GO:0032270,GO:0032501,GO:0032502,GO:0032535,GO:0032553,GO:0032555,GO:0032559,GO:0032984,GO:0032991,GO:0035639,GO:0036094,GO:0040034,GO:0042592,GO:0042742,GO:0042981,GO:0043028,GO:0043065,GO:0043066,GO:0043067,GO:0043068,GO:0043069,GO:0043085,GO:0043167,GO:0043168,GO:0043170,GO:0043207,GO:0043226,GO:0043227,GO:0043229,GO:0043231,GO:0043280,GO:0043281,GO:0043624,GO:0043933,GO:0044085,GO:0044093,GO:0044238,GO:0044424,GO:0044444,GO:0044445,GO:0044464,GO:0045862,GO:0046716,GO:0048471,GO:0048518,GO:0048519,GO:0048522,GO:0048523,GO:0048598,GO:0048856,GO:0050789,GO:0050790,GO:0050793,GO:0050794,GO:0050803,GO:0050807,GO:0050829,GO:0050896,GO:0051094,GO:0051128,GO:0051130,GO:0051171,GO:0051173,GO:0051246,GO:0051247,GO:0051259,GO:0051260,GO:0051261,GO:0051262,GO:0051289,GO:0051336,GO:0051345,GO:0051400,GO:0051432,GO:0051434,GO:0051604,GO:0051704,GO:0051707,GO:0052547,GO:0052548,GO:0060249,GO:0060255,GO:0060548,GO:0061133,GO:0061134,GO:0061135,GO:0065003,GO:0065007,GO:0065008,GO:0065009,GO:0070513,GO:0070613,GO:0071704,GO:0071840,GO:0080090,GO:0089720,GO:0090066,GO:0097159,GO:0097202,GO:0097367,GO:0097435,GO:0098542,GO:0098772,GO:1901265,GO:1901363,GO:1901564,GO:1902494,GO:1902742,GO:1903317,GO:1903319,GO:1904747,GO:1904748,GO:1905368,GO:1905369,GO:1905806,GO:1905808,GO:2000116,GO:2001056</t>
  </si>
  <si>
    <t>ko:K20105</t>
  </si>
  <si>
    <t>1KXF0@119089,38VFS@33154,3C9KK@33208,3DC6D@33213,40EX4@6231,KOG4658@1,KOG4658@2759</t>
  </si>
  <si>
    <t>Component of the egl-1, ced-9, ced-4 and ced-3 apoptotic signaling cascade required for the initiation of programmed cell death in cells fated to die during embryonic and postembryonic development. During oogenesis, required for germline apoptosis downstream of ced-9 and upstream of ced-3 but independently of egl-1. May regulate germline apoptosis in response to DNA damage, probably downstream of</t>
  </si>
  <si>
    <t>WBGene00000418</t>
  </si>
  <si>
    <t>21.9684</t>
  </si>
  <si>
    <t>Bm5015</t>
  </si>
  <si>
    <t>WBGene00225276</t>
  </si>
  <si>
    <t>GO:0005576/GO:0008083/GO:0010469/GO:0016020/GO:0016021/</t>
  </si>
  <si>
    <t>extracellular_region/growth_factor_activity/integral_component_of_membrane/membrane/regulation_of_signaling_receptor_activity/</t>
  </si>
  <si>
    <t>A_lipid_bilayer_along_with_all_the_proteins_and_protein_complexes_embedded_in_it_an_attached_to_it._[GOC:dos,_GOC:mah,_ISBN:0815316194]/"Any_process_that_modulates_the_frequency,_rate_or_extent_of_a_signaling_receptor_activity._Receptor_activity_is_when_a_molecule_combines_with_an_extracellular_or_intracellular_messenger_to_initiate_a_change_in_cell_activity."_[GOC:dph,_GOC:tb]/"The_component_of_a_membrane_consisting_of_the_gene_products_and_protein_complexes_having_at_least_some_part_of_their_peptide_sequence_embedded_in_the_hydrophobic_region_of_the_membrane."_[GOC:dos,_GOC:go_curators]/"The_function_that_stimulates_a_cell_to_grow_or_proliferate._Most_growth_factors_have_other_actions_besides_the_induction_of_cell_growth_or_proliferation."_[ISBN:0815316194]/"The_space_external_to_the_outermost_structure_of_a_cell._For_cells_without_external_protective_or_external_encapsulating_structures_this_refers_to_space_outside_of_the_plasma_membrane._This_term_covers_the_host_cell_environment_outside_an_intracellular_parasite."_[GOC:go_curators]/</t>
  </si>
  <si>
    <t>IPR001839/IPR012858/IPR017948/IPR029034/</t>
  </si>
  <si>
    <t>Cystine-knot_cytokine/Dendritic_cell-specific_transmembrane_protein-like/Transforming_growth_factor-beta,_C-terminal/Transforming_growth_factor_beta,_conserved_site/</t>
  </si>
  <si>
    <t>Cystine-knot_cytokine/DC_STAMP-like/TGF-b_C/TGFb_CS/</t>
  </si>
  <si>
    <t>note=contains_similarity_to_Interpro_domain_IPR000515_(ABC_transporter_type_1,_transmembrane_domain_MetI-like)</t>
  </si>
  <si>
    <t>6326.BUX.s01143.161</t>
  </si>
  <si>
    <t>2.6e-79</t>
  </si>
  <si>
    <t>1KWEI@119089,38EPA@33154,3BIZJ@33208,3D13T@33213,40E4S@6231,KOG3726@1,KOG3726@2759</t>
  </si>
  <si>
    <t>DC-STAMP domain-containing protein 1</t>
  </si>
  <si>
    <t>WBGene00019667</t>
  </si>
  <si>
    <t>25.9918</t>
  </si>
  <si>
    <t>Bm14823</t>
  </si>
  <si>
    <t>WBGene00235130</t>
  </si>
  <si>
    <t>Bm17548</t>
  </si>
  <si>
    <t>WBGene00268691</t>
  </si>
  <si>
    <t>Bm12993</t>
  </si>
  <si>
    <t>WBGene00233254</t>
  </si>
  <si>
    <t>3.5e-117</t>
  </si>
  <si>
    <t>427.9</t>
  </si>
  <si>
    <t>Bm2157</t>
  </si>
  <si>
    <t>WBGene00222418</t>
  </si>
  <si>
    <t>note=contains_similarity_to_Pfam_domain_PF00650_CRAL/TRIO_domain_contains_similarity_to_Interpro_domains_IPR009038_(GOLD),_IPR001251_(CRAL-TRIO_domain)</t>
  </si>
  <si>
    <t>6326.BUX.s00579.414</t>
  </si>
  <si>
    <t>3.8e-126</t>
  </si>
  <si>
    <t>1KYVI@119089,3AFDF@33154,3BYTQ@33208,3DDCS@33213,40FQY@6231,KOG1471@1,KOG1471@2759</t>
  </si>
  <si>
    <t>52,1839/46,6667</t>
  </si>
  <si>
    <t>28,046/25,5172</t>
  </si>
  <si>
    <t>34,7126/34,9425/40</t>
  </si>
  <si>
    <t>17,4713/16,092/10,3448/16,7816/9,65517/15,4023/17,2414</t>
  </si>
  <si>
    <t>16,7816/16,092/10,5747/16,3218/14,7126/17,2414</t>
  </si>
  <si>
    <t>12,1839/2,29885/7,58621/8,96552/10,1149/12,8736</t>
  </si>
  <si>
    <t>WBGene00023500</t>
  </si>
  <si>
    <t>47.3563</t>
  </si>
  <si>
    <t>Bm13652</t>
  </si>
  <si>
    <t>WBGene00233913</t>
  </si>
  <si>
    <t>GO:0000790/GO:0003677/GO:0005515/GO:0005524/GO:0005634/GO:0005694/GO:0007059/GO:0008278/GO:0009411/GO:0009792/GO:0010165/GO:0051276/</t>
  </si>
  <si>
    <t>ATP_binding/DNA_binding/chromosome/chromosome_organization/chromosome_segregation/cohesin_complex/embryo_development_ending_in_birth_or_egg_hatching/nuclear_chromatin/nucleus/protein_binding/response_to_UV/response_to_X-ray/</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</si>
  <si>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cess_that_is_carried_out_at_the_cellular_level_that_results_in_the_assembly,_arrangement_of_constituent_parts,_or_disassembly_of_chromosomes,_structures_composed_of_a_very_long_molecule_of_DNA_and_associated_proteins_that_carries_hereditary_information._This_term_covers_covalent_modifications_at_the_molecular_level_as_well_as_spatial_relationships_among_the_major_components_of_a_chromosome."_[GOC:ai,_GOC:dph,_GOC:jl,_GOC:mah]/"A_protein_complex_that_is_required_for_sister_chromatid_cohesion_in_eukaryotes._The_cohesin_complex_forms_a_molecular_ring_complex,_and_is_composed_of_structural_maintenance_of_chromosomes_(SMC)_and_kleisin_proteins._For_example,_in_yeast,_the_complex_is_composed_of_the_SMC_proteins_Smc1p_and_Smc3p,_and_the_kleisin_protein_Scc1p._In_vertebrates,_the_complex_is_composed_of_the_SMC1_(SMC1A_or_SMC1B)_and_SMC3_heterodimer_attached_via_their_hinge_domains_to_a_kleisin_(RAD21,_REC8_or_RAD21L)_which_links_them,_and_one_STAG_protein_(STAG1,_STAG2_or_STAG3)."_[GOC:jl,_GOC:sp,_GOC:vw,_PMID:9887095]/"A_structure_composed_of_a_very_long_molecule_of_DNA_and_associated_proteins_(e.g._histones)_that_carries_hereditary_information."_[ISBN:0198547684]/"Any_molecular_function_by_which_a_gene_product_interacts_selectively_and_non-covalently_with_DNA_(deoxyribonucleic_acid)."_[GOC:dph,_GOC:jl,_GOC:tb,_GOC:vw]/"Any_process_that_results_in_a_change_in_state_or_activity_of_a_cell_or_an_organism_(in_terms_of_movement,_secretion,_enzyme_production,_gene_expression,_etc.)_as_a_result_of_X-ray_radiation._An_X-ray_is_a_form_of_electromagnetic_radiation_with_a_wavelength_in_the_range_of_10_nanometers_to_100_picometers_(corresponding_to_frequencies_in_the_range_30_PHz_to_3_EHz)."_[GOC:sm,_Wikipedia:X-ray]/"Any_process_that_results_in_a_change_in_state_or_activity_of_a_cell_or_an_organism_(in_terms_of_movement,_secretion,_enzyme_production,_gene_expression,_etc.)_as_a_result_of_an_ultraviolet_radiation_(UV_light)_stimulus._Ultraviolet_radiation_is_electromagnetic_radiation_with_a_wavelength_in_the_range_of_10_to_380_nanometers."_[GOC:hb]/"Interacting_selectively_and_non-covalently_with_ATP,_adenosine_5'-triphosphate,_a_universally_important_coenzyme_and_enzyme_regulator."_[ISBN:0198506732]/"Interacting_selectively_and_non-covalently_with_any_protein_or_protein_complex_(a_complex_of_two_or_more_proteins_that_may_include_other_nonprotein_molecules)."_[GOC:go_curators]/"The_ordered_and_organized_complex_of_DNA,_protein,_and_sometimes_RNA,_that_forms_the_chromosome_in_the_nucleus."_[GOC:elh,_PMID:20404130]/"The_process_in_which_genetic_material,_in_the_form_of_chromosomes,_is_organized_into_specific_structures_and_then_physically_separated_and_apportioned_to_two_or_more_sets._In_eukaryotes,_chromosome_segregation_begins_with_the_condensation_of_chromosomes,_includes_chromosome_separation,_and_ends_when_chromosomes_have_completed_movement_to_the_spindle_poles."_[GOC:jl,_GOC:mah,_GOC:mtg_cell_cycle,_GOC:vw]/"The_process_whose_specific_outcome_is_the_progression_of_an_embryo_over_time,_from_zygote_formation_until_the_end_of_the_embryonic_life_stage._The_end_of_the_embryonic_life_stage_is_organism-specific_and_may_be_somewhat_arbitrary;_for_mammals_it_is_usually_considered_to_be_birth,_for_insects_the_hatching_of_the_first_instar_larva_from_the_eggshell."_[GOC:go_curators,_GOC:isa_complete,_GOC:mtg_sensu]/</t>
  </si>
  <si>
    <t>IPR003395/IPR010935/IPR024704/IPR027417/IPR036277/</t>
  </si>
  <si>
    <t>P-loop_containing_nucleoside_triphosphate_hydrolase/RecF/RecN/SMC,_N-terminal/SMCs_flexible_hinge/SMCs_flexible_hinge_superfamily/Structural_maintenance_of_chromosomes_protein/</t>
  </si>
  <si>
    <t>P-loop_NTPase/RecF/RecN/SMC_N/SMC/SMC_hinge/SMC_hinge_sf/</t>
  </si>
  <si>
    <t>note=B._malayi_BMA-HIM-1_protein,_contains_similarity_toPfam_domains_PF06470_(SMC_proteins_Flexible_Hinge_Domain),PF02463_(RecF/RecN/SMC_N_terminal_domain)_containssimilarity_to_Interpro_domains_IPR003395_(RecF/RecN/SMC,N-terminal),_IPR027417_(P-loop_containing_nucleosidetriphosphate_hydrolase),_IPR024704_(Structural_maintenanceof_chromosomes_protein),_IPR028468_(Structural_maintenanceof_chromosomes_protein_1),_IPR010935_(SMCs_flexiblehinge)</t>
  </si>
  <si>
    <t>7209.EFO22933.1</t>
  </si>
  <si>
    <t>1981.8</t>
  </si>
  <si>
    <t>him-1</t>
  </si>
  <si>
    <t>GO:0000070,GO:0000228,GO:0000278,GO:0000280,GO:0000785,GO:0000790,GO:0000793,GO:0000819,GO:0003674,GO:0003676,GO:0003677,GO:0005488,GO:0005575,GO:0005622,GO:0005623,GO:0005634,GO:0005694,GO:0006996,GO:0007049,GO:0007059,GO:0007062,GO:0007064,GO:0007275,GO:0008150,GO:0008278,GO:0009314,GO:0009411,GO:0009416,GO:0009628,GO:0009790,GO:0009792,GO:0009987,GO:0010165,GO:0010212,GO:0016043,GO:0022402,GO:0031974,GO:0031981,GO:0032501,GO:0032502,GO:0032991,GO:0043226,GO:0043227,GO:0043228,GO:0043229,GO:0043231,GO:0043232,GO:0043233,GO:0044422,GO:0044424,GO:0044427,GO:0044428,GO:0044446,GO:0044454,GO:0044464,GO:0048285,GO:0048856,GO:0050896,GO:0051276,GO:0070013,GO:0071840,GO:0097159,GO:0098813,GO:0140014,GO:1901363,GO:1903047</t>
  </si>
  <si>
    <t>ko:K06636</t>
  </si>
  <si>
    <t>1KTJZ@119089,38CKC@33154,3B9FX@33208,3CT58@33213,40CJU@6231,COG1196@1,KOG0018@2759</t>
  </si>
  <si>
    <t>RecF/RecN/SMC N terminal domain</t>
  </si>
  <si>
    <t>18,6591/67,2052</t>
  </si>
  <si>
    <t>11,6317/15,5089/17,4475/76,252</t>
  </si>
  <si>
    <t>7,51212/45,2342/9,45073</t>
  </si>
  <si>
    <t>45,2342/17,2052/17,2052</t>
  </si>
  <si>
    <t>4,9273/3,47334</t>
  </si>
  <si>
    <t>4,2811/3,958</t>
  </si>
  <si>
    <t>WBGene00001860</t>
  </si>
  <si>
    <t>49.1115</t>
  </si>
  <si>
    <t>Bm8740</t>
  </si>
  <si>
    <t>WBGene00229001</t>
  </si>
  <si>
    <t>Bm8142</t>
  </si>
  <si>
    <t>WBGene00228403</t>
  </si>
  <si>
    <t>GO:0005515/GO:0005623/GO:0006913/GO:0017056/</t>
  </si>
  <si>
    <t>cell/nucleocytoplasmic_transport/protein_binding/structural_constituent_of_nuclear_pore/</t>
  </si>
  <si>
    <t>Interacting_selectively_and_non-covalently_with_any_protein_or_protein_complex_(a_complex_of_two_or_more_proteins_that_may_include_other_nonprotein_molecules)._[GOC:go_curators]/"The_action_of_a_molecule_that_contributes_to_the_structural_integrity_of_the_nuclear_pore_complex,_a_protein-lined_channel_in_the_nuclear_envelope_that_allows_the_transfer_of_macromolecules."_[GOC:mah,_PMID:25802992]/"The_basic_structural_and_functional_unit_of_all_organisms._Includes_the_plasma_membrane_and_any_external_encapsulating_structures_such_as_the_cell_wall_and_cell_envelope."_[GOC:go_curators]/"The_directed_movement_of_molecules_between_the_nucleus_and_the_cytoplasm."_[GOC:go_curators]/</t>
  </si>
  <si>
    <t>IPR007187/IPR015943/IPR037624/</t>
  </si>
  <si>
    <t>Nuclear_pore_complex_protein_Nup133-like/Nucleoporin,_Nup133/Nup155-like,_C-terminal/WD40/YVTN_repeat-like-containing_domain_superfamily/</t>
  </si>
  <si>
    <t>Nucleoporin_Nup133/Nup155_C/Nup133-like/WD40/YVTN_repeat-like_dom_sf/</t>
  </si>
  <si>
    <t>note=B._malayi_BMA-NPP-15_protein,_contains_similarity_to_Pfam_domain_PF03177_Non-repetitive/WGA-negative_nucleoporin_C-terminal_contains_similarity_to_Interpro_domains_IPR015943_(WD40/YVTN_repeat-like-containing_domain),_IPR007187_(Nucleoporin,_Nup133/Nup155-like,_C-terminal)</t>
  </si>
  <si>
    <t>7209.EFO26447.2</t>
  </si>
  <si>
    <t>1872.8</t>
  </si>
  <si>
    <t>GO:0000775,GO:0000776,GO:0005575,GO:0005622,GO:0005623,GO:0005634,GO:0005635,GO:0005643,GO:0005694,GO:0012505,GO:0016020,GO:0031090,GO:0031965,GO:0031967,GO:0031975,GO:0032991,GO:0043226,GO:0043227,GO:0043228,GO:0043229,GO:0043231,GO:0043232,GO:0044422,GO:0044424,GO:0044427,GO:0044428,GO:0044446,GO:0044464,GO:0098687</t>
  </si>
  <si>
    <t>ko:K14300</t>
  </si>
  <si>
    <t>1KWX9@119089,38YGR@33154,3C5VF@33208,3E3F3@33213,40EHP@6231,KOG3575@1,KOG3575@2759</t>
  </si>
  <si>
    <t>steroid hormone mediated signaling pathway</t>
  </si>
  <si>
    <t>19,4545/20,8182</t>
  </si>
  <si>
    <t>14/7/17,1818</t>
  </si>
  <si>
    <t>WBGene00003801</t>
  </si>
  <si>
    <t>17.8182</t>
  </si>
  <si>
    <t>Bm3460</t>
  </si>
  <si>
    <t>WBGene00223721</t>
  </si>
  <si>
    <t>GO:0000166/GO:0003774/GO:0003777/GO:0005524/GO:0007018/GO:0008017/GO:0016020/GO:0016021/</t>
  </si>
  <si>
    <t>ATP_binding/integral_component_of_membrane/membrane/microtubule-based_movement/microtubule_binding/microtubule_motor_activity/motor_activity/nucleotide_binding/</t>
  </si>
  <si>
    <t>A_lipid_bilayer_along_with_all_the_proteins_and_protein_complexes_embedded_in_it_an_attached_to_it._[GOC:dos,_GOC:mah,_ISBN:0815316194]/"A_microtubule-based_process_that_results_in_the_movement_of_organelles,_other_microtubules,_or_other_cellular_components.__Examples_include_motor-driven_movement_along_microtubules_and_movement_driven_by_polymerization_or_depolymerization_of_microtubules."_[GOC:cjm,_ISBN:0815316194]/"Catalysis_of_movement_along_a_microtubule,_coupled_to_the_hydrolysis_of_a_nucleoside_triphosphate_(usually_ATP)."_[GOC:mah,_ISBN:0815316194]/"Catalysis_of_the_generation_of_force_resulting_either_in_movement_along_a_microfilament_or_microtubule,_or_in_torque_resulting_in_membrane_scission,_coupled_to_the_hydrolysis_of_a_nucleoside_triphosphate."_[GOC:mah,_GOC:vw,_ISBN:0815316194,_PMID:11242086]/"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microtubules,_filaments_composed_of_tubulin_monomers."_[GOC:krc]/"The_component_of_a_membrane_consisting_of_the_gene_products_and_protein_complexes_having_at_least_some_part_of_their_peptide_sequence_embedded_in_the_hydrophobic_region_of_the_membrane."_[GOC:dos,_GOC:go_curators]/</t>
  </si>
  <si>
    <t>note=B._malayi_BMA-KLP-11_protein,_contains_similarity_to_Pfam_domain_PF00225_Kinesin_motor_domain_contains_similarity_to_Interpro_domains_IPR027417_(P-loop_containing_nucleoside_triphosphate_hydrolase),_IPR001752_(Kinesin_motor_domain),_IPR027640_(Kinesin-like_protein)</t>
  </si>
  <si>
    <t>7209.EFO22766.2</t>
  </si>
  <si>
    <t>1205.7</t>
  </si>
  <si>
    <t>ko:K20196</t>
  </si>
  <si>
    <t>1KYGI@119089,39M8E@33154,3BA0S@33208,3CRJG@33213,40FNZ@6231,COG5059@1,KOG4280@2759</t>
  </si>
  <si>
    <t>microtubule motor activity</t>
  </si>
  <si>
    <t>11,3787/21,2625</t>
  </si>
  <si>
    <t>20,7641/12,7076</t>
  </si>
  <si>
    <t>17,608/27,907</t>
  </si>
  <si>
    <t>33,3887/30,3987</t>
  </si>
  <si>
    <t>33,0565/30,1495</t>
  </si>
  <si>
    <t>28,9867/27,4917/33,2226</t>
  </si>
  <si>
    <t>WBGene00002222</t>
  </si>
  <si>
    <t>32.309</t>
  </si>
  <si>
    <t>Bm7134</t>
  </si>
  <si>
    <t>WBGene00227395</t>
  </si>
  <si>
    <t>GO:0003677/GO:0008270/</t>
  </si>
  <si>
    <t>DNA_binding/zinc_ion_binding/</t>
  </si>
  <si>
    <t>Any_molecular_function_by_which_a_gene_product_interacts_selectively_and_non-covalently_with_DNA_(deoxyribonucleic_acid)._[GOC:dph,_GOC:jl,_GOC:tb,_GOC:vw]/"Interacting_selectively_and_non-covalently_with_zinc_(Zn)_ions."_[GOC:ai]/</t>
  </si>
  <si>
    <t>IPR002857/</t>
  </si>
  <si>
    <t>Zinc_finger,_CXXC-type/</t>
  </si>
  <si>
    <t>Znf_CXXC/</t>
  </si>
  <si>
    <t>note=contains_similarity_to_Pfam_domain_PF02008_CXXC_zinc_finger_domain_contains_similarity_to_Interpro_domain_IPR002857_(Zinc_finger,_CXXC-type)</t>
  </si>
  <si>
    <t>7209.EFO27594.1</t>
  </si>
  <si>
    <t>6.4e-168</t>
  </si>
  <si>
    <t>597.0</t>
  </si>
  <si>
    <t>1KXXC@119089,3A4YK@33154,3BRQ1@33208,3D8EP@33213,40DTZ@6231,COG2940@1,KOG1084@2759</t>
  </si>
  <si>
    <t>WBGene00013543</t>
  </si>
  <si>
    <t>38.4804</t>
  </si>
  <si>
    <t>Bm11121</t>
  </si>
  <si>
    <t>WBGene00231382</t>
  </si>
  <si>
    <t>GO:0005515/GO:0005886/GO:0007213/GO:0043113/GO:0043236/</t>
  </si>
  <si>
    <t>G_protein-coupled_acetylcholine_receptor_signaling_pathway/laminin_binding/plasma_membrane/protein_binding/receptor_clustering/</t>
  </si>
  <si>
    <t>Any_series_of_molecular_signals_initiated_by_an_acetylcholine_receptor_on_the_surface_of_the_target_cell_binding_to_one_of_its_physiological_ligands,_and_proceeding_with_the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and_ends_with_regulation_of_a_downstream_cellular_process,_e.g._transcription._[GOC:mah,_ISBN:0815316194]/"Interacting_selectively_and_non-covalently_with_any_protein_or_protein_complex_(a_complex_of_two_or_more_proteins_that_may_include_other_nonprotein_molecules)."_[GOC:go_curators]/"Interacting_selectively_and_non-covalently_with_laminins,_glycoproteins_that_are_major_constituents_of_the_basement_membrane_of_cells."_[GOC:ecd]/"The_membrane_surrounding_a_cell_that_separates_the_cell_from_its_external_environment._It_consists_of_a_phospholipid_bilayer_and_associated_proteins."_[ISBN:0716731363]/"The_receptor_metabolic_process_that_results_in_grouping_of_a_set_of_receptors_at_a_cellular_location,_often_to_amplify_the_sensitivity_of_a_signaling_response."_[GOC:bf,_GOC:jl,_GOC:pr,_PMID:19747931,_PMID:21453460]/</t>
  </si>
  <si>
    <t>IPR000742/IPR001791/IPR002049/IPR002350/IPR003645/IPR004850/IPR008993/IPR013032/IPR013320/IPR036058/</t>
  </si>
  <si>
    <t>Concanavalin_A-like_lectin/glucanase_domain_superfamily/EGF-like,_conserved_site/EGF-like_domain/Follistatin-like,_N-terminal/Kazal_domain/Kazal_domain_superfamily/Laminin_EGF_domain/Laminin_G_domain/NtA_(N-terminal_agrin)_domain/Tissue_inhibitor_of_metalloproteinases-like,_OB-fold/</t>
  </si>
  <si>
    <t>ConA-like_dom_sf/EGF-like_CS/EGF-like_dom/Fol_N/Kazal_dom/Kazal_dom_sf/Laminin_EGF/Laminin_G/NtA_dom/TIMP-like_OB-fold/</t>
  </si>
  <si>
    <t>6238.CBG11147</t>
  </si>
  <si>
    <t>4e-258</t>
  </si>
  <si>
    <t>898.7</t>
  </si>
  <si>
    <t>agr-1</t>
  </si>
  <si>
    <t>GO:0002162,GO:0003674,GO:0005488,GO:0005515,GO:0005575,GO:0005576,GO:0005604,GO:0005605,GO:0031012,GO:0044420,GO:0044421,GO:0062023</t>
  </si>
  <si>
    <t>ko:K06254</t>
  </si>
  <si>
    <t>ko04512,map04512</t>
  </si>
  <si>
    <t>ko00000,ko00001,ko00535,ko04516</t>
  </si>
  <si>
    <t>1KY1X@119089,3A9IW@33154,3BVEC@33208,3DBG7@33213,40C6G@6231,40UKG@6236,KOG3649@1,KOG3649@2759</t>
  </si>
  <si>
    <t>Kazal type serine protease inhibitors</t>
  </si>
  <si>
    <t>1,01976/3,12301/3,82409/7,39324/3,76036</t>
  </si>
  <si>
    <t>1,33843/3,18674/3,50542/7,32951/3,69662</t>
  </si>
  <si>
    <t>2,9318/3,95156/3,63289</t>
  </si>
  <si>
    <t>Bm9872</t>
  </si>
  <si>
    <t>WBGene00230133</t>
  </si>
  <si>
    <t>21,8593/49,4975</t>
  </si>
  <si>
    <t>Bm4457</t>
  </si>
  <si>
    <t>WBGene00224718</t>
  </si>
  <si>
    <t>7209.EFO27066.1</t>
  </si>
  <si>
    <t>347.4</t>
  </si>
  <si>
    <t>65,1042/98,4375</t>
  </si>
  <si>
    <t>21,875/34,8958</t>
  </si>
  <si>
    <t>39,0625/25,5208</t>
  </si>
  <si>
    <t>37,5/40,625</t>
  </si>
  <si>
    <t>19,2708/19,2708/19,2708/17,1875</t>
  </si>
  <si>
    <t>19,2708/19,7917/19,7917/19,2708</t>
  </si>
  <si>
    <t>19,7917/20,3125/19,2708/28,6458/18,2292</t>
  </si>
  <si>
    <t>WBGene00018930/WBGene00011401</t>
  </si>
  <si>
    <t>37.5/40.625</t>
  </si>
  <si>
    <t>Bm3382</t>
  </si>
  <si>
    <t>WBGene00223643</t>
  </si>
  <si>
    <t>GO:0001588/GO:0004930/GO:0007165/GO:0007186/GO:0007191/GO:0007212/GO:0007638/GO:0016020/GO:0016021/GO:0032094/GO:0040012/GO:0046959/GO:0051379/GO:0051380/</t>
  </si>
  <si>
    <t>G_protein-coupled_receptor_activity/G_protein-coupled_receptor_signaling_pathway/adenylate_cyclase-activating_dopamine_receptor_signaling_pathway/dopamine_neurotransmitter_receptor_activity,_coupled_via_Gs/dopamine_receptor_signaling_pathway/epinephrine_binding/habituation/integral_component_of_membrane/mechanosensory_behavior/membrane/norepinephrine_binding/regulation_of_locomotion/response_to_food/signal_transduction/</t>
  </si>
  <si>
    <t>A_decrease_in_a_behavioral_response_to_a_repeated_stimulus._This_is_exemplified_by_the_failure_of_a_person_to_show_a_startle_response_to_a_loud_noise_that_has_been_repeatedly_presented._[ISBN:0582227089]/"A_lipid_bilayer_along_with_all_the_proteins_and_protein_complexes_embedded_in_it_an_attached_to_it."_[GOC:dos,_GOC:mah,_ISBN:0815316194]/"A_series_of_molecular_signals_that_proceeds_with_an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or_for_basal_GPCR_signaling_the_pathway_begins_with_the_receptor_activating_its_G_protein_in_the_absence_of_an_agonist,_and_ends_with_regulation_of_a_downstream_cellular_process,_e.g._transcription.__The_pathway_can_start_from_the_plasma_membrane,_Golgi_or_nuclear_membrane_(PMID:24568158_and_PMID:16902576)."_[GOC:bf,_GOC:mah,_PMID:16902576,_PMID:24568158,_Wikipedia:G_protein-coupled_receptor]/"Any_process_that_modulates_the_frequency,_rate_or_extent_of_locomotion_of_a_cell_or_organism."_[GOC:ems]/"Any_process_that_results_in_a_change_in_state_or_activity_of_a_cell_or_an_organism_(in_terms_of_movement,_secretion,_enzyme_production,_gene_expression,_etc.)_as_a_result_of_a_food_stimulus;_food_is_anything_which,_when_taken_into_the_body,_serves_to_nourish_or_build_up_the_tissues_or_to_supply_body_heat."_[GOC:add,_ISBN:0721601464]/"Behavior_that_is_dependent_upon_the_sensation_of_a_mechanical_stimulus."_[GOC:go_curators]/"Combining_with_an_extracellular_signal_and_transmitting_the_signal_across_the_membrane_by_activating_an_associated_G-protein;_promotes_the_exchange_of_GDP_for_GTP_on_the_alpha_subunit_of_a_heterotrimeric_G-protein_complex."_[GOC:bf,_http://www.iuphar-db.org,_Wikipedia:GPCR]/"Combining_with_the_neurotransmitter_dopamine_and_activating_adenylate_cyclase_via_coupling_to_Gs_to_initiate_a_change_in_cell_activity."_[GOC:mah,_ISBN:0953351033,_IUPHAR_RECEPTOR:2252,_IUPHAR_RECEPTOR:2260]/"Interacting_selectively_and_non-covalently_with_epinephrine,_a_hormone_produced_by_the_medulla_of_the_adrenal_glands_that_increases_heart_activity,_improves_the_power_and_prolongs_the_action_of_muscles,_and_increases_the_rate_and_depth_of_breathing._It_is_synthesized_by_the_methylation_of_norepinephrine."_[GOC:ai]/"Interacting_selectively_and_non-covalently_with_norepinephrine,_(3,4-dihydroxyphenyl-2-aminoethanol),_a_hormone_secreted_by_the_adrenal_medulla_and_a_neurotransmitter_in_the_sympathetic_peripheral_nervous_system_and_in_some_tracts_of_the_CNS._It_is_also_the_biosynthetic_precursor_of_epinephrine."_[GOC:ai]/"The_cellular_process_in_which_a_signal_is_conveyed_to_trigger_a_change_in_the_activity_or_state_of_a_cell._Signal_transduction_begins_with_reception_of_a_signal_(e.g._a_ligand_binding_to_a_receptor_or_receptor_activation_by_a_stimulus_such_as_light),_or_for_signal_transduction_in_the_absence_of_ligand,_signal-withdrawal_or_the_activity_of_a_constitutively_active_receptor._Signal_transduction_ends_with_regulation_of_a_downstream_cellular_process,_e.g._regulation_of_transcription_or_regulation_of_a_metabolic_process._Signal_transduction_covers_signaling_from_receptors_located_on_the_surface_of_the_cell_and_signaling_via_molecules_located_within_the_cell._For_signaling_between_cells,_signal_transduction_is_restricted_to_events_at_and_within_the_receiving_cell."_[GOC:go_curators,_GOC:mtg_signaling_feb11]/"The_component_of_a_membrane_consisting_of_the_gene_products_and_protein_complexes_having_at_least_some_part_of_their_peptide_sequence_embedded_in_the_hydrophobic_region_of_the_membrane."_[GOC:dos,_GOC:go_curators]/"The_series_of_molecular_signals_generated_as_a_consequence_of_a_dopamine_receptor_binding_to_its_physiological_ligand,_where_the_pathway_proceeds_with_activation_of_adenylyl_cyclase_and_a_subsequent_increase_in_the_concentration_of_cyclic_AMP_(cAMP)."_[GOC:mah,_GOC:signaling]/"The_series_of_molecular_signals_generated_as_a_consequence_of_a_dopamine_receptor_binding_to_one_of_its_physiological_ligands."_[GOC:mah]/</t>
  </si>
  <si>
    <t>note=B._malayi_BMA-DOP-1_protein,_contains_similarity_toPfam_domain_PF00001_7_transmembrane_receptor_(rhodopsinfamily)_contains_similarity_to_Interpro_domain_IPR000276(G_protein-coupled_receptor,_rhodopsin-like)</t>
  </si>
  <si>
    <t>7209.EFO21898.2</t>
  </si>
  <si>
    <t>1.2e-117</t>
  </si>
  <si>
    <t>429.9</t>
  </si>
  <si>
    <t>dop-1</t>
  </si>
  <si>
    <t>GO:0001588,GO:0003008,GO:0003674,GO:0004888,GO:0004930,GO:0004952,GO:0005488,GO:0007154,GO:0007165,GO:0007186,GO:0007187,GO:0007188,GO:0007189,GO:0007191,GO:0007212,GO:0007610,GO:0007611,GO:0007612,GO:0007638,GO:0008150,GO:0009605,GO:0009612,GO:0009628,GO:0009987,GO:0009991,GO:0019932,GO:0019933,GO:0019935,GO:0023052,GO:0030594,GO:0031667,GO:0032094,GO:0032501,GO:0035556,GO:0038023,GO:0040012,GO:0042221,GO:0046958,GO:0046959,GO:0050789,GO:0050794,GO:0050877,GO:0050890,GO:0050896,GO:0051379,GO:0051380,GO:0051716,GO:0060089,GO:0065007,GO:0097159,GO:1901338</t>
  </si>
  <si>
    <t>ko:K04148</t>
  </si>
  <si>
    <t>ko04080,map04080</t>
  </si>
  <si>
    <t>1KVIF@119089,38G6G@33154,3B9BF@33208,3CU6D@33213,40CZ0@6231,KOG3656@1,KOG3656@2759</t>
  </si>
  <si>
    <t>20,8791/44,5055</t>
  </si>
  <si>
    <t>10,7143/23,0769</t>
  </si>
  <si>
    <t>WBGene00001052</t>
  </si>
  <si>
    <t>49.7253</t>
  </si>
  <si>
    <t>Bm16946</t>
  </si>
  <si>
    <t>WBGene00255601</t>
  </si>
  <si>
    <t>GO:0000077/GO:0000166/GO:0000278/GO:0000712/GO:0003676/GO:0003824/GO:0005524/GO:0005622/GO:0006260/GO:0006281/GO:0006310/GO:0007059/GO:0007131/GO:0008026/GO:0008094/GO:0008340/GO:0010165/GO:0010705/GO:0019899/GO:0032508/GO:0043066/GO:0043138/GO:0043140/GO:0044237/GO:0051276/GO:0051307/GO:0051321/GO:0071139/</t>
  </si>
  <si>
    <t>3'-5'_DNA_helicase_activity/ATP-dependent_3'-5'_DNA_helicase_activity/ATP-dependent_helicase_activity/ATP_binding/DNA-dependent_ATPase_activity/DNA_damage_checkpoint/DNA_duplex_unwinding/DNA_recombination/DNA_repair/DNA_replication/catalytic_activity/cellular_metabolic_process/chromosome_organization/chromosome_segregation/determination_of_adult_lifespan/enzyme_binding/intracellular/meiotic_DNA_double-strand_break_processing_involved_in_reciprocal_meiotic_recombination/meiotic_cell_cycle/meiotic_chromosome_separation/mitotic_cell_cycle/negative_regulation_of_apoptotic_process/nucleic_acid_binding/nucleotide_binding/reciprocal_meiotic_recombination/resolution_of_meiotic_recombination_intermediates/resolution_of_recombination_intermediates/response_to_X-ray/</t>
  </si>
  <si>
    <t>A_cell_cycle_checkpoint_that_regulates_progression_through_the_cell_cycle_in_response_to_DNA_damage._A_DNA_damage_checkpoint_may_blocks_cell_cycle_progression_(in_G1,_G2_or_metaphase)_or_slow_the_rate_at_which_S_phase_proceeds._[GOC:mtg_cell_cycle]/"A_process_that_is_carried_out_at_the_cellular_level_that_results_in_the_assembly,_arrangement_of_constituent_parts,_or_disassembly_of_chromosomes,_structures_composed_of_a_very_long_molecule_of_DNA_and_associated_proteins_that_carries_hereditary_information._This_term_covers_covalent_modifications_at_the_molecular_level_as_well_as_spatial_relationships_among_the_major_components_of_a_chromosome."_[GOC:ai,_GOC:dph,_GOC:jl,_GOC:mah]/"Any_process_in_which_a_new_genotype_is_formed_by_reassortment_of_genes_resulting_in_gene_combinations_different_from_those_that_were_present_in_the_parents._In_eukaryotes_genetic_recombination_can_occur_by_chromosome_assortment,_intrachromosomal_recombination,_or_nonreciprocal_interchromosomal_recombination._Interchromosomal_recombination_occurs_by_crossing_over._In_bacteria_it_may_occur_by_genetic_transformation,_conjugation,_transduction,_or_F-duction."_[ISBN:0198506732]/"Any_process_that_results_in_a_change_in_state_or_activity_of_a_cell_or_an_organism_(in_terms_of_movement,_secretion,_enzyme_production,_gene_expression,_etc.)_as_a_result_of_X-ray_radiation._An_X-ray_is_a_form_of_electromagnetic_radiation_with_a_wavelength_in_the_range_of_10_nanometers_to_100_picometers_(corresponding_to_frequencies_in_the_range_30_PHz_to_3_EHz)."_[GOC:sm,_Wikipedia:X-ray]/"Any_process_that_stops,_prevents,_or_reduces_the_frequency,_rate_or_extent_of_cell_death_by_apoptotic_process."_[GOC:jl,_GOC:mtg_apoptosis]/"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Catalysis_of_the_reaction:_ATP_+_H2O_=_ADP_+_phosphate,_to_drive_the_unwinding_of_a_DNA_or_RNA_helix."_[EC:3.6.1.3,_GOC:jl]/"Catalysis_of_the_reaction:_ATP_+_H2O_=_ADP_+_phosphate;_drives_the_unwinding_of_the_DNA_helix_in_the_direction_3'_to_5'."_[GOC:jl]/"Catalysis_of_the_reaction:_ATP_+_H2O_=_ADP_+_phosphate;_this_reaction_requires_the_presence_of_single-_or_double-stranded_DNA,_and_it_drives_another_reaction."_[EC:3.6.1.3,_GOC:jl]/"Catalysis_of_the_unwinding_of_the_DNA_helix_in_the_direction_3'_to_5'."_[GOC:jl]/"Interacting_selectively_and_non-covalently_with_ATP,_adenosine_5'-triphosphate,_a_universally_important_coenzyme_and_enzyme_regulator."_[ISBN:0198506732]/"Interacting_selectively_and_non-covalently_with_a_nucleotide,_any_compound_consisting_of_a_nucleoside_that_is_esterified_with_(ortho)phosphate_or_an_oligophosphate_at_any_hydroxyl_group_on_the_ribose_or_deoxyribose."_[GOC:mah,_ISBN:0198547684]/"Interacting_selectively_and_non-covalently_with_any_enzyme."_[GOC:jl]/"Interacting_selectively_and_non-covalently_with_any_nucleic_acid."_[GOC:jl]/"Progression_through_the_phases_of_the_meiotic_cell_cycle,_in_which_canonically_a_cell_replicates_to_produce_four_offspring_with_half_the_chromosomal_content_of_the_progenitor_cell_via_two_nuclear_divisions."_[GOC:ai]/"Progression_through_the_phases_of_the_mitotic_cell_cycle,_the_most_common_eukaryotic_cell_cycle,_which_canonically_comprises_four_successive_phases_called_G1,_S,_G2,_and_M_and_includes_replication_of_the_genome_and_the_subsequent_segregation_of_chromosomes_into_daughter_cells._In_some_variant_cell_cycles_nuclear_replication_or_nuclear_division_may_not_be_followed_by_cell_division,_or_G1_and_G2_phases_may_be_absent."_[GOC:mah,_ISBN:0815316194,_Reactome:69278]/"The_cell_cycle_process_in_which_double_strand_breaks_are_formed_and_repaired_through_a_double_Holliday_junction_intermediate._This_results_in_the_equal_exchange_of_genetic_material_between_non-sister_chromatids_in_a_pair_of_homologous_chromosomes._These_reciprocal_recombinant_products_ensure_the_proper_segregation_of_homologous_chromosomes_during_meiosis_I_and_create_genetic_diversity."_[PMID:2087779]/"The_cell_cycle_process_in_which_the_5'_to_3'_exonucleolytic_resection_of_the_DNA_at_the_site_of_the_break_to_form_a_3'_single-strand_DNA_overhang_occurs_resulting_in_double_strand_break_formation_and_repair_through_a_double_Holliday_junction_intermediate."_[GOC:dph,_GOC:tb]/"The_cellular_metabolic_process_in_which_a_cell_duplicates_one_or_more_molecules_of_DNA._DNA_replication_begins_when_specific_sequences,_known_as_origins_of_replication,_are_recognized_and_bound_by_initiation_proteins,_and_ends_when_the_original_DNA_molecule_has_been_completely_duplicated_and_the_copies_topologically_separated._The_unit_of_replication_usually_corresponds_to_the_genome_of_the_cell,_an_organelle,_or_a_virus._The_template_for_replication_can_either_be_an_existing_DNA_molecule_or_RNA."_[GOC:mah]/"The_chemical_reactions_and_pathways_by_which_individual_cells_transform_chemical_substances."_[GOC:go_curators]/"The_cleavage_and_rejoining_of_intermediates,_such_as_Holliday_junctions,_formed_during_DNA_recombination_to_produce_two_intact_molecules_in_which_genetic_material_has_been_exchanged."_[GOC:elh,_GOC:mah,_GOC:vw]/"The_cleavage_and_rejoining_of_intermediates,_such_as_Holliday_junctions,_formed_during_meiotic_recombination_to_produce_two_intact_molecules_in_which_genetic_material_has_been_exchanged."_[GOC:elh,_PMID:11733053]/"The_control_of_viability_and_duration_in_the_adult_phase_of_the_life-cycle."_[GOC:ems]/"The_living_contents_of_a_cell;_the_matter_contained_within_(but_not_including)_the_plasma_membrane,_usually_taken_to_exclude_large_vacuoles_and_masses_of_secretory_or_ingested_material._In_eukaryotes_it_includes_the_nucleus_and_cytoplasm."_[ISBN:0198506732]/"The_process_in_which_chromosomes_are_physically_detached_from_each_other_during_meiosis."_[GOC:ai]/"The_process_in_which_genetic_material,_in_the_form_of_chromosomes,_is_organized_into_specific_structures_and_then_physically_separated_and_apportioned_to_two_or_more_sets._In_eukaryotes,_chromosome_segregation_begins_with_the_condensation_of_chromosomes,_includes_chromosome_separation,_and_ends_when_chromosomes_have_completed_movement_to_the_spindle_poles."_[GOC:jl,_GOC:mah,_GOC:mtg_cell_cycle,_GOC:vw]/"The_process_in_which_interchain_hydrogen_bonds_between_two_strands_of_DNA_are_broken_or_'melted',_generating_a_region_of_unpaired_single_strands."_[GOC:isa_complete,_GOC:mah]/"The_process_of_restoring_DNA_after_damage._Genomes_are_subject_to_damage_by_chemical_and_physical_agents_in_the_environment_(e.g._UV_and_ionizing_radiations,_chemical_mutagens,_fungal_and_bacterial_toxins,_etc.)_and_by_free_radicals_or_alkylating_agents_endogenously_generated_in_metabolism._DNA_is_also_damaged_because_of_errors_during_its_replication._A_variety_of_different_DNA_repair_pathways_have_been_reported_that_include_direct_reversal,_base_excision_repair,_nucleotide_excision_repair,_photoreactivation,_bypass,_double-strand_break_repair_pathway,_and_mismatch_repair_pathway."_[PMID:11563486]/</t>
  </si>
  <si>
    <t>IPR001650/IPR002121/IPR004589/IPR010997/IPR011545/IPR014001/IPR018982/IPR027417/IPR032284/IPR036388/IPR036390/</t>
  </si>
  <si>
    <t>ATP-dependent_DNA_helicase_RecQ,_zinc-binding_domain/DEAD/DEAH_box_helicase_domain/DNA_helicase,_ATP-dependent,_RecQ_type/HRDC-like_superfamily/HRDC_domain/Helicase,_C-terminal/Helicase_superfamily_1/2,_ATP-binding_domain/P-loop_containing_nucleoside_triphosphate_hydrolase/RQC_domain/Winged_helix-like_DNA-binding_domain_superfamily/Winged_helix_DNA-binding_domain_superfamily/</t>
  </si>
  <si>
    <t>DEAD/DEAH_box_helicase_dom/DNA_helicase_ATP-dep_RecQ/HRDC-like_sf/HRDC_dom/Helicase_ATP-bd/Helicase_C/P-loop_NTPase/RQC_domain/RecQ_Zn-bd/WH-like_DNA-bd_sf/WH_DNA-bd_sf/</t>
  </si>
  <si>
    <t>note=contains_similarity_to_Pfam_domains_PF00270_(DEAD/DEAH_box_helicase),_PF00271_(Helicase_conserved_C-terminal_domain),_PF09382_(RQC_domain),_PF00570_(HRDC_domain)_contains_similarity_to_Interpro_domains_IPR011545_(DEAD/DEAH_box_helicase_domain),_IPR004589_(DNA_helicase,_ATP-dependent,_RecQ_type),_IPR010997_(HRDC-like),_IPR011991_(Winged_helix-turn-helix_DNA-binding_domain),_IPR027417_(P-loop_containing_nucleoside_triphosphate_hydrolase),_IPR018982_(RQC_domain),_IPR014001_(Helicase_superfamily_1/2,_ATP-binding_domain),_IPR001650_(Helicase,_C-terminal),_IPR002121_(HRDC_domain)</t>
  </si>
  <si>
    <t>7209.EJD76373.1</t>
  </si>
  <si>
    <t>1698.7</t>
  </si>
  <si>
    <t>him-6</t>
  </si>
  <si>
    <t>GO:0000003,GO:0000075,GO:0000077,GO:0000278,GO:0000280,GO:0000706,GO:0000712,GO:0000729,GO:0003674,GO:0003678,GO:0003824,GO:0004386,GO:0005488,GO:0005515,GO:0006139,GO:0006259,GO:0006281,GO:0006302,GO:0006310,GO:0006725,GO:0006807,GO:0006950,GO:0006974,GO:0006996,GO:0007049,GO:0007059,GO:0007127,GO:0007131,GO:0007275,GO:0007568,GO:0008094,GO:0008150,GO:0008152,GO:0008340,GO:0009314,GO:0009628,GO:0009987,GO:0010165,GO:0010212,GO:0010259,GO:0010705,GO:0010941,GO:0016043,GO:0016462,GO:0016787,GO:0016817,GO:0016818,GO:0016887,GO:0017111,GO:0019899,GO:0022402,GO:0022414,GO:0031570,GO:0032392,GO:0032501,GO:0032502,GO:0032508,GO:0033554,GO:0034641,GO:0035825,GO:0042623,GO:0042981,GO:0043066,GO:0043067,GO:0043069,GO:0043138,GO:0043170,GO:0044237,GO:0044238,GO:0044260,GO:0045132,GO:0045786,GO:0046483,GO:0048285,GO:0048519,GO:0048523,GO:0048856,GO:0050789,GO:0050794,GO:0050896,GO:0051276,GO:0051304,GO:0051307,GO:0051321,GO:0051716,GO:0051726,GO:0060548,GO:0061982,GO:0065007,GO:0071103,GO:0071139,GO:0071704,GO:0071840,GO:0090304,GO:0098813,GO:0140013,GO:0140097,GO:1901360,GO:1903046</t>
  </si>
  <si>
    <t>ko:K10901</t>
  </si>
  <si>
    <t>ko03440,ko03460,map03440,map03460</t>
  </si>
  <si>
    <t>M00295,M00414</t>
  </si>
  <si>
    <t>1KUVU@119089,38DX0@33154,3BCRK@33208,3CU2E@33213,40BV6@6231,COG0514@1,KOG0351@2759</t>
  </si>
  <si>
    <t>RecQ zinc-binding</t>
  </si>
  <si>
    <t>34,1556/22,4858/27,9886/34,2505</t>
  </si>
  <si>
    <t>9,96205/10,4364</t>
  </si>
  <si>
    <t>15,1803/15,4649</t>
  </si>
  <si>
    <t>12,1442/12,9032/11,1006/12,2391/15,8444/3,98482</t>
  </si>
  <si>
    <t>45,1613/21,2524</t>
  </si>
  <si>
    <t>WBGene00001865</t>
  </si>
  <si>
    <t>46.3947</t>
  </si>
  <si>
    <t>Bm6246</t>
  </si>
  <si>
    <t>WBGene00226507</t>
  </si>
  <si>
    <t>note=B._malayi_BMA-ELT-1_protein,_contains_similarity_toPfam_domain_PF00320_GATA_zinc_finger_contains_similarityto_Interpro_domains_IPR000679_(Zinc_finger,_GATA-type),IPR013088_(Zinc_finger,_NHR/GATA-type)</t>
  </si>
  <si>
    <t>7209.EJD75720.1</t>
  </si>
  <si>
    <t>1.2e-214</t>
  </si>
  <si>
    <t>GO:0000003,GO:0000122,GO:0000976,GO:0000977,GO:0000981,GO:0001012,GO:0001067,GO:0001161,GO:0001162,GO:0001708,GO:0003674,GO:0003676,GO:0003677,GO:0003690,GO:0003700,GO:0005488,GO:0005575,GO:0005622,GO:0005623,GO:0005634,GO:0006355,GO:0006357,GO:0007276,GO:0007283,GO:0008150,GO:0008544,GO:0009888,GO:0009889,GO:0009890,GO:0009891,GO:0009892,GO:0009893,GO:0009913,GO:0009957,GO:0009987,GO:0010468,GO:0010556,GO:0010557,GO:0010558,GO:0010604,GO:0010605,GO:0010628,GO:0010629,GO:0019219,GO:0019222,GO:0019827,GO:0019953,GO:0022414,GO:0030154,GO:0030855,GO:0031323,GO:0031324,GO:0031325,GO:0031326,GO:0031327,GO:0031328,GO:0032501,GO:0032502,GO:0032504,GO:0043226,GO:0043227,GO:0043229,GO:0043231,GO:0043565,GO:0044212,GO:0044213,GO:0044424,GO:0044464,GO:0044703,GO:0045165,GO:0045892,GO:0045893,GO:0045934,GO:0045935,GO:0045944,GO:0048232,GO:0048518,GO:0048519,GO:0048522,GO:0048523,GO:0048609,GO:0048856,GO:0048869,GO:0050789,GO:0050794,GO:0051171,GO:0051172,GO:0051173,GO:0051252,GO:0051253,GO:0051254,GO:0051704,GO:0060255,GO:0060429,GO:0065007,GO:0080090,GO:0097159,GO:0098727,GO:0140110,GO:1901363,GO:1902679,GO:1902680,GO:1903506,GO:1903507,GO:1903508,GO:1990837,GO:2000112,GO:2000113,GO:2001141</t>
  </si>
  <si>
    <t>ko:K17894</t>
  </si>
  <si>
    <t>1KW3Y@119089,38D41@33154,3BC4M@33208,3CX72@33213,40D2Y@6231,COG5641@1,KOG1601@2759</t>
  </si>
  <si>
    <t>65,5696/30,6329</t>
  </si>
  <si>
    <t>30,3797/56,4557</t>
  </si>
  <si>
    <t>26,0759/25,8228</t>
  </si>
  <si>
    <t>30,6329/27,0886</t>
  </si>
  <si>
    <t>20,7595/28,3544</t>
  </si>
  <si>
    <t>20,2532/29,1139</t>
  </si>
  <si>
    <t>13,6709/9,36709</t>
  </si>
  <si>
    <t>WBGene00001186</t>
  </si>
  <si>
    <t>13.6709</t>
  </si>
  <si>
    <t>Bm9762</t>
  </si>
  <si>
    <t>WBGene00230023</t>
  </si>
  <si>
    <t>7209.EFO18029.1</t>
  </si>
  <si>
    <t>2.5e-59</t>
  </si>
  <si>
    <t>235.3</t>
  </si>
  <si>
    <t>59,9034/59,9034</t>
  </si>
  <si>
    <t>54,1063/54,5894/54,1063/54,1063/53,1401/54,5894</t>
  </si>
  <si>
    <t>55,0725/54,5894/54,5894/54,5894</t>
  </si>
  <si>
    <t>56,5217/56,0386/56,0386/56,5217/55,5556</t>
  </si>
  <si>
    <t>55,5556/55,5556/55,5556</t>
  </si>
  <si>
    <t>56,5217/56,5217/56,5217</t>
  </si>
  <si>
    <t>56,0386/56,0386/56,0386/64,7343/56,0386/54,5894/56,0386/64,7343/56,0386</t>
  </si>
  <si>
    <t>56,0386/56,0386/56,0386/56,0386/56,0386/56,0386/56,0386/56,0386/56,0386/56,0386/56,5217/57,0048/56,0386/56,0386/56,0386/56,0386/56,0386</t>
  </si>
  <si>
    <t>54,5894/53,6232</t>
  </si>
  <si>
    <t>38,1642/35,7488/42,5121/47,8261/47,8261/47,343/47,343/47,8261/50,2415/47,8261/53,1401/47,8261/35,7488/50,2415/47,8261/47,8261/47,8261</t>
  </si>
  <si>
    <t>51,2077/46,3768/51,2077/45,8937/45,8937/50,7246/51,6908/46,8599</t>
  </si>
  <si>
    <t>38,6473/53,1401/30,9179/42,5121/22,2222/49,2754/27,5362/48,7923/48,7923/50,7246/28,0193/21,256/21,7391/30,4348/29,4686/37,6812/29,4686/19,8068/29,4686/30,9179/26,087/29,4686/49,7585/27,5362/31,8841/23,1884</t>
  </si>
  <si>
    <t>54,5894/54,5894/54,1063/53,1401/54,1063/54,5894/54,5894/54,1063/55,0725/55,0725/54,5894/54,5894/54,5894/54,5894/53,6232/55,0725/55,0725/54,1063/54,5894/54,1063/54,5894/53,6232/54,1063/54,5894/54,5894/54,5894/54,5894/54,5894/54,5894/54,1063/54,5894/55,0725</t>
  </si>
  <si>
    <t>56.0386/56.0386/56.0386/56.0386/56.0386/56.0386/56.0386/56.0386/56.0386/56.0386/56.5217/57.0048/56.0386/56.0386/56.0386/56.0386/56.0386</t>
  </si>
  <si>
    <t>Bm323</t>
  </si>
  <si>
    <t>WBGene00220584</t>
  </si>
  <si>
    <t>Bm17233</t>
  </si>
  <si>
    <t>WBGene00268376</t>
  </si>
  <si>
    <t>5.5e-15</t>
  </si>
  <si>
    <t>89.0</t>
  </si>
  <si>
    <t>Bm10738</t>
  </si>
  <si>
    <t>WBGene00230999</t>
  </si>
  <si>
    <t>Bm10718</t>
  </si>
  <si>
    <t>WBGene00230979</t>
  </si>
  <si>
    <t>GO:0004190/GO:0007286/GO:0016020/GO:0016021/GO:0016485/</t>
  </si>
  <si>
    <t>aspartic-type_endopeptidase_activity/integral_component_of_membrane/membrane/protein_processing/spermatid_development/</t>
  </si>
  <si>
    <t>A_lipid_bilayer_along_with_all_the_proteins_and_protein_complexes_embedded_in_it_an_attached_to_it._[GOC:dos,_GOC:mah,_ISBN:0815316194]/"Any_protein_maturation_process_achieved_by_the_cleavage_of_a_peptide_bond_or_bonds_within_a_protein._Protein_maturation_is_the_process_leading_to_the_attainment_of_the_full_functional_capacity_of_a_protein."_[GOC:curators,_GOC:jl,_GOC:jsg]/"Catalysis_of_the_hydrolysis_of_internal,_alpha-peptide_bonds_in_a_polypeptide_chain_by_a_mechanism_in_which_a_water_molecule_bound_by_the_side_chains_of_aspartic_residues_at_the_active_center_acts_as_a_nucleophile."_[ISBN:0198506732]/"The_component_of_a_membrane_consisting_of_the_gene_products_and_protein_complexes_having_at_least_some_part_of_their_peptide_sequence_embedded_in_the_hydrophobic_region_of_the_membrane."_[GOC:dos,_GOC:go_curators]/"The_process_whose_specific_outcome_is_the_progression_of_a_spermatid_over_time,_from_its_formation_to_the_mature_structure."_[GOC:dph,_GOC:go_curators]/</t>
  </si>
  <si>
    <t>IPR001108/IPR033153/</t>
  </si>
  <si>
    <t>Peptidase_A22A,_presenilin/SPE-4_peptidase/</t>
  </si>
  <si>
    <t>Peptidase_A22A/SPE-4/</t>
  </si>
  <si>
    <t>note=contains_similarity_to_Pfam_domain_PF01080_Presenilin_contains_similarity_to_Interpro_domain_IPR001108_(Peptidase_A22A,_presenilin)</t>
  </si>
  <si>
    <t>7209.EFO18829.2</t>
  </si>
  <si>
    <t>2.9e-46</t>
  </si>
  <si>
    <t>192.2</t>
  </si>
  <si>
    <t>GO:0000003,GO:0003006,GO:0005575,GO:0005622,GO:0005623,GO:0006996,GO:0007276,GO:0007281,GO:0007283,GO:0007286,GO:0008104,GO:0008150,GO:0009987,GO:0016043,GO:0019953,GO:0022412,GO:0022414,GO:0030154,GO:0032501,GO:0032502,GO:0032504,GO:0033036,GO:0043226,GO:0043227,GO:0043229,GO:0043231,GO:0044424,GO:0044464,GO:0044703,GO:0048232,GO:0048468,GO:0048515,GO:0048609,GO:0048856,GO:0048869,GO:0051179,GO:0051704,GO:0061024,GO:0071840</t>
  </si>
  <si>
    <t>ko:K06060</t>
  </si>
  <si>
    <t>ko04330,map04330</t>
  </si>
  <si>
    <t>ko00000,ko00001,ko00002,ko01002</t>
  </si>
  <si>
    <t>1KWRM@119089,3A7H6@33154,3BTVR@33208,3D9UB@33213,40DZC@6231,KOG2736@1,KOG2736@2759</t>
  </si>
  <si>
    <t>Presenilin</t>
  </si>
  <si>
    <t>19,3548/19,7581/19,3548</t>
  </si>
  <si>
    <t>WBGene00004958</t>
  </si>
  <si>
    <t>25.4032</t>
  </si>
  <si>
    <t>Bm6121</t>
  </si>
  <si>
    <t>WBGene00226382</t>
  </si>
  <si>
    <t>57,5573/36,6412</t>
  </si>
  <si>
    <t>26,1069/19,3893/16,4886/25,6489/27,0229/26,4122/24,1221</t>
  </si>
  <si>
    <t>15,5725/26,2595/25,8015/26,1069/23,5114/14,3511/26,8702/19,084/24,1221/16,9466/24,1221/24,5802/17,5573/12,9771/8,54962/26,8702</t>
  </si>
  <si>
    <t>9,16031/20,7634/17,4046/18,3206</t>
  </si>
  <si>
    <t>27,4809/13,4351/14,1985/27,6336/7,17557</t>
  </si>
  <si>
    <t>11,145/17,5573/9,31298/13,1298/11,4504/10,229/11,145/19,8473/16,0305/16,0305/18,0153/29,0076/29,6183</t>
  </si>
  <si>
    <t>11,4504/18,9313/16,9466</t>
  </si>
  <si>
    <t>11,7557/13,2824</t>
  </si>
  <si>
    <t>8,24428/25,9542/10,0763/30,687/23,8168/22,4427</t>
  </si>
  <si>
    <t>25,0382/27,0229/27,6336/27,1756/27,7863/27,3282/24,2748/28,0916</t>
  </si>
  <si>
    <t>25.0382/27.0229/27.6336/27.1756/27.7863/27.3282/24.2748/28.0916</t>
  </si>
  <si>
    <t>Bm5134</t>
  </si>
  <si>
    <t>WBGene00225395</t>
  </si>
  <si>
    <t>6239.M110.2</t>
  </si>
  <si>
    <t>2.6e-48</t>
  </si>
  <si>
    <t>199.5</t>
  </si>
  <si>
    <t>1M32G@119089,39CXF@33154,3CGXE@33208,3DYDS@33213,40JQQ@6231,40YZ9@6236,KOG1418@1,KOG1418@2759</t>
  </si>
  <si>
    <t>WBGene00006658</t>
  </si>
  <si>
    <t>31.3725</t>
  </si>
  <si>
    <t>Bm9230</t>
  </si>
  <si>
    <t>WBGene00229491</t>
  </si>
  <si>
    <t>7209.EFO16313.2</t>
  </si>
  <si>
    <t>9.5e-63</t>
  </si>
  <si>
    <t>246.9</t>
  </si>
  <si>
    <t>Bm8727</t>
  </si>
  <si>
    <t>WBGene00228988</t>
  </si>
  <si>
    <t>note=B._malayi_BMA-SHP-1_protein</t>
  </si>
  <si>
    <t>96,9697/31,5152</t>
  </si>
  <si>
    <t>61,2121/69,0909</t>
  </si>
  <si>
    <t>36,3636/30,303/49,0909</t>
  </si>
  <si>
    <t>39,3939/42,4242</t>
  </si>
  <si>
    <t>Bm17418</t>
  </si>
  <si>
    <t>WBGene00268561</t>
  </si>
  <si>
    <t>2e-24</t>
  </si>
  <si>
    <t>120.6</t>
  </si>
  <si>
    <t>Bm7931</t>
  </si>
  <si>
    <t>WBGene00228192</t>
  </si>
  <si>
    <t>note=B._malayi_BMA-UNC-42_protein,_contains_similarity_to_Pfam_domain_PF00046_Homeobox_domain_contains_similarity_to_Interpro_domains_IPR001356_(Homeobox_domain),_IPR009057_(Homeodomain-like)</t>
  </si>
  <si>
    <t>7209.EJD74882.1</t>
  </si>
  <si>
    <t>2.3e-105</t>
  </si>
  <si>
    <t>388.7</t>
  </si>
  <si>
    <t>39U3Y@33154,3BK42@33208,3D40J@33213,40G73@6231,KOG0490@1,KOG0490@2759</t>
  </si>
  <si>
    <t>46,9925/72,5564</t>
  </si>
  <si>
    <t>87,218/72,1805</t>
  </si>
  <si>
    <t>31,9549/20,3008/21,8045</t>
  </si>
  <si>
    <t>39,0977/39,4737</t>
  </si>
  <si>
    <t>13,5338/13,5338/17,2932/19,1729/12,782/13,9098/14,6617/7,89474/14,6617/17,6692/17,6692/19,9248/9,02256/19,9248/17,6692/16,5414/18,4211/20,6767/18,797/19,1729/16,1654/9,3985</t>
  </si>
  <si>
    <t>18,0451/19,1729/13,1579/14,2857/14,6617/8,27068/15,0376/18,797/16,9173/19,5489/9,02256/17,2932/18,0451/16,1654/19,1729/21,0526/18,0451/19,1729/16,1654/16,5414/11,6541/18,0451/14,6617/13,1579</t>
  </si>
  <si>
    <t>18,797/15,4135/19,1729/9,3985/12,0301/12,0301/6,76692/14,2857/7,14286/19,1729/16,1654/18,4211/18,797/18,797/18,4211</t>
  </si>
  <si>
    <t>WBGene00006778</t>
  </si>
  <si>
    <t>46.2406</t>
  </si>
  <si>
    <t>Bm5203</t>
  </si>
  <si>
    <t>WBGene00225464</t>
  </si>
  <si>
    <t>7209.EFO17134.2</t>
  </si>
  <si>
    <t>3e-220</t>
  </si>
  <si>
    <t>1KXJ0@119089,2BYVJ@1,2SM05@2759,3AGJY@33154,3BXQ4@33208,3DFAA@33213,40FGX@6231</t>
  </si>
  <si>
    <t>WBGene00019868</t>
  </si>
  <si>
    <t>33.9394</t>
  </si>
  <si>
    <t>Bm13445</t>
  </si>
  <si>
    <t>WBGene00233706</t>
  </si>
  <si>
    <t>note=B._malayi_BMA-FLP-11_protein</t>
  </si>
  <si>
    <t>Bm17546</t>
  </si>
  <si>
    <t>WBGene00268689</t>
  </si>
  <si>
    <t>6326.BUX.s01109.86</t>
  </si>
  <si>
    <t>4.8e-65</t>
  </si>
  <si>
    <t>1KZP6@119089,2BZJ2@1,2SU81@2759,3APTT@33154,3C20P@33208,3DI7Z@33213,40GTE@6231</t>
  </si>
  <si>
    <t>Bm10995</t>
  </si>
  <si>
    <t>WBGene00231256</t>
  </si>
  <si>
    <t>Bm8715</t>
  </si>
  <si>
    <t>WBGene00228976</t>
  </si>
  <si>
    <t>7209.EJD74321.1</t>
  </si>
  <si>
    <t>1330.9</t>
  </si>
  <si>
    <t>1KTIT@119089,38G4T@33154,3BFKR@33208,3CRC9@33213,40AK5@6231,KOG1934@1,KOG1934@2759</t>
  </si>
  <si>
    <t>25,4016/14,0562</t>
  </si>
  <si>
    <t>8,03213/3,91566/13,253/9,53815</t>
  </si>
  <si>
    <t>27,4096/4,31727</t>
  </si>
  <si>
    <t>WBGene00004233</t>
  </si>
  <si>
    <t>49.1968</t>
  </si>
  <si>
    <t>Bm9575</t>
  </si>
  <si>
    <t>WBGene00229836</t>
  </si>
  <si>
    <t>Bm17078</t>
  </si>
  <si>
    <t>WBGene00268222</t>
  </si>
  <si>
    <t>2.4e-19</t>
  </si>
  <si>
    <t>Bm9030</t>
  </si>
  <si>
    <t>WBGene00229291</t>
  </si>
  <si>
    <t>Bm14102</t>
  </si>
  <si>
    <t>WBGene00234363</t>
  </si>
  <si>
    <t>Bm9263</t>
  </si>
  <si>
    <t>WBGene00229524</t>
  </si>
  <si>
    <t>note=contains_similarity_to_Pfam_domain_PF00084_Sushi_domain_(SCR_repeat)_contains_similarity_to_Interpro_domain_IPR000436_(Sushi/SCR/CCP_domain)</t>
  </si>
  <si>
    <t>400682.PAC_15727991</t>
  </si>
  <si>
    <t>1.5e-12</t>
  </si>
  <si>
    <t>79.7</t>
  </si>
  <si>
    <t>KOG4297@1,KOG4297@2759</t>
  </si>
  <si>
    <t>Bm17601</t>
  </si>
  <si>
    <t>WBGene00268744</t>
  </si>
  <si>
    <t>Bm17560</t>
  </si>
  <si>
    <t>WBGene00268703</t>
  </si>
  <si>
    <t>6326.BUX.s01187.59</t>
  </si>
  <si>
    <t>2.8e-11</t>
  </si>
  <si>
    <t>75.5</t>
  </si>
  <si>
    <t>1M05Y@119089,2F0JR@1,2T1QT@2759,3ASW4@33154,3C3VT@33208,3DKNT@33213,40HGD@6231</t>
  </si>
  <si>
    <t>51,6854/45,5056</t>
  </si>
  <si>
    <t>26,4045/24,7191</t>
  </si>
  <si>
    <t>Bm11079</t>
  </si>
  <si>
    <t>WBGene00231340</t>
  </si>
  <si>
    <t>GO:0016624/GO:0055114/</t>
  </si>
  <si>
    <t>oxidation-reduction_process/oxidoreductase_activity,_acting_on_the_aldehyde_or_oxo_group_of_donors,_disulfide_as_acceptor/</t>
  </si>
  <si>
    <t>A_metabolic_process_that_results_in_the_removal_or_addition_of_one_or_more_electrons_to_or_from_a_substance,_with_or_without_the_concomitant_removal_or_addition_of_a_proton_or_protons._[GOC:dhl,_GOC:ecd,_GOC:jh2,_GOC:jid,_GOC:mlg,_GOC:rph]/"Catalysis_of_an_oxidation-reduction_(redox)_reaction_in_which_an_aldehyde_or_ketone_(oxo)_group_acts_as_a_hydrogen_or_electron_donor_and_reduces_a_disulfide."_[GOC:jl]/</t>
  </si>
  <si>
    <t>IPR001017/IPR029061/</t>
  </si>
  <si>
    <t>Dehydrogenase,_E1_component/Thiamin_diphosphate-binding_fold/</t>
  </si>
  <si>
    <t>DH_E1/THDP-binding/</t>
  </si>
  <si>
    <t>note=contains_similarity_to_Pfam_domain_PF00676_Dehydrogenase_E1_component_contains_similarity_to_Interpro_domains_IPR001017_(Dehydrogenase,_E1_component),_IPR029061_(Thiamin_diphosphate-binding_fold)</t>
  </si>
  <si>
    <t>7209.EFO24482.2</t>
  </si>
  <si>
    <t>5.2e-199</t>
  </si>
  <si>
    <t>1.2.4.1</t>
  </si>
  <si>
    <t>ko:K00161</t>
  </si>
  <si>
    <t>ko00010,ko00020,ko00620,ko01100,ko01110,ko01120,ko01130,ko01200,ko04066,ko04922,ko05230,map00010,map00020,map00620,map01100,map01110,map01120,map01130,map01200,map04066,map04922,map05230</t>
  </si>
  <si>
    <t>M00307</t>
  </si>
  <si>
    <t>R00014,R00209,R01699,R03270</t>
  </si>
  <si>
    <t>RC00004,RC00027,RC00627,RC02742,RC02744,RC02882</t>
  </si>
  <si>
    <t>1KUTG@119089,38G37@33154,3BBAB@33208,3CUBV@33213,40BIR@6231,COG0462@1,KOG0225@2759</t>
  </si>
  <si>
    <t>The pyruvate dehydrogenase complex catalyzes the overall conversion of pyruvate to acetyl-CoA and CO(2)</t>
  </si>
  <si>
    <t>53,4005/43,5768/55,9194</t>
  </si>
  <si>
    <t>53,1486/56,6751</t>
  </si>
  <si>
    <t>57,6826/55,9194</t>
  </si>
  <si>
    <t>45,34/51,6373/51,8892</t>
  </si>
  <si>
    <t>50,6297/22,4181</t>
  </si>
  <si>
    <t>46,3476/51,1335</t>
  </si>
  <si>
    <t>49,6222/52,3929</t>
  </si>
  <si>
    <t>52,1411/51,6373</t>
  </si>
  <si>
    <t>48,8665/52,3929</t>
  </si>
  <si>
    <t>WBGene00011510</t>
  </si>
  <si>
    <t>58.9421</t>
  </si>
  <si>
    <t>Bm5234</t>
  </si>
  <si>
    <t>WBGene00225495</t>
  </si>
  <si>
    <t>GO:0005085/GO:0005622/GO:0007264/</t>
  </si>
  <si>
    <t>guanyl-nucleotide_exchange_factor_activity/intracellular/small_GTPase_mediated_signal_transduction/</t>
  </si>
  <si>
    <t>Any_series_of_molecular_signals_in_which_a_small_monomeric_GTPase_relays_one_or_more_of_the_signals._[GOC:mah]/"Stimulates_the_exchange_of_guanyl_nucleotides_associated_with_a_GTPase._Under_normal_cellular_physiological_conditions,_the_concentration_of_GTP_is_higher_than_that_of_GDP,_favoring_the_replacement_of_GDP_by_GTP_in_association_with_the_GTPase."_[GOC:kd,_GOC:mah]/"The_living_contents_of_a_cell;_the_matter_contained_within_(but_not_including)_the_plasma_membrane,_usually_taken_to_exclude_large_vacuoles_and_masses_of_secretory_or_ingested_material._In_eukaryotes_it_includes_the_nucleus_and_cytoplasm."_[ISBN:0198506732]/</t>
  </si>
  <si>
    <t>IPR000651/IPR001895/IPR008937/IPR023578/IPR036964/</t>
  </si>
  <si>
    <t>Ras-like_guanine_nucleotide_exchange_factor/Ras-like_guanine_nucleotide_exchange_factor,_N-terminal/Ras_guanine-nucleotide_exchange_factor_catalytic_domain_superfamily/Ras_guanine-nucleotide_exchange_factors_catalytic_domain/Ras_guanine_nucleotide_exchange_factor_domain_superfamily/</t>
  </si>
  <si>
    <t>RASGEF_cat_dom/RASGEF_cat_dom_sf/Ras-like_GEF/Ras-like_Gua-exchang_fac_N/Ras_GEF_dom_sf/</t>
  </si>
  <si>
    <t>note=contains_similarity_to_Pfam_domains_PF00617_(RasGEFdomain),_PF00618_(RasGEF_N-terminal_motif)_containssimilarity_to_Interpro_domains_IPR023578_(Ras_guaninenucleotide_exchange_factor_domain),_IPR001895_(Rasguanine-nucleotide_exchange_factors_catalytic_domain),IPR000651_(Ras-like_guanine_nucleotide_exchange_factor,N-terminal)</t>
  </si>
  <si>
    <t>7209.EJD75882.1</t>
  </si>
  <si>
    <t>4.1e-149</t>
  </si>
  <si>
    <t>534.6</t>
  </si>
  <si>
    <t>1KVYU@119089,38HIU@33154,3BCC0@33208,3CYVT@33213,40D6U@6231,KOG3541@1,KOG3541@2759</t>
  </si>
  <si>
    <t>Guanine nucleotide exchange factor for Ras-like GTPases; N-terminal motif</t>
  </si>
  <si>
    <t>21,6092/31,954/31,0345</t>
  </si>
  <si>
    <t>30,3448/24,5977</t>
  </si>
  <si>
    <t>28,2759/36,3218</t>
  </si>
  <si>
    <t>32,1839/31,7241</t>
  </si>
  <si>
    <t>WBGene00019902</t>
  </si>
  <si>
    <t>39.0805</t>
  </si>
  <si>
    <t>Bm8480</t>
  </si>
  <si>
    <t>WBGene00228741</t>
  </si>
  <si>
    <t>7209.EJD74532.1</t>
  </si>
  <si>
    <t>2.1e-185</t>
  </si>
  <si>
    <t>655.2</t>
  </si>
  <si>
    <t>KOG1164@1,KOG1164@2759</t>
  </si>
  <si>
    <t>protein kinase activity</t>
  </si>
  <si>
    <t>Bm17624</t>
  </si>
  <si>
    <t>WBGene00268766</t>
  </si>
  <si>
    <t>Bm9903</t>
  </si>
  <si>
    <t>WBGene00230164</t>
  </si>
  <si>
    <t>GO:0003677/GO:0005634/GO:0006355/GO:0043565/GO:0046872/</t>
  </si>
  <si>
    <t>DNA_binding/metal_ion_binding/nucleus/regulation_of_transcription,_DNA-templated/sequence-specific_DNA_binding/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</si>
  <si>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Any_process_that_modulates_the_frequency,_rate_or_extent_of_cellular_DNA-templated_transcription."_[GOC:go_curators,_GOC:txnOH]/"Interacting_selectively_and_non-covalently_with_DNA_of_a_specific_nucleotide_composition,_e.g._GC-rich_DNA_binding,_or_with_a_specific_sequence_motif_or_type_of_DNA_e.g._promotor_binding_or_rDNA_binding."_[GOC:jl]/"Interacting_selectively_and_non-covalently_with_any_metal_ion."_[GOC:ai]/</t>
  </si>
  <si>
    <t>note=B._malayi_BMA-LIM-6_protein,_contains_similarity_toPfam_domains_PF00046_(Homeobox_domain),_PF00412_(LIMdomain)_contains_similarity_to_Interpro_domains_IPR001781(Zinc_finger,_LIM-type),_IPR001356_(Homeobox_domain),IPR009057_(Homeodomain-like)</t>
  </si>
  <si>
    <t>7209.EFO17775.1</t>
  </si>
  <si>
    <t>1.4e-97</t>
  </si>
  <si>
    <t>362.5</t>
  </si>
  <si>
    <t>GO:0000003,GO:0000902,GO:0000904,GO:0001505,GO:0003006,GO:0003008,GO:0003674,GO:0003700,GO:0005575,GO:0005622,GO:0005623,GO:0005634,GO:0006082,GO:0006355,GO:0006357,GO:0006520,GO:0006807,GO:0007275,GO:0007399,GO:0007409,GO:0007588,GO:0007610,GO:0008150,GO:0008152,GO:0008652,GO:0009058,GO:0009448,GO:0009449,GO:0009653,GO:0009887,GO:0009889,GO:0009891,GO:0009892,GO:0009893,GO:0009987,GO:0010468,GO:0010556,GO:0010557,GO:0010604,GO:0010605,GO:0010628,GO:0010629,GO:0016043,GO:0016053,GO:0019219,GO:0019222,GO:0019752,GO:0022008,GO:0022414,GO:0030030,GO:0030154,GO:0030182,GO:0030421,GO:0031175,GO:0031323,GO:0031325,GO:0031326,GO:0031328,GO:0032501,GO:0032502,GO:0032787,GO:0032989,GO:0032990,GO:0042133,GO:0042136,GO:0043226,GO:0043227,GO:0043229,GO:0043231,GO:0043436,GO:0044237,GO:0044238,GO:0044249,GO:0044281,GO:0044283,GO:0044424,GO:0044464,GO:0045893,GO:0045935,GO:0045944,GO:0046394,GO:0048468,GO:0048513,GO:0048518,GO:0048519,GO:0048522,GO:0048608,GO:0048666,GO:0048667,GO:0048699,GO:0048731,GO:0048812,GO:0048856,GO:0048858,GO:0048869,GO:0050789,GO:0050794,GO:0051171,GO:0051173,GO:0051252,GO:0051254,GO:0060065,GO:0060255,GO:0060756,GO:0061038,GO:0061458,GO:0061564,GO:0065007,GO:0065008,GO:0071704,GO:0071840,GO:0072330,GO:0080090,GO:0120036,GO:0120039,GO:0140110,GO:1901564,GO:1901566,GO:1901576,GO:1902680,GO:1903506,GO:1903508,GO:1904081,GO:2000112,GO:2001141</t>
  </si>
  <si>
    <t>1KZH4@119089,396MF@33154,3BAC6@33208,3CTZY@33213,40E85@6231,KOG0490@1,KOG0490@2759</t>
  </si>
  <si>
    <t>Homeobox KN domain</t>
  </si>
  <si>
    <t>37,0892/37,0892</t>
  </si>
  <si>
    <t>42,2535/40,3756</t>
  </si>
  <si>
    <t>23,9437/30,9859/22,5352/23,0047/30,5164/9,38967/4,69484/22,0657</t>
  </si>
  <si>
    <t>23,4742/30,5164/22,0657/23,0047/30,5164/10,7981/9,38967/4,22535/22,5352</t>
  </si>
  <si>
    <t>23,4742/22,0657/26,7606/22,5352/21,1268/21,5962/23,9437/30,9859/9,38967/8,92019/4,22535/23,4742</t>
  </si>
  <si>
    <t>WBGene00002988</t>
  </si>
  <si>
    <t>40.8451</t>
  </si>
  <si>
    <t>Bm10630</t>
  </si>
  <si>
    <t>WBGene00230891</t>
  </si>
  <si>
    <t>7.6e-226</t>
  </si>
  <si>
    <t>790.0</t>
  </si>
  <si>
    <t>36,4238/49,5033</t>
  </si>
  <si>
    <t>47,5166/21,0265/51,4901/25,4967</t>
  </si>
  <si>
    <t>74,0066/72,1854</t>
  </si>
  <si>
    <t>45,0331/48,3444</t>
  </si>
  <si>
    <t>10,4305/22,6821</t>
  </si>
  <si>
    <t>42,8808/41,8874</t>
  </si>
  <si>
    <t>33,9404/36,2583</t>
  </si>
  <si>
    <t>33,1126/28,4768</t>
  </si>
  <si>
    <t>21,8543/21,3576</t>
  </si>
  <si>
    <t>45.6954</t>
  </si>
  <si>
    <t>Bm7801</t>
  </si>
  <si>
    <t>WBGene00228062</t>
  </si>
  <si>
    <t>51,2821/66,6667</t>
  </si>
  <si>
    <t>Bm11495</t>
  </si>
  <si>
    <t>WBGene00231756</t>
  </si>
  <si>
    <t>49,2063/52,381</t>
  </si>
  <si>
    <t>Bm1295</t>
  </si>
  <si>
    <t>WBGene00221556</t>
  </si>
  <si>
    <t>17,847/92,6346</t>
  </si>
  <si>
    <t>52,9745/12,4646/31,728</t>
  </si>
  <si>
    <t>60,9065/54,3909/56,3739</t>
  </si>
  <si>
    <t>24,6459/16,9972/30,5949</t>
  </si>
  <si>
    <t>Bm2034</t>
  </si>
  <si>
    <t>WBGene00222295</t>
  </si>
  <si>
    <t>IPR005828/IPR011701/IPR020846/IPR036259/</t>
  </si>
  <si>
    <t>MFS_transporter_superfamily/Major_facilitator,__sugar_transporter-like/Major_facilitator_superfamily/Major_facilitator_superfamily_domain/</t>
  </si>
  <si>
    <t>MFS/MFS_dom/MFS_sugar_transport-like/MFS_trans_sf/</t>
  </si>
  <si>
    <t>7209.EFO27295.1</t>
  </si>
  <si>
    <t>4.2e-231</t>
  </si>
  <si>
    <t>807.4</t>
  </si>
  <si>
    <t>1KVGF@119089,3A17X@33154,3BQ69@33208,3D74B@33213,40CWK@6231,KOG0255@1,KOG0255@2759</t>
  </si>
  <si>
    <t>Sugar (and other) transporter</t>
  </si>
  <si>
    <t>17,9533/25,1346/16,3375/27,8276/24,4165/28,5458</t>
  </si>
  <si>
    <t>21,0054/21,1849</t>
  </si>
  <si>
    <t>7,18133/22,9803</t>
  </si>
  <si>
    <t>11,3106/10,0539/11,4901/9,33573/11,4901/12,0287/12,2083/12,0287/11,8492/13,6445/13,8241/11,8492/12,0287/20,6463/20,4668/17,4147/17,4147/18,1329/16,6966/16,6966/17,0557/17,0557/17,0557/16,8761/16,8761/16,158/15,2603</t>
  </si>
  <si>
    <t>15,6194/18,3124/18,6715/18,851/16,8761/19,0305/18,6715/17,9533/15,6194/17,2352/16,8761/18,4919/17,4147/16,6966/10,772/18,4919/17,5943/15,9785</t>
  </si>
  <si>
    <t>15,4399/17,0557/18,4919/17,7738/18,3124/16,6966/15,9785/18,6715/19,7487/19,2101/14,5422/17,4147/9,15619/15,4399/18,1329/18,1329/17,2352/18,1329/17,7738/17,5943/16,6966/17,4147/18,6715/17,7738/15,9785/15,4399</t>
  </si>
  <si>
    <t>17,4147/17,7738/19,0305/19,5691/17,5943/17,5943/19,3896/16,5171/16,6966/17,2352/17,0557/14,9013/17,5943/18,3124/17,0557/16,8761/15,4399/15,2603</t>
  </si>
  <si>
    <t>WBGene00007394</t>
  </si>
  <si>
    <t>31.5978</t>
  </si>
  <si>
    <t>Bm9713</t>
  </si>
  <si>
    <t>WBGene00229974</t>
  </si>
  <si>
    <t>Bm5270</t>
  </si>
  <si>
    <t>WBGene00225531</t>
  </si>
  <si>
    <t>IPR000873/IPR020845/</t>
  </si>
  <si>
    <t>AMP-binding,_conserved_site/AMP-dependent_synthetase/ligase/</t>
  </si>
  <si>
    <t>AMP-binding_CS/AMP-dep_Synth/Lig/</t>
  </si>
  <si>
    <t>7209.EJD74022.1</t>
  </si>
  <si>
    <t>3e-311</t>
  </si>
  <si>
    <t>1073.5</t>
  </si>
  <si>
    <t>GO:0005575,GO:0005622,GO:0005623,GO:0005811,GO:0043226,GO:0043228,GO:0043229,GO:0043232,GO:0044424,GO:0044464</t>
  </si>
  <si>
    <t>1KY32@119089,39R6J@33154,3CNW0@33208,3CXKA@33213,40C02@6231,COG1022@1,KOG1180@2759</t>
  </si>
  <si>
    <t>7,24234/36,4902/7,52089/7,10306/9,1922/7,52089/9,05293/9,05293</t>
  </si>
  <si>
    <t>12,5348/12,5348/12,5348/13,2312/12,9526/11,6992/13,7883/13,2312/12,9526/12,8134/13,0919/11,9777/13,3705/14,624/14,2061/12,3955/12,8134</t>
  </si>
  <si>
    <t>14,2061/13,2312/41,2256/12,2563/13,649/12,2563/23,2591/19,9164/13,2312/13,9276/14,3454/41,922</t>
  </si>
  <si>
    <t>14,4847/12,8134/41,6435/12,117/13,5097/17,5487/13,0919/23,3983/12,5348/13,7883/14,0669/41,0863</t>
  </si>
  <si>
    <t>12,8134/41,6435/39,5543/13,0919/13,3705/14,9025/13,7883/13,649/22,5627/22,5627/10,585/11,5599/13,2312/14,4847/41,6435/41,0863</t>
  </si>
  <si>
    <t>WBGene00018152</t>
  </si>
  <si>
    <t>37.883</t>
  </si>
  <si>
    <t>Bm17401</t>
  </si>
  <si>
    <t>WBGene00268544</t>
  </si>
  <si>
    <t>Bm137</t>
  </si>
  <si>
    <t>WBGene00220398</t>
  </si>
  <si>
    <t>7209.EFO14319.1</t>
  </si>
  <si>
    <t>6.6e-16</t>
  </si>
  <si>
    <t>1M0CD@119089,2EUUY@1,2SWY7@2759,3AV5C@33154,3C4VP@33208,3DJQP@33213,40H4X@6231</t>
  </si>
  <si>
    <t>Bm1092</t>
  </si>
  <si>
    <t>WBGene00221353</t>
  </si>
  <si>
    <t>29,2553/69,1489</t>
  </si>
  <si>
    <t>Bm10910</t>
  </si>
  <si>
    <t>WBGene00231171</t>
  </si>
  <si>
    <t>note=B._malayi_BMA-COL-173_protein,_contains_similarity_to_Pfam_domain_PF01391_Collagen_triple_helix_repeat_(20_copies)_contains_similarity_to_Interpro_domain_IPR008160_(Collagen_triple_helix_repeat)</t>
  </si>
  <si>
    <t>7209.EJD75813.1</t>
  </si>
  <si>
    <t>42,446/42,8058/42,8058</t>
  </si>
  <si>
    <t>WBGene00000746</t>
  </si>
  <si>
    <t>35.6115</t>
  </si>
  <si>
    <t>Bm10891</t>
  </si>
  <si>
    <t>WBGene00231152</t>
  </si>
  <si>
    <t>40,1099/38,4615</t>
  </si>
  <si>
    <t>34,0659/31,8681</t>
  </si>
  <si>
    <t>32,4176/32,4176/32,4176/32,4176</t>
  </si>
  <si>
    <t>Bm4911</t>
  </si>
  <si>
    <t>WBGene00225172</t>
  </si>
  <si>
    <t>7209.EFO19425.1</t>
  </si>
  <si>
    <t>1e-45</t>
  </si>
  <si>
    <t>189.5</t>
  </si>
  <si>
    <t>1KZCT@119089,2EM3V@1,2SQV8@2759,3API0@33154,3C0ZW@33208,3DHR6@33213,40GF6@6231</t>
  </si>
  <si>
    <t>97,7444/96,9925</t>
  </si>
  <si>
    <t>58,6466/57,8947/57,8947</t>
  </si>
  <si>
    <t>WBGene00019538</t>
  </si>
  <si>
    <t>63.1579</t>
  </si>
  <si>
    <t>Bm17480</t>
  </si>
  <si>
    <t>WBGene00268623</t>
  </si>
  <si>
    <t>Bm17252</t>
  </si>
  <si>
    <t>WBGene00268395</t>
  </si>
  <si>
    <t>Bm10582</t>
  </si>
  <si>
    <t>WBGene00230843</t>
  </si>
  <si>
    <t>7209.EJD75162.1</t>
  </si>
  <si>
    <t>7e-152</t>
  </si>
  <si>
    <t>543.5</t>
  </si>
  <si>
    <t>1KVFC@119089,39IX8@33154,3BHY0@33208,3CRAC@33213,40CZ4@6231,KOG0583@1,KOG0583@2759</t>
  </si>
  <si>
    <t>33,2353/33,2353</t>
  </si>
  <si>
    <t>24,4118/30/24,1176/28,8235/24,4118/23,2353/25,5882/36,4706</t>
  </si>
  <si>
    <t>24,4118/30/23,8235/28,5294/24,4118/24,1176/26,1765/35,8824</t>
  </si>
  <si>
    <t>23,5294/26,1765/24,1176/24,7059/31,1765/24,7059/21,4706</t>
  </si>
  <si>
    <t>25,8824/24,7059/19,1176/17,6471/21,7647/24,4118/25/19,1176/20,8824/18,5294/25,2941/19,7059</t>
  </si>
  <si>
    <t>WBGene00019801</t>
  </si>
  <si>
    <t>24.4118</t>
  </si>
  <si>
    <t>Bm12814</t>
  </si>
  <si>
    <t>WBGene00233075</t>
  </si>
  <si>
    <t>15,9722/34,0278</t>
  </si>
  <si>
    <t>21,5278/19,4444</t>
  </si>
  <si>
    <t>Bm17938</t>
  </si>
  <si>
    <t>WBGene00269080</t>
  </si>
  <si>
    <t>Bm7467</t>
  </si>
  <si>
    <t>WBGene00227728</t>
  </si>
  <si>
    <t>GO:0004190/GO:0006508/GO:0008233/GO:0016787/</t>
  </si>
  <si>
    <t>aspartic-type_endopeptidase_activity/hydrolase_activity/peptidase_activity/proteolysis/</t>
  </si>
  <si>
    <t>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internal,_alpha-peptide_bonds_in_a_polypeptide_chain_by_a_mechanism_in_which_a_water_molecule_bound_by_the_side_chains_of_aspartic_residues_at_the_active_center_acts_as_a_nucleophile."_[ISBN:0198506732]/"Catalysis_of_the_hydrolysis_of_various_bonds,_e.g._C-O,_C-N,_C-C,_phosphoric_anhydride_bonds,_etc._Hydrolase_is_the_systematic_name_for_any_enzyme_of_EC_class_3."_[ISBN:0198506732]/"The_hydrolysis_of_proteins_into_smaller_polypeptides_and/or_amino_acids_by_cleavage_of_their_peptide_bonds."_[GOC:bf,_GOC:mah]/</t>
  </si>
  <si>
    <t>IPR001461/IPR001969/IPR021109/IPR033121/IPR034164/</t>
  </si>
  <si>
    <t>Aspartic_peptidase,_active_site/Aspartic_peptidase_A1_family/Aspartic_peptidase_domain_superfamily/Pepsin-like_domain/Peptidase_family_A1_domain/</t>
  </si>
  <si>
    <t>Aspartic_peptidase_A1/Aspartic_peptidase_AS/PEPTIDASE_A1/Pepsin-like_dom/Peptidase_aspartic_dom_sf/</t>
  </si>
  <si>
    <t>note=contains_similarity_to_Pfam_domain_PF00026_Eukaryotic_aspartyl_protease_contains_similarity_to_Interpro_domains_IPR021109_(Aspartic_peptidase_domain),_IPR001461_(Aspartic_peptidase)</t>
  </si>
  <si>
    <t>7209.EFO17184.2</t>
  </si>
  <si>
    <t>3.8e-181</t>
  </si>
  <si>
    <t>641.0</t>
  </si>
  <si>
    <t>GO:0005575,GO:0005576,GO:0005615,GO:0044421</t>
  </si>
  <si>
    <t>1KYSD@119089,3A4QZ@33154,3BSBF@33208,3D8VS@33213,40DGT@6231,KOG1339@1,KOG1339@2759</t>
  </si>
  <si>
    <t>Belongs to the peptidase A1 family</t>
  </si>
  <si>
    <t>78,866/65,7216</t>
  </si>
  <si>
    <t>40,4639/46,6495/46,6495/41,4948/39,6907/46,134</t>
  </si>
  <si>
    <t>26,0309/29,3814</t>
  </si>
  <si>
    <t>32,732/34,2784/22,6804</t>
  </si>
  <si>
    <t>9,27835/14,1753/33,7629</t>
  </si>
  <si>
    <t>29,1237/29,6392</t>
  </si>
  <si>
    <t>9,27835/17,0103/18,8144/39,9485/15,7216</t>
  </si>
  <si>
    <t>31,701/31,9588/29,3814/28,6082</t>
  </si>
  <si>
    <t>29,8969/30,1546/29,8969/22,6804/30,4124/26,2887/30,1546/19,5876</t>
  </si>
  <si>
    <t>22,1649/27,8351/28,6082/25,7732/27,5773/30,9278/20,3608</t>
  </si>
  <si>
    <t>12,1134/26,5464/17,7835</t>
  </si>
  <si>
    <t>Bm12958</t>
  </si>
  <si>
    <t>WBGene00233219</t>
  </si>
  <si>
    <t>GO:0003700/GO:0005634/GO:0006355/</t>
  </si>
  <si>
    <t>DNA-binding_transcription_factor_activity/nucleus/regulation_of_transcription,_DNA-templated/</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</si>
  <si>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process_that_modulates_the_frequency,_rate_or_extent_of_cellular_DNA-templated_transcription."_[GOC:go_curators,_GOC:txnOH]/</t>
  </si>
  <si>
    <t>IPR004979/IPR013854/</t>
  </si>
  <si>
    <t>Transcription_factor_AP-2/Transcription_factor_AP-2,_C-terminal/</t>
  </si>
  <si>
    <t>TF_AP2/TF_AP2_C/</t>
  </si>
  <si>
    <t>note=B._malayi_BMA-APTF-1_protein,_contains_similarity_to_Pfam_domain_PF03299_Transcription_factor_AP-2_contains_similarity_to_Interpro_domains_IPR013854_(Transcription_factor_AP-2,_C-terminal),_IPR004979_(Transcription_factor_AP-2)</t>
  </si>
  <si>
    <t>7209.EFO25905.2</t>
  </si>
  <si>
    <t>6.9e-135</t>
  </si>
  <si>
    <t>487.6</t>
  </si>
  <si>
    <t>GO:0000976,GO:0000977,GO:0001012,GO:0001067,GO:0003674,GO:0003676,GO:0003677,GO:0003690,GO:0005488,GO:0006355,GO:0006357,GO:0008150,GO:0009889,GO:0009891,GO:0009893,GO:0010468,GO:0010556,GO:0010557,GO:0010604,GO:0010628,GO:0019219,GO:0019222,GO:0030431,GO:0031323,GO:0031325,GO:0031326,GO:0031328,GO:0032501,GO:0043565,GO:0044212,GO:0045893,GO:0045935,GO:0045944,GO:0048518,GO:0048522,GO:0050789,GO:0050794,GO:0051171,GO:0051173,GO:0051252,GO:0051254,GO:0060255,GO:0065007,GO:0080090,GO:0097159,GO:1901363,GO:1902680,GO:1903506,GO:1903508,GO:1990837,GO:2000112,GO:2001141</t>
  </si>
  <si>
    <t>ko:K09180</t>
  </si>
  <si>
    <t>1KW5W@119089,38FCA@33154,3BARA@33208,3CZHA@33213,40DI5@6231,KOG3811@1,KOG3811@2759</t>
  </si>
  <si>
    <t>Transcription factor AP-2</t>
  </si>
  <si>
    <t>16,6667/23,6948/25,7028</t>
  </si>
  <si>
    <t>17,0683/26,1044</t>
  </si>
  <si>
    <t>17,2691/11,6466/9,83936/18,4739</t>
  </si>
  <si>
    <t>12,6506/18,2731/16,6667/12,6506/12,6506/9,03614/8,63454/16,8675/17,8715/18,4739</t>
  </si>
  <si>
    <t>23,2932/21,0843/19,2771</t>
  </si>
  <si>
    <t>21,4859/22,8916/22,49/22,8916/21,0843</t>
  </si>
  <si>
    <t>22,6908/21,2851/22,8916/22,8916/22,6908</t>
  </si>
  <si>
    <t>22,0884/22,49/23,0924/23,2932/22,49</t>
  </si>
  <si>
    <t>WBGene00019424</t>
  </si>
  <si>
    <t>25.7028</t>
  </si>
  <si>
    <t>Bm9157</t>
  </si>
  <si>
    <t>WBGene00229418</t>
  </si>
  <si>
    <t>Bm6337</t>
  </si>
  <si>
    <t>WBGene00226598</t>
  </si>
  <si>
    <t>note=contains_similarity_to_Pfam_domain_PF01406_tRNA_synthetases_class_I_(C)_catalytic_domain_contains_similarity_to_Interpro_domains_IPR024909_(Cysteinyl-tRNA_synthetase/mycothiol_ligase),_IPR015803_(Cysteine-tRNA_ligase),_IPR009080_(Aminoacyl-tRNA_synthetase,_class_1a,_anticodon-binding),_IPR014729_(Rossmann-like_alpha/beta/alpha_sandwich_fold)</t>
  </si>
  <si>
    <t>11,6438/13,0137/10,9589/12,7854/12,1005</t>
  </si>
  <si>
    <t>13,4703/13,0137/13,6986/4,3379/7,07763/7,07763/0,684932/12,7854/13,0137/14,3836/10,7306/8,6758/13,4703/12,1005</t>
  </si>
  <si>
    <t>13,242/13,0137/13,9269/4,56621/12,7854/13,242/13,9269/11,6438/8,44749</t>
  </si>
  <si>
    <t>Bm5937</t>
  </si>
  <si>
    <t>WBGene00226198</t>
  </si>
  <si>
    <t>GO:0003677/GO:0003700/GO:0005634/GO:0006355/GO:0043565/GO:0046872/</t>
  </si>
  <si>
    <t>DNA-binding_transcription_factor_activity/DNA_binding/metal_ion_binding/nucleus/regulation_of_transcription,_DNA-templated/sequence-specific_DNA_binding/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</si>
  <si>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tein_or_a_member_of_a_complex_that_interacts_selectively_and_non-covalently_with_a_specific_DNA_sequence_(sometimes_referred_to_as_a_motif)_within_the_regulatory_region_of_a_gene_to_modulate_transcription._Regulatory_regions_include_promoters_(proximal_and_distal)_and_enhancers._Genes_are_transcriptional_units,_and_include_bacterial_operons."_[GOC:txnOH-2018]/"Any_molecular_function_by_which_a_gene_product_interacts_selectively_and_non-covalently_with_DNA_(deoxyribonucleic_acid)."_[GOC:dph,_GOC:jl,_GOC:tb,_GOC:vw]/"Any_process_that_modulates_the_frequency,_rate_or_extent_of_cellular_DNA-templated_transcription."_[GOC:go_curators,_GOC:txnOH]/"Interacting_selectively_and_non-covalently_with_DNA_of_a_specific_nucleotide_composition,_e.g._GC-rich_DNA_binding,_or_with_a_specific_sequence_motif_or_type_of_DNA_e.g._promotor_binding_or_rDNA_binding."_[GOC:jl]/"Interacting_selectively_and_non-covalently_with_any_metal_ion."_[GOC:ai]/</t>
  </si>
  <si>
    <t>IPR001275/IPR026607/IPR036407/</t>
  </si>
  <si>
    <t>DMRT/protein_doublesex/protein_male_abnormal_3/DM_DNA-binding_domain/DM_DNA-binding_domain_superfamily/</t>
  </si>
  <si>
    <t>DMRT/dsx/mab-3/DM_DNA-bd/DM_DNA-bd_sf/</t>
  </si>
  <si>
    <t>note=B._malayi_BMA-DMD-8_protein,_contains_similarity_toPfam_domain_PF00751_DM_DNA_binding_domain_containssimilarity_to_Interpro_domains_IPR026607_(DMRT/proteindoublesex/protein_male_abnormal_3),_IPR001275_(DMDNA-binding_domain)</t>
  </si>
  <si>
    <t>7209.EFO24476.1</t>
  </si>
  <si>
    <t>9.6e-124</t>
  </si>
  <si>
    <t>1KX5D@119089,3A98B@33154,3BV35@33208,3DBNQ@33213,40EIR@6231,KOG3815@1,KOG3815@2759</t>
  </si>
  <si>
    <t>Doublesex DNA-binding motif</t>
  </si>
  <si>
    <t>31,068/30,0971</t>
  </si>
  <si>
    <t>11,6505/12,2977/8,73786/8,73786/9,38511/3,23625/3,23625</t>
  </si>
  <si>
    <t>11,3269/11,9741/8,73786/8,73786/5,17799/8,73786</t>
  </si>
  <si>
    <t>11,6505/8,41424/7,44337/9,06149</t>
  </si>
  <si>
    <t>WBGene00020708</t>
  </si>
  <si>
    <t>30.0971</t>
  </si>
  <si>
    <t>Bm17345</t>
  </si>
  <si>
    <t>WBGene00268488</t>
  </si>
  <si>
    <t>Bm17673</t>
  </si>
  <si>
    <t>WBGene00268815</t>
  </si>
  <si>
    <t>Bm17714</t>
  </si>
  <si>
    <t>WBGene00268856</t>
  </si>
  <si>
    <t>Bm14749</t>
  </si>
  <si>
    <t>WBGene00234934</t>
  </si>
  <si>
    <t>IPR011992/</t>
  </si>
  <si>
    <t>EF-hand_domain_pair/</t>
  </si>
  <si>
    <t>EF-hand-dom_pair/</t>
  </si>
  <si>
    <t>28377.ENSACAP00000015152</t>
  </si>
  <si>
    <t>39SCU@33154,3BGYG@33208,3CV9J@33213,48991@7711,48ZPB@7742,KOG0078@1,KOG0078@2759</t>
  </si>
  <si>
    <t>activation of store-operated calcium channel activity</t>
  </si>
  <si>
    <t>Bm1785</t>
  </si>
  <si>
    <t>WBGene00222046</t>
  </si>
  <si>
    <t>GO:0060964/</t>
  </si>
  <si>
    <t>regulation_of_gene_silencing_by_miRNA/</t>
  </si>
  <si>
    <t>Any_process_that_modulates_the_rate,_frequency,_or_extent_of_the_downregulation_of_gene_expression_through_the_action_of_microRNAs_(miRNAs),_endogenous_21-24_nucleotide_small_RNAs_processed_from_stem-loop_RNA_precursors_(pre-miRNAs)._Once_incorporated_into_a_RNA-induced_silencing_complex_(RISC),_miRNAs_can_downregulate_gene_expression_by_either_of_two_posttranscriptional_mechanisms:_mRNA_cleavage_or_translational_repression._[GOC:dph,_GOC:tb]/</t>
  </si>
  <si>
    <t>IPR024970/IPR039259/</t>
  </si>
  <si>
    <t>Maelstrom_domain/Protein_maelstrom/</t>
  </si>
  <si>
    <t>Maelstrom/Protein_maelstrom/</t>
  </si>
  <si>
    <t>note=contains_similarity_to_Pfam_domain_PF13017_piRNA_pathway_germ-plasm_component_contains_similarity_to_Interpro_domain_IPR024970_(Maelstrom_domain)</t>
  </si>
  <si>
    <t>7209.EFO27440.1</t>
  </si>
  <si>
    <t>3.5e-144</t>
  </si>
  <si>
    <t>518.5</t>
  </si>
  <si>
    <t>1KWWN@119089,2E0MZ@1,2S823@2759,3A9R3@33154,3BUBG@33208,3DBFB@33213,40EVJ@6231</t>
  </si>
  <si>
    <t>piRNA pathway germ-plasm component</t>
  </si>
  <si>
    <t>WBGene00007169</t>
  </si>
  <si>
    <t>24.1309</t>
  </si>
  <si>
    <t>Bm1348</t>
  </si>
  <si>
    <t>WBGene00221609</t>
  </si>
  <si>
    <t>Bm160</t>
  </si>
  <si>
    <t>Bm8869</t>
  </si>
  <si>
    <t>WBGene00229130</t>
  </si>
  <si>
    <t>23,3415/34,398</t>
  </si>
  <si>
    <t>16,7076/23,3415/24,57/27,7641</t>
  </si>
  <si>
    <t>35,8722/42,9975/47,6658/15,9705/42,7518/13,5135/39,312/37,5921/39,5577/39,312</t>
  </si>
  <si>
    <t>22,8501/19,9017/22,8501/11,5479/22,6044/45,4545</t>
  </si>
  <si>
    <t>Bm10828</t>
  </si>
  <si>
    <t>WBGene00231089</t>
  </si>
  <si>
    <t>90,3382/90,3382</t>
  </si>
  <si>
    <t>Bm10853</t>
  </si>
  <si>
    <t>WBGene00231114</t>
  </si>
  <si>
    <t>Bm10496</t>
  </si>
  <si>
    <t>WBGene00230757</t>
  </si>
  <si>
    <t>Bm12683</t>
  </si>
  <si>
    <t>WBGene00232944</t>
  </si>
  <si>
    <t>Bm18061</t>
  </si>
  <si>
    <t>WBGene00269201</t>
  </si>
  <si>
    <t>7209.EFO22055.2</t>
  </si>
  <si>
    <t>2.4e-47</t>
  </si>
  <si>
    <t>15,4856/16,5354</t>
  </si>
  <si>
    <t>Bm10659</t>
  </si>
  <si>
    <t>WBGene00230920</t>
  </si>
  <si>
    <t>3e-25</t>
  </si>
  <si>
    <t>56,0345/40,2299/18,9655</t>
  </si>
  <si>
    <t>Bm17302</t>
  </si>
  <si>
    <t>WBGene00268445</t>
  </si>
  <si>
    <t>Bm17232</t>
  </si>
  <si>
    <t>WBGene00268375</t>
  </si>
  <si>
    <t>Bm17458</t>
  </si>
  <si>
    <t>WBGene00268601</t>
  </si>
  <si>
    <t>3.1e-09</t>
  </si>
  <si>
    <t>Bm17186</t>
  </si>
  <si>
    <t>WBGene00268329</t>
  </si>
  <si>
    <t>IPR020683/IPR036770/</t>
  </si>
  <si>
    <t>Ankyrin_repeat-containing_domain/Ankyrin_repeat-containing_domain_superfamily/</t>
  </si>
  <si>
    <t>Ankyrin_rpt-contain_dom/Ankyrin_rpt-contain_sf/</t>
  </si>
  <si>
    <t>Bm653</t>
  </si>
  <si>
    <t>WBGene00220914</t>
  </si>
  <si>
    <t>Bm5107</t>
  </si>
  <si>
    <t>WBGene00225368</t>
  </si>
  <si>
    <t>GO:0002119/GO:0003677/GO:0005634/GO:0006355/GO:0006357/GO:0009887/GO:0030036/GO:0040014/GO:0042694/GO:0042755/GO:0043282/GO:0043565/GO:1905905/</t>
  </si>
  <si>
    <t>DNA_binding/actin_cytoskeleton_organization/animal_organ_morphogenesis/eating_behavior/muscle_cell_fate_specification/nematode_larval_development/nucleus/pharyngeal_gland_morphogenesis/pharyngeal_muscle_development/regulation_of_multicellular_organism_growth/regulation_of_transcription,_DNA-templated/regulation_of_transcription_by_RNA_polymerase_II/sequence-specific_DNA_binding/</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</si>
  <si>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_process_that_is_carried_out_at_the_cellular_level_which_results_in_the_assembly,_arrangement_of_constituent_parts,_or_disassembly_of_cytoskeletal_structures_comprising_actin_filaments_and_their_associated_proteins."_[GOC:dph,_GOC:jl,_GOC:mah]/"Any_molecular_function_by_which_a_gene_product_interacts_selectively_and_non-covalently_with_DNA_(deoxyribonucleic_acid)."_[GOC:dph,_GOC:jl,_GOC:tb,_GOC:vw]/"Any_process_that_modulates_the_frequency,_rate_or_extent_of_cellular_DNA-templated_transcription."_[GOC:go_curators,_GOC:txnOH]/"Any_process_that_modulates_the_frequency,_rate_or_extent_of_growth_of_the_body_of_an_organism_so_that_it_reaches_its_usual_body_size."_[GOC:dph,_GOC:ems,_GOC:tb]/"Any_process_that_modulates_the_frequency,_rate_or_extent_of_transcription_mediated_by_RNA_polymerase_II."_[GOC:go_curators,_GOC:txnOH]/"Interacting_selectively_and_non-covalently_with_DNA_of_a_specific_nucleotide_composition,_e.g._GC-rich_DNA_binding,_or_with_a_specific_sequence_motif_or_type_of_DNA_e.g._promotor_binding_or_rDNA_binding."_[GOC:jl]/"Morphogenesis_of_an_animal_organ._An_organ_is_defined_as_a_tissue_or_set_of_tissues_that_work_together_to_perform_a_specific_function_or_functions._Morphogenesis_is_the_process_in_which_anatomical_structures_are_generated_and_organized._Organs_are_commonly_observed_as_visibly_distinct_structures,_but_may_also_exist_as_loosely_associated_clusters_of_cells_that_work_together_to_perform_a_specific_function_or_functions."_[GOC:dgh,_GOC:go_curators,_ISBN:0471245208,_ISBN:0721662544]/"The_developmental_process_by_which_a_pharyngeal_gland_is_generated_and_organized."_[GO_REF:0000083,_GOC:TermGenie,_PMID:21868609]/"The_process_in_which_a_cell_becomes_capable_of_differentiating_autonomously_into_a_muscle_cell_in_an_environment_that_is_neutral_with_respect_to_the_developmental_pathway;_upon_specification,_the_cell_fate_can_be_reversed."_[CL:0000187,_GOC:go_curators]/"The_process_whose_specific_outcome_is_the_progression_of_the_nematode_larva_over_time,_from_its_formation_to_the_mature_structure._Nematode_larval_development_begins_with_the_newly_hatched_first-stage_larva_(L1)_and_ends_with_the_end_of_the_last_larval_stage_(for_example_the_fourth_larval_stage_(L4)_in_C._elegans)._Each_stage_of_nematode_larval_development_is_characterized_by_proliferation_of_specific_cell_lineages_and_an_increase_in_body_size_without_alteration_of_the_basic_body_plan._Nematode_larval_stages_are_separated_by_molts_in_which_each_stage-specific_exoskeleton,_or_cuticle,_is_shed_and_replaced_anew."_[GOC:ems,_GOC:kmv]/"The_process_whose_specific_outcome_is_the_progression_of_the_pharyngeal_muscle_over_time,_from_its_formation_to_the_mature_structure._A_pharyngeal_muscle_is_any_muscle_that_forms_part_of_the_pharynx."_[GOC:go_curators]/"The_specific_behavior_of_an_organism_relating_to_the_intake_of_food,_any_substance_(usually_solid)_that_can_be_metabolized_by_an_organism_to_give_energy_and_build_tissue."_[GOC:jl,_GOC:pr,_ISBN:01928006X]/</t>
  </si>
  <si>
    <t>note=B._malayi_BMA-PHA-2_protein,_contains_similarity_toPfam_domain_PF00046_Homeobox_domain_contains_similarity_toInterpro_domains_IPR020479_(Homeodomain,_metazoa),IPR001356_(Homeobox_domain),_IPR009057_(Homeodomain-like)</t>
  </si>
  <si>
    <t>7209.EFO16673.2</t>
  </si>
  <si>
    <t>3.1e-86</t>
  </si>
  <si>
    <t>324.7</t>
  </si>
  <si>
    <t>pha-2</t>
  </si>
  <si>
    <t>GO:0001708,GO:0002119,GO:0002164,GO:0005575,GO:0005622,GO:0005623,GO:0005634,GO:0006355,GO:0006357,GO:0006996,GO:0007010,GO:0007275,GO:0007517,GO:0007610,GO:0007631,GO:0008150,GO:0009653,GO:0009791,GO:0009887,GO:0009889,GO:0009987,GO:0010468,GO:0010556,GO:0016043,GO:0019219,GO:0019222,GO:0022612,GO:0030029,GO:0030036,GO:0030154,GO:0031323,GO:0031326,GO:0032501,GO:0032502,GO:0035295,GO:0040008,GO:0040014,GO:0042692,GO:0042693,GO:0042694,GO:0042755,GO:0043226,GO:0043227,GO:0043229,GO:0043231,GO:0043282,GO:0044424,GO:0044464,GO:0045165,GO:0048513,GO:0048565,GO:0048638,GO:0048731,GO:0048732,GO:0048856,GO:0048869,GO:0050789,GO:0050793,GO:0050794,GO:0051171,GO:0051239,GO:0051252,GO:0055123,GO:0060255,GO:0060465,GO:0061061,GO:0065007,GO:0071840,GO:0080090,GO:1903506,GO:1905905,GO:2000112,GO:2001141</t>
  </si>
  <si>
    <t>ko:K08024</t>
  </si>
  <si>
    <t>ko04950,ko05202,map04950,map05202</t>
  </si>
  <si>
    <t>1KWE0@119089,39TAD@33154,3BJ8A@33208,3CY61@33213,40E98@6231,KOG0483@1,KOG0483@2759</t>
  </si>
  <si>
    <t>24,6305/25,1232</t>
  </si>
  <si>
    <t>WBGene00004011</t>
  </si>
  <si>
    <t>38.4236</t>
  </si>
  <si>
    <t>Bm17542</t>
  </si>
  <si>
    <t>WBGene00268685</t>
  </si>
  <si>
    <t>Bm360</t>
  </si>
  <si>
    <t>WBGene00220621</t>
  </si>
  <si>
    <t>GO:0005524/GO:0016020/GO:0016021/GO:0042626/GO:0055085/</t>
  </si>
  <si>
    <t>ATP_binding/ATPase_activity,_coupled_to_transmembrane_movement_of_substances/integral_component_of_membrane/membrane/transmembrane_transport/</t>
  </si>
  <si>
    <t>A_lipid_bilayer_along_with_all_the_proteins_and_protein_complexes_embedded_in_it_an_attached_to_it._[GOC:dos,_GOC:mah,_ISBN:0815316194]/"Catalysis_of_the_reaction:_ATP_+_H2O_=_ADP_+_phosphate,_to_directly_drive_the_active_transport_of_a_substance_across_a_membrane."_[EC:3.6.1.3,_GOC:jl]/"Interacting_selectively_and_non-covalently_with_ATP,_adenosine_5'-triphosphate,_a_universally_important_coenzyme_and_enzyme_regulator."_[ISBN:0198506732]/"The_component_of_a_membrane_consisting_of_the_gene_products_and_protein_complexes_having_at_least_some_part_of_their_peptide_sequence_embedded_in_the_hydrophobic_region_of_the_membrane."_[GOC:dos,_GOC:go_curators]/"The_process_in_which_a_solute_is_transported_across_a_lipid_bilayer,_from_one_side_of_a_membrane_to_the_other."_[GOC:dph,_GOC:jid]/</t>
  </si>
  <si>
    <t>IPR011527/IPR036640/IPR039421/</t>
  </si>
  <si>
    <t>ABC_transporter_type_1,_transmembrane_domain/ABC_transporter_type_1,_transmembrane_domain_superfamily/Type_I_protein_exporter/</t>
  </si>
  <si>
    <t>ABC1_TM_dom/ABC1_TM_sf/Type_I_exporter/</t>
  </si>
  <si>
    <t>note=contains_similarity_to_Interpro_domain_IPR011527_(ABC_transporter_type_1,_transmembrane_domain)</t>
  </si>
  <si>
    <t>7209.EFO16975.1</t>
  </si>
  <si>
    <t>1.4e-239</t>
  </si>
  <si>
    <t>835.9</t>
  </si>
  <si>
    <t>COG1132@1,KOG0055@2759</t>
  </si>
  <si>
    <t>ATPase activity, coupled to transmembrane movement of substances</t>
  </si>
  <si>
    <t>Bm17978</t>
  </si>
  <si>
    <t>WBGene00269120</t>
  </si>
  <si>
    <t>Bm2443</t>
  </si>
  <si>
    <t>WBGene00222704</t>
  </si>
  <si>
    <t>note=B._malayi_BMA-UNC-41_protein,_contains_similarity_to_Pfam_domain_PF00928_Adaptor_complexes_medium_subunit_family_contains_similarity_to_Interpro_domains_IPR028565_(Mu_homology_domain),_IPR008968_(Clathrin_adaptor,_mu_subunit,_C-terminal),_IPR011993_(Pleckstrin_homology-like_domain)</t>
  </si>
  <si>
    <t>2,04082/54,0816</t>
  </si>
  <si>
    <t>Bm357</t>
  </si>
  <si>
    <t>WBGene00220618</t>
  </si>
  <si>
    <t>Bm10218</t>
  </si>
  <si>
    <t>WBGene00230479</t>
  </si>
  <si>
    <t>Bm1446</t>
  </si>
  <si>
    <t>WBGene00221707</t>
  </si>
  <si>
    <t>7209.EFO22035.1</t>
  </si>
  <si>
    <t>1.2e-215</t>
  </si>
  <si>
    <t>756.1</t>
  </si>
  <si>
    <t>1KWEC@119089,2DVXW@1,2S6P5@2759,3A5VQ@33154,3BTQN@33208,3DAI3@33213,40DXA@6231</t>
  </si>
  <si>
    <t>23,1579/21,0526</t>
  </si>
  <si>
    <t>24,386/21,4035/21,5789/24,2105/24,2105</t>
  </si>
  <si>
    <t>27,5439/25,4386</t>
  </si>
  <si>
    <t>WBGene00007688</t>
  </si>
  <si>
    <t>25.2632</t>
  </si>
  <si>
    <t>Bm10178</t>
  </si>
  <si>
    <t>WBGene00230439</t>
  </si>
  <si>
    <t>7209.EFO28472.1</t>
  </si>
  <si>
    <t>2.9e-39</t>
  </si>
  <si>
    <t>169.5</t>
  </si>
  <si>
    <t>GO:0007275,GO:0008150,GO:0018996,GO:0032501,GO:0032502,GO:0040002,GO:0042303,GO:0042335,GO:0042338,GO:0048856</t>
  </si>
  <si>
    <t>1KYWZ@119089,3AK5X@33154,3BZVS@33208,3DG8Y@33213,40G5E@6231,KOG3544@1,KOG3544@2759</t>
  </si>
  <si>
    <t>WBGene00000650</t>
  </si>
  <si>
    <t>37.2159</t>
  </si>
  <si>
    <t>Bm1666</t>
  </si>
  <si>
    <t>WBGene00221927</t>
  </si>
  <si>
    <t>GO:0006508/GO:0008233/GO:0008234/GO:0016020/GO:0016021/GO:0016787/</t>
  </si>
  <si>
    <t>cysteine-type_peptidase_activity/hydrolase_activity/integral_component_of_membrane/membrane/peptidase_activity/proteolysis/</t>
  </si>
  <si>
    <t>A_lipid_bilayer_along_with_all_the_proteins_and_protein_complexes_embedded_in_it_an_attached_to_it._[GOC:dos,_GOC:mah,_ISBN:0815316194]/"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peptide_bonds_in_a_polypeptide_chain_by_a_mechanism_in_which_the_sulfhydryl_group_of_a_cysteine_residue_at_the_active_center_acts_as_a_nucleophile."_[GOC:mah,_http://merops.sanger.ac.uk/about/glossary.htm#CATTYPE]/"Catalysis_of_the_hydrolysis_of_various_bonds,_e.g._C-O,_C-N,_C-C,_phosphoric_anhydride_bonds,_etc._Hydrolase_is_the_systematic_name_for_any_enzyme_of_EC_class_3."_[ISBN:0198506732]/"The_component_of_a_membrane_consisting_of_the_gene_products_and_protein_complexes_having_at_least_some_part_of_their_peptide_sequence_embedded_in_the_hydrophobic_region_of_the_membrane."_[GOC:dos,_GOC:go_curators]/"The_hydrolysis_of_proteins_into_smaller_polypeptides_and/or_amino_acids_by_cleavage_of_their_peptide_bonds."_[GOC:bf,_GOC:mah]/</t>
  </si>
  <si>
    <t>note=contains_similarity_to_Pfam_domain_PF08246_Cathepsin_propeptide_inhibitor_domain_(I29)_contains_similarity_to_Interpro_domain_IPR013201_(Proteinase_inhibitor_I29,_cathepsin_propeptide)</t>
  </si>
  <si>
    <t>7209.EFO18631.2</t>
  </si>
  <si>
    <t>2.8e-121</t>
  </si>
  <si>
    <t>442.2</t>
  </si>
  <si>
    <t>16,8704/10,2689/21,5159</t>
  </si>
  <si>
    <t>20,2934/26,1614/26,4059/25,6724</t>
  </si>
  <si>
    <t>20,7824/20,5379/24,2054/24,2054/23,7164/23,4719/20,2934/22,7384/20,7824/25,9169</t>
  </si>
  <si>
    <t>21,5159/24,2054/26,1614/23,9609/26,6504</t>
  </si>
  <si>
    <t>21,2714/20,2934</t>
  </si>
  <si>
    <t>22,2494/21,7604/22,7384/25,9169/25,1834</t>
  </si>
  <si>
    <t>27,3839/27,3839/22,2494</t>
  </si>
  <si>
    <t>23,7164/24,9389/16,8704</t>
  </si>
  <si>
    <t>21,5159/14,6699</t>
  </si>
  <si>
    <t>22,4939/17,6039/6,11247</t>
  </si>
  <si>
    <t>21,0269/16,1369/19,8044/17,8484/16,6259/17,6039/14,9144/16,8704/24,2054/19,3154/10,7579/18,3374/19,3154/20,0489/24,6944/15,1589/25,6724/20,7824/16,1369</t>
  </si>
  <si>
    <t>26,4059/24,2054/26,6504</t>
  </si>
  <si>
    <t>21.0269/16.1369/19.8044/17.8484/16.6259/17.6039/14.9144/16.8704/24.2054/19.3154/10.7579/18.3374/19.3154/20.0489/24.6944/15.1589/25.6724/20.7824/16.1369</t>
  </si>
  <si>
    <t>Bm17530</t>
  </si>
  <si>
    <t>WBGene00268673</t>
  </si>
  <si>
    <t>Bm18019</t>
  </si>
  <si>
    <t>WBGene00269161</t>
  </si>
  <si>
    <t>Bm3456</t>
  </si>
  <si>
    <t>WBGene00223717</t>
  </si>
  <si>
    <t>GO:0004930/GO:0007186/GO:0016021/</t>
  </si>
  <si>
    <t>G_protein-coupled_receptor_activity/G_protein-coupled_receptor_signaling_pathway/integral_component_of_membrane/</t>
  </si>
  <si>
    <t>A_series_of_molecular_signals_that_proceeds_with_an_activated_receptor_promoting_the_exchange_of_GDP_for_GTP_on_the_alpha-subunit_of_an_associated_heterotrimeric_G-protein_complex._The_GTP-bound_activated_alpha-G-protein_then_dissociates_from_the_beta-_and_gamma-subunits_to_further_transmit_the_signal_within_the_cell._The_pathway_begins_with_receptor-ligand_interaction,_or_for_basal_GPCR_signaling_the_pathway_begins_with_the_receptor_activating_its_G_protein_in_the_absence_of_an_agonist,_and_ends_with_regulation_of_a_downstream_cellular_process,_e.g._transcription.__The_pathway_can_start_from_the_plasma_membrane,_Golgi_or_nuclear_membrane_(PMID:24568158_and_PMID:16902576)._[GOC:bf,_GOC:mah,_PMID:16902576,_PMID:24568158,_Wikipedia:G_protein-coupled_receptor]/"Combining_with_an_extracellular_signal_and_transmitting_the_signal_across_the_membrane_by_activating_an_associated_G-protein;_promotes_the_exchange_of_GDP_for_GTP_on_the_alpha_subunit_of_a_heterotrimeric_G-protein_complex."_[GOC:bf,_http://www.iuphar-db.org,_Wikipedia:GPCR]/"The_component_of_a_membrane_consisting_of_the_gene_products_and_protein_complexes_having_at_least_some_part_of_their_peptide_sequence_embedded_in_the_hydrophobic_region_of_the_membrane."_[GOC:dos,_GOC:go_curators]/</t>
  </si>
  <si>
    <t>IPR000276/IPR017452/IPR019424/</t>
  </si>
  <si>
    <t>GPCR,_rhodopsin-like,_7TM/G_protein-coupled_receptor,_rhodopsin-like/Serpentine_type_7TM_GPCR_chemoreceptor_Srsx/</t>
  </si>
  <si>
    <t>7TM_GPCR_Srsx/GPCR_Rhodpsn/GPCR_Rhodpsn_7TM/</t>
  </si>
  <si>
    <t>note=contains_similarity_to_Pfam_domain_PF10320_Serpentine_type_7TM_GPCR_chemoreceptor_Srsx_contains_similarity_to_Interpro_domain_IPR019424_(7TM_GPCR,_olfactory_receptor/chemoreceptor_Srsx)</t>
  </si>
  <si>
    <t>7209.EJD74864.1</t>
  </si>
  <si>
    <t>2.4e-31</t>
  </si>
  <si>
    <t>142.9</t>
  </si>
  <si>
    <t>srsx-32</t>
  </si>
  <si>
    <t>1M02X@119089,2D5EJ@1,2SY9V@2759,3AVBB@33154,3C3E5@33208,3DJVP@33213,40H5Q@6231</t>
  </si>
  <si>
    <t>Serpentine type 7TM GPCR chemoreceptor Srsx</t>
  </si>
  <si>
    <t>43,0556/57,4074</t>
  </si>
  <si>
    <t>47,6852/49,537</t>
  </si>
  <si>
    <t>18,0556/19,4444/20,8333/19,4444/19,4444/17,1296/18,0556/19,9074</t>
  </si>
  <si>
    <t>25,463/17,1296/20,3704/7,87037/24,537/24,0741/18,9815/25,9259/27,3148/19,4444/17,5926/19,9074/19,4444</t>
  </si>
  <si>
    <t>WBGene00009999/WBGene00008251/WBGene00017615/WBGene00008247/WBGene00012055/WBGene00010800/WBGene00008248/WBGene00010802/WBGene00012054/WBGene00008552/WBGene00008250/WBGene00008249/WBGene00011837</t>
  </si>
  <si>
    <t>25.463/17.1296/20.3704/7.87037/24.537/24.0741/18.9815/25.9259/27.3148/19.4444/17.5926/19.9074/19.4444</t>
  </si>
  <si>
    <t>Bm8137</t>
  </si>
  <si>
    <t>WBGene00228398</t>
  </si>
  <si>
    <t>7209.EFO21591.1</t>
  </si>
  <si>
    <t>1.4e-26</t>
  </si>
  <si>
    <t>126.3</t>
  </si>
  <si>
    <t>GO:0000003,GO:0000228,GO:0000280,GO:0000785,GO:0000790,GO:0005575,GO:0005622,GO:0005623,GO:0005634,GO:0005694,GO:0006996,GO:0007049,GO:0007059,GO:0007060,GO:0007140,GO:0007276,GO:0008150,GO:0009987,GO:0016043,GO:0019953,GO:0022402,GO:0022412,GO:0022414,GO:0031974,GO:0031981,GO:0032501,GO:0032504,GO:0043226,GO:0043227,GO:0043228,GO:0043229,GO:0043231,GO:0043232,GO:0043233,GO:0044422,GO:0044424,GO:0044427,GO:0044428,GO:0044446,GO:0044454,GO:0044464,GO:0044703,GO:0045132,GO:0048232,GO:0048285,GO:0048609,GO:0051321,GO:0051704,GO:0070013,GO:0071840,GO:0098813,GO:0140013,GO:1903046</t>
  </si>
  <si>
    <t>Bm9924</t>
  </si>
  <si>
    <t>WBGene00230185</t>
  </si>
  <si>
    <t>Bm17167</t>
  </si>
  <si>
    <t>WBGene00268310</t>
  </si>
  <si>
    <t>Bm9889</t>
  </si>
  <si>
    <t>WBGene00230150</t>
  </si>
  <si>
    <t>Bm1063</t>
  </si>
  <si>
    <t>WBGene00221324</t>
  </si>
  <si>
    <t>Bm11060</t>
  </si>
  <si>
    <t>WBGene00231321</t>
  </si>
  <si>
    <t>3.1e-88</t>
  </si>
  <si>
    <t>13,8462/11,3846</t>
  </si>
  <si>
    <t>14,1538/6,76923/10,4615</t>
  </si>
  <si>
    <t>Bm219</t>
  </si>
  <si>
    <t>WBGene00220480</t>
  </si>
  <si>
    <t>78,8845/63,3466</t>
  </si>
  <si>
    <t>Bm7748</t>
  </si>
  <si>
    <t>WBGene00228009</t>
  </si>
  <si>
    <t>Bm10172</t>
  </si>
  <si>
    <t>WBGene00230433</t>
  </si>
  <si>
    <t>72,449/71,4286</t>
  </si>
  <si>
    <t>Bm4233</t>
  </si>
  <si>
    <t>WBGene00224494</t>
  </si>
  <si>
    <t>IPR001283/IPR002413/IPR014044/IPR035940/</t>
  </si>
  <si>
    <t>CAP_domain/CAP_superfamily/Cysteine-rich__secretory_protein-related/Venom_allergen_5-like/</t>
  </si>
  <si>
    <t>CAP_domain/CAP_sf/CRISP-related/V5_allergen-like/</t>
  </si>
  <si>
    <t>note=contains_similarity_to_Pfam_domain_PF00188_Cysteine-rich_secretory_protein_family_contains_similarity_to_Interpro_domains_IPR014044_(CAP_domain),_IPR002413_(Ves_allergen),_IPR001283_(Cysteine-rich_secretory_protein,_allergen_V5/Tpx-1-related)</t>
  </si>
  <si>
    <t>73,3032/48,8688</t>
  </si>
  <si>
    <t>73,3032/53,8462/54,2986/52,4887</t>
  </si>
  <si>
    <t>35,7466/28,5068/35,2941/32,5792/32,5792/35,7466/35,2941</t>
  </si>
  <si>
    <t>30,7692/28,9593</t>
  </si>
  <si>
    <t>30,7692/28,5068/30,7692/30,7692/31,2217/29,4118/29,4118/28,9593/28,9593</t>
  </si>
  <si>
    <t>28,0543/28,5068/16,7421/26,2443/26,2443/26,2443/28,0543/26,2443/27,6018/26,2443/28,9593/28,0543/30,3167/27,6018/22,1719/28,9593/24,8869</t>
  </si>
  <si>
    <t>25,7919/29,8643/28,0543/29,8643/28,0543/28,5068/32,1267</t>
  </si>
  <si>
    <t>30,7692/24,4344/26,6968</t>
  </si>
  <si>
    <t>12,2172/11,7647</t>
  </si>
  <si>
    <t>23,0769/25,3394/22,6244/25,3394/23,9819/21,7195/20,8145/20,362/9,50226/9,50226/9,50226/23,0769/19,0045</t>
  </si>
  <si>
    <t>23,9819/23,5294/20,8145/22,6244/23,0769/24,8869/23,5294/19,457/21,267/20,362/9,50226/23,0769/19,9095</t>
  </si>
  <si>
    <t>23,5294/19,9095/19,9095/22,1719/17,1946/23,5294/20,8145</t>
  </si>
  <si>
    <t>30.7692</t>
  </si>
  <si>
    <t>Bm9734</t>
  </si>
  <si>
    <t>WBGene00229995</t>
  </si>
  <si>
    <t>Bm13351</t>
  </si>
  <si>
    <t>WBGene00233612</t>
  </si>
  <si>
    <t>Bm10149</t>
  </si>
  <si>
    <t>WBGene00230410</t>
  </si>
  <si>
    <t>Bm49</t>
  </si>
  <si>
    <t>WBGene00220310</t>
  </si>
  <si>
    <t>Bm9076</t>
  </si>
  <si>
    <t>WBGene00229337</t>
  </si>
  <si>
    <t>7209.EFO15477.1</t>
  </si>
  <si>
    <t>1e-10</t>
  </si>
  <si>
    <t>Bm7913</t>
  </si>
  <si>
    <t>WBGene00228174</t>
  </si>
  <si>
    <t>Bm842</t>
  </si>
  <si>
    <t>WBGene00221103</t>
  </si>
  <si>
    <t>Bm3303</t>
  </si>
  <si>
    <t>WBGene00223564</t>
  </si>
  <si>
    <t>note=contains_similarity_to_Pfam_domains_PF00104_(Ligand-binding_domain_of_nuclear_hormone_receptor),_PF00105_(Zinc_finger,_C4_type_(two_domains))_contains_similarity_to_Interpro_domains_IPR013088_(Zinc_finger,_NHR/GATA-type),_IPR008946_(Nuclear_hormone_receptor,_ligand-binding),_IPR001628_(Zinc_finger,_nuclear_hormone_receptor-type),_IPR000536_(Nuclear_hormone_receptor,_ligand-binding,_core),_IPR001723_(Steroid_hormone_receptor),_IPR016355_(Nuclear_hormone_receptor_family_5)</t>
  </si>
  <si>
    <t>7209.EFO26223.1</t>
  </si>
  <si>
    <t>5.3e-282</t>
  </si>
  <si>
    <t>976.5</t>
  </si>
  <si>
    <t>GO:0003674,GO:0005488,GO:0005515,GO:0005575,GO:0005622,GO:0005623,GO:0005634,GO:0006355,GO:0006357,GO:0008150,GO:0009889,GO:0009891,GO:0009893,GO:0010468,GO:0010556,GO:0010557,GO:0010604,GO:0010628,GO:0018996,GO:0019219,GO:0019222,GO:0019904,GO:0031323,GO:0031325,GO:0031326,GO:0031328,GO:0032501,GO:0042303,GO:0043226,GO:0043227,GO:0043229,GO:0043231,GO:0044424,GO:0044464,GO:0045893,GO:0045935,GO:0045944,GO:0048518,GO:0048522,GO:0050789,GO:0050794,GO:0051171,GO:0051173,GO:0051252,GO:0051254,GO:0060255,GO:0065007,GO:0070016,GO:0080090,GO:1902680,GO:1903506,GO:1903508,GO:2000112,GO:2001141</t>
  </si>
  <si>
    <t>1KUI0@119089,38E3M@33154,3BC46@33208,3CTAZ@33213,40C3R@6231,KOG4218@1,KOG4218@2759</t>
  </si>
  <si>
    <t>16,6667/82,2581</t>
  </si>
  <si>
    <t>9,67742/31,1828</t>
  </si>
  <si>
    <t>45,1613/36,9176</t>
  </si>
  <si>
    <t>43,9068/35,8423</t>
  </si>
  <si>
    <t>37,8136/37,0968</t>
  </si>
  <si>
    <t>37,9928/37,9928</t>
  </si>
  <si>
    <t>26,1649/27,5986</t>
  </si>
  <si>
    <t>27,7778/26,1649</t>
  </si>
  <si>
    <t>26,8817/26,5233/28,3154/27,2401</t>
  </si>
  <si>
    <t>WBGene00003623</t>
  </si>
  <si>
    <t>40.681</t>
  </si>
  <si>
    <t>Bm282</t>
  </si>
  <si>
    <t>WBGene00220543</t>
  </si>
  <si>
    <t>Bm10010</t>
  </si>
  <si>
    <t>WBGene00230271</t>
  </si>
  <si>
    <t>note=contains_similarity_to_Pfam_domain_PF00335_Tetraspanin_family_contains_similarity_to_Interpro_domains_IPR018499_(Tetraspanin/Peripherin),_IPR000301_(Tetraspanin),_IPR008952_(Tetraspanin,_EC2_domain)</t>
  </si>
  <si>
    <t>7209.EFO28430.1</t>
  </si>
  <si>
    <t>1.5e-135</t>
  </si>
  <si>
    <t>489.2</t>
  </si>
  <si>
    <t>38EGM@33154,3B9YM@33208,3CWUU@33213,KOG3882@1,KOG3882@2759</t>
  </si>
  <si>
    <t>positive regulation of Notch signaling pathway</t>
  </si>
  <si>
    <t>11,8182/25,4545/26,3636</t>
  </si>
  <si>
    <t>19,0909/14,5455</t>
  </si>
  <si>
    <t>26,0606/26,0606</t>
  </si>
  <si>
    <t>13,0303/16,9697/8,48485/11,5152/19,697/16,9697/10,303/12,4242/10,303/9,39394/14,5455/16,3636/11,5152/10,6061/13,6364/16,3636/15,4545/11,5152/20/19,3939/15,1515/14,2424/12,1212/13,9394/13,9394/13,9394/15,4545</t>
  </si>
  <si>
    <t>11,5152/17,5758/8,18182/10,9091/19,3939/17,5758/10/12,4242/13,0303/9,39394/14,5455/16,0606/11,2121/11,8182/14,5455/16,3636/10/20/19,0909/17,2727/14,2424/11,8182/13,6364/14,2424/14,2424/15,7576</t>
  </si>
  <si>
    <t>17,2727/8,78788/10,303/10,303/11,5152/19,697/14,2424/11,8182/6,06061/6,9697/13,3333/7,87879/8,78788/15,1515/14,5455/11,2121/10,6061/13,9394/13,3333/9,69697/10,303/10,303/12,7273/16,0606/20,9091/13,0303/20,6061/17,8788/15,4545/14,8485/11,8182/11,8182/15,4545/12,7273/12,7273/16,3636</t>
  </si>
  <si>
    <t>WBGene00006638</t>
  </si>
  <si>
    <t>32.1212</t>
  </si>
  <si>
    <t>Bm1185</t>
  </si>
  <si>
    <t>WBGene00221446</t>
  </si>
  <si>
    <t>Bm8848</t>
  </si>
  <si>
    <t>WBGene00229109</t>
  </si>
  <si>
    <t>7209.EJD74802.1</t>
  </si>
  <si>
    <t>6.4e-190</t>
  </si>
  <si>
    <t>670.6</t>
  </si>
  <si>
    <t>22,8873/21,6549</t>
  </si>
  <si>
    <t>22,7113/25/24,1197/22,5352/22,8873</t>
  </si>
  <si>
    <t>24,4718/22,1831</t>
  </si>
  <si>
    <t>26.2324</t>
  </si>
  <si>
    <t>Bm3829</t>
  </si>
  <si>
    <t>WBGene00224090</t>
  </si>
  <si>
    <t>IPR000884/IPR002601/IPR012937/IPR036383/</t>
  </si>
  <si>
    <t>C6_domain/Terminal_nucleotidyltransferase/Thrombospondin_type-1_(TSP1)_repeat/Thrombospondin_type-1_(TSP1)_repeat_superfamily/</t>
  </si>
  <si>
    <t>C6_domain/TET5/TSP1_rpt/TSP1_rpt_sf/</t>
  </si>
  <si>
    <t>note=contains_similarity_to_Pfam_domain_PF01681_C6_domain_contains_similarity_to_Interpro_domains_IPR002601_(C6_domain),_IPR000884_(Thrombospondin,_type_1_repeat)</t>
  </si>
  <si>
    <t>6238.CBG23067</t>
  </si>
  <si>
    <t>4.1e-23</t>
  </si>
  <si>
    <t>117.1</t>
  </si>
  <si>
    <t>1M8I4@119089,2E15A@1,2S8HK@2759,39MIZ@33154,3C27J@33208,3E59X@33213,40RDT@6231,40UHM@6236</t>
  </si>
  <si>
    <t>C6</t>
  </si>
  <si>
    <t>Bm10658</t>
  </si>
  <si>
    <t>WBGene00230919</t>
  </si>
  <si>
    <t>note=contains_similarity_to_Pfam_domains_PF00096_(Zinc_finger,_C2H2_type),_PF13894_(C2H2-type_zinc_finger),_PF13912_(C2H2-type_zinc_finger)_contains_similarity_to_Interpro_domains_IPR015880_(Zinc_finger,_C2H2-like),_IPR013087_(Zinc_finger_C2H2-type/integrase_DNA-binding_domain),_IPR007087_(Zinc_finger,_C2H2)</t>
  </si>
  <si>
    <t>3.5e-10</t>
  </si>
  <si>
    <t>10,7551/12,5858/12,8146/15,3318/12,8146</t>
  </si>
  <si>
    <t>12,357/13,0435/13,9588/2,97483/6,63616/6,63616/0,686499/12,8146/12,5858/14,6453/11,8993/9,15332/14,1876/13,0435</t>
  </si>
  <si>
    <t>12,357/13,0435/13,9588/2,97483/12,357/13,5011/14,1876/13,73/8,92449</t>
  </si>
  <si>
    <t>Bm10122</t>
  </si>
  <si>
    <t>WBGene00230383</t>
  </si>
  <si>
    <t>75,8929/83,9286/73,2143</t>
  </si>
  <si>
    <t>31,6964/27,6786</t>
  </si>
  <si>
    <t>Bm6550</t>
  </si>
  <si>
    <t>WBGene00226811</t>
  </si>
  <si>
    <t>note=B._malayi_BMA-DMD-3_protein,_contains_similarity_toPfam_domain_PF00751_DM_DNA_binding_domain_containssimilarity_to_Interpro_domains_IPR026607_(DMRT/proteindoublesex/protein_male_abnormal_3),_IPR001275_(DMDNA-binding_domain)</t>
  </si>
  <si>
    <t>7209.EFO15216.1</t>
  </si>
  <si>
    <t>5.1e-99</t>
  </si>
  <si>
    <t>367.9</t>
  </si>
  <si>
    <t>GO:0000003,GO:0003006,GO:0007275,GO:0007548,GO:0008150,GO:0009653,GO:0009893,GO:0010468,GO:0010604,GO:0010628,GO:0019222,GO:0022414,GO:0032501,GO:0032502,GO:0045138,GO:0046661,GO:0048518,GO:0048856,GO:0050789,GO:0060255,GO:0065007,GO:0090598</t>
  </si>
  <si>
    <t>ko:K19491</t>
  </si>
  <si>
    <t>1KYYX@119089,3AJJG@33154,3BZVG@33208,3DG7X@33213,40G3Y@6231,KOG3815@1,KOG3815@2759</t>
  </si>
  <si>
    <t>25,1534/44,4785</t>
  </si>
  <si>
    <t>11,0429/13,4969/11,0429/11,0429/8,89571/1,84049/1,84049</t>
  </si>
  <si>
    <t>10,7362/12,5767/11,3497/11,3497/3,06748/9,81595</t>
  </si>
  <si>
    <t>10,4294/10,7362/10,4294/10,4294</t>
  </si>
  <si>
    <t>WBGene00012832</t>
  </si>
  <si>
    <t>39.5706</t>
  </si>
  <si>
    <t>Bm12357</t>
  </si>
  <si>
    <t>WBGene00232618</t>
  </si>
  <si>
    <t>GO:0003676/GO:0005515/GO:0031047/</t>
  </si>
  <si>
    <t>gene_silencing_by_RNA/nucleic_acid_binding/protein_binding/</t>
  </si>
  <si>
    <t>Any_process_in_which_RNA_molecules_inactivate_expression_of_target_genes._[GOC:dph,_GOC:mah,_GOC:tb,_PMID:15020054]/"Interacting_selectively_and_non-covalently_with_any_nucleic_acid."_[GOC:jl]/"Interacting_selectively_and_non-covalently_with_any_protein_or_protein_complex_(a_complex_of_two_or_more_proteins_that_may_include_other_nonprotein_molecules)."_[GOC:go_curators]/</t>
  </si>
  <si>
    <t>IPR003100/IPR003165/IPR012337/IPR014811/IPR032472/IPR032473/IPR032474/IPR036085/IPR036397/</t>
  </si>
  <si>
    <t>Argonaute,_linker_1_domain/Argonaute_linker_2_domain/PAZ_domain/PAZ_domain_superfamily/Piwi_domain/Protein_argonaute,_Mid_domain/Protein_argonaute,_N-terminal/Ribonuclease_H-like_superfamily/Ribonuclease_H_superfamily/</t>
  </si>
  <si>
    <t>ArgoL1/ArgoL2/Argonaute_Mid_dom/Argonaute_N/PAZ_dom/PAZ_dom_sf/Piwi/RNaseH-like_sf/RNaseH_sf/</t>
  </si>
  <si>
    <t>7209.EFO19031.2</t>
  </si>
  <si>
    <t>1878.2</t>
  </si>
  <si>
    <t>GO:0000003,GO:0005575,GO:0005622,GO:0005623,GO:0005737,GO:0007276,GO:0007283,GO:0008150,GO:0019953,GO:0022414,GO:0032501,GO:0032504,GO:0032991,GO:0035770,GO:0036464,GO:0043186,GO:0043226,GO:0043228,GO:0043229,GO:0043232,GO:0044424,GO:0044444,GO:0044464,GO:0044703,GO:0045495,GO:0048232,GO:0048609,GO:0051704,GO:0060293,GO:1990904</t>
  </si>
  <si>
    <t>ko:K11593</t>
  </si>
  <si>
    <t>ko00000,ko03019,ko03036</t>
  </si>
  <si>
    <t>1M86N@119089,39VV0@33154,3BP52@33208,3D46I@33213,40BQ3@6231,KOG1041@1,KOG1041@2759</t>
  </si>
  <si>
    <t>spermatogenesis</t>
  </si>
  <si>
    <t>92,9961/92,9961</t>
  </si>
  <si>
    <t>55,3502/16,7315</t>
  </si>
  <si>
    <t>14,4942/66,9261</t>
  </si>
  <si>
    <t>59,5331/59,144</t>
  </si>
  <si>
    <t>WBGene00006449/WBGene00011910</t>
  </si>
  <si>
    <t>59.5331/59.144</t>
  </si>
  <si>
    <t>Bm11511</t>
  </si>
  <si>
    <t>WBGene00231772</t>
  </si>
  <si>
    <t>7209.EFO23536.1</t>
  </si>
  <si>
    <t>3.8e-215</t>
  </si>
  <si>
    <t>754.6</t>
  </si>
  <si>
    <t>1KVQ5@119089,38I4J@33154,3BHTZ@33208,3CWQH@33213,40D9N@6231,KOG4441@1,KOG4441@2759</t>
  </si>
  <si>
    <t>protein ubiquitination</t>
  </si>
  <si>
    <t>25,0386/25,5023</t>
  </si>
  <si>
    <t>23,1839/22,4111/23,0294</t>
  </si>
  <si>
    <t>WBGene00018563/WBGene00002186</t>
  </si>
  <si>
    <t>25.0386/25.5023</t>
  </si>
  <si>
    <t>Bm1413</t>
  </si>
  <si>
    <t>WBGene00221674</t>
  </si>
  <si>
    <t>Bm14243</t>
  </si>
  <si>
    <t>WBGene00234504</t>
  </si>
  <si>
    <t>Bm8097</t>
  </si>
  <si>
    <t>WBGene00228358</t>
  </si>
  <si>
    <t>Bm4620</t>
  </si>
  <si>
    <t>WBGene00224881</t>
  </si>
  <si>
    <t>GO:0005737/GO:0008767/GO:0016491/GO:0016853/GO:0033692/GO:0055114/</t>
  </si>
  <si>
    <t>UDP-galactopyranose_mutase_activity/cellular_polysaccharide_biosynthetic_process/cytoplasm/isomerase_activity/oxidation-reduction_process/oxidoreductase_activity/</t>
  </si>
  <si>
    <t>A_metabolic_process_that_results_in_the_removal_or_addition_of_one_or_more_electrons_to_or_from_a_substance,_with_or_without_the_concomitant_removal_or_addition_of_a_proton_or_protons._[GOC:dhl,_GOC:ecd,_GOC:jh2,_GOC:jid,_GOC:mlg,_GOC:rph]/"All_of_the_contents_of_a_cell_excluding_the_plasma_membrane_and_nucleus,_but_including_other_subcellular_structures."_[ISBN:0198547684]/"Catalysis_of_an_oxidation-reduction_(redox)_reaction,_a_reversible_chemical_reaction_in_which_the_oxidation_state_of_an_atom_or_atoms_within_a_molecule_is_altered._One_substrate_acts_as_a_hydrogen_or_electron_donor_and_becomes_oxidized,_while_the_other_acts_as_hydrogen_or_electron_acceptor_and_becomes_reduced."_[GOC:go_curators]/"Catalysis_of_the_geometric_or_structural_changes_within_one_molecule._Isomerase_is_the_systematic_name_for_any_enzyme_of_EC_class_5."_[ISBN:0198506732]/"Catalysis_of_the_reaction:_UDP-D-galactopyranose_=_UDP-D-galacto-1,4-furanose."_[EC:5.4.99.9]/"The_chemical_reactions_and_pathways_resulting_in_the_formation_of_polysaccharides,_polymers_of_many_(typically_more_than_10)_monosaccharide_residues_linked_glycosidically,_occurring_at_the_level_of_an_individual_cell."_[CHEBI:18154,_GOC:go_curators]/</t>
  </si>
  <si>
    <t>IPR002937/IPR036188/</t>
  </si>
  <si>
    <t>Amine_oxidase/FAD/NAD(P)-binding_domain_superfamily/</t>
  </si>
  <si>
    <t>Amino_oxidase/FAD/NAD-bd_sf/</t>
  </si>
  <si>
    <t>note=B._malayi_BMA-GLF-1_protein</t>
  </si>
  <si>
    <t>7209.EFO21728.2</t>
  </si>
  <si>
    <t>2.3e-209</t>
  </si>
  <si>
    <t>734.9</t>
  </si>
  <si>
    <t>GO:0000271,GO:0003674,GO:0003824,GO:0005575,GO:0005622,GO:0005623,GO:0005737,GO:0005975,GO:0005976,GO:0008150,GO:0008152,GO:0008767,GO:0009058,GO:0009059,GO:0009987,GO:0016051,GO:0016853,GO:0016866,GO:0033692,GO:0034637,GO:0034645,GO:0043170,GO:0044237,GO:0044238,GO:0044249,GO:0044260,GO:0044262,GO:0044264,GO:0044424,GO:0044464,GO:0071704,GO:1901576</t>
  </si>
  <si>
    <t>1KTMK@119089,2QQ27@2759,38NWR@33154,3BJ2A@33208,3CW61@33213,40BH8@6231,COG1232@1</t>
  </si>
  <si>
    <t>Flavin containing amine oxidoreductase</t>
  </si>
  <si>
    <t>17,0168/35,084</t>
  </si>
  <si>
    <t>19,958/38,0252</t>
  </si>
  <si>
    <t>12,1849/55,8824</t>
  </si>
  <si>
    <t>51,8908/22,6891</t>
  </si>
  <si>
    <t>23,1092/55,2521/40,9664/27,521/55,2521</t>
  </si>
  <si>
    <t>12,395/13,0252</t>
  </si>
  <si>
    <t>9,66387/13,4454/8,82353/14,7059/10,084</t>
  </si>
  <si>
    <t>9,45378/13,4454/9,87395/9,03361/14,2857/9,45378/10,084</t>
  </si>
  <si>
    <t>13,8655/11,5546/9,66387/13,2353</t>
  </si>
  <si>
    <t>WBGene00019154</t>
  </si>
  <si>
    <t>56.0924</t>
  </si>
  <si>
    <t>Bm1534</t>
  </si>
  <si>
    <t>WBGene00221795</t>
  </si>
  <si>
    <t>Bm7836</t>
  </si>
  <si>
    <t>WBGene00228097</t>
  </si>
  <si>
    <t>Bm2725</t>
  </si>
  <si>
    <t>WBGene00222986</t>
  </si>
  <si>
    <t>GO:0005890/GO:0006813/GO:0006814/</t>
  </si>
  <si>
    <t>potassium_ion_transport/sodium:potassium-exchanging_ATPase_complex/sodium_ion_transport/</t>
  </si>
  <si>
    <t>Sodium:potassium-exchanging_ATPases_are_tetrameric_proteins,_consisting_of_two_large_alpha_subunits_and_two_smaller_beta_subunits._The_alpha_subunits_bear_the_active_site_and_penetrate_the_membrane,_while_the_beta_subunits_carry_oligosaccharide_groups_and_face_the_cell_exterior._[ISBN:0198506732]/"The_directed_movement_of_potassium_ions_(K+)_into,_out_of_or_within_a_cell,_or_between_cells,_by_means_of_some_agent_such_as_a_transporter_or_pore."_[GOC:ai]/"The_directed_movement_of_sodium_ions_(Na+)_into,_out_of_or_within_a_cell,_or_between_cells,_by_means_of_some_agent_such_as_a_transporter_or_pore."_[GOC:ai]/</t>
  </si>
  <si>
    <t>IPR000402/IPR038702/</t>
  </si>
  <si>
    <t>Sodium/potassium-transporting_ATPase_subunit_beta/Sodium/potassium-transporting_ATPase_subunit_beta_superfamily/</t>
  </si>
  <si>
    <t>Na/K_ATPase_sub_beta/Na/K_ATPase_sub_beta_sf/</t>
  </si>
  <si>
    <t>note=contains_similarity_to_Pfam_domain_PF00287_Sodium_/potassium_ATPase_beta_chain_contains_similarity_toInterpro_domain_IPR000402_(Sodium/potassium-transportingATPase_subunit_beta)</t>
  </si>
  <si>
    <t>281687.CJA14618</t>
  </si>
  <si>
    <t>3.3e-09</t>
  </si>
  <si>
    <t>1M3JY@119089,39DBD@33154,3CHAM@33208,3DYTE@33213,40K74@6231,410MQ@6236,KOG3927@1,KOG3927@2759</t>
  </si>
  <si>
    <t>positive regulation of potassium ion import</t>
  </si>
  <si>
    <t>Bm6293</t>
  </si>
  <si>
    <t>WBGene00226554</t>
  </si>
  <si>
    <t>GO:0000139/</t>
  </si>
  <si>
    <t>Golgi_membrane/</t>
  </si>
  <si>
    <t>The_lipid_bilayer_surrounding_any_of_the_compartments_of_the_Golgi_apparatus._[GOC:mah]/</t>
  </si>
  <si>
    <t>IPR019402/IPR039545/</t>
  </si>
  <si>
    <t>Frag1/DRAM/Sfk1/Post-GPI_attachment_to_proteins_factor_2/</t>
  </si>
  <si>
    <t>Frag1/DRAM/Sfk1/PGAP2/</t>
  </si>
  <si>
    <t>note=contains_similarity_to_Pfam_domain_PF10277_Frag1/DRAM/Sfk1_family_contains_similarity_to_Interpro_domain_IPR019402_(Frag1/DRAM/Sfk1)</t>
  </si>
  <si>
    <t>7209.EFO27906.1</t>
  </si>
  <si>
    <t>2.1e-128</t>
  </si>
  <si>
    <t>1KUH8@119089,39Z7R@33154,3BKB3@33208,3D60T@33213,40B22@6231,KOG3979@1,KOG3979@2759</t>
  </si>
  <si>
    <t>Frag1/DRAM/Sfk1 family</t>
  </si>
  <si>
    <t>34,4697/43,9394</t>
  </si>
  <si>
    <t>WBGene00012433</t>
  </si>
  <si>
    <t>57.197</t>
  </si>
  <si>
    <t>Bm10625</t>
  </si>
  <si>
    <t>WBGene00230886</t>
  </si>
  <si>
    <t>IPR026673/</t>
  </si>
  <si>
    <t>SPEC3/Stum/</t>
  </si>
  <si>
    <t>note=contains_similarity_to_Interpro_domain_IPR026673_(SPEC3/C1orf95)</t>
  </si>
  <si>
    <t>7209.EFO25044.1</t>
  </si>
  <si>
    <t>1e-104</t>
  </si>
  <si>
    <t>386.3</t>
  </si>
  <si>
    <t>1KYP1@119089,2BVF0@1,2S270@2759,3A1Z3@33154,3BQI0@33208,3DB2S@33213,40EJF@6231</t>
  </si>
  <si>
    <t>Ectodermal ciliogenesis protein</t>
  </si>
  <si>
    <t>39,3305/57,3222</t>
  </si>
  <si>
    <t>44,3515/44,3515/56,4854</t>
  </si>
  <si>
    <t>Bm1067</t>
  </si>
  <si>
    <t>WBGene00221328</t>
  </si>
  <si>
    <t>Bm7082</t>
  </si>
  <si>
    <t>WBGene00227343</t>
  </si>
  <si>
    <t>IPR019748/IPR035963/</t>
  </si>
  <si>
    <t>FERM_central_domain/FERM_superfamily,_second_domain/</t>
  </si>
  <si>
    <t>FERM_2/FERM_central/</t>
  </si>
  <si>
    <t>note=contains_similarity_to_Interpro_domains_IPR019748_(FERM_central_domain),_IPR014352_(FERM/acyl-CoA-binding_protein,_3-helical_bundle)</t>
  </si>
  <si>
    <t>6238.CBG09829</t>
  </si>
  <si>
    <t>3.9e-42</t>
  </si>
  <si>
    <t>1KZT7@119089,2ESKF@1,2SV4I@2759,3AR01@33154,3C2MV@33208,3DITW@33213,40GRB@6231,40UDP@6236</t>
  </si>
  <si>
    <t>Acyl CoA binding protein</t>
  </si>
  <si>
    <t>WBGene00022191</t>
  </si>
  <si>
    <t>25.0859</t>
  </si>
  <si>
    <t>Bm7519</t>
  </si>
  <si>
    <t>WBGene00227780</t>
  </si>
  <si>
    <t>Bm17265</t>
  </si>
  <si>
    <t>WBGene00268408</t>
  </si>
  <si>
    <t>11,4625/11,6601/5,5336/12,253/11,8577/12,0553/4,34783/11,6601/11,4625/7,11462/7,11462/1,18577/11,4625/10,6719/13,2411/5,5336/9,88142/9,88142/7,90514/10,8696/10,0791</t>
  </si>
  <si>
    <t>11,2648/11,6601/5,73123/12,4506/11,6601/11,8577/4,74308/11,4625/11,4625/12,0553/12,6482/12,0553/5,92885/10,6719/9,88142/7,70751</t>
  </si>
  <si>
    <t>5,73123/9,28854/9,68379/12,0553/10,4743/10,6719/11,0672/5,73123/9,48617</t>
  </si>
  <si>
    <t>Bm17248</t>
  </si>
  <si>
    <t>WBGene00268391</t>
  </si>
  <si>
    <t>1.4e-11</t>
  </si>
  <si>
    <t>77.8</t>
  </si>
  <si>
    <t>Bm12381</t>
  </si>
  <si>
    <t>WBGene00232642</t>
  </si>
  <si>
    <t>Bm10174</t>
  </si>
  <si>
    <t>WBGene00230435</t>
  </si>
  <si>
    <t>Bm944</t>
  </si>
  <si>
    <t>WBGene00221205</t>
  </si>
  <si>
    <t>IPR001436/IPR002068/IPR008978/IPR031107/</t>
  </si>
  <si>
    <t>Alpha_crystallin/Heat_shock_protein/Alpha_crystallin/Hsp20_domain/HSP20-like_chaperone/Small_heat_shock_protein_HSP20/</t>
  </si>
  <si>
    <t>A-crystallin/Hsp20_dom/Alpha-crystallin/HSP/HSP20/HSP20-like_chaperone/</t>
  </si>
  <si>
    <t>7209.EFO27491.1</t>
  </si>
  <si>
    <t>1.1e-80</t>
  </si>
  <si>
    <t>306.2</t>
  </si>
  <si>
    <t>KOG3591@1,KOG3591@2759</t>
  </si>
  <si>
    <t>structural constituent of eye lens</t>
  </si>
  <si>
    <t>27,9188/25,3807/15,736/28,934/25,8883/17,2589/28,934/28,4264/28,934/28,4264/15,736/28,4264</t>
  </si>
  <si>
    <t>20,8122/20,8122/20,8122/18,7817/19,2893/23,3503/21,8274/20,3046/23,3503/18,2741/21,8274/21,3198/20,8122/19,797/20,8122/20,8122/19,2893/20,3046/18,7817/21,3198/20,3046/18,2741/18,7817/23,8579/22,8426</t>
  </si>
  <si>
    <t>23,3503/22,8426</t>
  </si>
  <si>
    <t>20,3046/21,3198/20,3046/21,8274/20,8122/18,7817/19,797/19,797/19,2893/13,198/15,736/21,8274</t>
  </si>
  <si>
    <t>19,2893/19,2893/14,7208/11,6751/17,2589/20,8122/16,2437/16,2437/14,7208</t>
  </si>
  <si>
    <t>19,2893/14,2132/11,1675/17,7665/20,3046/17,2589/14,2132</t>
  </si>
  <si>
    <t>20,3046/15,2284/15,2284/12,6904/16,7513/21,3198/15,2284/18,2741/16,2437/13,198</t>
  </si>
  <si>
    <t>WBGene00004798</t>
  </si>
  <si>
    <t>24.8731</t>
  </si>
  <si>
    <t>Bm3246</t>
  </si>
  <si>
    <t>WBGene00223507</t>
  </si>
  <si>
    <t>GO:0004531/GO:0006259/</t>
  </si>
  <si>
    <t>DNA_metabolic_process/deoxyribonuclease_II_activity/</t>
  </si>
  <si>
    <t>Any_cellular_metabolic_process_involving_deoxyribonucleic_acid._This_is_one_of_the_two_main_types_of_nucleic_acid,_consisting_of_a_long,_unbranched_macromolecule_formed_from_one,_or_more_commonly,_two,_strands_of_linked_deoxyribonucleotides._[ISBN:0198506732]/"Catalysis_of_the_endonucleolytic_cleavage_of_DNA_to_3'-phosphodinucleotide_and_3'-phosphooligonucleotide_end_products."_[EC:3.1.22.1]/</t>
  </si>
  <si>
    <t>IPR004947/</t>
  </si>
  <si>
    <t>Deoxyribonuclease_II/</t>
  </si>
  <si>
    <t>DNase_II/</t>
  </si>
  <si>
    <t>note=B._malayi_BMA-CRN-7_protein,_contains_similarity_toPfam_domain_PF03265_Deoxyribonuclease_II_containssimilarity_to_Interpro_domain_IPR004947_(DeoxyribonucleaseII)</t>
  </si>
  <si>
    <t>7209.EFO15122.1</t>
  </si>
  <si>
    <t>9.9e-125</t>
  </si>
  <si>
    <t>crn-7</t>
  </si>
  <si>
    <t>3.1.22.1</t>
  </si>
  <si>
    <t>ko:K01158</t>
  </si>
  <si>
    <t>1KVWB@119089,39TVM@33154,3BE4Y@33208,3D0V1@33213,40DDG@6231,KOG3825@1,KOG3825@2759</t>
  </si>
  <si>
    <t>Deoxyribonuclease II</t>
  </si>
  <si>
    <t>30,4843/35,8974</t>
  </si>
  <si>
    <t>36,7521/36,4672</t>
  </si>
  <si>
    <t>36,4672/38,4615/35,8974/35,6125</t>
  </si>
  <si>
    <t>14,245/24,2165/34,7578/23,0769/25,9259</t>
  </si>
  <si>
    <t>35,6125/35,6125</t>
  </si>
  <si>
    <t>29,0598/30,4843</t>
  </si>
  <si>
    <t>30,1994/31,6239</t>
  </si>
  <si>
    <t>28,7749/29,6296</t>
  </si>
  <si>
    <t>WBGene00007056</t>
  </si>
  <si>
    <t>37.037</t>
  </si>
  <si>
    <t>Bm17898</t>
  </si>
  <si>
    <t>WBGene00269040</t>
  </si>
  <si>
    <t>75,8929/84,8214/73,2143</t>
  </si>
  <si>
    <t>Bm3922</t>
  </si>
  <si>
    <t>WBGene00224183</t>
  </si>
  <si>
    <t>GO:0005615/GO:0008083/GO:0010469/GO:0030334/GO:0046662/</t>
  </si>
  <si>
    <t>extracellular_space/growth_factor_activity/regulation_of_cell_migration/regulation_of_oviposition/regulation_of_signaling_receptor_activity/</t>
  </si>
  <si>
    <t>Any_process_that_modulates_the_frequency,_rate_or_extent_of_a_signaling_receptor_activity._Receptor_activity_is_when_a_molecule_combines_with_an_extracellular_or_intracellular_messenger_to_initiate_a_change_in_cell_activity._[GOC:dph,_GOC:tb]/"Any_process_that_modulates_the_frequency,_rate_or_extent_of_cell_migration."_[GOC:go_curators]/"Any_process_that_modulates_the_frequency,_rate_or_extent_of_the_deposition_of_eggs,_either_fertilized_or_not,_upon_a_surface_or_into_a_medium."_[GOC:ai]/"That_part_of_a_multicellular_organism_outside_the_cells_proper,_usually_taken_to_be_outside_the_plasma_membranes,_and_occupied_by_fluid."_[ISBN:0198547684]/"The_function_that_stimulates_a_cell_to_grow_or_proliferate._Most_growth_factors_have_other_actions_besides_the_induction_of_cell_growth_or_proliferation."_[ISBN:0815316194]/</t>
  </si>
  <si>
    <t>IPR002209/IPR008996/</t>
  </si>
  <si>
    <t>Cytokine_IL1/FGF/Fibroblast_growth_factor_family/</t>
  </si>
  <si>
    <t>Fibroblast_GF_fam/IL1/FGF/</t>
  </si>
  <si>
    <t>note=B._malayi_BMA-EGL-17_protein,_contains_similarity_to_Pfam_domain_PF00167_Fibroblast_growth_factor_contains_similarity_to_Interpro_domains_IPR008996_(Cytokine,_IL-1-like),_IPR002209_(Fibroblast_growth_factor_family)</t>
  </si>
  <si>
    <t>7209.EJD76114.1</t>
  </si>
  <si>
    <t>3.2e-33</t>
  </si>
  <si>
    <t>GO:0003674,GO:0005102,GO:0005104,GO:0005488,GO:0005515,GO:0005575,GO:0005576,GO:0005615,GO:0007154,GO:0007165,GO:0007166,GO:0007167,GO:0007169,GO:0008150,GO:0008543,GO:0009719,GO:0009987,GO:0010033,GO:0023052,GO:0030334,GO:0032879,GO:0040012,GO:0042221,GO:0044344,GO:0044421,GO:0046662,GO:0050789,GO:0050794,GO:0050795,GO:0050896,GO:0051239,GO:0051270,GO:0051716,GO:0065007,GO:0070848,GO:0070851,GO:0070887,GO:0071310,GO:0071363,GO:0071495,GO:0071774,GO:2000145,GO:2000241</t>
  </si>
  <si>
    <t>ko:K04358</t>
  </si>
  <si>
    <t>ko04010,ko04014,ko04015,ko04151,ko04810,ko05200,ko05218,ko05224,ko05226,map04010,map04014,map04015,map04151,map04810,map05200,map05218,map05224,map05226</t>
  </si>
  <si>
    <t>ko00000,ko00001,ko00536,ko04052,ko04516</t>
  </si>
  <si>
    <t>1KXF5@119089,3ACMG@33154,3C87D@33208,3DC72@33213,40F2Q@6231,KOG3885@1,KOG3885@2759</t>
  </si>
  <si>
    <t>Belongs to the heparin-binding growth factors family</t>
  </si>
  <si>
    <t>Bm437</t>
  </si>
  <si>
    <t>WBGene00220698</t>
  </si>
  <si>
    <t>Bm1363</t>
  </si>
  <si>
    <t>WBGene00221624</t>
  </si>
  <si>
    <t>Bm10232</t>
  </si>
  <si>
    <t>WBGene00230493</t>
  </si>
  <si>
    <t>93,7063/93,7063</t>
  </si>
  <si>
    <t>Bm1202</t>
  </si>
  <si>
    <t>WBGene00221463</t>
  </si>
  <si>
    <t>7209.EFO14886.2</t>
  </si>
  <si>
    <t>1.8e-43</t>
  </si>
  <si>
    <t>182.2</t>
  </si>
  <si>
    <t>Bm3698</t>
  </si>
  <si>
    <t>WBGene00223959</t>
  </si>
  <si>
    <t>note=B._malayi_BMA-CEH-22_protein,_contains_similarity_to_Pfam_domain_PF00046_Homeobox_domain_contains_similarity_to_Interpro_domains_IPR020479_(Homeodomain,_metazoa),_IPR001356_(Homeobox_domain),_IPR009057_(Homeodomain-like)</t>
  </si>
  <si>
    <t>7209.EFO13387.1</t>
  </si>
  <si>
    <t>3.4e-85</t>
  </si>
  <si>
    <t>GO:0001708,GO:0003674,GO:0003676,GO:0003677,GO:0005488,GO:0005575,GO:0005622,GO:0005623,GO:0005634,GO:0006355,GO:0006357,GO:0007275,GO:0007517,GO:0008150,GO:0009889,GO:0009891,GO:0009893,GO:0009987,GO:0010468,GO:0010556,GO:0010557,GO:0010604,GO:0010628,GO:0019219,GO:0019222,GO:0030154,GO:0031323,GO:0031325,GO:0031326,GO:0031328,GO:0032501,GO:0032502,GO:0035295,GO:0043226,GO:0043227,GO:0043229,GO:0043231,GO:0043282,GO:0043565,GO:0044424,GO:0044464,GO:0045165,GO:0045893,GO:0045935,GO:0045944,GO:0048513,GO:0048518,GO:0048522,GO:0048565,GO:0048731,GO:0048856,GO:0048869,GO:0050789,GO:0050794,GO:0051171,GO:0051173,GO:0051252,GO:0051254,GO:0055123,GO:0060255,GO:0060465,GO:0061061,GO:0065007,GO:0080090,GO:0097159,GO:1901363,GO:1902680,GO:1903506,GO:1903508,GO:2000112,GO:2001141</t>
  </si>
  <si>
    <t>ko:K08029</t>
  </si>
  <si>
    <t>ko04950,map04950</t>
  </si>
  <si>
    <t>1KWK3@119089,39P9G@33154,3BFQW@33208,3CTZR@33213,40E4Y@6231,KOG0489@1,KOG0842@2759</t>
  </si>
  <si>
    <t>60,114/60,114/52,4217</t>
  </si>
  <si>
    <t>10,2564/21,3675/19,0883/11,1111</t>
  </si>
  <si>
    <t>11,1111/21,3675/19,3732/11,1111</t>
  </si>
  <si>
    <t>11,6809/21,3675/21,3675/10,2564</t>
  </si>
  <si>
    <t>WBGene00000445</t>
  </si>
  <si>
    <t>26.2108</t>
  </si>
  <si>
    <t>Bm196</t>
  </si>
  <si>
    <t>WBGene00220457</t>
  </si>
  <si>
    <t>Bm17792</t>
  </si>
  <si>
    <t>WBGene00268934</t>
  </si>
  <si>
    <t>GO:0005576/GO:0008083/GO:0010469/</t>
  </si>
  <si>
    <t>extracellular_region/growth_factor_activity/regulation_of_signaling_receptor_activity/</t>
  </si>
  <si>
    <t>Any_process_that_modulates_the_frequency,_rate_or_extent_of_a_signaling_receptor_activity._Receptor_activity_is_when_a_molecule_combines_with_an_extracellular_or_intracellular_messenger_to_initiate_a_change_in_cell_activity._[GOC:dph,_GOC:tb]/"The_function_that_stimulates_a_cell_to_grow_or_proliferate._Most_growth_factors_have_other_actions_besides_the_induction_of_cell_growth_or_proliferation."_[ISBN:0815316194]/"The_space_external_to_the_outermost_structure_of_a_cell._For_cells_without_external_protective_or_external_encapsulating_structures_this_refers_to_space_outside_of_the_plasma_membrane._This_term_covers_the_host_cell_environment_outside_an_intracellular_parasite."_[GOC:go_curators]/</t>
  </si>
  <si>
    <t>IPR001839/IPR015615/IPR017948/IPR029034/</t>
  </si>
  <si>
    <t>Cystine-knot_cytokine/Transforming_growth_factor-beta,_C-terminal/Transforming_growth_factor-beta-related/Transforming_growth_factor_beta,_conserved_site/</t>
  </si>
  <si>
    <t>Cystine-knot_cytokine/TGF-b_C/TGF-beta-rel/TGFb_CS/</t>
  </si>
  <si>
    <t>7209.EFO25184.1</t>
  </si>
  <si>
    <t>1.4e-18</t>
  </si>
  <si>
    <t>KOG3900@1,KOG3900@2759</t>
  </si>
  <si>
    <t>positive regulation of pathway-restricted SMAD protein phosphorylation</t>
  </si>
  <si>
    <t>Bm10811</t>
  </si>
  <si>
    <t>WBGene00231072</t>
  </si>
  <si>
    <t>10224.XP_006820668.1</t>
  </si>
  <si>
    <t>8.3e-31</t>
  </si>
  <si>
    <t>142.5</t>
  </si>
  <si>
    <t>38G4T@33154,3BFKR@33208,3CRC9@33213,KOG1934@1,KOG1934@2759</t>
  </si>
  <si>
    <t>6,4803/5,08259</t>
  </si>
  <si>
    <t>20,5845/20,5845/20,5845</t>
  </si>
  <si>
    <t>WBGene00004217</t>
  </si>
  <si>
    <t>18.8056</t>
  </si>
  <si>
    <t>Bm17912</t>
  </si>
  <si>
    <t>WBGene00269054</t>
  </si>
  <si>
    <t>Bm17440</t>
  </si>
  <si>
    <t>WBGene00268583</t>
  </si>
  <si>
    <t>Bm9191</t>
  </si>
  <si>
    <t>WBGene00229452</t>
  </si>
  <si>
    <t>7209.EFO23306.1</t>
  </si>
  <si>
    <t>8.6e-93</t>
  </si>
  <si>
    <t>347.1</t>
  </si>
  <si>
    <t>COG0666@1,KOG4177@2759</t>
  </si>
  <si>
    <t>response to abiotic stimulus</t>
  </si>
  <si>
    <t>Bm13541</t>
  </si>
  <si>
    <t>WBGene00233802</t>
  </si>
  <si>
    <t>Bm17983</t>
  </si>
  <si>
    <t>WBGene00269125</t>
  </si>
  <si>
    <t>Bm8249</t>
  </si>
  <si>
    <t>WBGene00228510</t>
  </si>
  <si>
    <t>Bm17879</t>
  </si>
  <si>
    <t>WBGene00269021</t>
  </si>
  <si>
    <t>70,4225/68,3099</t>
  </si>
  <si>
    <t>Bm5164</t>
  </si>
  <si>
    <t>WBGene00225425</t>
  </si>
  <si>
    <t>note=B._malayi_BMA-CAH-4_protein,_contains_similarity_toPfam_domain_PF00194_Eukaryotic-type_carbonic_anhydrasecontains_similarity_to_Interpro_domains_IPR001148_(Alphacarbonic_anhydrase),_IPR023561_(Carbonic_anhydrase,alpha-class)</t>
  </si>
  <si>
    <t>7209.EFO15158.1</t>
  </si>
  <si>
    <t>1.9e-100</t>
  </si>
  <si>
    <t>372.1</t>
  </si>
  <si>
    <t>GO:0003674,GO:0003824,GO:0004089,GO:0008150,GO:0008152,GO:0016829,GO:0016835,GO:0016836,GO:0044281</t>
  </si>
  <si>
    <t>ko:K01672,ko:K18245</t>
  </si>
  <si>
    <t>ko00910,ko04964,ko04966,ko04971,ko04972,ko04976,map00910,map04964,map04966,map04971,map04972,map04976</t>
  </si>
  <si>
    <t>1KWA5@119089,38BFG@33154,3BIMZ@33208,3CTN7@33213,40DGN@6231,COG3338@1,KOG0382@2759</t>
  </si>
  <si>
    <t>81,5789/56,5789/56,5789/81,5789</t>
  </si>
  <si>
    <t>34,6491/22,3684</t>
  </si>
  <si>
    <t>23,2456/28,0702/24,1228/25,4386/28,5088/28,5088/24,1228</t>
  </si>
  <si>
    <t>23,2456/28,5088/26,3158/27,193/31,1404/29,386/23,6842</t>
  </si>
  <si>
    <t>23,6842/24,5614/25/25,4386/22,807/22,807/25,4386/28,5088</t>
  </si>
  <si>
    <t>Bm14118</t>
  </si>
  <si>
    <t>WBGene00234379</t>
  </si>
  <si>
    <t>Bm9458</t>
  </si>
  <si>
    <t>WBGene00229719</t>
  </si>
  <si>
    <t>Bm2282</t>
  </si>
  <si>
    <t>WBGene00222543</t>
  </si>
  <si>
    <t>7209.EFO16124.1</t>
  </si>
  <si>
    <t>1.2e-116</t>
  </si>
  <si>
    <t>1M8CC@119089,3A0ZY@33154,3CNG7@33208,3E4KY@33213,40R7Y@6231,COG5599@1,KOG0789@2759</t>
  </si>
  <si>
    <t>Protein-tyrosine phosphatase</t>
  </si>
  <si>
    <t>75,2941/71,7647</t>
  </si>
  <si>
    <t>40,8824/52,9412</t>
  </si>
  <si>
    <t>63,5294/64,1176/65,2941</t>
  </si>
  <si>
    <t>50,2941/48,2353/50,2941</t>
  </si>
  <si>
    <t>35,8824/49,7059</t>
  </si>
  <si>
    <t>Bm4264</t>
  </si>
  <si>
    <t>WBGene00224525</t>
  </si>
  <si>
    <t>note=B._malayi_BMA-WRT-2_protein</t>
  </si>
  <si>
    <t>7209.EFO20143.1</t>
  </si>
  <si>
    <t>2.5e-87</t>
  </si>
  <si>
    <t>329.3</t>
  </si>
  <si>
    <t>1KW3V@119089,38EJM@33154,3BA86@33208,3CRIQ@33213,40DMJ@6231,KOG3638@1,KOG3638@2759</t>
  </si>
  <si>
    <t>periodic partitioning</t>
  </si>
  <si>
    <t>15,2542/9,4431</t>
  </si>
  <si>
    <t>22,5182/2,66344</t>
  </si>
  <si>
    <t>16,2228/17,6755</t>
  </si>
  <si>
    <t>23,2446/22,7603/24,4552/25,908/18,4019/22,276/23,2446</t>
  </si>
  <si>
    <t>23,9709/23,0024/24,2131</t>
  </si>
  <si>
    <t>6,05327/6,53753</t>
  </si>
  <si>
    <t>7,02179/7,02179/7,02179/6,77966</t>
  </si>
  <si>
    <t>WBGene00006954/WBGene00006953/WBGene00006950</t>
  </si>
  <si>
    <t>23.9709/23.0024/24.2131</t>
  </si>
  <si>
    <t>Bm17342</t>
  </si>
  <si>
    <t>WBGene00268485</t>
  </si>
  <si>
    <t>IPR040676/</t>
  </si>
  <si>
    <t>Domain_of_unknown_function_DUF5641/</t>
  </si>
  <si>
    <t>DUF5641/</t>
  </si>
  <si>
    <t>5e-15</t>
  </si>
  <si>
    <t>36,0248/35,4037</t>
  </si>
  <si>
    <t>Bm1471</t>
  </si>
  <si>
    <t>WBGene00221732</t>
  </si>
  <si>
    <t>Bm16892</t>
  </si>
  <si>
    <t>WBGene00236804</t>
  </si>
  <si>
    <t>Bm10493</t>
  </si>
  <si>
    <t>WBGene00230754</t>
  </si>
  <si>
    <t>Bm12240</t>
  </si>
  <si>
    <t>WBGene00232501</t>
  </si>
  <si>
    <t>note=contains_similarity_to_Interpro_domain_IPR013785_(Aldolase-type_TIM_barrel)</t>
  </si>
  <si>
    <t>292805.Wbm0527</t>
  </si>
  <si>
    <t>3e-07</t>
  </si>
  <si>
    <t>1MUJM@1224,2TQXC@28211,47FWN@766,COG0516@1,COG0516@2,COG0517@1,COG0517@2</t>
  </si>
  <si>
    <t>Catalyzes the conversion of inosine 5'-phosphate (IMP) to xanthosine 5'-phosphate (XMP), the first committed and rate- limiting step in the de novo synthesis of guanine nucleotides, and therefore plays an important role in the regulation of cell growth</t>
  </si>
  <si>
    <t>Bm13200</t>
  </si>
  <si>
    <t>WBGene00233461</t>
  </si>
  <si>
    <t>Bm9477</t>
  </si>
  <si>
    <t>WBGene00229738</t>
  </si>
  <si>
    <t>Bm17077</t>
  </si>
  <si>
    <t>WBGene00268221</t>
  </si>
  <si>
    <t>7.7e-14</t>
  </si>
  <si>
    <t>11,245/11,8474/5,42169/12,6506/11,6466/12,4498/4,41767/11,4458/11,8474/7,22892/7,22892/1,20482/11,8474/11,0442/13,8554/5,42169/10,241/10,6426/8,03213/11,245/10,4418</t>
  </si>
  <si>
    <t>11,0442/11,8474/5,62249/12,8514/11,4458/12,0482/4,81928/11,245/11,8474/12,249/12,6506/12,4498/5,82329/11,0442/10,4418/7,83133</t>
  </si>
  <si>
    <t>5,62249/9,83936/10,0402/12,6506/10,4418/10,4418/11,4458/5,62249/9,43775</t>
  </si>
  <si>
    <t>Bm3123</t>
  </si>
  <si>
    <t>WBGene00223384</t>
  </si>
  <si>
    <t>7209.EFO19360.1</t>
  </si>
  <si>
    <t>4.6e-42</t>
  </si>
  <si>
    <t>177.9</t>
  </si>
  <si>
    <t>1M0CX@119089,2D0AF@1,2SDEJ@2759,3ACFG@33154,3BVYH@33208,3DCA7@33213,40H33@6231</t>
  </si>
  <si>
    <t>ShK toxin domain</t>
  </si>
  <si>
    <t>Bm10518</t>
  </si>
  <si>
    <t>WBGene00230779</t>
  </si>
  <si>
    <t>5.6e-34</t>
  </si>
  <si>
    <t>151.4</t>
  </si>
  <si>
    <t>10,6557/54,5082</t>
  </si>
  <si>
    <t>Bm9763</t>
  </si>
  <si>
    <t>WBGene00230024</t>
  </si>
  <si>
    <t>Bm17310</t>
  </si>
  <si>
    <t>WBGene00268453</t>
  </si>
  <si>
    <t>Bm11809</t>
  </si>
  <si>
    <t>WBGene00232070</t>
  </si>
  <si>
    <t>GO:0008340/GO:0015101/GO:0015695/GO:0016020/GO:0016021/GO:0022857/GO:0055085/</t>
  </si>
  <si>
    <t>determination_of_adult_lifespan/integral_component_of_membrane/membrane/organic_cation_transmembrane_transporter_activity/organic_cation_transport/transmembrane_transport/transmembrane_transporter_activity/</t>
  </si>
  <si>
    <t>A_lipid_bilayer_along_with_all_the_proteins_and_protein_complexes_embedded_in_it_an_attached_to_it._[GOC:dos,_GOC:mah,_ISBN:0815316194]/"Enables_the_transfer_of_a_substance,_usually_a_specific_substance_or_a_group_of_related_substances,_from_one_side_of_a_membrane_to_the_other."_[GOC:jid,_GOC:mtg_transport,_ISBN:0815340729]/"Enables_the_transfer_of_organic_cations_from_one_side_of_a_membrane_to_the_other._Organic_cations_are_atoms_or_small_molecules_with_a_positive_charge_that_contain_carbon_in_covalent_linkage."_[GOC:ai,_GOC:mtg_transport,_ISBN:0815340729]/"The_component_of_a_membrane_consisting_of_the_gene_products_and_protein_complexes_having_at_least_some_part_of_their_peptide_sequence_embedded_in_the_hydrophobic_region_of_the_membrane."_[GOC:dos,_GOC:go_curators]/"The_control_of_viability_and_duration_in_the_adult_phase_of_the_life-cycle."_[GOC:ems]/"The_directed_movement_of_organic_cations_into,_out_of_or_within_a_cell,_or_between_cells,_by_means_of_some_agent_such_as_a_transporter_or_pore._Organic_cations_are_atoms_or_small_molecules_with_a_positive_charge_which_contain_carbon_in_covalent_linkage."_[GOC:ai]/"The_process_in_which_a_solute_is_transported_across_a_lipid_bilayer,_from_one_side_of_a_membrane_to_the_other."_[GOC:dph,_GOC:jid]/</t>
  </si>
  <si>
    <t>IPR005828/IPR020846/IPR036259/</t>
  </si>
  <si>
    <t>MFS_transporter_superfamily/Major_facilitator,__sugar_transporter-like/Major_facilitator_superfamily_domain/</t>
  </si>
  <si>
    <t>MFS_dom/MFS_sugar_transport-like/MFS_trans_sf/</t>
  </si>
  <si>
    <t>note=contains_similarity_to_Pfam_domain_PF00083_Sugar_(and_other)_transporter_contains_similarity_to_Interpro_domains_IPR027458_(Pheromone_alpha_factor_receptor,_double_transmembrane_domain),_IPR005828_(General_substrate_transporter),_IPR020846_(Major_facilitator_superfamily_domain)</t>
  </si>
  <si>
    <t>135651.CBN08222</t>
  </si>
  <si>
    <t>9.8e-178</t>
  </si>
  <si>
    <t>630.2</t>
  </si>
  <si>
    <t>ko:K08202</t>
  </si>
  <si>
    <t>ko05231,map05231</t>
  </si>
  <si>
    <t>2.A.1.19.2,2.A.1.19.3</t>
  </si>
  <si>
    <t>1KYFF@119089,38FJ1@33154,3B9N9@33208,3CT4W@33213,40FDG@6231,40UTP@6236,KOG0255@1,KOG0255@2759</t>
  </si>
  <si>
    <t>20,1031/46,7354</t>
  </si>
  <si>
    <t>25,4296/28,866/29,2096/29,0378/26,9759/28,866/28,866/26,9759/17,0103/28,5223/24,7423/27,4914/25,4296/20,9622/11,1684/23,7113/20,6186/18,7285</t>
  </si>
  <si>
    <t>24,9141/30,0687/28,866/29,5533/29,3814/25,7732/22,1649/28,6942/28,866/27,8351/13,5739/28,0069/18,5567/20,7904/27,6632/22,6804/21,9931/21,3058/22,1649/21,6495/22,3368/23,0241/23,7113/20,7904/17,8694/27,8351</t>
  </si>
  <si>
    <t>27,1478/26,6323/29,3814/26,9759/25,2577/26,9759/25,7732/27,3196/26,8041/19,0722/29,3814/16,1512/23,8832/27,6632/23,8832/18,7285/19,9313/18,9003</t>
  </si>
  <si>
    <t>WBGene00003842</t>
  </si>
  <si>
    <t>53.0928</t>
  </si>
  <si>
    <t>Bm6185</t>
  </si>
  <si>
    <t>WBGene00226446</t>
  </si>
  <si>
    <t>note=B._malayi_BMA-LPR-4_protein,_contains_similarity_toInterpro_domains_IPR012674_(Calycin),_IPR011038(Calycin-like)</t>
  </si>
  <si>
    <t>7209.EFO23705.1</t>
  </si>
  <si>
    <t>1.2e-198</t>
  </si>
  <si>
    <t>699.1</t>
  </si>
  <si>
    <t>1KUYV@119089,28PWD@1,2RMBZ@2759,39XYW@33154,3BKM9@33208,3D1JI@33213,40BVV@6231</t>
  </si>
  <si>
    <t>64,268/45,4094</t>
  </si>
  <si>
    <t>WBGene00012257</t>
  </si>
  <si>
    <t>62.531</t>
  </si>
  <si>
    <t>Bm10577</t>
  </si>
  <si>
    <t>WBGene00230838</t>
  </si>
  <si>
    <t>GO:0005789/GO:0005856/</t>
  </si>
  <si>
    <t>cytoskeleton/endoplasmic_reticulum_membrane/</t>
  </si>
  <si>
    <t>Any_of_the_various_filamentous_elements_that_form_the_internal_framework_of_cells,_and_typically_remain_after_treatment_of_the_cells_with_mild_detergent_to_remove_membrane_constituents_and_soluble_components_of_the_cytoplasm._The_term_embraces_intermediate_filaments,_microfilaments,_microtubules,_the_microtrabecular_lattice,_and_other_structures_characterized_by_a_polymeric_filamentous_nature_and_long-range_order_within_the_cell._The_various_elements_of_the_cytoskeleton_not_only_serve_in_the_maintenance_of_cellular_shape_but_also_have_roles_in_other_cellular_functions,_including_cellular_movement,_cell_division,_endocytosis,_and_movement_of_organelles._[GOC:mah,_ISBN:0198547684,_PMID:16959967]/"The_lipid_bilayer_surrounding_the_endoplasmic_reticulum."_[GOC:mah]/</t>
  </si>
  <si>
    <t>IPR000535/IPR008962/IPR013783/IPR016763/</t>
  </si>
  <si>
    <t>Immunoglobulin-like_fold/Major_sperm_protein_(MSP)_domain/PapD-like_superfamily/Vesicle-associated_membrane-protein-associated_protein/</t>
  </si>
  <si>
    <t>Ig-like_fold/MSP_dom/PapD-like_sf/VAP/</t>
  </si>
  <si>
    <t>note=contains_similarity_to_Pfam_domain_PF00635_MSP_(Major_sperm_protein)_domain_contains_similarity_to_Interpro_domains_IPR008962_(PapD-like),_IPR000535_(MSP_domain),_IPR016763_(Vesicle-associated_membrane-protein-associated_protein)</t>
  </si>
  <si>
    <t>7209.EJD76259.1</t>
  </si>
  <si>
    <t>1e-57</t>
  </si>
  <si>
    <t>1M0A2@119089,2CX00@1,2RVW8@2759,39IQ2@33154,3C48Z@33208,3DKMH@33213,40H9H@6231</t>
  </si>
  <si>
    <t>46,7181/43,6293</t>
  </si>
  <si>
    <t>Bm18123</t>
  </si>
  <si>
    <t>WBGene00269263</t>
  </si>
  <si>
    <t>7209.EJD73967.1</t>
  </si>
  <si>
    <t>1.1e-227</t>
  </si>
  <si>
    <t>795.8</t>
  </si>
  <si>
    <t>26,7666/33,6188</t>
  </si>
  <si>
    <t>40,0428/42,8266/35,7602</t>
  </si>
  <si>
    <t>32,334/33,833/32,1199/35,9743/34,2612/28,2655/35,1178</t>
  </si>
  <si>
    <t>37,6874/37,4732/29,1221</t>
  </si>
  <si>
    <t>23,5546/20,985/16,06</t>
  </si>
  <si>
    <t>27,409/25,9101/16,9165</t>
  </si>
  <si>
    <t>7,49465/29,3362/8,99358/30,4069/29,3362/24,8394/29,3362/28,9079/23,9829/25,2677/29,7645/27,409/29,3362/30,4069/10,4925/30,4069/29,3362</t>
  </si>
  <si>
    <t>25,6959/32,9764/26,5525/30,621/26,1242</t>
  </si>
  <si>
    <t>26,3383/34,0471/33,1906</t>
  </si>
  <si>
    <t>26.3383/34.0471/33.1906</t>
  </si>
  <si>
    <t>Bm10173</t>
  </si>
  <si>
    <t>WBGene00230434</t>
  </si>
  <si>
    <t>Bm10085</t>
  </si>
  <si>
    <t>WBGene00230346</t>
  </si>
  <si>
    <t>Bm2270</t>
  </si>
  <si>
    <t>WBGene00222531</t>
  </si>
  <si>
    <t>GO:0004222/GO:0005576/GO:0006508/GO:0008233/GO:0008237/GO:0008270/GO:0016787/GO:0018996/GO:0040002/GO:0042395/GO:0046872/</t>
  </si>
  <si>
    <t>collagen_and_cuticulin-based_cuticle_development/ecdysis,_collagen_and_cuticulin-based_cuticle/extracellular_region/hydrolase_activity/metal_ion_binding/metalloendopeptidase_activity/metallopeptidase_activity/molting_cycle,_collagen_and_cuticulin-based_cuticle/peptidase_activity/proteolysis/zinc_ion_binding/</t>
  </si>
  <si>
    <t>Catalysis_of_the_hydrolysis_of_a_peptide_bond._A_peptide_bond_is_a_covalent_bond_formed_when_the_carbon_atom_from_the_carboxyl_group_of_one_amino_acid_shares_electrons_with_the_nitrogen_atom_from_the_amino_group_of_a_second_amino_acid._[GOC:jl,_ISBN:0815332181]/"Catalysis_of_the_hydrolysis_of_internal,_alpha-peptide_bonds_in_a_polypeptide_chain_by_a_mechanism_in_which_water_acts_as_a_nucleophile,_one_or_two_metal_ions_hold_the_water_molecule_in_place,_and_charged_amino_acid_side_chains_are_ligands_for_the_metal_ions."_[GOC:mah,_http://merops.sanger.ac.uk/about/glossary.htm#CATTYPE,_http://merops.sanger.ac.uk/about/glossary.htm#ENDOPEPTIDASE]/"Catalysis_of_the_hydrolysis_of_peptide_bonds_by_a_mechanism_in_which_water_acts_as_a_nucleophile,_one_or_two_metal_ions_hold_the_water_molecule_in_place,_and_charged_amino_acid_side_chains_are_ligands_for_the_metal_ions."_[GOC:mah,_http://merops.sanger.ac.uk/about/glossary.htm#CATTYPE]/"Catalysis_of_the_hydrolysis_of_various_bonds,_e.g._C-O,_C-N,_C-C,_phosphoric_anhydride_bonds,_etc._Hydrolase_is_the_systematic_name_for_any_enzyme_of_EC_class_3."_[ISBN:0198506732]/"Interacting_selectively_and_non-covalently_with_any_metal_ion."_[GOC:ai]/"Interacting_selectively_and_non-covalently_with_zinc_(Zn)_ions."_[GOC:ai]/"Synthesis_and_deposition_of_a_collagen_and_cuticulin-based_noncellular,_hardened,_or_membranous_secretion_from_an_epithelial_sheet._An_example_of_this_process_is_found_in_Caenorhabditis_elegans."_[GOC:mtg_sensu]/"The_hydrolysis_of_proteins_into_smaller_polypeptides_and/or_amino_acids_by_cleavage_of_their_peptide_bonds."_[GOC:bf,_GOC:mah]/"The_periodic_shedding_of_part_or_all_of_a_collagen_and_cuticulin-based_cuticle,_which_is_then_replaced_by_a_new_collagen_and_cuticulin-based_cuticle._An_example_of_this_is_found_in_the_Nematode_worm,_Caenorhabditis_elegans."_[GOC:jl,_GOC:mtg_sensu]/"The_shedding_of_the_old_collagen_and_cuticulin-based_cuticle_fragments_during_the_molting_cycle._Examples_of_this_process_are_found_in_invertebrates."_[GOC:jl,_GOC:mtg_sensu]/"The_space_external_to_the_outermost_structure_of_a_cell._For_cells_without_external_protective_or_external_encapsulating_structures_this_refers_to_space_outside_of_the_plasma_membrane._This_term_covers_the_host_cell_environment_outside_an_intracellular_parasite."_[GOC:go_curators]/</t>
  </si>
  <si>
    <t>IPR000742/IPR000884/IPR001506/IPR006026/IPR013032/IPR017050/IPR024079/IPR034035/IPR035914/IPR036383/</t>
  </si>
  <si>
    <t>Astacin-like_metallopeptidase_domain/EGF-like,_conserved_site/EGF-like_domain/Metallopeptidase,_catalytic_domain_superfamily/Metallopeptidase,_nematode/Peptidase,_metallopeptidase/Peptidase_M12A/Spermadhesin,_CUB_domain_superfamily/Thrombospondin_type-1_(TSP1)_repeat/Thrombospondin_type-1_(TSP1)_repeat_superfamily/</t>
  </si>
  <si>
    <t>Astacin-like_dom/EGF-like_CS/EGF-like_dom/MetalloPept_cat_dom_sf/Metallopeptidase_nem/Peptidase_M12A/Peptidase_Metallo/Sperma_CUB_dom_sf/TSP1_rpt/TSP1_rpt_sf/</t>
  </si>
  <si>
    <t>note=B._malayi_BMA-NAS-37_protein,_contains_similarity_to_Pfam_domains_PF00090_(Thrombospondin_type_1_domain),_PF01400_(Astacin_(Peptidase_family_M12A))_contains_similarity_to_Interpro_domains_IPR000884_(Thrombospondin,_type_1_repeat),_IPR000859_(CUB_domain),_IPR024079_(Metallopeptidase,_catalytic_domain),_IPR017050_(Metallopeptidase,_nematode),_IPR001506_(Peptidase_M12A,_astacin),_IPR006026_(Peptidase,_metallopeptidase)</t>
  </si>
  <si>
    <t>7209.EFO27488.1</t>
  </si>
  <si>
    <t>4.3e-137</t>
  </si>
  <si>
    <t>GO:0003674,GO:0003824,GO:0004175,GO:0004222,GO:0005575,GO:0005576,GO:0006508,GO:0006807,GO:0007275,GO:0008150,GO:0008152,GO:0008233,GO:0008237,GO:0016787,GO:0018996,GO:0019538,GO:0022404,GO:0032501,GO:0032502,GO:0040002,GO:0042303,GO:0042335,GO:0042395,GO:0043170,GO:0044238,GO:0048856,GO:0070011,GO:0071704,GO:0140096,GO:1901564</t>
  </si>
  <si>
    <t>1KXJ6@119089,3AH80@33154,3BZ98@33208,3DEC5@33213,40FD2@6231,KOG3714@1,KOG3714@2759</t>
  </si>
  <si>
    <t>37,931/17,0915/19,4903</t>
  </si>
  <si>
    <t>WBGene00003553</t>
  </si>
  <si>
    <t>40.03</t>
  </si>
  <si>
    <t>Bm1177</t>
  </si>
  <si>
    <t>WBGene00221438</t>
  </si>
  <si>
    <t>note=B._malayi_BMA-DAO-2_protein,_contains_similarity_toPfam_domain_PF01682_DB_module_contains_similarity_toInterpro_domain_IPR002602_(Domain_of_unknown_function_DB)</t>
  </si>
  <si>
    <t>7209.EFO18253.1</t>
  </si>
  <si>
    <t>2.3e-67</t>
  </si>
  <si>
    <t>261.5</t>
  </si>
  <si>
    <t>1KZ8P@119089,3AMJH@33154,3C0SQ@33208,3DGPN@33213,40GBH@6231,KOG4293@1,KOG4293@2759</t>
  </si>
  <si>
    <t>97,9167/57,6389</t>
  </si>
  <si>
    <t>45,1389/45,1389</t>
  </si>
  <si>
    <t>15,2778/14,5833/13,8889</t>
  </si>
  <si>
    <t>15,2778/15,2778/13,8889</t>
  </si>
  <si>
    <t>WBGene00000928</t>
  </si>
  <si>
    <t>39.5833</t>
  </si>
  <si>
    <t>Bm7912</t>
  </si>
  <si>
    <t>WBGene00228173</t>
  </si>
  <si>
    <t>48,5119/34,8214</t>
  </si>
  <si>
    <t>Bm4395</t>
  </si>
  <si>
    <t>WBGene00224656</t>
  </si>
  <si>
    <t>note=B._malayi_BMA-CUTL-21_protein</t>
  </si>
  <si>
    <t>7209.EFO19260.1</t>
  </si>
  <si>
    <t>1.3e-104</t>
  </si>
  <si>
    <t>387.1</t>
  </si>
  <si>
    <t>1KWKY@119089,2C29G@1,2S5JP@2759,3A7AA@33154,3BT9J@33208,3D9D5@33213,40E60@6231</t>
  </si>
  <si>
    <t>17,636/17,8236</t>
  </si>
  <si>
    <t>WBGene00018861</t>
  </si>
  <si>
    <t>25.5159</t>
  </si>
  <si>
    <t>Bm12971</t>
  </si>
  <si>
    <t>WBGene00233232</t>
  </si>
  <si>
    <t>Bm17756</t>
  </si>
  <si>
    <t>WBGene00268898</t>
  </si>
  <si>
    <t>IPR002550/</t>
  </si>
  <si>
    <t>CNNM,_transmembrane_domain/</t>
  </si>
  <si>
    <t>CNNM/</t>
  </si>
  <si>
    <t>7209.EFO22839.1</t>
  </si>
  <si>
    <t>1.7e-97</t>
  </si>
  <si>
    <t>362.8</t>
  </si>
  <si>
    <t>COG1253@1,KOG2118@2759</t>
  </si>
  <si>
    <t>magnesium ion homeostasis</t>
  </si>
  <si>
    <t>23,9884/16,185/23,9884/21,0983</t>
  </si>
  <si>
    <t>23,4104/15,896/23,9884/21,3873</t>
  </si>
  <si>
    <t>22,2543/0/24,5665/19,0751/23,6994/24,2775/20,8092</t>
  </si>
  <si>
    <t>Bm5772</t>
  </si>
  <si>
    <t>WBGene00226033</t>
  </si>
  <si>
    <t>7209.EJD74563.1</t>
  </si>
  <si>
    <t>3e-71</t>
  </si>
  <si>
    <t>274.2</t>
  </si>
  <si>
    <t>msp-56</t>
  </si>
  <si>
    <t>1KYW1@119089,29T0M@1,2RXF6@2759,3AB0E@33154,3BPKQ@33208,3DAVR@33213,40EJM@6231</t>
  </si>
  <si>
    <t>100/100</t>
  </si>
  <si>
    <t>92,9134/95,2756/95,2756</t>
  </si>
  <si>
    <t>89,7638/89,7638/89,7638</t>
  </si>
  <si>
    <t>87,4016/85,8268/86,6142/86,6142/86,6142/86,6142/87,4016</t>
  </si>
  <si>
    <t>72,4409/34,6457/72,4409/72,4409/72,4409/65,3543/72,4409/54,3307/72,4409/72,4409/72,4409/65,3543/72,4409/72,4409/72,4409/42,5197/72,4409/42,5197/72,4409/72,4409/72,4409/72,4409/72,4409/72,4409/72,4409/72,4409/65,3543/72,4409/72,4409/72,4409/72,4409/72,4409</t>
  </si>
  <si>
    <t>84,252/84,252/84,252/51,1811/84,252</t>
  </si>
  <si>
    <t>85,0394/86,6142/85,8268</t>
  </si>
  <si>
    <t>45,6693/46,4567/47,2441</t>
  </si>
  <si>
    <t>Bm1395</t>
  </si>
  <si>
    <t>WBGene00221656</t>
  </si>
  <si>
    <t>GO:0005525/</t>
  </si>
  <si>
    <t>GTP_binding/</t>
  </si>
  <si>
    <t>Interacting_selectively_and_non-covalently_with_GTP,_guanosine_triphosphate._[GOC:ai]/</t>
  </si>
  <si>
    <t>IPR006073/IPR027417/IPR030381/IPR031692/IPR040990/</t>
  </si>
  <si>
    <t>Domain_of_unknown_function_DUF5600/Dynamin-type_guanine_nucleotide-binding_(G)_domain/EH_domain-containing_protein,_N-terminal/GTP_binding_domain/P-loop_containing_nucleoside_triphosphate_hydrolase/</t>
  </si>
  <si>
    <t>DUF5600/EHD_N/GTP_binding_domain/G_DYNAMIN_dom/P-loop_NTPase/</t>
  </si>
  <si>
    <t>7209.EFO26550.2</t>
  </si>
  <si>
    <t>3.6e-214</t>
  </si>
  <si>
    <t>751.1</t>
  </si>
  <si>
    <t>1KYNC@119089,3AGDF@33154,3BWT3@33208,3DFSB@33213,40FAN@6231,KOG1954@1,KOG1954@2759</t>
  </si>
  <si>
    <t>N-terminal EH-domain containing protein</t>
  </si>
  <si>
    <t>36,6726/38,9982/34,8837</t>
  </si>
  <si>
    <t>20,5725/19,3202</t>
  </si>
  <si>
    <t>12,7013/21,4669/16,8157/15,5635/18,9624/18,6047/18,6047/20,9302/21,4669/21,4669</t>
  </si>
  <si>
    <t>9,30233/6,97674/10,1968</t>
  </si>
  <si>
    <t>9,48122/6,79785/10,5546</t>
  </si>
  <si>
    <t>9,66011/6,79785/12,8801/10,3757/9,66011</t>
  </si>
  <si>
    <t>8,05009/8,05009/5,54562/5,72451/4,29338</t>
  </si>
  <si>
    <t>Bm5274</t>
  </si>
  <si>
    <t>WBGene00225535</t>
  </si>
  <si>
    <t>7209.EFO24450.1</t>
  </si>
  <si>
    <t>7.8e-187</t>
  </si>
  <si>
    <t>659.8</t>
  </si>
  <si>
    <t>Bm3828</t>
  </si>
  <si>
    <t>WBGene00224089</t>
  </si>
  <si>
    <t>7209.EFO24652.1</t>
  </si>
  <si>
    <t>1KUUP@119089,39YY1@33154,3BBQX@33208,3D3EY@33213,40BD1@6231,KOG1164@1,KOG1164@2759</t>
  </si>
  <si>
    <t>24,8649/40</t>
  </si>
  <si>
    <t>62,973/91,0811</t>
  </si>
  <si>
    <t>19,1892/46,7568</t>
  </si>
  <si>
    <t>52,973/53,5135</t>
  </si>
  <si>
    <t>50/47,8378</t>
  </si>
  <si>
    <t>13,5135/14,3243</t>
  </si>
  <si>
    <t>49,7297/49,4595</t>
  </si>
  <si>
    <t>WBGene00010874/WBGene00009402</t>
  </si>
  <si>
    <t>49.7297/49.4595</t>
  </si>
  <si>
    <t>Bm7342</t>
  </si>
  <si>
    <t>WBGene00227603</t>
  </si>
  <si>
    <t>GO:0000977/GO:0001708/GO:0003677/GO:0005634/GO:0006355/GO:0046872/</t>
  </si>
  <si>
    <t>DNA_binding/RNA_polymerase_II_regulatory_region_sequence-specific_DNA_binding/cell_fate_specification/metal_ion_binding/nucleus/regulation_of_transcription,_DNA-templated/</t>
  </si>
  <si>
    <t>A_membrane-bounded_organelle_of_eukaryotic_cells_in_which_chromosomes_are_housed_and_replicated._In_most_cells,_the_nucleus_contains_all_of_the_cell's_chromosomes_except_the_organellar_chromosomes,_and_is_the_site_of_RNA_synthesis_and_processing._In_some_species,_or_in_specialized_cell_types,_RNA_metabolism_or_DNA_replication_may_be_absent._[GOC:go_curators]/"Any_molecular_function_by_which_a_gene_product_interacts_selectively_and_non-covalently_with_DNA_(deoxyribonucleic_acid)."_[GOC:dph,_GOC:jl,_GOC:tb,_GOC:vw]/"Any_process_that_modulates_the_frequency,_rate_or_extent_of_cellular_DNA-templated_transcription."_[GOC:go_curators,_GOC:txnOH]/"Interacting_selectively_and_non-covalently_with_a_specific_sequence_of_DNA_that_is_part_of_a_regulatory_region_that_controls_the_transcription_of_a_gene_or_cistron_by_RNA_polymerase_II."_[GOC:txnOH]/"Interacting_selectively_and_non-covalently_with_any_metal_ion."_[GOC:ai]/"The_process_involved_in_the_specification_of_cell_identity._Once_specification_has_taken_place,_a_cell_will_be_committed_to_differentiate_down_a_specific_pathway_if_left_in_its_normal_environment."_[GOC:go_curators]/</t>
  </si>
  <si>
    <t>IPR001356/IPR001781/IPR009057/</t>
  </si>
  <si>
    <t>Homeobox-like_domain_superfamily/Homeobox_domain/Zinc_finger,_LIM-type/</t>
  </si>
  <si>
    <t>Homeobox-like_sf/Homeobox_dom/Znf_LIM/</t>
  </si>
  <si>
    <t>note=B._malayi_BMA-LIM-4_protein,_contains_similarity_toPfam_domains_PF00046_(Homeobox_domain),_PF00412_(LIMdomain)_contains_similarity_to_Interpro_domains_IPR001781(Zinc_finger,_LIM-type),_IPR001356_(Homeobox_domain),IPR009057_(Homeodomain-like)</t>
  </si>
  <si>
    <t>7209.EFO23802.2</t>
  </si>
  <si>
    <t>1.8e-105</t>
  </si>
  <si>
    <t>389.8</t>
  </si>
  <si>
    <t>GO:0000976,GO:0000977,GO:0001012,GO:0001067,GO:0001708,GO:0003674,GO:0003676,GO:0003677,GO:0003690,GO:0003700,GO:0005488,GO:0005575,GO:0005622,GO:0005623,GO:0005634,GO:0006355,GO:0008150,GO:0009889,GO:0009987,GO:0010468,GO:0010556,GO:0019219,GO:0019222,GO:0030154,GO:0031323,GO:0031326,GO:0032502,GO:0043226,GO:0043227,GO:0043229,GO:0043231,GO:0043565,GO:0044212,GO:0044424,GO:0044464,GO:0045165,GO:0048869,GO:0050789,GO:0050794,GO:0051171,GO:0051252,GO:0060255,GO:0065007,GO:0080090,GO:0097159,GO:0140110,GO:1901363,GO:1903506,GO:1990837,GO:2000112,GO:2001141</t>
  </si>
  <si>
    <t>1KZ0I@119089,39CKQ@33154,3BHYC@33208,3CRSY@33213,40D6R@6231,KOG0490@1,KOG0490@2759</t>
  </si>
  <si>
    <t>21,2314/19,9575/21,4437</t>
  </si>
  <si>
    <t>9,97877/10,4034</t>
  </si>
  <si>
    <t>21,6561/20,8068/17,6221/22,293/19,1083/8,28025/18,259/4,4586/15,9236</t>
  </si>
  <si>
    <t>21,4437/20,5945/17,6221/22,0807/19,1083/8,9172/8,28025/17,6221/4,4586/16,3482</t>
  </si>
  <si>
    <t>21,6561/22,0807/18,259/17,8344/17,4098/22,5053/19,5329/19,9575/8,28025/8,9172/17,8344/14,4374/4,4586/16,3482</t>
  </si>
  <si>
    <t>WBGene00002987</t>
  </si>
  <si>
    <t>32.9087</t>
  </si>
  <si>
    <t>Bm17340</t>
  </si>
  <si>
    <t>WBGene00268483</t>
  </si>
  <si>
    <t>Bm17341</t>
  </si>
  <si>
    <t>WBGene00268484</t>
  </si>
  <si>
    <t>Bm8127</t>
  </si>
  <si>
    <t>WBGene00228388</t>
  </si>
  <si>
    <t>IPR032675/IPR036047/</t>
  </si>
  <si>
    <t>F-box-like_domain_superfamily/Leucine-rich_repeat_domain_superfamily/</t>
  </si>
  <si>
    <t>F-box-like_dom_sf/LRR_dom_sf/</t>
  </si>
  <si>
    <t>note=contains_similarity_to_Interpro_domain_IPR001810_(F-box_domain)</t>
  </si>
  <si>
    <t>7209.EFO25024.1</t>
  </si>
  <si>
    <t>1.6e-28</t>
  </si>
  <si>
    <t>134.0</t>
  </si>
  <si>
    <t>1KXE0@119089,2E9RN@1,2SG2G@2759,3AE9A@33154,3BVXH@33208,3DC7F@33213,40F2W@6231</t>
  </si>
  <si>
    <t>13,2867/25,641</t>
  </si>
  <si>
    <t>Bm85</t>
  </si>
  <si>
    <t>WBGene00220346</t>
  </si>
  <si>
    <t>Bm17366</t>
  </si>
  <si>
    <t>WBGene00268509</t>
  </si>
  <si>
    <t>8.3e-21</t>
  </si>
  <si>
    <t>8,58896/8,79346</t>
  </si>
  <si>
    <t>14,7239/15,5419/2,86299/12,4744/11,8609</t>
  </si>
  <si>
    <t>21,2679/21,8814</t>
  </si>
  <si>
    <t>19,0184/20,8589</t>
  </si>
  <si>
    <t>WBGene00006492</t>
  </si>
  <si>
    <t>9.40695</t>
  </si>
  <si>
    <t>Bm18013</t>
  </si>
  <si>
    <t>WBGene00269155</t>
  </si>
  <si>
    <t>IPR001841/IPR011011/IPR013083/IPR017907/IPR019787/</t>
  </si>
  <si>
    <t>Zinc_finger,_FYVE/PHD-type/Zinc_finger,_PHD-finger/Zinc_finger,_RING-type/Zinc_finger,_RING-type,_conserved_site/Zinc_finger,_RING/FYVE/PHD-type/</t>
  </si>
  <si>
    <t>Znf_FYVE_PHD/Znf_PHD-finger/Znf_RING/Znf_RING/FYVE/PHD/Znf_RING_CS/</t>
  </si>
  <si>
    <t>7209.EFO23425.1</t>
  </si>
  <si>
    <t>9.3e-88</t>
  </si>
  <si>
    <t>KOG0825@1,KOG0825@2759</t>
  </si>
  <si>
    <t>LO</t>
  </si>
  <si>
    <t>mRNA processing</t>
  </si>
  <si>
    <t>34,5133/74,6313</t>
  </si>
  <si>
    <t>Bm18030</t>
  </si>
  <si>
    <t>WBGene00269171</t>
  </si>
  <si>
    <t>Bm17282</t>
  </si>
  <si>
    <t>WBGene00268425</t>
  </si>
  <si>
    <t>Bm2687</t>
  </si>
  <si>
    <t>WBGene00222948</t>
  </si>
  <si>
    <t>GO:0003824/GO:0009058/GO:0016740/GO:0016788/GO:0031177/</t>
  </si>
  <si>
    <t>biosynthetic_process/catalytic_activity/hydrolase_activity,_acting_on_ester_bonds/phosphopantetheine_binding/transferase_activity/</t>
  </si>
  <si>
    <t>Catalysis_of_a_biochemical_reaction_at_physiological_temperatures._In_biologically_catalyzed_reactions,_the_reactants_are_known_as_substrates,_and_the_catalysts_are_naturally_occurring_macromolecular_substances_known_as_enzymes._Enzymes_possess_specific_binding_sites_for_substrates,_and_are_usually_composed_wholly_or_largely_of_protein,_but_RNA_that_has_catalytic_activity_(ribozyme)_is_often_also_regarded_as_enzymatic._[GOC:vw,_ISBN:0198506732]/"Catalysis_of_the_hydrolysis_of_any_ester_bond."_[GOC:jl]/"Catalysis_of_the_transfer_of_a_group,_e.g._a_methyl_group,_glycosyl_group,_acyl_group,_phosphorus-containing,_or_other_groups,_from_one_compound_(generally_regarded_as_the_donor)_to_another_compound_(generally_regarded_as_the_acceptor)._Transferase_is_the_systematic_name_for_any_enzyme_of_EC_class_2."_[ISBN:0198506732]/"Interacting_selectively_and_non-covalently_with_phosphopantetheine,_the_vitamin_pantetheine_4'-(dihydrogen_phosphate)."_[CHEBI:16858,_GOC:mah,_GOC:vw]/"The_chemical_reactions_and_pathways_resulting_in_the_formation_of_substances;_typically_the_energy-requiring_part_of_metabolism_in_which_simpler_substances_are_transformed_into_more_complex_ones."_[GOC:curators,_ISBN:0198547684]/</t>
  </si>
  <si>
    <t>IPR000873/IPR001031/IPR001227/IPR001242/IPR006162/IPR009081/IPR013968/IPR014030/IPR014031/IPR014043/IPR016035/IPR016039/IPR018201/IPR020801/IPR020806/IPR020807/IPR020841/IPR020845/IPR023213/IPR029058/IPR032821/IPR036291/IPR036736/</t>
  </si>
  <si>
    <t>ACP-like_superfamily/AMP-binding,_conserved_site/AMP-dependent_synthetase/ligase/Acyl_transferase/Acyl_transferase/acyl_hydrolase/lysophospholipase/Acyl_transferase_domain_superfamily/Alpha/Beta_hydrolase_fold/Beta-ketoacyl_synthase,_C-terminal/Beta-ketoacyl_synthase,_N-terminal/Beta-ketoacyl_synthase,_active_site/Chloramphenicol_acetyltransferase-like_domain_superfamily/Condensation_domain/Ketoacyl-synthetase,_C-terminal_extension/NAD(P)-binding_domain_superfamily/Phosphopantetheine_attachment_site/Phosphopantetheine_binding_ACP_domain/Polyketide_synthase,_acyl_transferase_domain/Polyketide_synthase,_beta-ketoacyl_synthase_domain/Polyketide_synthase,_dehydratase_domain/Polyketide_synthase,_ketoreductase_domain/Polyketide_synthase,_phosphopantetheine-binding_domain/Thioesterase/Thiolase-like/</t>
  </si>
  <si>
    <t>AB_hydrolase/ACP-like_sf/AMP-binding_CS/AMP-dep_Synth/Lig/Ac_transferase_dom_sf/Acyl_Trfase/lysoPLipase/Acyl_transferase/CAT-like_dom_sf/Condensatn/KAsynt_C_assoc/Ketoacyl_synth_AS/Ketoacyl_synth_C/Ketoacyl_synth_N/NAD(P)-bd_dom_sf/PKS_Beta-ketoAc_synthase_dom/PKS_KR/PKS_PP-bd/PKS_acyl_transferase/PKS_dehydratase/PP-bd_ACP/Ppantetheine_attach_site/Thioesterase/Thiolase-like/</t>
  </si>
  <si>
    <t>note=contains_similarity_to_Pfam_domains_PF02801_(Beta-ketoacyl_synthase,_C-terminal_domain),_PF08659_(KR_domain),_PF00501_(AMP-binding_enzyme),_PF14765_(Polyketide_synthase_dehydratase),_PF00668_(Condensation_domain),_PF00109_(Beta-ketoacyl_synthase,_N-terminal_domain),_PF00550_(Phosphopantetheine_attachment_site),_PF00698_(Acyl_transferase_domain)_contains_similarity_to_Interpro_domains_IPR016035_(Acyl_transferase/acyl_hydrolase/lysophospholipase),_IPR014031_(Beta-ketoacyl_synthase,_C-terminal),_IPR001242_(Condensation_domain),_IPR014043_(Acyl_transferase),_IPR014030_(Beta-ketoacyl_synthase,_N-terminal),_IPR020801_(Polyketide_synthase,_acyl_transferase_domain),_IPR000873_(AMP-dependent_synthetase/ligase),_IPR016038_(Thiolase-like,_subgroup),_IPR020841_(Polyketide_synthase,_beta-ketoacyl_synthase_domain),_IPR016039_(Thiolase-like),_IPR020806_(Polyketide_synthase,_phosphopantetheine-binding_domain),_IPR016040_(NAD(P)-binding_domain),_IPR009081_(Acyl_carrier_protein-like),_IPR001227_(Acyl_transferase_domain),_IPR013968_(Polyketide_synthase,_ketoreductase_domain)</t>
  </si>
  <si>
    <t>7209.EJD75257.1</t>
  </si>
  <si>
    <t>8130.8</t>
  </si>
  <si>
    <t>1KUJF@119089,38D6P@33154,3BN6M@33208,3D5PF@33213,40B9K@6231,COG1020@1,COG3321@1,KOG1178@2759,KOG1202@2759</t>
  </si>
  <si>
    <t>Ketoacyl-synthetase C-terminal extension</t>
  </si>
  <si>
    <t>53,7729/24,8586</t>
  </si>
  <si>
    <t>11,1326/5,5318/6,22155</t>
  </si>
  <si>
    <t>3,95917/2,24859/2,31756/2,759/2,24859/2,44172</t>
  </si>
  <si>
    <t>3,02111/1,28294/11,2705</t>
  </si>
  <si>
    <t>WBGene00016558</t>
  </si>
  <si>
    <t>22.8445</t>
  </si>
  <si>
    <t>Bm2099</t>
  </si>
  <si>
    <t>WBGene00222360</t>
  </si>
  <si>
    <t>2.4e-191</t>
  </si>
  <si>
    <t>675.6</t>
  </si>
  <si>
    <t>25,7971/18,9855/15,942/25,942/27,1014/25,5072/23,7681</t>
  </si>
  <si>
    <t>14,6377/26,087/24,2029/25,7971/22,7536/14,3478/26,9565/18,2609/24,2029/16,5217/22,6087/23,4783/17,2464/12,029/8,4058/25,0725</t>
  </si>
  <si>
    <t>8,98551/19,2754/16,5217/17,2464</t>
  </si>
  <si>
    <t>25,942/13,0435/13,4783/26,6667/6,81159</t>
  </si>
  <si>
    <t>10,7246/17,1014/8,84058/12,029/10,8696/10/10,7246/18,9855/14,6377/14,6377/17,1014/27,6812/28,1159</t>
  </si>
  <si>
    <t>10,4348/18,8406/16,3768</t>
  </si>
  <si>
    <t>12,029/12,6087</t>
  </si>
  <si>
    <t>7,97101/25,0725/9,13043/30,2899/23,913/22,1739</t>
  </si>
  <si>
    <t>23,4783/26,8116/26,2319/25,6522/26,087/26,5217/23,1884/26,2319</t>
  </si>
  <si>
    <t>23.4783/26.8116/26.2319/25.6522/26.087/26.5217/23.1884/26.2319</t>
  </si>
  <si>
    <t>Bm7874</t>
  </si>
  <si>
    <t>WBGene00228135</t>
  </si>
  <si>
    <t>IPR013087/IPR036236/IPR041643/</t>
  </si>
  <si>
    <t>ZIC_protein,_zinc_finger_domain/Zinc_finger_C2H2-type/Zinc_finger_C2H2_superfamily/</t>
  </si>
  <si>
    <t>Znf_C2H2_sf/Znf_C2H2_type/Znf_ZIC/</t>
  </si>
  <si>
    <t>7209.EJD74810.1</t>
  </si>
  <si>
    <t>6.7e-134</t>
  </si>
  <si>
    <t>484.2</t>
  </si>
  <si>
    <t>1KZMH@119089,38EYF@33154,3BCH8@33208,3CUTF@33213,40ER9@6231,KOG1721@1,KOG1721@2759</t>
  </si>
  <si>
    <t>Zinc finger, C2H2 type</t>
  </si>
  <si>
    <t>41,4097/51,5419</t>
  </si>
  <si>
    <t>24,4493/16,0793/10,5727</t>
  </si>
  <si>
    <t>26,652/26,2115</t>
  </si>
  <si>
    <t>12,9956/12,7753/13,4361</t>
  </si>
  <si>
    <t>WBGene00004335</t>
  </si>
  <si>
    <t>24.2291</t>
  </si>
  <si>
    <t>Bm11010</t>
  </si>
  <si>
    <t>WBGene00231271</t>
  </si>
  <si>
    <t>DESeq2_normalized_count_PZ</t>
  </si>
  <si>
    <t>DESeq2_normalized_count_MZ</t>
  </si>
  <si>
    <t>DESeq2_normalized_count_BW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</si>
</sst>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color rgb="FF000000"/>
      <name val="Calibri"/>
      <family val="2"/>
      <scheme val="minor"/>
    </font>
    <font>
      <sz val="10"/>
      <name val="Arial"/>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0" fontId="1" fillId="0" borderId="0"/>
  </cellStyleXfs>
  <cellXfs count="11">
    <xf numFmtId="0" fontId="0" fillId="0" borderId="0" xfId="0"/>
    <xf numFmtId="0" fontId="3" fillId="0" borderId="0" xfId="1" applyFont="1"/>
    <xf numFmtId="0" fontId="3" fillId="0" borderId="0" xfId="0" applyFont="1"/>
    <xf numFmtId="0" fontId="1" fillId="0" borderId="0" xfId="1"/>
    <xf numFmtId="0" fontId="4" fillId="0" borderId="0" xfId="1" applyFont="1"/>
    <xf numFmtId="11" fontId="0" fillId="0" borderId="0" xfId="0" applyNumberFormat="1"/>
    <xf numFmtId="0" fontId="5" fillId="0" borderId="0" xfId="0" applyFont="1"/>
    <xf numFmtId="0" fontId="2" fillId="0" borderId="0" xfId="0" applyFont="1"/>
    <xf numFmtId="0" fontId="4" fillId="2" borderId="0" xfId="1" applyFont="1" applyFill="1"/>
    <xf numFmtId="0" fontId="1" fillId="2" borderId="0" xfId="1" applyFill="1"/>
    <xf numFmtId="0" fontId="0" fillId="2" borderId="0" xfId="0" applyFill="1"/>
  </cellXfs>
  <cellStyles count="2">
    <cellStyle name="Normal" xfId="0" builtinId="0"/>
    <cellStyle name="Normal 2" xfId="1" xr:uid="{F0F7F7E0-D518-F745-BF9D-29A7DDA263EB}"/>
  </cellStyles>
  <dxfs count="9">
    <dxf>
      <font>
        <color rgb="FF9C0006"/>
      </font>
      <fill>
        <patternFill>
          <bgColor rgb="FFFFC7CE"/>
        </patternFill>
      </fill>
    </dxf>
    <dxf>
      <fill>
        <patternFill>
          <bgColor rgb="FFFFC000"/>
        </patternFill>
      </fill>
    </dxf>
    <dxf>
      <fill>
        <patternFill>
          <bgColor rgb="FF92D050"/>
        </patternFill>
      </fill>
    </dxf>
    <dxf>
      <font>
        <color rgb="FF9C0006"/>
      </font>
      <fill>
        <patternFill>
          <bgColor rgb="FFFFC7CE"/>
        </patternFill>
      </fill>
    </dxf>
    <dxf>
      <fill>
        <patternFill>
          <bgColor rgb="FFFFC000"/>
        </patternFill>
      </fill>
    </dxf>
    <dxf>
      <fill>
        <patternFill>
          <bgColor rgb="FF92D050"/>
        </patternFill>
      </fill>
    </dxf>
    <dxf>
      <font>
        <color rgb="FF9C0006"/>
      </font>
      <fill>
        <patternFill>
          <bgColor rgb="FFFFC7CE"/>
        </patternFill>
      </fill>
    </dxf>
    <dxf>
      <fill>
        <patternFill>
          <bgColor rgb="FFFFC0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21DBF-B097-5B46-9D6E-8BFB315C4531}">
  <dimension ref="A1:CV1622"/>
  <sheetViews>
    <sheetView workbookViewId="0">
      <selection sqref="A1:XFD1"/>
    </sheetView>
  </sheetViews>
  <sheetFormatPr baseColWidth="10" defaultRowHeight="16"/>
  <cols>
    <col min="1" max="1" width="21.6640625" customWidth="1"/>
    <col min="2" max="2" width="18.5" customWidth="1"/>
    <col min="3" max="3" width="17.83203125" customWidth="1"/>
    <col min="4" max="4" width="17.83203125" bestFit="1" customWidth="1"/>
    <col min="5" max="6" width="20.83203125" bestFit="1" customWidth="1"/>
    <col min="7" max="7" width="4.1640625" customWidth="1"/>
    <col min="8" max="9" width="17.83203125" bestFit="1" customWidth="1"/>
    <col min="10" max="10" width="22.1640625" bestFit="1" customWidth="1"/>
    <col min="11" max="11" width="21.6640625" bestFit="1" customWidth="1"/>
    <col min="12" max="12" width="4.1640625" customWidth="1"/>
    <col min="13" max="14" width="17.83203125" bestFit="1" customWidth="1"/>
    <col min="15" max="15" width="20.83203125" bestFit="1" customWidth="1"/>
    <col min="16" max="16" width="21.6640625" bestFit="1" customWidth="1"/>
    <col min="17" max="17" width="5" customWidth="1"/>
    <col min="18" max="18" width="18.5" customWidth="1"/>
    <col min="19" max="19" width="5" customWidth="1"/>
    <col min="20" max="23" width="19.83203125" customWidth="1"/>
    <col min="24" max="24" width="5.33203125" customWidth="1"/>
    <col min="25" max="25" width="19.83203125" customWidth="1"/>
    <col min="26" max="26" width="25.33203125" customWidth="1"/>
    <col min="27" max="27" width="32.33203125" customWidth="1"/>
    <col min="28" max="28" width="4.5" customWidth="1"/>
    <col min="29" max="29" width="39" customWidth="1"/>
    <col min="30" max="30" width="4.83203125" customWidth="1"/>
    <col min="31" max="31" width="16.1640625" customWidth="1"/>
    <col min="34" max="34" width="13.5" customWidth="1"/>
    <col min="35" max="35" width="14.83203125" customWidth="1"/>
    <col min="37" max="37" width="11.6640625" customWidth="1"/>
    <col min="39" max="39" width="16.1640625" customWidth="1"/>
    <col min="40" max="40" width="12.33203125" customWidth="1"/>
    <col min="41" max="41" width="12.6640625" customWidth="1"/>
    <col min="42" max="42" width="12.5" customWidth="1"/>
    <col min="46" max="46" width="12.1640625" customWidth="1"/>
    <col min="47" max="47" width="16" customWidth="1"/>
    <col min="48" max="48" width="15" customWidth="1"/>
    <col min="51" max="51" width="63.6640625" customWidth="1"/>
    <col min="52" max="52" width="4.83203125" customWidth="1"/>
    <col min="53" max="53" width="17.33203125" bestFit="1" customWidth="1"/>
    <col min="54" max="54" width="28.1640625" bestFit="1" customWidth="1"/>
    <col min="55" max="55" width="21.1640625" customWidth="1"/>
    <col min="56" max="56" width="4.83203125" customWidth="1"/>
    <col min="59" max="78" width="5" customWidth="1"/>
    <col min="79" max="79" width="10" customWidth="1"/>
    <col min="80" max="88" width="5" customWidth="1"/>
    <col min="90" max="90" width="4.83203125" customWidth="1"/>
    <col min="91" max="92" width="32" customWidth="1"/>
    <col min="93" max="93" width="44.6640625" customWidth="1"/>
    <col min="99" max="99" width="13" bestFit="1" customWidth="1"/>
    <col min="100" max="100" width="64.6640625" bestFit="1" customWidth="1"/>
  </cols>
  <sheetData>
    <row r="1" spans="1:100" s="2" customFormat="1">
      <c r="A1" s="1" t="s">
        <v>0</v>
      </c>
      <c r="B1" s="1" t="s">
        <v>1</v>
      </c>
      <c r="C1" s="2" t="s">
        <v>17323</v>
      </c>
      <c r="D1" s="2" t="s">
        <v>17324</v>
      </c>
      <c r="E1" s="2" t="s">
        <v>2</v>
      </c>
      <c r="F1" s="2" t="s">
        <v>3</v>
      </c>
      <c r="G1" s="2" t="s">
        <v>4</v>
      </c>
      <c r="H1" s="2" t="s">
        <v>17323</v>
      </c>
      <c r="I1" s="2" t="s">
        <v>17325</v>
      </c>
      <c r="J1" s="2" t="s">
        <v>5</v>
      </c>
      <c r="K1" s="2" t="s">
        <v>6</v>
      </c>
      <c r="L1" s="2" t="s">
        <v>4</v>
      </c>
      <c r="M1" s="2" t="s">
        <v>17324</v>
      </c>
      <c r="N1" s="2" t="s">
        <v>17325</v>
      </c>
      <c r="O1" s="2" t="s">
        <v>7</v>
      </c>
      <c r="P1" s="2" t="s">
        <v>8</v>
      </c>
      <c r="Q1" s="2" t="s">
        <v>4</v>
      </c>
      <c r="R1" s="1" t="s">
        <v>9</v>
      </c>
      <c r="S1" s="2" t="s">
        <v>4</v>
      </c>
      <c r="T1" s="2" t="s">
        <v>10</v>
      </c>
      <c r="U1" s="2" t="s">
        <v>11</v>
      </c>
      <c r="V1" s="2" t="s">
        <v>12</v>
      </c>
      <c r="W1" s="2" t="s">
        <v>13</v>
      </c>
      <c r="X1" s="2" t="s">
        <v>4</v>
      </c>
      <c r="Y1" s="2" t="s">
        <v>14</v>
      </c>
      <c r="Z1" s="2" t="s">
        <v>15</v>
      </c>
      <c r="AA1" s="2" t="s">
        <v>16</v>
      </c>
      <c r="AB1" s="2" t="s">
        <v>4</v>
      </c>
      <c r="AC1" s="1" t="s">
        <v>17</v>
      </c>
      <c r="AD1" s="2" t="s">
        <v>4</v>
      </c>
      <c r="AE1" s="2" t="s">
        <v>18</v>
      </c>
      <c r="AF1" s="2" t="s">
        <v>19</v>
      </c>
      <c r="AG1" s="2" t="s">
        <v>20</v>
      </c>
      <c r="AH1" s="2" t="s">
        <v>21</v>
      </c>
      <c r="AI1" s="2" t="s">
        <v>22</v>
      </c>
      <c r="AJ1" s="2" t="s">
        <v>23</v>
      </c>
      <c r="AK1" s="2" t="s">
        <v>24</v>
      </c>
      <c r="AL1" s="2" t="s">
        <v>25</v>
      </c>
      <c r="AM1" s="2" t="s">
        <v>26</v>
      </c>
      <c r="AN1" s="2" t="s">
        <v>27</v>
      </c>
      <c r="AO1" s="2" t="s">
        <v>28</v>
      </c>
      <c r="AP1" s="2" t="s">
        <v>29</v>
      </c>
      <c r="AQ1" s="2" t="s">
        <v>30</v>
      </c>
      <c r="AR1" s="2" t="s">
        <v>31</v>
      </c>
      <c r="AS1" s="2" t="s">
        <v>32</v>
      </c>
      <c r="AT1" s="2" t="s">
        <v>33</v>
      </c>
      <c r="AU1" s="2" t="s">
        <v>34</v>
      </c>
      <c r="AV1" s="2" t="s">
        <v>35</v>
      </c>
      <c r="AW1" s="2" t="s">
        <v>36</v>
      </c>
      <c r="AX1" s="2" t="s">
        <v>37</v>
      </c>
      <c r="AY1" s="2" t="s">
        <v>38</v>
      </c>
      <c r="AZ1" s="2" t="s">
        <v>4</v>
      </c>
      <c r="BA1" s="1" t="s">
        <v>39</v>
      </c>
      <c r="BB1" s="2" t="s">
        <v>40</v>
      </c>
      <c r="BC1" s="1" t="s">
        <v>41</v>
      </c>
      <c r="BD1" s="2" t="s">
        <v>4</v>
      </c>
      <c r="BE1" s="1" t="s">
        <v>42</v>
      </c>
      <c r="BF1" s="1" t="s">
        <v>43</v>
      </c>
      <c r="BG1" s="1" t="s">
        <v>44</v>
      </c>
      <c r="BH1" s="1" t="s">
        <v>45</v>
      </c>
      <c r="BI1" s="1" t="s">
        <v>46</v>
      </c>
      <c r="BJ1" s="1" t="s">
        <v>47</v>
      </c>
      <c r="BK1" s="1" t="s">
        <v>48</v>
      </c>
      <c r="BL1" s="1" t="s">
        <v>49</v>
      </c>
      <c r="BM1" s="1" t="s">
        <v>50</v>
      </c>
      <c r="BN1" s="1" t="s">
        <v>51</v>
      </c>
      <c r="BO1" s="1" t="s">
        <v>52</v>
      </c>
      <c r="BP1" s="1" t="s">
        <v>53</v>
      </c>
      <c r="BQ1" s="1" t="s">
        <v>54</v>
      </c>
      <c r="BR1" s="1" t="s">
        <v>55</v>
      </c>
      <c r="BS1" s="1" t="s">
        <v>56</v>
      </c>
      <c r="BT1" s="1" t="s">
        <v>57</v>
      </c>
      <c r="BU1" s="1" t="s">
        <v>58</v>
      </c>
      <c r="BV1" s="1" t="s">
        <v>59</v>
      </c>
      <c r="BW1" s="1" t="s">
        <v>60</v>
      </c>
      <c r="BX1" s="1" t="s">
        <v>61</v>
      </c>
      <c r="BY1" s="1" t="s">
        <v>62</v>
      </c>
      <c r="BZ1" s="1" t="s">
        <v>63</v>
      </c>
      <c r="CA1" s="1" t="s">
        <v>64</v>
      </c>
      <c r="CB1" s="1" t="s">
        <v>65</v>
      </c>
      <c r="CC1" s="1" t="s">
        <v>66</v>
      </c>
      <c r="CD1" s="1" t="s">
        <v>67</v>
      </c>
      <c r="CE1" s="1" t="s">
        <v>68</v>
      </c>
      <c r="CF1" s="1" t="s">
        <v>69</v>
      </c>
      <c r="CG1" s="1" t="s">
        <v>70</v>
      </c>
      <c r="CH1" s="1" t="s">
        <v>71</v>
      </c>
      <c r="CI1" s="1" t="s">
        <v>72</v>
      </c>
      <c r="CJ1" s="1" t="s">
        <v>73</v>
      </c>
      <c r="CK1" s="1" t="s">
        <v>74</v>
      </c>
      <c r="CL1" s="2" t="s">
        <v>4</v>
      </c>
      <c r="CM1" s="2" t="s">
        <v>75</v>
      </c>
      <c r="CN1" s="2" t="s">
        <v>76</v>
      </c>
      <c r="CO1" s="2" t="s">
        <v>77</v>
      </c>
      <c r="CP1" s="2" t="s">
        <v>78</v>
      </c>
      <c r="CQ1" s="2" t="s">
        <v>79</v>
      </c>
      <c r="CR1" s="2" t="s">
        <v>80</v>
      </c>
      <c r="CS1" s="2" t="s">
        <v>81</v>
      </c>
      <c r="CT1" s="2" t="s">
        <v>82</v>
      </c>
      <c r="CU1" s="2" t="s">
        <v>83</v>
      </c>
      <c r="CV1" s="2" t="s">
        <v>84</v>
      </c>
    </row>
    <row r="2" spans="1:100">
      <c r="A2" s="3" t="s">
        <v>2338</v>
      </c>
      <c r="B2" s="4" t="s">
        <v>2339</v>
      </c>
      <c r="C2">
        <v>6615.2620912453303</v>
      </c>
      <c r="D2">
        <v>52581.003848629603</v>
      </c>
      <c r="E2">
        <f>-2.99066807650969</f>
        <v>-2.99066807650969</v>
      </c>
      <c r="F2" s="5">
        <v>2.4825998480286001E-14</v>
      </c>
      <c r="G2" t="s">
        <v>4</v>
      </c>
      <c r="H2">
        <v>6615.2620912453303</v>
      </c>
      <c r="I2">
        <v>1884.2513863481799</v>
      </c>
      <c r="J2">
        <v>1.8106548517294001</v>
      </c>
      <c r="K2" s="5">
        <v>5.03949509534313E-6</v>
      </c>
      <c r="L2" t="s">
        <v>4</v>
      </c>
      <c r="M2">
        <v>52581.003848629603</v>
      </c>
      <c r="N2">
        <v>1884.2513863481799</v>
      </c>
      <c r="O2">
        <v>4.8013229282390899</v>
      </c>
      <c r="P2" s="5">
        <v>1.3180457335109001E-36</v>
      </c>
      <c r="Q2" t="s">
        <v>4</v>
      </c>
      <c r="R2" s="4" t="s">
        <v>87</v>
      </c>
      <c r="S2" t="s">
        <v>4</v>
      </c>
      <c r="T2" t="s">
        <v>2340</v>
      </c>
      <c r="U2" t="s">
        <v>2341</v>
      </c>
      <c r="V2" t="s">
        <v>2342</v>
      </c>
      <c r="W2" t="s">
        <v>328</v>
      </c>
      <c r="X2" t="s">
        <v>4</v>
      </c>
      <c r="Y2" t="s">
        <v>2343</v>
      </c>
      <c r="Z2" t="s">
        <v>2344</v>
      </c>
      <c r="AA2" t="s">
        <v>2345</v>
      </c>
      <c r="AB2" t="s">
        <v>4</v>
      </c>
      <c r="AC2" s="3" t="s">
        <v>2346</v>
      </c>
      <c r="AD2" t="s">
        <v>4</v>
      </c>
      <c r="AE2" t="s">
        <v>2347</v>
      </c>
      <c r="AF2" t="s">
        <v>834</v>
      </c>
      <c r="AG2" t="s">
        <v>2348</v>
      </c>
      <c r="AH2" t="s">
        <v>282</v>
      </c>
      <c r="AU2" t="s">
        <v>112</v>
      </c>
      <c r="AV2" t="s">
        <v>2349</v>
      </c>
      <c r="AW2" t="s">
        <v>114</v>
      </c>
      <c r="AX2" t="s">
        <v>144</v>
      </c>
      <c r="AY2" t="s">
        <v>2350</v>
      </c>
      <c r="AZ2" t="s">
        <v>4</v>
      </c>
      <c r="BA2" s="3" t="s">
        <v>95</v>
      </c>
      <c r="BB2" t="s">
        <v>96</v>
      </c>
      <c r="BC2" s="3" t="s">
        <v>197</v>
      </c>
      <c r="BD2" t="s">
        <v>4</v>
      </c>
      <c r="BE2">
        <v>8255</v>
      </c>
      <c r="BF2" t="s">
        <v>213</v>
      </c>
      <c r="BG2">
        <v>97.204700000000003</v>
      </c>
      <c r="BH2">
        <v>26.811</v>
      </c>
      <c r="BI2">
        <v>76.535399999999996</v>
      </c>
      <c r="BK2">
        <v>65</v>
      </c>
      <c r="BM2">
        <v>34.5276</v>
      </c>
      <c r="BN2">
        <v>57.401600000000002</v>
      </c>
      <c r="BO2">
        <v>59.960599999999999</v>
      </c>
      <c r="BQ2">
        <v>11.4961</v>
      </c>
      <c r="BR2">
        <v>7.5984299999999996</v>
      </c>
      <c r="BT2">
        <v>6.0629900000000001</v>
      </c>
      <c r="BU2">
        <v>9.1732300000000002</v>
      </c>
      <c r="BV2" t="s">
        <v>2351</v>
      </c>
      <c r="BW2">
        <v>16.102399999999999</v>
      </c>
      <c r="CA2">
        <v>9.1732300000000002</v>
      </c>
      <c r="CB2" t="s">
        <v>2352</v>
      </c>
      <c r="CC2">
        <v>6.10236</v>
      </c>
      <c r="CD2" t="s">
        <v>2353</v>
      </c>
      <c r="CK2">
        <v>8</v>
      </c>
      <c r="CL2" t="s">
        <v>4</v>
      </c>
      <c r="CM2" t="s">
        <v>2354</v>
      </c>
      <c r="CN2" t="s">
        <v>2355</v>
      </c>
      <c r="CO2" t="s">
        <v>1218</v>
      </c>
      <c r="CP2" t="s">
        <v>100</v>
      </c>
      <c r="CQ2">
        <v>1</v>
      </c>
      <c r="CR2" t="s">
        <v>100</v>
      </c>
      <c r="CS2" s="7" t="s">
        <v>101</v>
      </c>
      <c r="CT2" t="s">
        <v>152</v>
      </c>
      <c r="CU2" t="s">
        <v>102</v>
      </c>
      <c r="CV2" t="s">
        <v>100</v>
      </c>
    </row>
    <row r="3" spans="1:100">
      <c r="A3" s="3" t="s">
        <v>2356</v>
      </c>
      <c r="B3" s="4" t="s">
        <v>2357</v>
      </c>
      <c r="C3">
        <v>17289.679062922802</v>
      </c>
      <c r="D3">
        <v>129448.62510478499</v>
      </c>
      <c r="E3">
        <f>-2.90438794673856</f>
        <v>-2.9043879467385598</v>
      </c>
      <c r="F3" s="5">
        <v>1.6513757503694699E-10</v>
      </c>
      <c r="G3" t="s">
        <v>4</v>
      </c>
      <c r="H3">
        <v>17289.679062922802</v>
      </c>
      <c r="I3">
        <v>6931.3422805405698</v>
      </c>
      <c r="J3">
        <v>1.3186626275656901</v>
      </c>
      <c r="K3">
        <v>4.7613066191171203E-3</v>
      </c>
      <c r="L3" t="s">
        <v>4</v>
      </c>
      <c r="M3">
        <v>129448.62510478499</v>
      </c>
      <c r="N3">
        <v>6931.3422805405698</v>
      </c>
      <c r="O3">
        <v>4.2230505743042501</v>
      </c>
      <c r="P3" s="5">
        <v>5.8903338340834399E-22</v>
      </c>
      <c r="Q3" t="s">
        <v>4</v>
      </c>
      <c r="R3" s="4" t="s">
        <v>87</v>
      </c>
      <c r="S3" t="s">
        <v>4</v>
      </c>
      <c r="T3" t="s">
        <v>2358</v>
      </c>
      <c r="U3" t="s">
        <v>2359</v>
      </c>
      <c r="V3" t="s">
        <v>2360</v>
      </c>
      <c r="W3" t="s">
        <v>507</v>
      </c>
      <c r="X3" t="s">
        <v>4</v>
      </c>
      <c r="Y3" t="s">
        <v>2361</v>
      </c>
      <c r="Z3" t="s">
        <v>2362</v>
      </c>
      <c r="AA3" t="s">
        <v>2363</v>
      </c>
      <c r="AB3" t="s">
        <v>4</v>
      </c>
      <c r="AC3" s="3" t="s">
        <v>2364</v>
      </c>
      <c r="AD3" t="s">
        <v>4</v>
      </c>
      <c r="AE3" t="s">
        <v>2365</v>
      </c>
      <c r="AF3" t="s">
        <v>2366</v>
      </c>
      <c r="AG3" t="s">
        <v>2367</v>
      </c>
      <c r="AH3" t="s">
        <v>112</v>
      </c>
      <c r="AU3" t="s">
        <v>112</v>
      </c>
      <c r="AV3" t="s">
        <v>2368</v>
      </c>
      <c r="AW3" t="s">
        <v>114</v>
      </c>
      <c r="AX3" t="s">
        <v>2139</v>
      </c>
      <c r="AY3" t="s">
        <v>2369</v>
      </c>
      <c r="AZ3" t="s">
        <v>4</v>
      </c>
      <c r="BA3" s="3" t="s">
        <v>115</v>
      </c>
      <c r="BB3" s="6" t="s">
        <v>95</v>
      </c>
      <c r="BC3" s="3" t="s">
        <v>95</v>
      </c>
      <c r="BD3" t="s">
        <v>4</v>
      </c>
      <c r="BE3">
        <v>4019</v>
      </c>
      <c r="BF3" t="s">
        <v>112</v>
      </c>
      <c r="BG3">
        <v>100</v>
      </c>
      <c r="BH3">
        <v>94.059399999999997</v>
      </c>
      <c r="BI3">
        <v>94.059399999999997</v>
      </c>
      <c r="BJ3">
        <v>91.089100000000002</v>
      </c>
      <c r="BK3">
        <v>91.089100000000002</v>
      </c>
      <c r="BL3">
        <v>79.207899999999995</v>
      </c>
      <c r="BM3">
        <v>85.148499999999999</v>
      </c>
      <c r="BN3">
        <v>85.148499999999999</v>
      </c>
      <c r="BO3">
        <v>92.0792</v>
      </c>
      <c r="CK3">
        <v>5</v>
      </c>
      <c r="CL3" t="s">
        <v>4</v>
      </c>
      <c r="CM3" t="s">
        <v>98</v>
      </c>
      <c r="CN3" t="s">
        <v>98</v>
      </c>
      <c r="CO3" t="s">
        <v>99</v>
      </c>
      <c r="CP3" t="s">
        <v>100</v>
      </c>
      <c r="CQ3">
        <v>2</v>
      </c>
      <c r="CR3" t="s">
        <v>100</v>
      </c>
      <c r="CS3" s="7" t="s">
        <v>101</v>
      </c>
      <c r="CT3" t="s">
        <v>152</v>
      </c>
      <c r="CU3" t="s">
        <v>102</v>
      </c>
      <c r="CV3" t="s">
        <v>100</v>
      </c>
    </row>
    <row r="4" spans="1:100">
      <c r="A4" s="3" t="s">
        <v>2370</v>
      </c>
      <c r="B4" s="4" t="s">
        <v>2371</v>
      </c>
      <c r="C4">
        <v>2485.6725526091</v>
      </c>
      <c r="D4">
        <v>36033.119705760197</v>
      </c>
      <c r="E4">
        <f>-3.85759013154087</f>
        <v>-3.8575901315408698</v>
      </c>
      <c r="F4" s="5">
        <v>1.7526471716685601E-5</v>
      </c>
      <c r="G4" t="s">
        <v>4</v>
      </c>
      <c r="H4">
        <v>2485.6725526091</v>
      </c>
      <c r="I4">
        <v>1164.2921918899001</v>
      </c>
      <c r="J4">
        <v>1.09448182442266</v>
      </c>
      <c r="K4">
        <v>0.247614413189646</v>
      </c>
      <c r="L4" t="s">
        <v>4</v>
      </c>
      <c r="M4">
        <v>36033.119705760197</v>
      </c>
      <c r="N4">
        <v>1164.2921918899001</v>
      </c>
      <c r="O4">
        <v>4.9520719559635298</v>
      </c>
      <c r="P4" s="5">
        <v>7.7040877284288797E-9</v>
      </c>
      <c r="Q4" t="s">
        <v>4</v>
      </c>
      <c r="R4" s="4" t="s">
        <v>87</v>
      </c>
      <c r="S4" t="s">
        <v>4</v>
      </c>
      <c r="T4" t="s">
        <v>92</v>
      </c>
      <c r="U4" t="s">
        <v>92</v>
      </c>
      <c r="V4" t="s">
        <v>92</v>
      </c>
      <c r="W4" t="s">
        <v>92</v>
      </c>
      <c r="X4" t="s">
        <v>4</v>
      </c>
      <c r="Y4" t="s">
        <v>92</v>
      </c>
      <c r="Z4" t="s">
        <v>92</v>
      </c>
      <c r="AA4" t="s">
        <v>92</v>
      </c>
      <c r="AB4" t="s">
        <v>4</v>
      </c>
      <c r="AC4" s="3" t="s">
        <v>93</v>
      </c>
      <c r="AD4" t="s">
        <v>4</v>
      </c>
      <c r="AE4" s="4" t="s">
        <v>94</v>
      </c>
      <c r="AZ4" t="s">
        <v>4</v>
      </c>
      <c r="BA4" s="3" t="s">
        <v>115</v>
      </c>
      <c r="BB4" s="6" t="s">
        <v>95</v>
      </c>
      <c r="BC4" s="3" t="s">
        <v>95</v>
      </c>
      <c r="BD4" t="s">
        <v>4</v>
      </c>
      <c r="BE4">
        <v>1945</v>
      </c>
      <c r="BF4" t="s">
        <v>148</v>
      </c>
      <c r="BG4">
        <v>95.303899999999999</v>
      </c>
      <c r="BH4">
        <v>84.116</v>
      </c>
      <c r="BI4">
        <v>87.016599999999997</v>
      </c>
      <c r="BJ4">
        <v>47.651899999999998</v>
      </c>
      <c r="BK4">
        <v>29.9724</v>
      </c>
      <c r="BL4">
        <v>12.9834</v>
      </c>
      <c r="BM4">
        <v>35.082900000000002</v>
      </c>
      <c r="BN4">
        <v>37.7072</v>
      </c>
      <c r="BO4">
        <v>36.878500000000003</v>
      </c>
      <c r="CK4">
        <v>3</v>
      </c>
      <c r="CL4" t="s">
        <v>4</v>
      </c>
      <c r="CM4" t="s">
        <v>98</v>
      </c>
      <c r="CN4" t="s">
        <v>98</v>
      </c>
      <c r="CO4" t="s">
        <v>99</v>
      </c>
      <c r="CP4" t="s">
        <v>100</v>
      </c>
      <c r="CQ4">
        <v>3</v>
      </c>
      <c r="CR4" t="s">
        <v>100</v>
      </c>
      <c r="CS4" t="s">
        <v>100</v>
      </c>
      <c r="CT4" t="s">
        <v>152</v>
      </c>
      <c r="CU4" t="s">
        <v>102</v>
      </c>
      <c r="CV4" t="s">
        <v>100</v>
      </c>
    </row>
    <row r="5" spans="1:100">
      <c r="A5" s="3" t="s">
        <v>2372</v>
      </c>
      <c r="B5" s="4" t="s">
        <v>2373</v>
      </c>
      <c r="C5">
        <v>184.68834746303401</v>
      </c>
      <c r="D5">
        <v>1752.41146202957</v>
      </c>
      <c r="E5">
        <f>-3.24489211043606</f>
        <v>-3.24489211043606</v>
      </c>
      <c r="F5" s="5">
        <v>8.6601795338585099E-14</v>
      </c>
      <c r="G5" t="s">
        <v>4</v>
      </c>
      <c r="H5">
        <v>184.68834746303401</v>
      </c>
      <c r="I5">
        <v>243.70841869424399</v>
      </c>
      <c r="J5">
        <f>0.396731674643166</f>
        <v>0.396731674643166</v>
      </c>
      <c r="K5">
        <v>0.41594637783453903</v>
      </c>
      <c r="L5" t="s">
        <v>4</v>
      </c>
      <c r="M5">
        <v>1752.41146202957</v>
      </c>
      <c r="N5">
        <v>243.70841869424399</v>
      </c>
      <c r="O5">
        <v>2.8481604357928898</v>
      </c>
      <c r="P5" s="5">
        <v>3.0300107014872699E-11</v>
      </c>
      <c r="Q5" t="s">
        <v>4</v>
      </c>
      <c r="R5" s="4" t="s">
        <v>87</v>
      </c>
      <c r="S5" t="s">
        <v>4</v>
      </c>
      <c r="T5" t="s">
        <v>88</v>
      </c>
      <c r="U5" t="s">
        <v>89</v>
      </c>
      <c r="V5" t="s">
        <v>90</v>
      </c>
      <c r="W5" t="s">
        <v>91</v>
      </c>
      <c r="X5" t="s">
        <v>4</v>
      </c>
      <c r="Y5" t="s">
        <v>92</v>
      </c>
      <c r="Z5" t="s">
        <v>92</v>
      </c>
      <c r="AA5" t="s">
        <v>92</v>
      </c>
      <c r="AB5" t="s">
        <v>4</v>
      </c>
      <c r="AC5" s="3" t="s">
        <v>93</v>
      </c>
      <c r="AD5" t="s">
        <v>4</v>
      </c>
      <c r="AE5" s="4" t="s">
        <v>94</v>
      </c>
      <c r="AZ5" t="s">
        <v>4</v>
      </c>
      <c r="BA5" s="3" t="s">
        <v>95</v>
      </c>
      <c r="BB5" t="s">
        <v>96</v>
      </c>
      <c r="BC5" s="3" t="s">
        <v>95</v>
      </c>
      <c r="BD5" t="s">
        <v>4</v>
      </c>
      <c r="BE5">
        <v>2144</v>
      </c>
      <c r="BF5" t="s">
        <v>148</v>
      </c>
      <c r="BG5">
        <v>95.953800000000001</v>
      </c>
      <c r="BH5">
        <v>98.843900000000005</v>
      </c>
      <c r="BI5">
        <v>91.329499999999996</v>
      </c>
      <c r="BJ5">
        <v>45.664700000000003</v>
      </c>
      <c r="BK5">
        <v>52.601199999999999</v>
      </c>
      <c r="BL5">
        <v>43.352600000000002</v>
      </c>
      <c r="BM5">
        <v>64.739900000000006</v>
      </c>
      <c r="BN5">
        <v>64.161799999999999</v>
      </c>
      <c r="BO5">
        <v>61.271700000000003</v>
      </c>
      <c r="CK5">
        <v>3</v>
      </c>
      <c r="CL5" t="s">
        <v>4</v>
      </c>
      <c r="CM5" t="s">
        <v>98</v>
      </c>
      <c r="CN5" t="s">
        <v>98</v>
      </c>
      <c r="CO5" t="s">
        <v>99</v>
      </c>
      <c r="CP5" t="s">
        <v>100</v>
      </c>
      <c r="CQ5">
        <v>4</v>
      </c>
      <c r="CR5" t="s">
        <v>100</v>
      </c>
      <c r="CS5" t="s">
        <v>100</v>
      </c>
      <c r="CT5" t="s">
        <v>152</v>
      </c>
      <c r="CU5" t="s">
        <v>102</v>
      </c>
      <c r="CV5" t="s">
        <v>100</v>
      </c>
    </row>
    <row r="6" spans="1:100">
      <c r="A6" s="3" t="s">
        <v>2374</v>
      </c>
      <c r="B6" s="4" t="s">
        <v>2375</v>
      </c>
      <c r="C6">
        <v>505.87894797486302</v>
      </c>
      <c r="D6">
        <v>6241.8178591801498</v>
      </c>
      <c r="E6">
        <f>-3.62498840315817</f>
        <v>-3.6249884031581701</v>
      </c>
      <c r="F6" s="5">
        <v>8.9124410056039101E-5</v>
      </c>
      <c r="G6" t="s">
        <v>4</v>
      </c>
      <c r="H6">
        <v>505.87894797486302</v>
      </c>
      <c r="I6">
        <v>187.89069631880301</v>
      </c>
      <c r="J6">
        <v>1.4301912007923401</v>
      </c>
      <c r="K6">
        <v>0.135128625779391</v>
      </c>
      <c r="L6" t="s">
        <v>4</v>
      </c>
      <c r="M6">
        <v>6241.8178591801498</v>
      </c>
      <c r="N6">
        <v>187.89069631880301</v>
      </c>
      <c r="O6">
        <v>5.0551796039505099</v>
      </c>
      <c r="P6" s="5">
        <v>9.0667790998695901E-9</v>
      </c>
      <c r="Q6" t="s">
        <v>4</v>
      </c>
      <c r="R6" s="4" t="s">
        <v>87</v>
      </c>
      <c r="S6" t="s">
        <v>4</v>
      </c>
      <c r="T6" t="s">
        <v>92</v>
      </c>
      <c r="U6" t="s">
        <v>92</v>
      </c>
      <c r="V6" t="s">
        <v>92</v>
      </c>
      <c r="W6" t="s">
        <v>92</v>
      </c>
      <c r="X6" t="s">
        <v>4</v>
      </c>
      <c r="Y6" t="s">
        <v>92</v>
      </c>
      <c r="Z6" t="s">
        <v>92</v>
      </c>
      <c r="AA6" t="s">
        <v>92</v>
      </c>
      <c r="AB6" t="s">
        <v>4</v>
      </c>
      <c r="AC6" s="3" t="s">
        <v>93</v>
      </c>
      <c r="AD6" t="s">
        <v>4</v>
      </c>
      <c r="AE6" s="4" t="s">
        <v>94</v>
      </c>
      <c r="AZ6" t="s">
        <v>4</v>
      </c>
      <c r="BA6" s="3" t="s">
        <v>95</v>
      </c>
      <c r="BB6" s="6" t="s">
        <v>95</v>
      </c>
      <c r="BC6" s="3" t="s">
        <v>95</v>
      </c>
      <c r="BD6" t="s">
        <v>4</v>
      </c>
      <c r="BE6">
        <v>1354</v>
      </c>
      <c r="BF6" t="s">
        <v>151</v>
      </c>
      <c r="BG6">
        <v>92.802999999999997</v>
      </c>
      <c r="BH6">
        <v>51.893900000000002</v>
      </c>
      <c r="BI6">
        <v>51.136400000000002</v>
      </c>
      <c r="BJ6">
        <v>24.2424</v>
      </c>
      <c r="BK6">
        <v>30.303000000000001</v>
      </c>
      <c r="BL6">
        <v>20.454499999999999</v>
      </c>
      <c r="BM6">
        <v>27.2727</v>
      </c>
      <c r="BN6">
        <v>26.136399999999998</v>
      </c>
      <c r="BO6">
        <v>27.2727</v>
      </c>
      <c r="CK6">
        <v>2</v>
      </c>
      <c r="CL6" t="s">
        <v>4</v>
      </c>
      <c r="CM6" t="s">
        <v>98</v>
      </c>
      <c r="CN6" t="s">
        <v>98</v>
      </c>
      <c r="CO6" t="s">
        <v>99</v>
      </c>
      <c r="CP6" t="s">
        <v>100</v>
      </c>
      <c r="CQ6">
        <v>5</v>
      </c>
      <c r="CR6" t="s">
        <v>100</v>
      </c>
      <c r="CS6" t="s">
        <v>100</v>
      </c>
      <c r="CT6" t="s">
        <v>152</v>
      </c>
      <c r="CU6" t="s">
        <v>102</v>
      </c>
      <c r="CV6" t="s">
        <v>100</v>
      </c>
    </row>
    <row r="7" spans="1:100">
      <c r="A7" s="3" t="s">
        <v>2376</v>
      </c>
      <c r="B7" s="4" t="s">
        <v>2377</v>
      </c>
      <c r="C7">
        <v>704.56171520143403</v>
      </c>
      <c r="D7">
        <v>4769.0246805152701</v>
      </c>
      <c r="E7">
        <f>-2.75866364001934</f>
        <v>-2.7586636400193401</v>
      </c>
      <c r="F7" s="5">
        <v>1.13888069327844E-30</v>
      </c>
      <c r="G7" t="s">
        <v>4</v>
      </c>
      <c r="H7">
        <v>704.56171520143403</v>
      </c>
      <c r="I7">
        <v>381.78493949599903</v>
      </c>
      <c r="J7">
        <v>0.88407992107129996</v>
      </c>
      <c r="K7">
        <v>5.3734993260313101E-4</v>
      </c>
      <c r="L7" t="s">
        <v>4</v>
      </c>
      <c r="M7">
        <v>4769.0246805152701</v>
      </c>
      <c r="N7">
        <v>381.78493949599903</v>
      </c>
      <c r="O7">
        <v>3.64274356109064</v>
      </c>
      <c r="P7" s="5">
        <v>1.5610304696882E-52</v>
      </c>
      <c r="Q7" t="s">
        <v>4</v>
      </c>
      <c r="R7" s="4" t="s">
        <v>87</v>
      </c>
      <c r="S7" t="s">
        <v>4</v>
      </c>
      <c r="T7" t="s">
        <v>92</v>
      </c>
      <c r="U7" t="s">
        <v>92</v>
      </c>
      <c r="V7" t="s">
        <v>92</v>
      </c>
      <c r="W7" t="s">
        <v>92</v>
      </c>
      <c r="X7" t="s">
        <v>4</v>
      </c>
      <c r="Y7" t="s">
        <v>2378</v>
      </c>
      <c r="Z7" t="s">
        <v>2379</v>
      </c>
      <c r="AA7" t="s">
        <v>2380</v>
      </c>
      <c r="AB7" t="s">
        <v>4</v>
      </c>
      <c r="AC7" s="3" t="s">
        <v>93</v>
      </c>
      <c r="AD7" t="s">
        <v>4</v>
      </c>
      <c r="AE7" t="s">
        <v>2381</v>
      </c>
      <c r="AF7" t="s">
        <v>2382</v>
      </c>
      <c r="AG7" t="s">
        <v>2383</v>
      </c>
      <c r="AH7" t="s">
        <v>386</v>
      </c>
      <c r="AU7" t="s">
        <v>112</v>
      </c>
      <c r="AV7" t="s">
        <v>2384</v>
      </c>
      <c r="AW7" t="s">
        <v>114</v>
      </c>
      <c r="AX7" t="s">
        <v>144</v>
      </c>
      <c r="AY7" t="s">
        <v>2385</v>
      </c>
      <c r="AZ7" t="s">
        <v>4</v>
      </c>
      <c r="BA7" s="3" t="s">
        <v>95</v>
      </c>
      <c r="BB7" s="6" t="s">
        <v>95</v>
      </c>
      <c r="BC7" s="3" t="s">
        <v>95</v>
      </c>
      <c r="BD7" t="s">
        <v>4</v>
      </c>
      <c r="BE7">
        <v>8046</v>
      </c>
      <c r="BF7" t="s">
        <v>213</v>
      </c>
      <c r="BG7">
        <v>98.555999999999997</v>
      </c>
      <c r="BH7">
        <v>100</v>
      </c>
      <c r="BI7">
        <v>97.111900000000006</v>
      </c>
      <c r="BJ7">
        <v>90.613699999999994</v>
      </c>
      <c r="BK7">
        <v>74.007199999999997</v>
      </c>
      <c r="BL7">
        <v>72.202200000000005</v>
      </c>
      <c r="BM7">
        <v>83.754499999999993</v>
      </c>
      <c r="BN7">
        <v>83.754499999999993</v>
      </c>
      <c r="BO7">
        <v>73.285200000000003</v>
      </c>
      <c r="BP7">
        <v>34.295999999999999</v>
      </c>
      <c r="BQ7">
        <v>20.938600000000001</v>
      </c>
      <c r="BR7">
        <v>19.494599999999998</v>
      </c>
      <c r="CB7">
        <v>15.1625</v>
      </c>
      <c r="CE7">
        <v>20.5776</v>
      </c>
      <c r="CF7" t="s">
        <v>2386</v>
      </c>
      <c r="CG7">
        <v>23.826699999999999</v>
      </c>
      <c r="CH7">
        <v>22.7437</v>
      </c>
      <c r="CI7">
        <v>22.7437</v>
      </c>
      <c r="CK7">
        <v>8</v>
      </c>
      <c r="CL7" t="s">
        <v>4</v>
      </c>
      <c r="CM7" t="s">
        <v>98</v>
      </c>
      <c r="CN7" t="s">
        <v>98</v>
      </c>
      <c r="CO7" t="s">
        <v>99</v>
      </c>
      <c r="CP7" t="s">
        <v>100</v>
      </c>
      <c r="CQ7">
        <v>6</v>
      </c>
      <c r="CR7" t="s">
        <v>100</v>
      </c>
      <c r="CS7" t="s">
        <v>100</v>
      </c>
      <c r="CT7" t="s">
        <v>152</v>
      </c>
      <c r="CU7" t="s">
        <v>102</v>
      </c>
      <c r="CV7" t="s">
        <v>100</v>
      </c>
    </row>
    <row r="8" spans="1:100">
      <c r="A8" s="3" t="s">
        <v>2387</v>
      </c>
      <c r="B8" s="4" t="s">
        <v>2388</v>
      </c>
      <c r="C8">
        <v>572.21844832385796</v>
      </c>
      <c r="D8">
        <v>2615.53192899757</v>
      </c>
      <c r="E8">
        <f>-2.19222032711274</f>
        <v>-2.1922203271127398</v>
      </c>
      <c r="F8" s="5">
        <v>9.5057452457241799E-11</v>
      </c>
      <c r="G8" t="s">
        <v>4</v>
      </c>
      <c r="H8">
        <v>572.21844832385796</v>
      </c>
      <c r="I8">
        <v>484.107354173663</v>
      </c>
      <c r="J8">
        <v>0.23805207451090901</v>
      </c>
      <c r="K8">
        <v>0.53324503853628302</v>
      </c>
      <c r="L8" t="s">
        <v>4</v>
      </c>
      <c r="M8">
        <v>2615.53192899757</v>
      </c>
      <c r="N8">
        <v>484.107354173663</v>
      </c>
      <c r="O8">
        <v>2.4302724016236499</v>
      </c>
      <c r="P8" s="5">
        <v>2.08671326077435E-13</v>
      </c>
      <c r="Q8" t="s">
        <v>4</v>
      </c>
      <c r="R8" s="4" t="s">
        <v>87</v>
      </c>
      <c r="S8" t="s">
        <v>4</v>
      </c>
      <c r="T8" t="s">
        <v>92</v>
      </c>
      <c r="U8" t="s">
        <v>92</v>
      </c>
      <c r="V8" t="s">
        <v>92</v>
      </c>
      <c r="W8" t="s">
        <v>92</v>
      </c>
      <c r="X8" t="s">
        <v>4</v>
      </c>
      <c r="Y8" t="s">
        <v>2389</v>
      </c>
      <c r="Z8" t="s">
        <v>2390</v>
      </c>
      <c r="AA8" t="s">
        <v>2391</v>
      </c>
      <c r="AB8" t="s">
        <v>4</v>
      </c>
      <c r="AC8" s="3" t="s">
        <v>2392</v>
      </c>
      <c r="AD8" t="s">
        <v>4</v>
      </c>
      <c r="AE8" s="4" t="s">
        <v>94</v>
      </c>
      <c r="AZ8" t="s">
        <v>4</v>
      </c>
      <c r="BA8" s="3" t="s">
        <v>95</v>
      </c>
      <c r="BB8" s="6" t="s">
        <v>95</v>
      </c>
      <c r="BC8" s="3" t="s">
        <v>95</v>
      </c>
      <c r="BD8" t="s">
        <v>4</v>
      </c>
      <c r="BE8">
        <v>2836</v>
      </c>
      <c r="BF8" t="s">
        <v>97</v>
      </c>
      <c r="BG8">
        <v>95.111999999999995</v>
      </c>
      <c r="BH8">
        <v>94.908299999999997</v>
      </c>
      <c r="BI8">
        <v>91.649699999999996</v>
      </c>
      <c r="BJ8">
        <v>69.246399999999994</v>
      </c>
      <c r="BK8">
        <v>71.486800000000002</v>
      </c>
      <c r="BL8">
        <v>72.505099999999999</v>
      </c>
      <c r="BM8">
        <v>72.505099999999999</v>
      </c>
      <c r="BN8">
        <v>72.708799999999997</v>
      </c>
      <c r="BO8">
        <v>80.040700000000001</v>
      </c>
      <c r="BP8">
        <v>21.384899999999998</v>
      </c>
      <c r="CK8">
        <v>4</v>
      </c>
      <c r="CL8" t="s">
        <v>4</v>
      </c>
      <c r="CM8" t="s">
        <v>98</v>
      </c>
      <c r="CN8" t="s">
        <v>98</v>
      </c>
      <c r="CO8" t="s">
        <v>99</v>
      </c>
      <c r="CP8" t="s">
        <v>100</v>
      </c>
      <c r="CQ8">
        <v>7</v>
      </c>
      <c r="CR8" t="s">
        <v>100</v>
      </c>
      <c r="CS8" t="s">
        <v>100</v>
      </c>
      <c r="CT8" t="s">
        <v>152</v>
      </c>
      <c r="CU8" t="s">
        <v>102</v>
      </c>
      <c r="CV8" t="s">
        <v>100</v>
      </c>
    </row>
    <row r="9" spans="1:100">
      <c r="A9" s="3" t="s">
        <v>2393</v>
      </c>
      <c r="B9" s="4" t="s">
        <v>2394</v>
      </c>
      <c r="C9">
        <v>80.011268854094695</v>
      </c>
      <c r="D9">
        <v>1350.56349171232</v>
      </c>
      <c r="E9">
        <f>-4.07574893947901</f>
        <v>-4.0757489394790101</v>
      </c>
      <c r="F9" s="5">
        <v>6.3080870640651097E-12</v>
      </c>
      <c r="G9" t="s">
        <v>4</v>
      </c>
      <c r="H9">
        <v>80.011268854094695</v>
      </c>
      <c r="I9">
        <v>36.875516651829301</v>
      </c>
      <c r="J9">
        <v>1.1239381266863899</v>
      </c>
      <c r="K9">
        <v>8.6351606385630303E-2</v>
      </c>
      <c r="L9" t="s">
        <v>4</v>
      </c>
      <c r="M9">
        <v>1350.56349171232</v>
      </c>
      <c r="N9">
        <v>36.875516651829301</v>
      </c>
      <c r="O9">
        <v>5.1996870661654002</v>
      </c>
      <c r="P9" s="5">
        <v>2.0055167635352101E-18</v>
      </c>
      <c r="Q9" t="s">
        <v>4</v>
      </c>
      <c r="R9" s="4" t="s">
        <v>87</v>
      </c>
      <c r="S9" t="s">
        <v>4</v>
      </c>
      <c r="T9" t="s">
        <v>92</v>
      </c>
      <c r="U9" t="s">
        <v>92</v>
      </c>
      <c r="V9" t="s">
        <v>92</v>
      </c>
      <c r="W9" t="s">
        <v>92</v>
      </c>
      <c r="X9" t="s">
        <v>4</v>
      </c>
      <c r="Y9" t="s">
        <v>92</v>
      </c>
      <c r="Z9" t="s">
        <v>92</v>
      </c>
      <c r="AA9" t="s">
        <v>92</v>
      </c>
      <c r="AB9" t="s">
        <v>4</v>
      </c>
      <c r="AC9" s="3" t="s">
        <v>93</v>
      </c>
      <c r="AD9" t="s">
        <v>4</v>
      </c>
      <c r="AE9" s="4" t="s">
        <v>94</v>
      </c>
      <c r="AZ9" t="s">
        <v>4</v>
      </c>
      <c r="BA9" s="3" t="s">
        <v>115</v>
      </c>
      <c r="BB9" s="6" t="s">
        <v>95</v>
      </c>
      <c r="BC9" s="3" t="s">
        <v>95</v>
      </c>
      <c r="BD9" t="s">
        <v>4</v>
      </c>
      <c r="BE9">
        <v>2153</v>
      </c>
      <c r="BF9" t="s">
        <v>148</v>
      </c>
      <c r="BG9">
        <v>98.802400000000006</v>
      </c>
      <c r="BH9">
        <v>100</v>
      </c>
      <c r="BJ9">
        <v>61.077800000000003</v>
      </c>
      <c r="BK9">
        <v>50.898200000000003</v>
      </c>
      <c r="BO9">
        <v>59.281399999999998</v>
      </c>
      <c r="CK9">
        <v>3</v>
      </c>
      <c r="CL9" t="s">
        <v>4</v>
      </c>
      <c r="CM9" t="s">
        <v>98</v>
      </c>
      <c r="CN9" t="s">
        <v>98</v>
      </c>
      <c r="CO9" t="s">
        <v>99</v>
      </c>
      <c r="CP9" t="s">
        <v>100</v>
      </c>
      <c r="CQ9">
        <v>8</v>
      </c>
      <c r="CR9" t="s">
        <v>100</v>
      </c>
      <c r="CS9" t="s">
        <v>100</v>
      </c>
      <c r="CT9" t="s">
        <v>152</v>
      </c>
      <c r="CU9" t="s">
        <v>102</v>
      </c>
      <c r="CV9" t="s">
        <v>100</v>
      </c>
    </row>
    <row r="10" spans="1:100">
      <c r="A10" s="3" t="s">
        <v>2395</v>
      </c>
      <c r="B10" s="4" t="s">
        <v>2396</v>
      </c>
      <c r="C10">
        <v>327.37727941296299</v>
      </c>
      <c r="D10">
        <v>2921.7096489629898</v>
      </c>
      <c r="E10">
        <f>-3.15716331235296</f>
        <v>-3.1571633123529601</v>
      </c>
      <c r="F10" s="5">
        <v>3.8997589958061001E-15</v>
      </c>
      <c r="G10" t="s">
        <v>4</v>
      </c>
      <c r="H10">
        <v>327.37727941296299</v>
      </c>
      <c r="I10">
        <v>124.573171795096</v>
      </c>
      <c r="J10">
        <v>1.3783101495336301</v>
      </c>
      <c r="K10">
        <v>1.16436286191441E-3</v>
      </c>
      <c r="L10" t="s">
        <v>4</v>
      </c>
      <c r="M10">
        <v>2921.7096489629898</v>
      </c>
      <c r="N10">
        <v>124.573171795096</v>
      </c>
      <c r="O10">
        <v>4.5354734618865997</v>
      </c>
      <c r="P10" s="5">
        <v>4.4859836062337402E-30</v>
      </c>
      <c r="Q10" t="s">
        <v>4</v>
      </c>
      <c r="R10" s="4" t="s">
        <v>87</v>
      </c>
      <c r="S10" t="s">
        <v>4</v>
      </c>
      <c r="T10" t="s">
        <v>92</v>
      </c>
      <c r="U10" t="s">
        <v>92</v>
      </c>
      <c r="V10" t="s">
        <v>92</v>
      </c>
      <c r="W10" t="s">
        <v>92</v>
      </c>
      <c r="X10" t="s">
        <v>4</v>
      </c>
      <c r="Y10" t="s">
        <v>92</v>
      </c>
      <c r="Z10" t="s">
        <v>92</v>
      </c>
      <c r="AA10" t="s">
        <v>92</v>
      </c>
      <c r="AB10" t="s">
        <v>4</v>
      </c>
      <c r="AC10" s="3" t="s">
        <v>93</v>
      </c>
      <c r="AD10" t="s">
        <v>4</v>
      </c>
      <c r="AE10" s="4" t="s">
        <v>94</v>
      </c>
      <c r="AZ10" t="s">
        <v>4</v>
      </c>
      <c r="BA10" s="3" t="s">
        <v>115</v>
      </c>
      <c r="BB10" s="6" t="s">
        <v>95</v>
      </c>
      <c r="BC10" s="3" t="s">
        <v>197</v>
      </c>
      <c r="BD10" t="s">
        <v>4</v>
      </c>
      <c r="BE10">
        <v>2156</v>
      </c>
      <c r="BF10" t="s">
        <v>148</v>
      </c>
      <c r="BG10">
        <v>98.7209</v>
      </c>
      <c r="BH10">
        <v>100</v>
      </c>
      <c r="BI10">
        <v>81.860500000000002</v>
      </c>
      <c r="BJ10" t="s">
        <v>2397</v>
      </c>
      <c r="BK10">
        <v>61.395299999999999</v>
      </c>
      <c r="BL10">
        <v>63.139499999999998</v>
      </c>
      <c r="BM10">
        <v>62.325600000000001</v>
      </c>
      <c r="BN10">
        <v>71.627899999999997</v>
      </c>
      <c r="BO10">
        <v>71.744200000000006</v>
      </c>
      <c r="CK10">
        <v>3</v>
      </c>
      <c r="CL10" t="s">
        <v>4</v>
      </c>
      <c r="CM10" t="s">
        <v>98</v>
      </c>
      <c r="CN10" t="s">
        <v>98</v>
      </c>
      <c r="CO10" t="s">
        <v>99</v>
      </c>
      <c r="CP10" t="s">
        <v>100</v>
      </c>
      <c r="CQ10">
        <v>9</v>
      </c>
      <c r="CR10" t="s">
        <v>100</v>
      </c>
      <c r="CS10" s="7" t="s">
        <v>101</v>
      </c>
      <c r="CT10" t="s">
        <v>152</v>
      </c>
      <c r="CU10" t="s">
        <v>102</v>
      </c>
      <c r="CV10" t="s">
        <v>100</v>
      </c>
    </row>
    <row r="11" spans="1:100">
      <c r="A11" s="3" t="s">
        <v>2398</v>
      </c>
      <c r="B11" s="4" t="s">
        <v>2399</v>
      </c>
      <c r="C11">
        <v>17.677930348803301</v>
      </c>
      <c r="D11">
        <v>85.473410994538298</v>
      </c>
      <c r="E11">
        <f>-2.26745269236406</f>
        <v>-2.2674526923640599</v>
      </c>
      <c r="F11">
        <v>1.13880705652641E-3</v>
      </c>
      <c r="G11" t="s">
        <v>4</v>
      </c>
      <c r="H11">
        <v>17.677930348803301</v>
      </c>
      <c r="I11">
        <v>9.6094865518455101</v>
      </c>
      <c r="J11">
        <v>0.89132627270617804</v>
      </c>
      <c r="K11">
        <v>0.26714002555029998</v>
      </c>
      <c r="L11" t="s">
        <v>4</v>
      </c>
      <c r="M11">
        <v>85.473410994538298</v>
      </c>
      <c r="N11">
        <v>9.6094865518455101</v>
      </c>
      <c r="O11">
        <v>3.1587789650702298</v>
      </c>
      <c r="P11" s="5">
        <v>1.09350393673599E-5</v>
      </c>
      <c r="Q11" t="s">
        <v>4</v>
      </c>
      <c r="R11" s="4" t="s">
        <v>87</v>
      </c>
      <c r="S11" t="s">
        <v>4</v>
      </c>
      <c r="T11" t="s">
        <v>92</v>
      </c>
      <c r="U11" t="s">
        <v>92</v>
      </c>
      <c r="V11" t="s">
        <v>92</v>
      </c>
      <c r="W11" t="s">
        <v>92</v>
      </c>
      <c r="X11" t="s">
        <v>4</v>
      </c>
      <c r="Y11" t="s">
        <v>92</v>
      </c>
      <c r="Z11" t="s">
        <v>92</v>
      </c>
      <c r="AA11" t="s">
        <v>92</v>
      </c>
      <c r="AB11" t="s">
        <v>4</v>
      </c>
      <c r="AC11" s="3" t="s">
        <v>93</v>
      </c>
      <c r="AD11" t="s">
        <v>4</v>
      </c>
      <c r="AE11" s="4" t="s">
        <v>94</v>
      </c>
      <c r="AZ11" t="s">
        <v>4</v>
      </c>
      <c r="BA11" s="3" t="s">
        <v>95</v>
      </c>
      <c r="BB11" s="6" t="s">
        <v>95</v>
      </c>
      <c r="BC11" s="3" t="s">
        <v>197</v>
      </c>
      <c r="BD11" t="s">
        <v>4</v>
      </c>
      <c r="BE11">
        <v>1371</v>
      </c>
      <c r="BF11" t="s">
        <v>151</v>
      </c>
      <c r="BG11">
        <v>78.494600000000005</v>
      </c>
      <c r="CK11">
        <v>2</v>
      </c>
      <c r="CL11" t="s">
        <v>4</v>
      </c>
      <c r="CM11" t="s">
        <v>98</v>
      </c>
      <c r="CN11" t="s">
        <v>98</v>
      </c>
      <c r="CO11" t="s">
        <v>99</v>
      </c>
      <c r="CP11" t="s">
        <v>100</v>
      </c>
      <c r="CQ11">
        <v>10</v>
      </c>
      <c r="CR11" t="s">
        <v>100</v>
      </c>
      <c r="CS11" t="s">
        <v>100</v>
      </c>
      <c r="CT11" t="s">
        <v>152</v>
      </c>
      <c r="CU11" t="s">
        <v>102</v>
      </c>
      <c r="CV11" t="s">
        <v>100</v>
      </c>
    </row>
    <row r="12" spans="1:100">
      <c r="A12" s="3" t="s">
        <v>2400</v>
      </c>
      <c r="B12" s="4" t="s">
        <v>2401</v>
      </c>
      <c r="C12">
        <v>53.982057786328298</v>
      </c>
      <c r="D12">
        <v>351.23615889608197</v>
      </c>
      <c r="E12">
        <f>-2.69624373602691</f>
        <v>-2.69624373602691</v>
      </c>
      <c r="F12" s="5">
        <v>8.6393772771481606E-15</v>
      </c>
      <c r="G12" t="s">
        <v>4</v>
      </c>
      <c r="H12">
        <v>53.982057786328298</v>
      </c>
      <c r="I12">
        <v>23.639565620592698</v>
      </c>
      <c r="J12">
        <v>1.2318335055735701</v>
      </c>
      <c r="K12">
        <v>3.4620289476086502E-3</v>
      </c>
      <c r="L12" t="s">
        <v>4</v>
      </c>
      <c r="M12">
        <v>351.23615889608197</v>
      </c>
      <c r="N12">
        <v>23.639565620592698</v>
      </c>
      <c r="O12">
        <v>3.9280772416004899</v>
      </c>
      <c r="P12" s="5">
        <v>1.99850407362272E-24</v>
      </c>
      <c r="Q12" t="s">
        <v>4</v>
      </c>
      <c r="R12" s="4" t="s">
        <v>87</v>
      </c>
      <c r="S12" t="s">
        <v>4</v>
      </c>
      <c r="T12" t="s">
        <v>2402</v>
      </c>
      <c r="U12" t="s">
        <v>2403</v>
      </c>
      <c r="V12" t="s">
        <v>2404</v>
      </c>
      <c r="W12" t="s">
        <v>91</v>
      </c>
      <c r="X12" t="s">
        <v>4</v>
      </c>
      <c r="Y12" t="s">
        <v>2405</v>
      </c>
      <c r="Z12" t="s">
        <v>2406</v>
      </c>
      <c r="AA12" t="s">
        <v>2407</v>
      </c>
      <c r="AB12" t="s">
        <v>4</v>
      </c>
      <c r="AC12" s="3" t="s">
        <v>2408</v>
      </c>
      <c r="AD12" t="s">
        <v>4</v>
      </c>
      <c r="AE12" t="s">
        <v>2409</v>
      </c>
      <c r="AF12" t="s">
        <v>2410</v>
      </c>
      <c r="AG12" t="s">
        <v>2411</v>
      </c>
      <c r="AH12" t="s">
        <v>638</v>
      </c>
      <c r="AU12" t="s">
        <v>112</v>
      </c>
      <c r="AV12" t="s">
        <v>2412</v>
      </c>
      <c r="AW12" t="s">
        <v>114</v>
      </c>
      <c r="AX12" t="s">
        <v>144</v>
      </c>
      <c r="AY12" t="s">
        <v>2413</v>
      </c>
      <c r="AZ12" t="s">
        <v>4</v>
      </c>
      <c r="BA12" s="3" t="s">
        <v>95</v>
      </c>
      <c r="BB12" s="6" t="s">
        <v>95</v>
      </c>
      <c r="BC12" s="3" t="s">
        <v>197</v>
      </c>
      <c r="BD12" t="s">
        <v>4</v>
      </c>
      <c r="BE12">
        <v>2164</v>
      </c>
      <c r="BF12" t="s">
        <v>148</v>
      </c>
      <c r="BG12">
        <v>13.7715</v>
      </c>
      <c r="BH12" t="s">
        <v>2414</v>
      </c>
      <c r="BI12">
        <v>73.239400000000003</v>
      </c>
      <c r="BJ12" t="s">
        <v>2415</v>
      </c>
      <c r="BK12">
        <v>57.1205</v>
      </c>
      <c r="BL12">
        <v>28.951499999999999</v>
      </c>
      <c r="BM12">
        <v>58.5289</v>
      </c>
      <c r="BN12">
        <v>53.051600000000001</v>
      </c>
      <c r="BO12">
        <v>47.574300000000001</v>
      </c>
      <c r="CK12">
        <v>3</v>
      </c>
      <c r="CL12" t="s">
        <v>4</v>
      </c>
      <c r="CM12" t="s">
        <v>98</v>
      </c>
      <c r="CN12" t="s">
        <v>98</v>
      </c>
      <c r="CO12" t="s">
        <v>99</v>
      </c>
      <c r="CP12" t="s">
        <v>100</v>
      </c>
      <c r="CQ12">
        <v>11</v>
      </c>
      <c r="CR12" t="s">
        <v>100</v>
      </c>
      <c r="CS12" s="7" t="s">
        <v>101</v>
      </c>
      <c r="CT12" t="s">
        <v>152</v>
      </c>
      <c r="CU12" t="s">
        <v>102</v>
      </c>
      <c r="CV12" t="s">
        <v>100</v>
      </c>
    </row>
    <row r="13" spans="1:100">
      <c r="A13" s="3" t="s">
        <v>2416</v>
      </c>
      <c r="B13" s="4" t="s">
        <v>2417</v>
      </c>
      <c r="C13">
        <v>69.422692877338406</v>
      </c>
      <c r="D13">
        <v>585.71312799449095</v>
      </c>
      <c r="E13">
        <f>-3.07558656433502</f>
        <v>-3.07558656433502</v>
      </c>
      <c r="F13" s="5">
        <v>8.1721120944092204E-7</v>
      </c>
      <c r="G13" t="s">
        <v>4</v>
      </c>
      <c r="H13">
        <v>69.422692877338406</v>
      </c>
      <c r="I13">
        <v>24.410993150016498</v>
      </c>
      <c r="J13">
        <v>1.5245148335701499</v>
      </c>
      <c r="K13">
        <v>2.40293142938902E-2</v>
      </c>
      <c r="L13" t="s">
        <v>4</v>
      </c>
      <c r="M13">
        <v>585.71312799449095</v>
      </c>
      <c r="N13">
        <v>24.410993150016498</v>
      </c>
      <c r="O13">
        <v>4.6001013979051697</v>
      </c>
      <c r="P13" s="5">
        <v>1.8787008259203499E-13</v>
      </c>
      <c r="Q13" t="s">
        <v>4</v>
      </c>
      <c r="R13" s="4" t="s">
        <v>87</v>
      </c>
      <c r="S13" t="s">
        <v>4</v>
      </c>
      <c r="T13" t="s">
        <v>88</v>
      </c>
      <c r="U13" t="s">
        <v>89</v>
      </c>
      <c r="V13" t="s">
        <v>90</v>
      </c>
      <c r="W13" t="s">
        <v>91</v>
      </c>
      <c r="X13" t="s">
        <v>4</v>
      </c>
      <c r="Y13" t="s">
        <v>92</v>
      </c>
      <c r="Z13" t="s">
        <v>92</v>
      </c>
      <c r="AA13" t="s">
        <v>92</v>
      </c>
      <c r="AB13" t="s">
        <v>4</v>
      </c>
      <c r="AC13" s="3" t="s">
        <v>93</v>
      </c>
      <c r="AD13" t="s">
        <v>4</v>
      </c>
      <c r="AE13" s="4" t="s">
        <v>94</v>
      </c>
      <c r="AZ13" t="s">
        <v>4</v>
      </c>
      <c r="BA13" s="3" t="s">
        <v>95</v>
      </c>
      <c r="BB13" t="s">
        <v>96</v>
      </c>
      <c r="BC13" s="3" t="s">
        <v>95</v>
      </c>
      <c r="BD13" t="s">
        <v>4</v>
      </c>
      <c r="BE13">
        <v>1378</v>
      </c>
      <c r="BF13" t="s">
        <v>151</v>
      </c>
      <c r="BG13">
        <v>89.850700000000003</v>
      </c>
      <c r="BH13">
        <v>79.104500000000002</v>
      </c>
      <c r="BJ13">
        <v>43.582099999999997</v>
      </c>
      <c r="BK13" t="s">
        <v>2418</v>
      </c>
      <c r="BM13" t="s">
        <v>2419</v>
      </c>
      <c r="BN13" t="s">
        <v>2420</v>
      </c>
      <c r="BO13" t="s">
        <v>2421</v>
      </c>
      <c r="CK13">
        <v>2</v>
      </c>
      <c r="CL13" t="s">
        <v>4</v>
      </c>
      <c r="CM13" t="s">
        <v>98</v>
      </c>
      <c r="CN13" t="s">
        <v>98</v>
      </c>
      <c r="CO13" t="s">
        <v>99</v>
      </c>
      <c r="CP13" t="s">
        <v>100</v>
      </c>
      <c r="CQ13">
        <v>12</v>
      </c>
      <c r="CR13" t="s">
        <v>100</v>
      </c>
      <c r="CS13" s="7" t="s">
        <v>101</v>
      </c>
      <c r="CT13" t="s">
        <v>152</v>
      </c>
      <c r="CU13" t="s">
        <v>102</v>
      </c>
      <c r="CV13" t="s">
        <v>100</v>
      </c>
    </row>
    <row r="14" spans="1:100">
      <c r="A14" s="3" t="s">
        <v>2422</v>
      </c>
      <c r="B14" s="4" t="s">
        <v>2423</v>
      </c>
      <c r="C14">
        <v>42.051653384881803</v>
      </c>
      <c r="D14">
        <v>505.76644078517899</v>
      </c>
      <c r="E14">
        <f>-3.58262553332089</f>
        <v>-3.5826255333208898</v>
      </c>
      <c r="F14" s="5">
        <v>1.2182257360595E-9</v>
      </c>
      <c r="G14" t="s">
        <v>4</v>
      </c>
      <c r="H14">
        <v>42.051653384881803</v>
      </c>
      <c r="I14">
        <v>105.932111963011</v>
      </c>
      <c r="J14">
        <f>-1.32404078184</f>
        <v>-1.32404078184</v>
      </c>
      <c r="K14">
        <v>3.3324075518056599E-2</v>
      </c>
      <c r="L14" t="s">
        <v>4</v>
      </c>
      <c r="M14">
        <v>505.76644078517899</v>
      </c>
      <c r="N14">
        <v>105.932111963011</v>
      </c>
      <c r="O14">
        <v>2.2585847514808899</v>
      </c>
      <c r="P14">
        <v>1.09157288460056E-4</v>
      </c>
      <c r="Q14" t="s">
        <v>4</v>
      </c>
      <c r="R14" s="4" t="s">
        <v>87</v>
      </c>
      <c r="S14" t="s">
        <v>4</v>
      </c>
      <c r="T14" t="s">
        <v>1765</v>
      </c>
      <c r="U14" t="s">
        <v>1766</v>
      </c>
      <c r="V14" t="s">
        <v>1767</v>
      </c>
      <c r="W14" t="s">
        <v>123</v>
      </c>
      <c r="X14" t="s">
        <v>4</v>
      </c>
      <c r="Y14" t="s">
        <v>1768</v>
      </c>
      <c r="Z14" t="s">
        <v>1769</v>
      </c>
      <c r="AA14" t="s">
        <v>1770</v>
      </c>
      <c r="AB14" t="s">
        <v>4</v>
      </c>
      <c r="AC14" s="3" t="s">
        <v>2424</v>
      </c>
      <c r="AD14" t="s">
        <v>4</v>
      </c>
      <c r="AE14" s="4" t="s">
        <v>94</v>
      </c>
      <c r="AZ14" t="s">
        <v>4</v>
      </c>
      <c r="BA14" s="3" t="s">
        <v>115</v>
      </c>
      <c r="BB14" s="6" t="s">
        <v>95</v>
      </c>
      <c r="BC14" s="3" t="s">
        <v>95</v>
      </c>
      <c r="BD14" t="s">
        <v>4</v>
      </c>
      <c r="BE14">
        <v>1380</v>
      </c>
      <c r="BF14" t="s">
        <v>151</v>
      </c>
      <c r="BG14">
        <v>94.444400000000002</v>
      </c>
      <c r="BH14">
        <v>100</v>
      </c>
      <c r="BI14">
        <v>83.333299999999994</v>
      </c>
      <c r="BJ14">
        <v>64.814800000000005</v>
      </c>
      <c r="BK14">
        <v>63.8889</v>
      </c>
      <c r="BL14">
        <v>46.296300000000002</v>
      </c>
      <c r="BM14">
        <v>58.333300000000001</v>
      </c>
      <c r="BN14">
        <v>58.333300000000001</v>
      </c>
      <c r="CK14">
        <v>2</v>
      </c>
      <c r="CL14" t="s">
        <v>4</v>
      </c>
      <c r="CM14" t="s">
        <v>98</v>
      </c>
      <c r="CN14" t="s">
        <v>98</v>
      </c>
      <c r="CO14" t="s">
        <v>99</v>
      </c>
      <c r="CP14" t="s">
        <v>100</v>
      </c>
      <c r="CQ14">
        <v>13</v>
      </c>
      <c r="CR14" t="s">
        <v>100</v>
      </c>
      <c r="CS14" t="s">
        <v>100</v>
      </c>
      <c r="CT14" t="s">
        <v>152</v>
      </c>
      <c r="CU14" t="s">
        <v>102</v>
      </c>
      <c r="CV14" t="s">
        <v>100</v>
      </c>
    </row>
    <row r="15" spans="1:100">
      <c r="A15" s="3" t="s">
        <v>2425</v>
      </c>
      <c r="B15" s="4" t="s">
        <v>2426</v>
      </c>
      <c r="C15">
        <v>148.384128945128</v>
      </c>
      <c r="D15">
        <v>2021.8682160563001</v>
      </c>
      <c r="E15">
        <f>-3.767653678954</f>
        <v>-3.7676536789539998</v>
      </c>
      <c r="F15" s="5">
        <v>4.30706202493761E-11</v>
      </c>
      <c r="G15" t="s">
        <v>4</v>
      </c>
      <c r="H15">
        <v>148.384128945128</v>
      </c>
      <c r="I15">
        <v>72.8770803966665</v>
      </c>
      <c r="J15">
        <v>1.0346259080203799</v>
      </c>
      <c r="K15">
        <v>9.5413627903521495E-2</v>
      </c>
      <c r="L15" t="s">
        <v>4</v>
      </c>
      <c r="M15">
        <v>2021.8682160563001</v>
      </c>
      <c r="N15">
        <v>72.8770803966665</v>
      </c>
      <c r="O15">
        <v>4.8022795869743797</v>
      </c>
      <c r="P15" s="5">
        <v>1.55084299062134E-17</v>
      </c>
      <c r="Q15" t="s">
        <v>4</v>
      </c>
      <c r="R15" s="4" t="s">
        <v>87</v>
      </c>
      <c r="S15" t="s">
        <v>4</v>
      </c>
      <c r="T15" t="s">
        <v>92</v>
      </c>
      <c r="U15" t="s">
        <v>92</v>
      </c>
      <c r="V15" t="s">
        <v>92</v>
      </c>
      <c r="W15" t="s">
        <v>92</v>
      </c>
      <c r="X15" t="s">
        <v>4</v>
      </c>
      <c r="Y15" t="s">
        <v>92</v>
      </c>
      <c r="Z15" t="s">
        <v>92</v>
      </c>
      <c r="AA15" t="s">
        <v>92</v>
      </c>
      <c r="AB15" t="s">
        <v>4</v>
      </c>
      <c r="AC15" s="3" t="s">
        <v>93</v>
      </c>
      <c r="AD15" t="s">
        <v>4</v>
      </c>
      <c r="AE15" s="4" t="s">
        <v>94</v>
      </c>
      <c r="AZ15" t="s">
        <v>4</v>
      </c>
      <c r="BA15" s="3" t="s">
        <v>115</v>
      </c>
      <c r="BB15" s="6" t="s">
        <v>95</v>
      </c>
      <c r="BC15" s="3" t="s">
        <v>95</v>
      </c>
      <c r="BD15" t="s">
        <v>4</v>
      </c>
      <c r="BE15">
        <v>1381</v>
      </c>
      <c r="BF15" t="s">
        <v>151</v>
      </c>
      <c r="BG15">
        <v>97.507800000000003</v>
      </c>
      <c r="BH15">
        <v>100</v>
      </c>
      <c r="BI15">
        <v>80.062299999999993</v>
      </c>
      <c r="BJ15">
        <v>36.137099999999997</v>
      </c>
      <c r="BK15">
        <v>38.940800000000003</v>
      </c>
      <c r="BL15" t="s">
        <v>2427</v>
      </c>
      <c r="BM15">
        <v>33.6449</v>
      </c>
      <c r="BN15">
        <v>32.710299999999997</v>
      </c>
      <c r="BO15">
        <v>38.940800000000003</v>
      </c>
      <c r="CK15">
        <v>2</v>
      </c>
      <c r="CL15" t="s">
        <v>4</v>
      </c>
      <c r="CM15" t="s">
        <v>98</v>
      </c>
      <c r="CN15" t="s">
        <v>98</v>
      </c>
      <c r="CO15" t="s">
        <v>99</v>
      </c>
      <c r="CP15" t="s">
        <v>100</v>
      </c>
      <c r="CQ15">
        <v>14</v>
      </c>
      <c r="CR15" t="s">
        <v>100</v>
      </c>
      <c r="CS15" t="s">
        <v>100</v>
      </c>
      <c r="CT15" t="s">
        <v>152</v>
      </c>
      <c r="CU15" t="s">
        <v>102</v>
      </c>
      <c r="CV15" t="s">
        <v>100</v>
      </c>
    </row>
    <row r="16" spans="1:100">
      <c r="A16" s="3" t="s">
        <v>2428</v>
      </c>
      <c r="B16" s="4" t="s">
        <v>2429</v>
      </c>
      <c r="C16">
        <v>768.53904107495498</v>
      </c>
      <c r="D16">
        <v>10862.4702011102</v>
      </c>
      <c r="E16">
        <f>-3.82102328730141</f>
        <v>-3.8210232873014101</v>
      </c>
      <c r="F16">
        <v>1.4532152700320899E-4</v>
      </c>
      <c r="G16" t="s">
        <v>4</v>
      </c>
      <c r="H16">
        <v>768.53904107495498</v>
      </c>
      <c r="I16">
        <v>375.405776596306</v>
      </c>
      <c r="J16">
        <v>1.0341596615612301</v>
      </c>
      <c r="K16">
        <v>0.32910547532193102</v>
      </c>
      <c r="L16" t="s">
        <v>4</v>
      </c>
      <c r="M16">
        <v>10862.4702011102</v>
      </c>
      <c r="N16">
        <v>375.405776596306</v>
      </c>
      <c r="O16">
        <v>4.8551829488626401</v>
      </c>
      <c r="P16" s="5">
        <v>3.9555960704882598E-7</v>
      </c>
      <c r="Q16" t="s">
        <v>4</v>
      </c>
      <c r="R16" s="4" t="s">
        <v>87</v>
      </c>
      <c r="S16" t="s">
        <v>4</v>
      </c>
      <c r="T16" t="s">
        <v>92</v>
      </c>
      <c r="U16" t="s">
        <v>92</v>
      </c>
      <c r="V16" t="s">
        <v>92</v>
      </c>
      <c r="W16" t="s">
        <v>92</v>
      </c>
      <c r="X16" t="s">
        <v>4</v>
      </c>
      <c r="Y16" t="s">
        <v>92</v>
      </c>
      <c r="Z16" t="s">
        <v>92</v>
      </c>
      <c r="AA16" t="s">
        <v>92</v>
      </c>
      <c r="AB16" t="s">
        <v>4</v>
      </c>
      <c r="AC16" s="3" t="s">
        <v>93</v>
      </c>
      <c r="AD16" t="s">
        <v>4</v>
      </c>
      <c r="AE16" s="4" t="s">
        <v>94</v>
      </c>
      <c r="AZ16" t="s">
        <v>4</v>
      </c>
      <c r="BA16" s="3" t="s">
        <v>115</v>
      </c>
      <c r="BB16" s="6" t="s">
        <v>95</v>
      </c>
      <c r="BC16" s="3" t="s">
        <v>95</v>
      </c>
      <c r="BD16" t="s">
        <v>4</v>
      </c>
      <c r="BE16">
        <v>2167</v>
      </c>
      <c r="BF16" t="s">
        <v>148</v>
      </c>
      <c r="BG16">
        <v>73.020099999999999</v>
      </c>
      <c r="BH16">
        <v>17.047000000000001</v>
      </c>
      <c r="BI16">
        <v>52.080500000000001</v>
      </c>
      <c r="BJ16" t="s">
        <v>2430</v>
      </c>
      <c r="BK16">
        <v>23.624199999999998</v>
      </c>
      <c r="BM16">
        <v>6.4429499999999997</v>
      </c>
      <c r="BN16">
        <v>9.5302000000000007</v>
      </c>
      <c r="BO16">
        <v>21.610700000000001</v>
      </c>
      <c r="CK16">
        <v>3</v>
      </c>
      <c r="CL16" t="s">
        <v>4</v>
      </c>
      <c r="CM16" t="s">
        <v>98</v>
      </c>
      <c r="CN16" t="s">
        <v>98</v>
      </c>
      <c r="CO16" t="s">
        <v>99</v>
      </c>
      <c r="CP16" t="s">
        <v>100</v>
      </c>
      <c r="CQ16">
        <v>15</v>
      </c>
      <c r="CR16" t="s">
        <v>100</v>
      </c>
      <c r="CS16" t="s">
        <v>100</v>
      </c>
      <c r="CT16" t="s">
        <v>152</v>
      </c>
      <c r="CU16" t="s">
        <v>102</v>
      </c>
      <c r="CV16" t="s">
        <v>100</v>
      </c>
    </row>
    <row r="17" spans="1:100">
      <c r="A17" s="3" t="s">
        <v>2431</v>
      </c>
      <c r="B17" s="4" t="s">
        <v>2432</v>
      </c>
      <c r="C17">
        <v>405.10006818111799</v>
      </c>
      <c r="D17">
        <v>6771.7227068009197</v>
      </c>
      <c r="E17">
        <f>-4.06289740516838</f>
        <v>-4.0628974051683802</v>
      </c>
      <c r="F17" s="5">
        <v>1.5056000789494801E-10</v>
      </c>
      <c r="G17" t="s">
        <v>4</v>
      </c>
      <c r="H17">
        <v>405.10006818111799</v>
      </c>
      <c r="I17">
        <v>230.65407172770099</v>
      </c>
      <c r="J17">
        <v>0.81537567637254904</v>
      </c>
      <c r="K17">
        <v>0.23657733442064</v>
      </c>
      <c r="L17" t="s">
        <v>4</v>
      </c>
      <c r="M17">
        <v>6771.7227068009197</v>
      </c>
      <c r="N17">
        <v>230.65407172770099</v>
      </c>
      <c r="O17">
        <v>4.8782730815409296</v>
      </c>
      <c r="P17" s="5">
        <v>2.8476973865257002E-15</v>
      </c>
      <c r="Q17" t="s">
        <v>4</v>
      </c>
      <c r="R17" s="4" t="s">
        <v>87</v>
      </c>
      <c r="S17" t="s">
        <v>4</v>
      </c>
      <c r="T17" t="s">
        <v>92</v>
      </c>
      <c r="U17" t="s">
        <v>92</v>
      </c>
      <c r="V17" t="s">
        <v>92</v>
      </c>
      <c r="W17" t="s">
        <v>92</v>
      </c>
      <c r="X17" t="s">
        <v>4</v>
      </c>
      <c r="Y17" t="s">
        <v>92</v>
      </c>
      <c r="Z17" t="s">
        <v>92</v>
      </c>
      <c r="AA17" t="s">
        <v>92</v>
      </c>
      <c r="AB17" t="s">
        <v>4</v>
      </c>
      <c r="AC17" s="3" t="s">
        <v>93</v>
      </c>
      <c r="AD17" t="s">
        <v>4</v>
      </c>
      <c r="AE17" s="4" t="s">
        <v>94</v>
      </c>
      <c r="AZ17" t="s">
        <v>4</v>
      </c>
      <c r="BA17" s="3" t="s">
        <v>95</v>
      </c>
      <c r="BB17" s="6" t="s">
        <v>95</v>
      </c>
      <c r="BC17" s="3" t="s">
        <v>95</v>
      </c>
      <c r="BD17" t="s">
        <v>4</v>
      </c>
      <c r="BE17">
        <v>1382</v>
      </c>
      <c r="BF17" t="s">
        <v>151</v>
      </c>
      <c r="BG17">
        <v>97.952200000000005</v>
      </c>
      <c r="BH17">
        <v>99.658699999999996</v>
      </c>
      <c r="BI17">
        <v>90.102400000000003</v>
      </c>
      <c r="BJ17">
        <v>68.600700000000003</v>
      </c>
      <c r="BL17" t="s">
        <v>2433</v>
      </c>
      <c r="BM17" t="s">
        <v>2434</v>
      </c>
      <c r="BN17">
        <v>60.409599999999998</v>
      </c>
      <c r="BO17">
        <v>62.116</v>
      </c>
      <c r="CK17">
        <v>2</v>
      </c>
      <c r="CL17" t="s">
        <v>4</v>
      </c>
      <c r="CM17" t="s">
        <v>98</v>
      </c>
      <c r="CN17" t="s">
        <v>98</v>
      </c>
      <c r="CO17" t="s">
        <v>99</v>
      </c>
      <c r="CP17" t="s">
        <v>100</v>
      </c>
      <c r="CQ17">
        <v>16</v>
      </c>
      <c r="CR17" t="s">
        <v>100</v>
      </c>
      <c r="CS17" t="s">
        <v>100</v>
      </c>
      <c r="CT17" t="s">
        <v>152</v>
      </c>
      <c r="CU17" t="s">
        <v>102</v>
      </c>
      <c r="CV17" t="s">
        <v>100</v>
      </c>
    </row>
    <row r="18" spans="1:100">
      <c r="A18" s="3" t="s">
        <v>2435</v>
      </c>
      <c r="B18" s="4" t="s">
        <v>2436</v>
      </c>
      <c r="C18">
        <v>451.23172283944001</v>
      </c>
      <c r="D18">
        <v>8849.4532483869807</v>
      </c>
      <c r="E18">
        <f>-4.29346412000518</f>
        <v>-4.2934641200051802</v>
      </c>
      <c r="F18" s="5">
        <v>2.1998790634480499E-18</v>
      </c>
      <c r="G18" t="s">
        <v>4</v>
      </c>
      <c r="H18">
        <v>451.23172283944001</v>
      </c>
      <c r="I18">
        <v>286.835527049034</v>
      </c>
      <c r="J18">
        <v>0.65467561709326305</v>
      </c>
      <c r="K18">
        <v>0.226591826342734</v>
      </c>
      <c r="L18" t="s">
        <v>4</v>
      </c>
      <c r="M18">
        <v>8849.4532483869807</v>
      </c>
      <c r="N18">
        <v>286.835527049034</v>
      </c>
      <c r="O18">
        <v>4.9481397370984403</v>
      </c>
      <c r="P18" s="5">
        <v>1.0161864322774799E-24</v>
      </c>
      <c r="Q18" t="s">
        <v>4</v>
      </c>
      <c r="R18" s="4" t="s">
        <v>87</v>
      </c>
      <c r="S18" t="s">
        <v>4</v>
      </c>
      <c r="T18" t="s">
        <v>2437</v>
      </c>
      <c r="U18" t="s">
        <v>2438</v>
      </c>
      <c r="V18" t="s">
        <v>2439</v>
      </c>
      <c r="W18" t="s">
        <v>123</v>
      </c>
      <c r="X18" t="s">
        <v>4</v>
      </c>
      <c r="Y18" t="s">
        <v>2440</v>
      </c>
      <c r="Z18" t="s">
        <v>2441</v>
      </c>
      <c r="AA18" t="s">
        <v>2442</v>
      </c>
      <c r="AB18" t="s">
        <v>4</v>
      </c>
      <c r="AC18" s="3" t="s">
        <v>2443</v>
      </c>
      <c r="AD18" t="s">
        <v>4</v>
      </c>
      <c r="AE18" t="s">
        <v>2444</v>
      </c>
      <c r="AF18" t="s">
        <v>2445</v>
      </c>
      <c r="AG18" t="s">
        <v>2446</v>
      </c>
      <c r="AH18" t="s">
        <v>386</v>
      </c>
      <c r="AU18" t="s">
        <v>112</v>
      </c>
      <c r="AV18" t="s">
        <v>2447</v>
      </c>
      <c r="AW18" t="s">
        <v>114</v>
      </c>
      <c r="AX18" t="s">
        <v>536</v>
      </c>
      <c r="AY18" t="s">
        <v>2448</v>
      </c>
      <c r="AZ18" t="s">
        <v>4</v>
      </c>
      <c r="BA18" s="3" t="s">
        <v>115</v>
      </c>
      <c r="BB18" s="6" t="s">
        <v>95</v>
      </c>
      <c r="BC18" s="3" t="s">
        <v>95</v>
      </c>
      <c r="BD18" t="s">
        <v>4</v>
      </c>
      <c r="BE18">
        <v>2177</v>
      </c>
      <c r="BF18" t="s">
        <v>148</v>
      </c>
      <c r="BG18">
        <v>96.413499999999999</v>
      </c>
      <c r="BH18">
        <v>61.286900000000003</v>
      </c>
      <c r="BI18">
        <v>90.717299999999994</v>
      </c>
      <c r="BJ18">
        <v>66.455699999999993</v>
      </c>
      <c r="BK18">
        <v>51.476799999999997</v>
      </c>
      <c r="CK18">
        <v>3</v>
      </c>
      <c r="CL18" t="s">
        <v>4</v>
      </c>
      <c r="CM18" t="s">
        <v>98</v>
      </c>
      <c r="CN18" t="s">
        <v>98</v>
      </c>
      <c r="CO18" t="s">
        <v>99</v>
      </c>
      <c r="CP18" t="s">
        <v>100</v>
      </c>
      <c r="CQ18">
        <v>17</v>
      </c>
      <c r="CR18" t="s">
        <v>100</v>
      </c>
      <c r="CS18" t="s">
        <v>100</v>
      </c>
      <c r="CT18" t="s">
        <v>152</v>
      </c>
      <c r="CU18" t="s">
        <v>102</v>
      </c>
      <c r="CV18" t="s">
        <v>100</v>
      </c>
    </row>
    <row r="19" spans="1:100">
      <c r="A19" s="3" t="s">
        <v>2449</v>
      </c>
      <c r="B19" s="4" t="s">
        <v>2450</v>
      </c>
      <c r="C19">
        <v>315.50347423458902</v>
      </c>
      <c r="D19">
        <v>1975.8609965113101</v>
      </c>
      <c r="E19">
        <f>-2.64639755119783</f>
        <v>-2.6463975511978299</v>
      </c>
      <c r="F19" s="5">
        <v>9.1869358528007698E-6</v>
      </c>
      <c r="G19" t="s">
        <v>4</v>
      </c>
      <c r="H19">
        <v>315.50347423458902</v>
      </c>
      <c r="I19">
        <v>101.015606766134</v>
      </c>
      <c r="J19">
        <v>1.64614247173628</v>
      </c>
      <c r="K19">
        <v>6.8802612549746503E-3</v>
      </c>
      <c r="L19" t="s">
        <v>4</v>
      </c>
      <c r="M19">
        <v>1975.8609965113101</v>
      </c>
      <c r="N19">
        <v>101.015606766134</v>
      </c>
      <c r="O19">
        <v>4.2925400229340998</v>
      </c>
      <c r="P19" s="5">
        <v>6.8738890009466902E-14</v>
      </c>
      <c r="Q19" t="s">
        <v>4</v>
      </c>
      <c r="R19" s="4" t="s">
        <v>87</v>
      </c>
      <c r="S19" t="s">
        <v>4</v>
      </c>
      <c r="T19" t="s">
        <v>92</v>
      </c>
      <c r="U19" t="s">
        <v>92</v>
      </c>
      <c r="V19" t="s">
        <v>92</v>
      </c>
      <c r="W19" t="s">
        <v>92</v>
      </c>
      <c r="X19" t="s">
        <v>4</v>
      </c>
      <c r="Y19" t="s">
        <v>92</v>
      </c>
      <c r="Z19" t="s">
        <v>92</v>
      </c>
      <c r="AA19" t="s">
        <v>92</v>
      </c>
      <c r="AB19" t="s">
        <v>4</v>
      </c>
      <c r="AC19" s="3" t="s">
        <v>93</v>
      </c>
      <c r="AD19" t="s">
        <v>4</v>
      </c>
      <c r="AE19" t="s">
        <v>2451</v>
      </c>
      <c r="AF19" t="s">
        <v>2452</v>
      </c>
      <c r="AG19" t="s">
        <v>2453</v>
      </c>
      <c r="AH19" t="s">
        <v>112</v>
      </c>
      <c r="AU19" t="s">
        <v>112</v>
      </c>
      <c r="AV19" t="s">
        <v>2454</v>
      </c>
      <c r="AW19" t="s">
        <v>114</v>
      </c>
      <c r="AX19" t="s">
        <v>144</v>
      </c>
      <c r="AY19" t="s">
        <v>2455</v>
      </c>
      <c r="AZ19" t="s">
        <v>4</v>
      </c>
      <c r="BA19" s="3" t="s">
        <v>115</v>
      </c>
      <c r="BB19" s="6" t="s">
        <v>95</v>
      </c>
      <c r="BC19" s="3" t="s">
        <v>95</v>
      </c>
      <c r="BD19" t="s">
        <v>4</v>
      </c>
      <c r="BE19">
        <v>4431</v>
      </c>
      <c r="BF19" t="s">
        <v>112</v>
      </c>
      <c r="BG19">
        <v>97.526499999999999</v>
      </c>
      <c r="BH19">
        <v>100</v>
      </c>
      <c r="BI19">
        <v>93.992900000000006</v>
      </c>
      <c r="BJ19">
        <v>81.272099999999995</v>
      </c>
      <c r="BK19">
        <v>63.957599999999999</v>
      </c>
      <c r="BO19">
        <v>68.904600000000002</v>
      </c>
      <c r="BP19">
        <v>9.8939900000000005</v>
      </c>
      <c r="CK19">
        <v>5</v>
      </c>
      <c r="CL19" t="s">
        <v>4</v>
      </c>
      <c r="CM19" t="s">
        <v>98</v>
      </c>
      <c r="CN19" t="s">
        <v>98</v>
      </c>
      <c r="CO19" t="s">
        <v>99</v>
      </c>
      <c r="CP19" t="s">
        <v>100</v>
      </c>
      <c r="CQ19">
        <v>18</v>
      </c>
      <c r="CR19" t="s">
        <v>100</v>
      </c>
      <c r="CS19" s="7" t="s">
        <v>101</v>
      </c>
      <c r="CT19" t="s">
        <v>152</v>
      </c>
      <c r="CU19" t="s">
        <v>102</v>
      </c>
      <c r="CV19" t="s">
        <v>100</v>
      </c>
    </row>
    <row r="20" spans="1:100">
      <c r="A20" s="3" t="s">
        <v>2456</v>
      </c>
      <c r="B20" s="4" t="s">
        <v>2457</v>
      </c>
      <c r="C20">
        <v>110.785655481353</v>
      </c>
      <c r="D20">
        <v>886.98594821297104</v>
      </c>
      <c r="E20">
        <f>-3.00070674446967</f>
        <v>-3.00070674446967</v>
      </c>
      <c r="F20" s="5">
        <v>1.1188981228168E-14</v>
      </c>
      <c r="G20" t="s">
        <v>4</v>
      </c>
      <c r="H20">
        <v>110.785655481353</v>
      </c>
      <c r="I20">
        <v>211.77114882865899</v>
      </c>
      <c r="J20">
        <f>0.9239259195635</f>
        <v>0.92392591956350001</v>
      </c>
      <c r="K20">
        <v>2.5696672620686999E-2</v>
      </c>
      <c r="L20" t="s">
        <v>4</v>
      </c>
      <c r="M20">
        <v>886.98594821297104</v>
      </c>
      <c r="N20">
        <v>211.77114882865899</v>
      </c>
      <c r="O20">
        <v>2.0767808249061699</v>
      </c>
      <c r="P20" s="5">
        <v>6.8896732926472705E-8</v>
      </c>
      <c r="Q20" t="s">
        <v>4</v>
      </c>
      <c r="R20" s="4" t="s">
        <v>87</v>
      </c>
      <c r="S20" t="s">
        <v>4</v>
      </c>
      <c r="T20" t="s">
        <v>2458</v>
      </c>
      <c r="U20" t="s">
        <v>2459</v>
      </c>
      <c r="V20" t="s">
        <v>2460</v>
      </c>
      <c r="W20" t="s">
        <v>976</v>
      </c>
      <c r="X20" t="s">
        <v>4</v>
      </c>
      <c r="Y20" t="s">
        <v>2461</v>
      </c>
      <c r="Z20" t="s">
        <v>2462</v>
      </c>
      <c r="AA20" t="s">
        <v>2463</v>
      </c>
      <c r="AB20" t="s">
        <v>4</v>
      </c>
      <c r="AC20" s="3" t="s">
        <v>2464</v>
      </c>
      <c r="AD20" t="s">
        <v>4</v>
      </c>
      <c r="AE20" t="s">
        <v>2465</v>
      </c>
      <c r="AF20" t="s">
        <v>2466</v>
      </c>
      <c r="AG20" t="s">
        <v>2467</v>
      </c>
      <c r="AH20" t="s">
        <v>213</v>
      </c>
      <c r="AU20" t="s">
        <v>112</v>
      </c>
      <c r="AV20" t="s">
        <v>2468</v>
      </c>
      <c r="AW20" t="s">
        <v>114</v>
      </c>
      <c r="AX20" t="s">
        <v>2157</v>
      </c>
      <c r="AY20" t="s">
        <v>2469</v>
      </c>
      <c r="AZ20" t="s">
        <v>4</v>
      </c>
      <c r="BA20" s="3" t="s">
        <v>95</v>
      </c>
      <c r="BB20" s="6" t="s">
        <v>95</v>
      </c>
      <c r="BC20" s="3" t="s">
        <v>95</v>
      </c>
      <c r="BD20" t="s">
        <v>4</v>
      </c>
      <c r="BE20">
        <v>10311</v>
      </c>
      <c r="BF20" t="s">
        <v>169</v>
      </c>
      <c r="BG20">
        <v>65.693399999999997</v>
      </c>
      <c r="BH20">
        <v>65.693399999999997</v>
      </c>
      <c r="BJ20">
        <v>62.773699999999998</v>
      </c>
      <c r="BL20">
        <v>44.525500000000001</v>
      </c>
      <c r="BO20">
        <v>48.905099999999997</v>
      </c>
      <c r="BQ20">
        <v>35.766399999999997</v>
      </c>
      <c r="CA20">
        <v>13.1387</v>
      </c>
      <c r="CF20">
        <v>40.146000000000001</v>
      </c>
      <c r="CG20">
        <v>39.4161</v>
      </c>
      <c r="CH20">
        <v>39.4161</v>
      </c>
      <c r="CI20">
        <v>40.146000000000001</v>
      </c>
      <c r="CK20">
        <v>9</v>
      </c>
      <c r="CL20" t="s">
        <v>4</v>
      </c>
      <c r="CM20" t="s">
        <v>2470</v>
      </c>
      <c r="CN20" t="s">
        <v>2471</v>
      </c>
      <c r="CO20" t="s">
        <v>219</v>
      </c>
      <c r="CP20" t="s">
        <v>100</v>
      </c>
      <c r="CQ20">
        <v>19</v>
      </c>
      <c r="CR20" t="s">
        <v>100</v>
      </c>
      <c r="CS20" t="s">
        <v>100</v>
      </c>
      <c r="CT20" t="s">
        <v>152</v>
      </c>
      <c r="CU20" t="s">
        <v>102</v>
      </c>
      <c r="CV20" t="s">
        <v>100</v>
      </c>
    </row>
    <row r="21" spans="1:100">
      <c r="A21" s="3" t="s">
        <v>2472</v>
      </c>
      <c r="B21" s="4" t="s">
        <v>2473</v>
      </c>
      <c r="C21">
        <v>125.655067016646</v>
      </c>
      <c r="D21">
        <v>1933.09845577488</v>
      </c>
      <c r="E21">
        <f>-3.94219868985314</f>
        <v>-3.9421986898531398</v>
      </c>
      <c r="F21" s="5">
        <v>7.3749887790096395E-16</v>
      </c>
      <c r="G21" t="s">
        <v>4</v>
      </c>
      <c r="H21">
        <v>125.655067016646</v>
      </c>
      <c r="I21">
        <v>55.149522049250699</v>
      </c>
      <c r="J21">
        <v>1.1979616279007701</v>
      </c>
      <c r="K21">
        <v>2.5226211162129201E-2</v>
      </c>
      <c r="L21" t="s">
        <v>4</v>
      </c>
      <c r="M21">
        <v>1933.09845577488</v>
      </c>
      <c r="N21">
        <v>55.149522049250699</v>
      </c>
      <c r="O21">
        <v>5.1401603177539101</v>
      </c>
      <c r="P21" s="5">
        <v>1.14596563233551E-25</v>
      </c>
      <c r="Q21" t="s">
        <v>4</v>
      </c>
      <c r="R21" s="4" t="s">
        <v>87</v>
      </c>
      <c r="S21" t="s">
        <v>4</v>
      </c>
      <c r="T21" t="s">
        <v>189</v>
      </c>
      <c r="U21" t="s">
        <v>190</v>
      </c>
      <c r="V21" t="s">
        <v>191</v>
      </c>
      <c r="W21" t="s">
        <v>192</v>
      </c>
      <c r="X21" t="s">
        <v>4</v>
      </c>
      <c r="Y21" t="s">
        <v>92</v>
      </c>
      <c r="Z21" t="s">
        <v>92</v>
      </c>
      <c r="AA21" t="s">
        <v>92</v>
      </c>
      <c r="AB21" t="s">
        <v>4</v>
      </c>
      <c r="AC21" s="3" t="s">
        <v>93</v>
      </c>
      <c r="AD21" t="s">
        <v>4</v>
      </c>
      <c r="AE21" s="4" t="s">
        <v>94</v>
      </c>
      <c r="AZ21" t="s">
        <v>4</v>
      </c>
      <c r="BA21" s="3" t="s">
        <v>95</v>
      </c>
      <c r="BB21" t="s">
        <v>96</v>
      </c>
      <c r="BC21" s="3" t="s">
        <v>197</v>
      </c>
      <c r="BD21" t="s">
        <v>4</v>
      </c>
      <c r="BE21">
        <v>2861</v>
      </c>
      <c r="BF21" t="s">
        <v>97</v>
      </c>
      <c r="BG21" t="s">
        <v>2474</v>
      </c>
      <c r="BH21">
        <v>100</v>
      </c>
      <c r="BI21">
        <v>88.177300000000002</v>
      </c>
      <c r="BK21">
        <v>24.876799999999999</v>
      </c>
      <c r="BP21">
        <v>15.0246</v>
      </c>
      <c r="CK21">
        <v>4</v>
      </c>
      <c r="CL21" t="s">
        <v>4</v>
      </c>
      <c r="CM21" t="s">
        <v>98</v>
      </c>
      <c r="CN21" t="s">
        <v>98</v>
      </c>
      <c r="CO21" t="s">
        <v>99</v>
      </c>
      <c r="CP21" t="s">
        <v>100</v>
      </c>
      <c r="CQ21">
        <v>20</v>
      </c>
      <c r="CR21" t="s">
        <v>100</v>
      </c>
      <c r="CS21" s="7" t="s">
        <v>101</v>
      </c>
      <c r="CT21" t="s">
        <v>152</v>
      </c>
      <c r="CU21" t="s">
        <v>102</v>
      </c>
      <c r="CV21" t="s">
        <v>100</v>
      </c>
    </row>
    <row r="22" spans="1:100">
      <c r="A22" s="3" t="s">
        <v>2475</v>
      </c>
      <c r="B22" s="4" t="s">
        <v>2476</v>
      </c>
      <c r="C22">
        <v>121.41505057024099</v>
      </c>
      <c r="D22">
        <v>1035.9326109490501</v>
      </c>
      <c r="E22">
        <f>-3.08847849827481</f>
        <v>-3.0884784982748101</v>
      </c>
      <c r="F22" s="5">
        <v>4.6535121875248201E-22</v>
      </c>
      <c r="G22" t="s">
        <v>4</v>
      </c>
      <c r="H22">
        <v>121.41505057024099</v>
      </c>
      <c r="I22">
        <v>61.263809293759003</v>
      </c>
      <c r="J22">
        <v>0.99767149095985097</v>
      </c>
      <c r="K22">
        <v>5.85214361970779E-3</v>
      </c>
      <c r="L22" t="s">
        <v>4</v>
      </c>
      <c r="M22">
        <v>1035.9326109490501</v>
      </c>
      <c r="N22">
        <v>61.263809293759003</v>
      </c>
      <c r="O22">
        <v>4.0861499892346602</v>
      </c>
      <c r="P22" s="5">
        <v>7.7810361741615504E-35</v>
      </c>
      <c r="Q22" t="s">
        <v>4</v>
      </c>
      <c r="R22" s="4" t="s">
        <v>87</v>
      </c>
      <c r="S22" t="s">
        <v>4</v>
      </c>
      <c r="T22" t="s">
        <v>92</v>
      </c>
      <c r="U22" t="s">
        <v>92</v>
      </c>
      <c r="V22" t="s">
        <v>92</v>
      </c>
      <c r="W22" t="s">
        <v>92</v>
      </c>
      <c r="X22" t="s">
        <v>4</v>
      </c>
      <c r="Y22" t="s">
        <v>92</v>
      </c>
      <c r="Z22" t="s">
        <v>92</v>
      </c>
      <c r="AA22" t="s">
        <v>92</v>
      </c>
      <c r="AB22" t="s">
        <v>4</v>
      </c>
      <c r="AC22" s="3" t="s">
        <v>93</v>
      </c>
      <c r="AD22" t="s">
        <v>4</v>
      </c>
      <c r="AE22" s="4" t="s">
        <v>94</v>
      </c>
      <c r="AZ22" t="s">
        <v>4</v>
      </c>
      <c r="BA22" s="3" t="s">
        <v>95</v>
      </c>
      <c r="BB22" s="6" t="s">
        <v>95</v>
      </c>
      <c r="BC22" s="3" t="s">
        <v>197</v>
      </c>
      <c r="BD22" t="s">
        <v>4</v>
      </c>
      <c r="BE22">
        <v>2189</v>
      </c>
      <c r="BF22" t="s">
        <v>148</v>
      </c>
      <c r="BG22">
        <v>88.3249</v>
      </c>
      <c r="BH22">
        <v>37.563499999999998</v>
      </c>
      <c r="BI22">
        <v>82.233500000000006</v>
      </c>
      <c r="BJ22">
        <v>70.812200000000004</v>
      </c>
      <c r="BK22" t="s">
        <v>2477</v>
      </c>
      <c r="BM22">
        <v>34.264000000000003</v>
      </c>
      <c r="BN22">
        <v>59.390900000000002</v>
      </c>
      <c r="BO22">
        <v>63.959400000000002</v>
      </c>
      <c r="CK22">
        <v>3</v>
      </c>
      <c r="CL22" t="s">
        <v>4</v>
      </c>
      <c r="CM22" t="s">
        <v>98</v>
      </c>
      <c r="CN22" t="s">
        <v>98</v>
      </c>
      <c r="CO22" t="s">
        <v>99</v>
      </c>
      <c r="CP22" t="s">
        <v>100</v>
      </c>
      <c r="CQ22">
        <v>21</v>
      </c>
      <c r="CR22" t="s">
        <v>100</v>
      </c>
      <c r="CS22" t="s">
        <v>100</v>
      </c>
      <c r="CT22" t="s">
        <v>152</v>
      </c>
      <c r="CU22" t="s">
        <v>102</v>
      </c>
      <c r="CV22" t="s">
        <v>100</v>
      </c>
    </row>
    <row r="23" spans="1:100">
      <c r="A23" s="3" t="s">
        <v>2478</v>
      </c>
      <c r="B23" s="4" t="s">
        <v>2479</v>
      </c>
      <c r="C23">
        <v>63.1856070847833</v>
      </c>
      <c r="D23">
        <v>388.07056129767898</v>
      </c>
      <c r="E23">
        <f>-2.61726787743685</f>
        <v>-2.6172678774368499</v>
      </c>
      <c r="F23" s="5">
        <v>2.1168076665149801E-7</v>
      </c>
      <c r="G23" t="s">
        <v>4</v>
      </c>
      <c r="H23">
        <v>63.1856070847833</v>
      </c>
      <c r="I23">
        <v>29.685200635874601</v>
      </c>
      <c r="J23">
        <v>1.1003562675127601</v>
      </c>
      <c r="K23">
        <v>4.9087485307166903E-2</v>
      </c>
      <c r="L23" t="s">
        <v>4</v>
      </c>
      <c r="M23">
        <v>388.07056129767898</v>
      </c>
      <c r="N23">
        <v>29.685200635874601</v>
      </c>
      <c r="O23">
        <v>3.7176241449496099</v>
      </c>
      <c r="P23" s="5">
        <v>3.4547727400501699E-13</v>
      </c>
      <c r="Q23" t="s">
        <v>4</v>
      </c>
      <c r="R23" s="4" t="s">
        <v>87</v>
      </c>
      <c r="S23" t="s">
        <v>4</v>
      </c>
      <c r="T23" t="s">
        <v>2480</v>
      </c>
      <c r="U23" t="s">
        <v>2481</v>
      </c>
      <c r="V23" t="s">
        <v>2482</v>
      </c>
      <c r="W23" t="s">
        <v>328</v>
      </c>
      <c r="X23" t="s">
        <v>4</v>
      </c>
      <c r="Y23" t="s">
        <v>1929</v>
      </c>
      <c r="Z23" t="s">
        <v>1930</v>
      </c>
      <c r="AA23" t="s">
        <v>1931</v>
      </c>
      <c r="AB23" t="s">
        <v>4</v>
      </c>
      <c r="AC23" s="3" t="s">
        <v>2483</v>
      </c>
      <c r="AD23" t="s">
        <v>4</v>
      </c>
      <c r="AE23" t="s">
        <v>2484</v>
      </c>
      <c r="AF23" t="s">
        <v>2485</v>
      </c>
      <c r="AG23" t="s">
        <v>2486</v>
      </c>
      <c r="AH23" t="s">
        <v>112</v>
      </c>
      <c r="AJ23" t="s">
        <v>2487</v>
      </c>
      <c r="AL23" t="s">
        <v>2488</v>
      </c>
      <c r="AM23" t="s">
        <v>2489</v>
      </c>
      <c r="AQ23" t="s">
        <v>2490</v>
      </c>
      <c r="AU23" t="s">
        <v>112</v>
      </c>
      <c r="AV23" t="s">
        <v>2491</v>
      </c>
      <c r="AW23" t="s">
        <v>114</v>
      </c>
      <c r="AX23" t="s">
        <v>1938</v>
      </c>
      <c r="AY23" t="s">
        <v>1939</v>
      </c>
      <c r="AZ23" t="s">
        <v>4</v>
      </c>
      <c r="BA23" s="3" t="s">
        <v>115</v>
      </c>
      <c r="BB23" s="6" t="s">
        <v>95</v>
      </c>
      <c r="BC23" s="3" t="s">
        <v>95</v>
      </c>
      <c r="BD23" t="s">
        <v>4</v>
      </c>
      <c r="BE23">
        <v>5746</v>
      </c>
      <c r="BF23" t="s">
        <v>386</v>
      </c>
      <c r="BG23">
        <v>71.302400000000006</v>
      </c>
      <c r="BH23">
        <v>39.072800000000001</v>
      </c>
      <c r="BI23">
        <v>94.260499999999993</v>
      </c>
      <c r="BJ23">
        <v>98.013199999999998</v>
      </c>
      <c r="BK23">
        <v>97.571700000000007</v>
      </c>
      <c r="BL23">
        <v>38.189799999999998</v>
      </c>
      <c r="BM23">
        <v>93.377499999999998</v>
      </c>
      <c r="BN23">
        <v>97.350999999999999</v>
      </c>
      <c r="BO23">
        <v>96.909499999999994</v>
      </c>
      <c r="BP23">
        <v>34.878599999999999</v>
      </c>
      <c r="BQ23">
        <v>86.975700000000003</v>
      </c>
      <c r="BR23">
        <v>91.17</v>
      </c>
      <c r="BU23">
        <v>17.880800000000001</v>
      </c>
      <c r="BW23" t="s">
        <v>2492</v>
      </c>
      <c r="BX23">
        <v>85.430499999999995</v>
      </c>
      <c r="BZ23" t="s">
        <v>2493</v>
      </c>
      <c r="CA23">
        <v>82.560699999999997</v>
      </c>
      <c r="CD23">
        <v>12.582800000000001</v>
      </c>
      <c r="CE23">
        <v>43.708599999999997</v>
      </c>
      <c r="CF23">
        <v>38.410600000000002</v>
      </c>
      <c r="CG23" t="s">
        <v>2494</v>
      </c>
      <c r="CH23" t="s">
        <v>2495</v>
      </c>
      <c r="CI23">
        <v>38.410600000000002</v>
      </c>
      <c r="CK23">
        <v>7</v>
      </c>
      <c r="CL23" t="s">
        <v>4</v>
      </c>
      <c r="CM23" t="s">
        <v>2496</v>
      </c>
      <c r="CN23" t="s">
        <v>2497</v>
      </c>
      <c r="CO23" t="s">
        <v>99</v>
      </c>
      <c r="CP23" t="s">
        <v>100</v>
      </c>
      <c r="CQ23">
        <v>22</v>
      </c>
      <c r="CR23" t="s">
        <v>100</v>
      </c>
      <c r="CS23" s="7" t="s">
        <v>101</v>
      </c>
      <c r="CT23" t="s">
        <v>152</v>
      </c>
      <c r="CU23" t="s">
        <v>102</v>
      </c>
      <c r="CV23" t="s">
        <v>100</v>
      </c>
    </row>
    <row r="24" spans="1:100">
      <c r="A24" s="3" t="s">
        <v>2498</v>
      </c>
      <c r="B24" s="4" t="s">
        <v>2499</v>
      </c>
      <c r="C24">
        <v>68.555436732519894</v>
      </c>
      <c r="D24">
        <v>883.56604764334998</v>
      </c>
      <c r="E24">
        <f>-3.68203580387525</f>
        <v>-3.6820358038752499</v>
      </c>
      <c r="F24" s="5">
        <v>2.4805209723547599E-33</v>
      </c>
      <c r="G24" t="s">
        <v>4</v>
      </c>
      <c r="H24">
        <v>68.555436732519894</v>
      </c>
      <c r="I24">
        <v>91.625052777820301</v>
      </c>
      <c r="J24">
        <f>0.425015281987371</f>
        <v>0.42501528198737099</v>
      </c>
      <c r="K24">
        <v>0.23456796527049201</v>
      </c>
      <c r="L24" t="s">
        <v>4</v>
      </c>
      <c r="M24">
        <v>883.56604764334998</v>
      </c>
      <c r="N24">
        <v>91.625052777820301</v>
      </c>
      <c r="O24">
        <v>3.2570205218878798</v>
      </c>
      <c r="P24" s="5">
        <v>3.0495305943481499E-26</v>
      </c>
      <c r="Q24" t="s">
        <v>4</v>
      </c>
      <c r="R24" s="4" t="s">
        <v>87</v>
      </c>
      <c r="S24" t="s">
        <v>4</v>
      </c>
      <c r="T24" t="s">
        <v>2500</v>
      </c>
      <c r="U24" t="s">
        <v>2501</v>
      </c>
      <c r="V24" t="s">
        <v>2502</v>
      </c>
      <c r="W24" t="s">
        <v>328</v>
      </c>
      <c r="X24" t="s">
        <v>4</v>
      </c>
      <c r="Y24" t="s">
        <v>2503</v>
      </c>
      <c r="Z24" t="s">
        <v>2504</v>
      </c>
      <c r="AA24" t="s">
        <v>2505</v>
      </c>
      <c r="AB24" t="s">
        <v>4</v>
      </c>
      <c r="AC24" s="3" t="s">
        <v>93</v>
      </c>
      <c r="AD24" t="s">
        <v>4</v>
      </c>
      <c r="AE24" t="s">
        <v>2506</v>
      </c>
      <c r="AF24" t="s">
        <v>2507</v>
      </c>
      <c r="AG24" t="s">
        <v>2508</v>
      </c>
      <c r="AH24" t="s">
        <v>112</v>
      </c>
      <c r="AU24" t="s">
        <v>112</v>
      </c>
      <c r="AV24" t="s">
        <v>2509</v>
      </c>
      <c r="AW24" t="s">
        <v>114</v>
      </c>
      <c r="AX24" t="s">
        <v>909</v>
      </c>
      <c r="AY24" t="s">
        <v>2510</v>
      </c>
      <c r="AZ24" t="s">
        <v>4</v>
      </c>
      <c r="BA24" s="3" t="s">
        <v>95</v>
      </c>
      <c r="BB24" s="6" t="s">
        <v>95</v>
      </c>
      <c r="BC24" s="3" t="s">
        <v>95</v>
      </c>
      <c r="BD24" t="s">
        <v>4</v>
      </c>
      <c r="BE24">
        <v>10314</v>
      </c>
      <c r="BF24" t="s">
        <v>169</v>
      </c>
      <c r="BJ24">
        <v>46.598599999999998</v>
      </c>
      <c r="BM24">
        <v>22.449000000000002</v>
      </c>
      <c r="BP24">
        <v>9.5238099999999992</v>
      </c>
      <c r="BW24">
        <v>14.2857</v>
      </c>
      <c r="BX24">
        <v>27.891200000000001</v>
      </c>
      <c r="BY24">
        <v>15.306100000000001</v>
      </c>
      <c r="BZ24">
        <v>17.687100000000001</v>
      </c>
      <c r="CA24">
        <v>29.2517</v>
      </c>
      <c r="CB24">
        <v>0</v>
      </c>
      <c r="CC24">
        <v>29.2517</v>
      </c>
      <c r="CD24">
        <v>28.231300000000001</v>
      </c>
      <c r="CG24" t="s">
        <v>2511</v>
      </c>
      <c r="CH24" t="s">
        <v>2512</v>
      </c>
      <c r="CI24" t="s">
        <v>2513</v>
      </c>
      <c r="CJ24" t="s">
        <v>2514</v>
      </c>
      <c r="CK24">
        <v>9</v>
      </c>
      <c r="CL24" t="s">
        <v>4</v>
      </c>
      <c r="CM24" t="s">
        <v>2515</v>
      </c>
      <c r="CN24" t="s">
        <v>2516</v>
      </c>
      <c r="CO24" t="s">
        <v>663</v>
      </c>
      <c r="CP24" t="s">
        <v>100</v>
      </c>
      <c r="CQ24">
        <v>23</v>
      </c>
      <c r="CR24" t="s">
        <v>100</v>
      </c>
      <c r="CS24" t="s">
        <v>100</v>
      </c>
      <c r="CT24" t="s">
        <v>152</v>
      </c>
      <c r="CU24" t="s">
        <v>102</v>
      </c>
      <c r="CV24" t="s">
        <v>100</v>
      </c>
    </row>
    <row r="25" spans="1:100">
      <c r="A25" s="3" t="s">
        <v>2517</v>
      </c>
      <c r="B25" s="4" t="s">
        <v>2518</v>
      </c>
      <c r="C25">
        <v>150.926691314078</v>
      </c>
      <c r="D25">
        <v>1126.0695438749101</v>
      </c>
      <c r="E25">
        <f>-2.8987059534817</f>
        <v>-2.8987059534816999</v>
      </c>
      <c r="F25" s="5">
        <v>1.56929618737226E-27</v>
      </c>
      <c r="G25" t="s">
        <v>4</v>
      </c>
      <c r="H25">
        <v>150.926691314078</v>
      </c>
      <c r="I25">
        <v>188.64989415472999</v>
      </c>
      <c r="J25">
        <f>0.323721621879892</f>
        <v>0.32372162187989201</v>
      </c>
      <c r="K25">
        <v>0.29136565424451499</v>
      </c>
      <c r="L25" t="s">
        <v>4</v>
      </c>
      <c r="M25">
        <v>1126.0695438749101</v>
      </c>
      <c r="N25">
        <v>188.64989415472999</v>
      </c>
      <c r="O25">
        <v>2.5749843316018102</v>
      </c>
      <c r="P25" s="5">
        <v>4.7927113810891598E-22</v>
      </c>
      <c r="Q25" t="s">
        <v>4</v>
      </c>
      <c r="R25" s="4" t="s">
        <v>87</v>
      </c>
      <c r="S25" t="s">
        <v>4</v>
      </c>
      <c r="T25" t="s">
        <v>504</v>
      </c>
      <c r="U25" t="s">
        <v>505</v>
      </c>
      <c r="V25" t="s">
        <v>506</v>
      </c>
      <c r="W25" t="s">
        <v>507</v>
      </c>
      <c r="X25" t="s">
        <v>4</v>
      </c>
      <c r="Y25" t="s">
        <v>508</v>
      </c>
      <c r="Z25" t="s">
        <v>509</v>
      </c>
      <c r="AA25" t="s">
        <v>510</v>
      </c>
      <c r="AB25" t="s">
        <v>4</v>
      </c>
      <c r="AC25" s="3" t="s">
        <v>511</v>
      </c>
      <c r="AD25" t="s">
        <v>4</v>
      </c>
      <c r="AE25" t="s">
        <v>2519</v>
      </c>
      <c r="AF25" t="s">
        <v>2520</v>
      </c>
      <c r="AG25" t="s">
        <v>2521</v>
      </c>
      <c r="AH25" t="s">
        <v>112</v>
      </c>
      <c r="AU25" t="s">
        <v>112</v>
      </c>
      <c r="AV25" t="s">
        <v>2522</v>
      </c>
      <c r="AW25" t="s">
        <v>114</v>
      </c>
      <c r="AX25" t="s">
        <v>1907</v>
      </c>
      <c r="AY25" t="s">
        <v>2523</v>
      </c>
      <c r="AZ25" t="s">
        <v>4</v>
      </c>
      <c r="BA25" s="3" t="s">
        <v>95</v>
      </c>
      <c r="BB25" t="s">
        <v>96</v>
      </c>
      <c r="BC25" s="3" t="s">
        <v>95</v>
      </c>
      <c r="BD25" t="s">
        <v>4</v>
      </c>
      <c r="BE25">
        <v>5201</v>
      </c>
      <c r="BF25" t="s">
        <v>282</v>
      </c>
      <c r="BG25">
        <v>96.495999999999995</v>
      </c>
      <c r="BP25">
        <v>35.8491</v>
      </c>
      <c r="CB25">
        <v>38.274900000000002</v>
      </c>
      <c r="CC25">
        <v>32.614600000000003</v>
      </c>
      <c r="CD25">
        <v>33.423200000000001</v>
      </c>
      <c r="CK25">
        <v>6</v>
      </c>
      <c r="CL25" t="s">
        <v>4</v>
      </c>
      <c r="CM25" t="s">
        <v>98</v>
      </c>
      <c r="CN25" t="s">
        <v>98</v>
      </c>
      <c r="CO25" t="s">
        <v>99</v>
      </c>
      <c r="CP25" t="s">
        <v>100</v>
      </c>
      <c r="CQ25">
        <v>24</v>
      </c>
      <c r="CR25" t="s">
        <v>100</v>
      </c>
      <c r="CS25" t="s">
        <v>100</v>
      </c>
      <c r="CT25" t="s">
        <v>152</v>
      </c>
      <c r="CU25" t="s">
        <v>102</v>
      </c>
      <c r="CV25" t="s">
        <v>100</v>
      </c>
    </row>
    <row r="26" spans="1:100">
      <c r="A26" s="3" t="s">
        <v>2524</v>
      </c>
      <c r="B26" s="4" t="s">
        <v>2525</v>
      </c>
      <c r="C26">
        <v>820.73213954603705</v>
      </c>
      <c r="D26">
        <v>8028.0864355415797</v>
      </c>
      <c r="E26">
        <f>-3.28991548785051</f>
        <v>-3.2899154878505099</v>
      </c>
      <c r="F26" s="5">
        <v>1.54638532203818E-21</v>
      </c>
      <c r="G26" t="s">
        <v>4</v>
      </c>
      <c r="H26">
        <v>820.73213954603705</v>
      </c>
      <c r="I26">
        <v>327.63554652862803</v>
      </c>
      <c r="J26">
        <v>1.3183579984264699</v>
      </c>
      <c r="K26">
        <v>2.6295520994913202E-4</v>
      </c>
      <c r="L26" t="s">
        <v>4</v>
      </c>
      <c r="M26">
        <v>8028.0864355415797</v>
      </c>
      <c r="N26">
        <v>327.63554652862803</v>
      </c>
      <c r="O26">
        <v>4.6082734862769801</v>
      </c>
      <c r="P26" s="5">
        <v>9.0229892059092599E-42</v>
      </c>
      <c r="Q26" t="s">
        <v>4</v>
      </c>
      <c r="R26" s="4" t="s">
        <v>87</v>
      </c>
      <c r="S26" t="s">
        <v>4</v>
      </c>
      <c r="T26" t="s">
        <v>92</v>
      </c>
      <c r="U26" t="s">
        <v>92</v>
      </c>
      <c r="V26" t="s">
        <v>92</v>
      </c>
      <c r="W26" t="s">
        <v>92</v>
      </c>
      <c r="X26" t="s">
        <v>4</v>
      </c>
      <c r="Y26" t="s">
        <v>92</v>
      </c>
      <c r="Z26" t="s">
        <v>92</v>
      </c>
      <c r="AA26" t="s">
        <v>92</v>
      </c>
      <c r="AB26" t="s">
        <v>4</v>
      </c>
      <c r="AC26" s="3" t="s">
        <v>93</v>
      </c>
      <c r="AD26" t="s">
        <v>4</v>
      </c>
      <c r="AE26" s="4" t="s">
        <v>94</v>
      </c>
      <c r="AZ26" t="s">
        <v>4</v>
      </c>
      <c r="BA26" s="3" t="s">
        <v>95</v>
      </c>
      <c r="BB26" s="6" t="s">
        <v>95</v>
      </c>
      <c r="BC26" s="3" t="s">
        <v>95</v>
      </c>
      <c r="BD26" t="s">
        <v>4</v>
      </c>
      <c r="BE26">
        <v>2195</v>
      </c>
      <c r="BF26" t="s">
        <v>148</v>
      </c>
      <c r="BG26">
        <v>97.489500000000007</v>
      </c>
      <c r="BH26" t="s">
        <v>2526</v>
      </c>
      <c r="BI26">
        <v>88.145099999999999</v>
      </c>
      <c r="BJ26" t="s">
        <v>2527</v>
      </c>
      <c r="BK26">
        <v>53.8354</v>
      </c>
      <c r="BL26">
        <v>9.6234300000000008</v>
      </c>
      <c r="BN26">
        <v>3.4867499999999998</v>
      </c>
      <c r="BO26">
        <v>31.520199999999999</v>
      </c>
      <c r="CK26">
        <v>3</v>
      </c>
      <c r="CL26" t="s">
        <v>4</v>
      </c>
      <c r="CM26" t="s">
        <v>98</v>
      </c>
      <c r="CN26" t="s">
        <v>98</v>
      </c>
      <c r="CO26" t="s">
        <v>99</v>
      </c>
      <c r="CP26" t="s">
        <v>100</v>
      </c>
      <c r="CQ26">
        <v>25</v>
      </c>
      <c r="CR26" t="s">
        <v>100</v>
      </c>
      <c r="CS26" s="7" t="s">
        <v>101</v>
      </c>
      <c r="CT26" t="s">
        <v>152</v>
      </c>
      <c r="CU26" t="s">
        <v>102</v>
      </c>
      <c r="CV26" t="s">
        <v>100</v>
      </c>
    </row>
    <row r="27" spans="1:100">
      <c r="A27" s="3" t="s">
        <v>2528</v>
      </c>
      <c r="B27" s="4" t="s">
        <v>2529</v>
      </c>
      <c r="C27">
        <v>1208.7887302633001</v>
      </c>
      <c r="D27">
        <v>14388.057212113299</v>
      </c>
      <c r="E27">
        <f>-3.57319365017969</f>
        <v>-3.5731936501796899</v>
      </c>
      <c r="F27">
        <v>1.9195474069969999E-4</v>
      </c>
      <c r="G27" t="s">
        <v>4</v>
      </c>
      <c r="H27">
        <v>1208.7887302633001</v>
      </c>
      <c r="I27">
        <v>666.50225505276603</v>
      </c>
      <c r="J27">
        <v>0.85926611138492104</v>
      </c>
      <c r="K27">
        <v>0.39729411305881601</v>
      </c>
      <c r="L27" t="s">
        <v>4</v>
      </c>
      <c r="M27">
        <v>14388.057212113299</v>
      </c>
      <c r="N27">
        <v>666.50225505276603</v>
      </c>
      <c r="O27">
        <v>4.4324597615646102</v>
      </c>
      <c r="P27" s="5">
        <v>1.1629771953315E-6</v>
      </c>
      <c r="Q27" t="s">
        <v>4</v>
      </c>
      <c r="R27" s="4" t="s">
        <v>87</v>
      </c>
      <c r="S27" t="s">
        <v>4</v>
      </c>
      <c r="T27" t="s">
        <v>2325</v>
      </c>
      <c r="U27" t="s">
        <v>2326</v>
      </c>
      <c r="V27" t="s">
        <v>2327</v>
      </c>
      <c r="W27" t="s">
        <v>203</v>
      </c>
      <c r="X27" t="s">
        <v>4</v>
      </c>
      <c r="Y27" t="s">
        <v>204</v>
      </c>
      <c r="Z27" t="s">
        <v>205</v>
      </c>
      <c r="AA27" t="s">
        <v>206</v>
      </c>
      <c r="AB27" t="s">
        <v>4</v>
      </c>
      <c r="AC27" s="3" t="s">
        <v>207</v>
      </c>
      <c r="AD27" t="s">
        <v>4</v>
      </c>
      <c r="AE27" t="s">
        <v>2530</v>
      </c>
      <c r="AF27" t="s">
        <v>2531</v>
      </c>
      <c r="AG27" t="s">
        <v>2532</v>
      </c>
      <c r="AH27" t="s">
        <v>112</v>
      </c>
      <c r="AU27" t="s">
        <v>112</v>
      </c>
      <c r="AV27" t="s">
        <v>2533</v>
      </c>
      <c r="AW27" t="s">
        <v>114</v>
      </c>
      <c r="AX27" t="s">
        <v>132</v>
      </c>
      <c r="AY27" t="s">
        <v>2534</v>
      </c>
      <c r="AZ27" t="s">
        <v>4</v>
      </c>
      <c r="BA27" s="3" t="s">
        <v>115</v>
      </c>
      <c r="BB27" s="6" t="s">
        <v>95</v>
      </c>
      <c r="BC27" s="3" t="s">
        <v>95</v>
      </c>
      <c r="BD27" t="s">
        <v>4</v>
      </c>
      <c r="BE27">
        <v>5749</v>
      </c>
      <c r="BF27" t="s">
        <v>386</v>
      </c>
      <c r="BG27">
        <v>93.048100000000005</v>
      </c>
      <c r="BI27">
        <v>80.213899999999995</v>
      </c>
      <c r="BJ27">
        <v>59.3583</v>
      </c>
      <c r="BK27">
        <v>17.468800000000002</v>
      </c>
      <c r="BM27">
        <v>17.290600000000001</v>
      </c>
      <c r="BN27">
        <v>17.290600000000001</v>
      </c>
      <c r="BQ27">
        <v>12.656000000000001</v>
      </c>
      <c r="BR27" t="s">
        <v>2535</v>
      </c>
      <c r="BS27">
        <v>10.8734</v>
      </c>
      <c r="BX27">
        <v>10.6952</v>
      </c>
      <c r="BY27">
        <v>11.943</v>
      </c>
      <c r="BZ27">
        <v>8.3779000000000003</v>
      </c>
      <c r="CA27" t="s">
        <v>2536</v>
      </c>
      <c r="CC27">
        <v>4.0998200000000002</v>
      </c>
      <c r="CE27">
        <v>25.668399999999998</v>
      </c>
      <c r="CG27" t="s">
        <v>2537</v>
      </c>
      <c r="CH27" t="s">
        <v>2538</v>
      </c>
      <c r="CI27" t="s">
        <v>2539</v>
      </c>
      <c r="CJ27" t="s">
        <v>2540</v>
      </c>
      <c r="CK27">
        <v>7</v>
      </c>
      <c r="CL27" t="s">
        <v>4</v>
      </c>
      <c r="CM27" t="s">
        <v>2541</v>
      </c>
      <c r="CN27" t="s">
        <v>2542</v>
      </c>
      <c r="CO27" t="s">
        <v>2543</v>
      </c>
      <c r="CP27" t="s">
        <v>100</v>
      </c>
      <c r="CQ27">
        <v>26</v>
      </c>
      <c r="CR27" t="s">
        <v>100</v>
      </c>
      <c r="CS27" t="s">
        <v>100</v>
      </c>
      <c r="CT27" t="s">
        <v>152</v>
      </c>
      <c r="CU27" t="s">
        <v>102</v>
      </c>
      <c r="CV27" t="s">
        <v>100</v>
      </c>
    </row>
    <row r="28" spans="1:100">
      <c r="A28" s="3" t="s">
        <v>2544</v>
      </c>
      <c r="B28" s="4" t="s">
        <v>2545</v>
      </c>
      <c r="C28">
        <v>171.803068322131</v>
      </c>
      <c r="D28">
        <v>3276.76250774747</v>
      </c>
      <c r="E28">
        <f>-4.25209983956036</f>
        <v>-4.2520998395603602</v>
      </c>
      <c r="F28" s="5">
        <v>3.61076295779603E-16</v>
      </c>
      <c r="G28" t="s">
        <v>4</v>
      </c>
      <c r="H28">
        <v>171.803068322131</v>
      </c>
      <c r="I28">
        <v>115.09545676358</v>
      </c>
      <c r="J28">
        <v>0.58266875397388196</v>
      </c>
      <c r="K28">
        <v>0.31810124931625799</v>
      </c>
      <c r="L28" t="s">
        <v>4</v>
      </c>
      <c r="M28">
        <v>3276.76250774747</v>
      </c>
      <c r="N28">
        <v>115.09545676358</v>
      </c>
      <c r="O28">
        <v>4.8347685935342399</v>
      </c>
      <c r="P28" s="5">
        <v>6.0295137435571397E-21</v>
      </c>
      <c r="Q28" t="s">
        <v>4</v>
      </c>
      <c r="R28" s="4" t="s">
        <v>87</v>
      </c>
      <c r="S28" t="s">
        <v>4</v>
      </c>
      <c r="T28" t="s">
        <v>92</v>
      </c>
      <c r="U28" t="s">
        <v>92</v>
      </c>
      <c r="V28" t="s">
        <v>92</v>
      </c>
      <c r="W28" t="s">
        <v>92</v>
      </c>
      <c r="X28" t="s">
        <v>4</v>
      </c>
      <c r="Y28" t="s">
        <v>2546</v>
      </c>
      <c r="Z28" t="s">
        <v>2547</v>
      </c>
      <c r="AA28" t="s">
        <v>2548</v>
      </c>
      <c r="AB28" t="s">
        <v>4</v>
      </c>
      <c r="AC28" s="3" t="s">
        <v>2549</v>
      </c>
      <c r="AD28" t="s">
        <v>4</v>
      </c>
      <c r="AE28" t="s">
        <v>2550</v>
      </c>
      <c r="AF28" t="s">
        <v>2551</v>
      </c>
      <c r="AG28" t="s">
        <v>2552</v>
      </c>
      <c r="AH28" t="s">
        <v>112</v>
      </c>
      <c r="AU28" t="s">
        <v>112</v>
      </c>
      <c r="AV28" t="s">
        <v>2553</v>
      </c>
      <c r="AW28" t="s">
        <v>114</v>
      </c>
      <c r="AX28" t="s">
        <v>144</v>
      </c>
      <c r="AY28" t="s">
        <v>2554</v>
      </c>
      <c r="AZ28" t="s">
        <v>4</v>
      </c>
      <c r="BA28" s="3" t="s">
        <v>115</v>
      </c>
      <c r="BB28" s="6" t="s">
        <v>95</v>
      </c>
      <c r="BC28" s="3" t="s">
        <v>95</v>
      </c>
      <c r="BD28" t="s">
        <v>4</v>
      </c>
      <c r="BE28">
        <v>2211</v>
      </c>
      <c r="BF28" t="s">
        <v>148</v>
      </c>
      <c r="BG28">
        <v>98.860399999999998</v>
      </c>
      <c r="BH28">
        <v>82.621099999999998</v>
      </c>
      <c r="BI28" t="s">
        <v>2555</v>
      </c>
      <c r="BJ28">
        <v>71.225099999999998</v>
      </c>
      <c r="BK28">
        <v>63.247900000000001</v>
      </c>
      <c r="BO28">
        <v>54.985799999999998</v>
      </c>
      <c r="CK28">
        <v>3</v>
      </c>
      <c r="CL28" t="s">
        <v>4</v>
      </c>
      <c r="CM28" t="s">
        <v>98</v>
      </c>
      <c r="CN28" t="s">
        <v>98</v>
      </c>
      <c r="CO28" t="s">
        <v>99</v>
      </c>
      <c r="CP28" t="s">
        <v>100</v>
      </c>
      <c r="CQ28">
        <v>27</v>
      </c>
      <c r="CR28" t="s">
        <v>100</v>
      </c>
      <c r="CS28" t="s">
        <v>100</v>
      </c>
      <c r="CT28" t="s">
        <v>152</v>
      </c>
      <c r="CU28" t="s">
        <v>102</v>
      </c>
      <c r="CV28" t="s">
        <v>100</v>
      </c>
    </row>
    <row r="29" spans="1:100">
      <c r="A29" s="3" t="s">
        <v>2556</v>
      </c>
      <c r="B29" s="4" t="s">
        <v>2557</v>
      </c>
      <c r="C29">
        <v>111.728071347587</v>
      </c>
      <c r="D29">
        <v>2079.4974678006802</v>
      </c>
      <c r="E29">
        <f>-4.21702621099553</f>
        <v>-4.2170262109955301</v>
      </c>
      <c r="F29" s="5">
        <v>1.2878307297432299E-11</v>
      </c>
      <c r="G29" t="s">
        <v>4</v>
      </c>
      <c r="H29">
        <v>111.728071347587</v>
      </c>
      <c r="I29">
        <v>70.049673201765202</v>
      </c>
      <c r="J29">
        <v>0.68665739873613796</v>
      </c>
      <c r="K29">
        <v>0.321831043997586</v>
      </c>
      <c r="L29" t="s">
        <v>4</v>
      </c>
      <c r="M29">
        <v>2079.4974678006802</v>
      </c>
      <c r="N29">
        <v>70.049673201765202</v>
      </c>
      <c r="O29">
        <v>4.9036836097316696</v>
      </c>
      <c r="P29" s="5">
        <v>1.32762625075215E-15</v>
      </c>
      <c r="Q29" t="s">
        <v>4</v>
      </c>
      <c r="R29" s="4" t="s">
        <v>87</v>
      </c>
      <c r="S29" t="s">
        <v>4</v>
      </c>
      <c r="T29" t="s">
        <v>2558</v>
      </c>
      <c r="U29" t="s">
        <v>2559</v>
      </c>
      <c r="V29" t="s">
        <v>2560</v>
      </c>
      <c r="W29" t="s">
        <v>123</v>
      </c>
      <c r="X29" t="s">
        <v>4</v>
      </c>
      <c r="Y29" t="s">
        <v>2561</v>
      </c>
      <c r="Z29" t="s">
        <v>2562</v>
      </c>
      <c r="AA29" t="s">
        <v>2563</v>
      </c>
      <c r="AB29" t="s">
        <v>4</v>
      </c>
      <c r="AC29" s="3" t="s">
        <v>2564</v>
      </c>
      <c r="AD29" t="s">
        <v>4</v>
      </c>
      <c r="AE29" t="s">
        <v>2565</v>
      </c>
      <c r="AF29" t="s">
        <v>2566</v>
      </c>
      <c r="AG29" t="s">
        <v>2411</v>
      </c>
      <c r="AH29" t="s">
        <v>2567</v>
      </c>
      <c r="AU29" t="s">
        <v>112</v>
      </c>
      <c r="AV29" t="s">
        <v>2568</v>
      </c>
      <c r="AW29" t="s">
        <v>114</v>
      </c>
      <c r="AX29" t="s">
        <v>700</v>
      </c>
      <c r="AY29" t="s">
        <v>2569</v>
      </c>
      <c r="AZ29" t="s">
        <v>4</v>
      </c>
      <c r="BA29" s="3" t="s">
        <v>95</v>
      </c>
      <c r="BB29" s="6" t="s">
        <v>95</v>
      </c>
      <c r="BC29" s="3" t="s">
        <v>95</v>
      </c>
      <c r="BD29" t="s">
        <v>4</v>
      </c>
      <c r="BE29">
        <v>2214</v>
      </c>
      <c r="BF29" t="s">
        <v>148</v>
      </c>
      <c r="BG29">
        <v>99.022000000000006</v>
      </c>
      <c r="BH29">
        <v>93.153999999999996</v>
      </c>
      <c r="BI29">
        <v>91.686999999999998</v>
      </c>
      <c r="BJ29" t="s">
        <v>2570</v>
      </c>
      <c r="BK29" t="s">
        <v>2571</v>
      </c>
      <c r="BL29" t="s">
        <v>2572</v>
      </c>
      <c r="BM29">
        <v>46.454799999999999</v>
      </c>
      <c r="BN29">
        <v>65.036699999999996</v>
      </c>
      <c r="BO29">
        <v>31.2958</v>
      </c>
      <c r="CK29">
        <v>3</v>
      </c>
      <c r="CL29" t="s">
        <v>4</v>
      </c>
      <c r="CM29" t="s">
        <v>98</v>
      </c>
      <c r="CN29" t="s">
        <v>98</v>
      </c>
      <c r="CO29" t="s">
        <v>99</v>
      </c>
      <c r="CP29" t="s">
        <v>100</v>
      </c>
      <c r="CQ29">
        <v>28</v>
      </c>
      <c r="CR29" t="s">
        <v>100</v>
      </c>
      <c r="CS29" t="s">
        <v>100</v>
      </c>
      <c r="CT29" t="s">
        <v>152</v>
      </c>
      <c r="CU29" t="s">
        <v>102</v>
      </c>
      <c r="CV29" t="s">
        <v>100</v>
      </c>
    </row>
    <row r="30" spans="1:100">
      <c r="A30" s="3" t="s">
        <v>2573</v>
      </c>
      <c r="B30" s="4" t="s">
        <v>2574</v>
      </c>
      <c r="C30">
        <v>58.295436714716601</v>
      </c>
      <c r="D30">
        <v>394.38409949059201</v>
      </c>
      <c r="E30">
        <f>-2.75413353838105</f>
        <v>-2.7541335383810499</v>
      </c>
      <c r="F30" s="5">
        <v>3.0729160976953902E-7</v>
      </c>
      <c r="G30" t="s">
        <v>4</v>
      </c>
      <c r="H30">
        <v>58.295436714716601</v>
      </c>
      <c r="I30">
        <v>39.658979468065702</v>
      </c>
      <c r="J30">
        <v>0.52830950249328801</v>
      </c>
      <c r="K30">
        <v>0.38522493007891701</v>
      </c>
      <c r="L30" t="s">
        <v>4</v>
      </c>
      <c r="M30">
        <v>394.38409949059201</v>
      </c>
      <c r="N30">
        <v>39.658979468065702</v>
      </c>
      <c r="O30">
        <v>3.2824430408743401</v>
      </c>
      <c r="P30" s="5">
        <v>8.2792019369429004E-10</v>
      </c>
      <c r="Q30" t="s">
        <v>4</v>
      </c>
      <c r="R30" s="4" t="s">
        <v>87</v>
      </c>
      <c r="S30" t="s">
        <v>4</v>
      </c>
      <c r="T30" t="s">
        <v>2575</v>
      </c>
      <c r="U30" t="s">
        <v>2576</v>
      </c>
      <c r="V30" t="s">
        <v>2577</v>
      </c>
      <c r="W30" t="s">
        <v>507</v>
      </c>
      <c r="X30" t="s">
        <v>4</v>
      </c>
      <c r="Y30" t="s">
        <v>2578</v>
      </c>
      <c r="Z30" t="s">
        <v>2579</v>
      </c>
      <c r="AA30" t="s">
        <v>2580</v>
      </c>
      <c r="AB30" t="s">
        <v>4</v>
      </c>
      <c r="AC30" s="3" t="s">
        <v>2581</v>
      </c>
      <c r="AD30" t="s">
        <v>4</v>
      </c>
      <c r="AE30" t="s">
        <v>2582</v>
      </c>
      <c r="AF30" t="s">
        <v>2583</v>
      </c>
      <c r="AG30" t="s">
        <v>2584</v>
      </c>
      <c r="AH30" t="s">
        <v>386</v>
      </c>
      <c r="AU30" t="s">
        <v>112</v>
      </c>
      <c r="AV30" t="s">
        <v>2585</v>
      </c>
      <c r="AW30" t="s">
        <v>114</v>
      </c>
      <c r="AX30" t="s">
        <v>371</v>
      </c>
      <c r="AY30" t="s">
        <v>2586</v>
      </c>
      <c r="AZ30" t="s">
        <v>4</v>
      </c>
      <c r="BA30" s="3" t="s">
        <v>95</v>
      </c>
      <c r="BB30" s="6" t="s">
        <v>95</v>
      </c>
      <c r="BC30" s="3" t="s">
        <v>95</v>
      </c>
      <c r="BD30" t="s">
        <v>4</v>
      </c>
      <c r="BE30">
        <v>4466</v>
      </c>
      <c r="BF30" t="s">
        <v>112</v>
      </c>
      <c r="BG30">
        <v>95.307400000000001</v>
      </c>
      <c r="BH30">
        <v>21.359200000000001</v>
      </c>
      <c r="BI30">
        <v>68.608400000000003</v>
      </c>
      <c r="BJ30">
        <v>9.7087400000000006</v>
      </c>
      <c r="BK30">
        <v>58.737900000000003</v>
      </c>
      <c r="BL30">
        <v>16.1812</v>
      </c>
      <c r="BM30">
        <v>73.624600000000001</v>
      </c>
      <c r="BN30">
        <v>73.301000000000002</v>
      </c>
      <c r="BO30">
        <v>9.3851099999999992</v>
      </c>
      <c r="CK30">
        <v>5</v>
      </c>
      <c r="CL30" t="s">
        <v>4</v>
      </c>
      <c r="CM30" t="s">
        <v>98</v>
      </c>
      <c r="CN30" t="s">
        <v>98</v>
      </c>
      <c r="CO30" t="s">
        <v>99</v>
      </c>
      <c r="CP30" t="s">
        <v>100</v>
      </c>
      <c r="CQ30">
        <v>29</v>
      </c>
      <c r="CR30" t="s">
        <v>100</v>
      </c>
      <c r="CS30" t="s">
        <v>100</v>
      </c>
      <c r="CT30" t="s">
        <v>152</v>
      </c>
      <c r="CU30" t="s">
        <v>102</v>
      </c>
      <c r="CV30" t="s">
        <v>100</v>
      </c>
    </row>
    <row r="31" spans="1:100">
      <c r="A31" s="3" t="s">
        <v>2587</v>
      </c>
      <c r="B31" s="4" t="s">
        <v>2588</v>
      </c>
      <c r="C31">
        <v>1636.4599205647801</v>
      </c>
      <c r="D31">
        <v>17607.134241896802</v>
      </c>
      <c r="E31">
        <f>-3.42733278232122</f>
        <v>-3.4273327823212201</v>
      </c>
      <c r="F31" s="5">
        <v>1.13891006944482E-27</v>
      </c>
      <c r="G31" t="s">
        <v>4</v>
      </c>
      <c r="H31">
        <v>1636.4599205647801</v>
      </c>
      <c r="I31">
        <v>1051.03036381422</v>
      </c>
      <c r="J31">
        <v>0.63910498377026503</v>
      </c>
      <c r="K31">
        <v>6.0268373812834203E-2</v>
      </c>
      <c r="L31" t="s">
        <v>4</v>
      </c>
      <c r="M31">
        <v>17607.134241896802</v>
      </c>
      <c r="N31">
        <v>1051.03036381422</v>
      </c>
      <c r="O31">
        <v>4.0664377660914903</v>
      </c>
      <c r="P31" s="5">
        <v>1.9337702223610699E-39</v>
      </c>
      <c r="Q31" t="s">
        <v>4</v>
      </c>
      <c r="R31" s="4" t="s">
        <v>87</v>
      </c>
      <c r="S31" t="s">
        <v>4</v>
      </c>
      <c r="T31" t="s">
        <v>120</v>
      </c>
      <c r="U31" t="s">
        <v>121</v>
      </c>
      <c r="V31" t="s">
        <v>122</v>
      </c>
      <c r="W31" t="s">
        <v>123</v>
      </c>
      <c r="X31" t="s">
        <v>4</v>
      </c>
      <c r="Y31" t="s">
        <v>124</v>
      </c>
      <c r="Z31" t="s">
        <v>125</v>
      </c>
      <c r="AA31" t="s">
        <v>126</v>
      </c>
      <c r="AB31" t="s">
        <v>4</v>
      </c>
      <c r="AC31" s="3" t="s">
        <v>2589</v>
      </c>
      <c r="AD31" t="s">
        <v>4</v>
      </c>
      <c r="AE31" t="s">
        <v>2590</v>
      </c>
      <c r="AF31" t="s">
        <v>2591</v>
      </c>
      <c r="AG31" t="s">
        <v>2592</v>
      </c>
      <c r="AH31" t="s">
        <v>314</v>
      </c>
      <c r="AU31" t="s">
        <v>112</v>
      </c>
      <c r="AV31" t="s">
        <v>2593</v>
      </c>
      <c r="AW31" t="s">
        <v>114</v>
      </c>
      <c r="AX31" t="s">
        <v>2594</v>
      </c>
      <c r="AY31" t="s">
        <v>2595</v>
      </c>
      <c r="AZ31" t="s">
        <v>4</v>
      </c>
      <c r="BA31" s="3" t="s">
        <v>95</v>
      </c>
      <c r="BB31" t="s">
        <v>96</v>
      </c>
      <c r="BC31" s="3" t="s">
        <v>197</v>
      </c>
      <c r="BD31" t="s">
        <v>4</v>
      </c>
      <c r="BE31">
        <v>2909</v>
      </c>
      <c r="BF31" t="s">
        <v>97</v>
      </c>
      <c r="BG31">
        <v>94.059399999999997</v>
      </c>
      <c r="BH31">
        <v>87.788799999999995</v>
      </c>
      <c r="BI31">
        <v>81.600700000000003</v>
      </c>
      <c r="BJ31">
        <v>43.976900000000001</v>
      </c>
      <c r="BK31">
        <v>48.514899999999997</v>
      </c>
      <c r="BL31" t="s">
        <v>2596</v>
      </c>
      <c r="BM31">
        <v>43.069299999999998</v>
      </c>
      <c r="BN31">
        <v>47.772300000000001</v>
      </c>
      <c r="BO31">
        <v>50.082500000000003</v>
      </c>
      <c r="BP31">
        <v>6.3531399999999998</v>
      </c>
      <c r="CK31">
        <v>4</v>
      </c>
      <c r="CL31" t="s">
        <v>4</v>
      </c>
      <c r="CM31" t="s">
        <v>98</v>
      </c>
      <c r="CN31" t="s">
        <v>98</v>
      </c>
      <c r="CO31" t="s">
        <v>99</v>
      </c>
      <c r="CP31" t="s">
        <v>100</v>
      </c>
      <c r="CQ31">
        <v>30</v>
      </c>
      <c r="CR31" t="s">
        <v>100</v>
      </c>
      <c r="CS31" t="s">
        <v>100</v>
      </c>
      <c r="CT31" t="s">
        <v>152</v>
      </c>
      <c r="CU31" t="s">
        <v>102</v>
      </c>
      <c r="CV31" t="s">
        <v>100</v>
      </c>
    </row>
    <row r="32" spans="1:100">
      <c r="A32" s="3" t="s">
        <v>2597</v>
      </c>
      <c r="B32" s="4" t="s">
        <v>2598</v>
      </c>
      <c r="C32">
        <v>1524.2172054006301</v>
      </c>
      <c r="D32">
        <v>6845.8956398598002</v>
      </c>
      <c r="E32">
        <f>-2.16717576550351</f>
        <v>-2.1671757655035102</v>
      </c>
      <c r="F32" s="5">
        <v>2.48185234655809E-17</v>
      </c>
      <c r="G32" t="s">
        <v>4</v>
      </c>
      <c r="H32">
        <v>1524.2172054006301</v>
      </c>
      <c r="I32">
        <v>1368.3435595839101</v>
      </c>
      <c r="J32">
        <v>0.15789203982910399</v>
      </c>
      <c r="K32">
        <v>0.59146488434022004</v>
      </c>
      <c r="L32" t="s">
        <v>4</v>
      </c>
      <c r="M32">
        <v>6845.8956398598002</v>
      </c>
      <c r="N32">
        <v>1368.3435595839101</v>
      </c>
      <c r="O32">
        <v>2.3250678053326101</v>
      </c>
      <c r="P32" s="5">
        <v>1.98491242143083E-20</v>
      </c>
      <c r="Q32" t="s">
        <v>4</v>
      </c>
      <c r="R32" s="4" t="s">
        <v>87</v>
      </c>
      <c r="S32" t="s">
        <v>4</v>
      </c>
      <c r="T32" t="s">
        <v>92</v>
      </c>
      <c r="U32" t="s">
        <v>92</v>
      </c>
      <c r="V32" t="s">
        <v>92</v>
      </c>
      <c r="W32" t="s">
        <v>92</v>
      </c>
      <c r="X32" t="s">
        <v>4</v>
      </c>
      <c r="Y32" t="s">
        <v>92</v>
      </c>
      <c r="Z32" t="s">
        <v>92</v>
      </c>
      <c r="AA32" t="s">
        <v>92</v>
      </c>
      <c r="AB32" t="s">
        <v>4</v>
      </c>
      <c r="AC32" s="3" t="s">
        <v>93</v>
      </c>
      <c r="AD32" t="s">
        <v>4</v>
      </c>
      <c r="AE32" s="4" t="s">
        <v>94</v>
      </c>
      <c r="AZ32" t="s">
        <v>4</v>
      </c>
      <c r="BA32" s="3" t="s">
        <v>115</v>
      </c>
      <c r="BB32" s="6" t="s">
        <v>95</v>
      </c>
      <c r="BC32" s="3" t="s">
        <v>95</v>
      </c>
      <c r="BD32" t="s">
        <v>4</v>
      </c>
      <c r="BE32">
        <v>2229</v>
      </c>
      <c r="BF32" t="s">
        <v>148</v>
      </c>
      <c r="BG32">
        <v>92.846000000000004</v>
      </c>
      <c r="BH32">
        <v>63.6081</v>
      </c>
      <c r="BI32">
        <v>66.407499999999999</v>
      </c>
      <c r="BJ32">
        <v>71.384100000000004</v>
      </c>
      <c r="BK32">
        <v>52.099499999999999</v>
      </c>
      <c r="BL32" t="s">
        <v>2599</v>
      </c>
      <c r="BM32">
        <v>71.2286</v>
      </c>
      <c r="BN32">
        <v>71.384100000000004</v>
      </c>
      <c r="BO32">
        <v>66.407499999999999</v>
      </c>
      <c r="CK32">
        <v>3</v>
      </c>
      <c r="CL32" t="s">
        <v>4</v>
      </c>
      <c r="CM32" t="s">
        <v>98</v>
      </c>
      <c r="CN32" t="s">
        <v>98</v>
      </c>
      <c r="CO32" t="s">
        <v>99</v>
      </c>
      <c r="CP32" t="s">
        <v>100</v>
      </c>
      <c r="CQ32">
        <v>31</v>
      </c>
      <c r="CR32" t="s">
        <v>100</v>
      </c>
      <c r="CS32" t="s">
        <v>100</v>
      </c>
      <c r="CT32" t="s">
        <v>152</v>
      </c>
      <c r="CU32" t="s">
        <v>102</v>
      </c>
      <c r="CV32" t="s">
        <v>100</v>
      </c>
    </row>
    <row r="33" spans="1:100">
      <c r="A33" s="3" t="s">
        <v>2600</v>
      </c>
      <c r="B33" s="4" t="s">
        <v>2601</v>
      </c>
      <c r="C33">
        <v>57.380548620832897</v>
      </c>
      <c r="D33">
        <v>522.47773177346801</v>
      </c>
      <c r="E33">
        <f>-3.18301258480392</f>
        <v>-3.1830125848039201</v>
      </c>
      <c r="F33" s="5">
        <v>1.29360282374987E-10</v>
      </c>
      <c r="G33" t="s">
        <v>4</v>
      </c>
      <c r="H33">
        <v>57.380548620832897</v>
      </c>
      <c r="I33">
        <v>55.391714455322898</v>
      </c>
      <c r="J33">
        <v>5.5222440250704399E-2</v>
      </c>
      <c r="K33">
        <v>0.926678586196646</v>
      </c>
      <c r="L33" t="s">
        <v>4</v>
      </c>
      <c r="M33">
        <v>522.47773177346801</v>
      </c>
      <c r="N33">
        <v>55.391714455322898</v>
      </c>
      <c r="O33">
        <v>3.2382350250546201</v>
      </c>
      <c r="P33" s="5">
        <v>4.9342586464307601E-11</v>
      </c>
      <c r="Q33" t="s">
        <v>4</v>
      </c>
      <c r="R33" s="4" t="s">
        <v>87</v>
      </c>
      <c r="S33" t="s">
        <v>4</v>
      </c>
      <c r="T33" t="s">
        <v>92</v>
      </c>
      <c r="U33" t="s">
        <v>92</v>
      </c>
      <c r="V33" t="s">
        <v>92</v>
      </c>
      <c r="W33" t="s">
        <v>92</v>
      </c>
      <c r="X33" t="s">
        <v>4</v>
      </c>
      <c r="Y33" t="s">
        <v>92</v>
      </c>
      <c r="Z33" t="s">
        <v>92</v>
      </c>
      <c r="AA33" t="s">
        <v>92</v>
      </c>
      <c r="AB33" t="s">
        <v>4</v>
      </c>
      <c r="AC33" s="3" t="s">
        <v>93</v>
      </c>
      <c r="AD33" t="s">
        <v>4</v>
      </c>
      <c r="AE33" s="4" t="s">
        <v>94</v>
      </c>
      <c r="AZ33" t="s">
        <v>4</v>
      </c>
      <c r="BA33" s="3" t="s">
        <v>95</v>
      </c>
      <c r="BB33" s="6" t="s">
        <v>95</v>
      </c>
      <c r="BC33" s="3" t="s">
        <v>95</v>
      </c>
      <c r="BD33" t="s">
        <v>4</v>
      </c>
      <c r="BE33">
        <v>2461</v>
      </c>
      <c r="BF33" t="s">
        <v>97</v>
      </c>
      <c r="BG33">
        <v>94.904499999999999</v>
      </c>
      <c r="BH33">
        <v>94.267499999999998</v>
      </c>
      <c r="BI33" t="s">
        <v>2602</v>
      </c>
      <c r="BJ33">
        <v>39.490400000000001</v>
      </c>
      <c r="BK33">
        <v>18.471299999999999</v>
      </c>
      <c r="BL33">
        <v>28.662400000000002</v>
      </c>
      <c r="BM33">
        <v>63.057299999999998</v>
      </c>
      <c r="BN33">
        <v>63.694299999999998</v>
      </c>
      <c r="BO33">
        <v>35.031799999999997</v>
      </c>
      <c r="CK33">
        <v>4</v>
      </c>
      <c r="CL33" t="s">
        <v>4</v>
      </c>
      <c r="CM33" t="s">
        <v>98</v>
      </c>
      <c r="CN33" t="s">
        <v>98</v>
      </c>
      <c r="CO33" t="s">
        <v>99</v>
      </c>
      <c r="CP33" t="s">
        <v>100</v>
      </c>
      <c r="CQ33">
        <v>32</v>
      </c>
      <c r="CR33" t="s">
        <v>100</v>
      </c>
      <c r="CS33" t="s">
        <v>100</v>
      </c>
      <c r="CT33" t="s">
        <v>152</v>
      </c>
      <c r="CU33" t="s">
        <v>102</v>
      </c>
      <c r="CV33" t="s">
        <v>100</v>
      </c>
    </row>
    <row r="34" spans="1:100">
      <c r="A34" s="3" t="s">
        <v>2603</v>
      </c>
      <c r="B34" s="8" t="s">
        <v>811</v>
      </c>
      <c r="C34">
        <v>1592.7107576287499</v>
      </c>
      <c r="D34">
        <v>12520.9622297809</v>
      </c>
      <c r="E34">
        <f>-2.97468727414986</f>
        <v>-2.97468727414986</v>
      </c>
      <c r="F34" s="5">
        <v>4.7455189150720096E-13</v>
      </c>
      <c r="G34" t="s">
        <v>4</v>
      </c>
      <c r="H34">
        <v>1592.7107576287499</v>
      </c>
      <c r="I34">
        <v>2811.3009361566301</v>
      </c>
      <c r="J34">
        <f>0.819091704688141</f>
        <v>0.81909170468814096</v>
      </c>
      <c r="K34">
        <v>5.9997856636258902E-2</v>
      </c>
      <c r="L34" t="s">
        <v>4</v>
      </c>
      <c r="M34">
        <v>12520.9622297809</v>
      </c>
      <c r="N34">
        <v>2811.3009361566301</v>
      </c>
      <c r="O34">
        <v>2.1555955694617199</v>
      </c>
      <c r="P34" s="5">
        <v>1.15261375850431E-7</v>
      </c>
      <c r="Q34" t="s">
        <v>4</v>
      </c>
      <c r="R34" s="4" t="s">
        <v>95</v>
      </c>
      <c r="S34" t="s">
        <v>4</v>
      </c>
      <c r="T34" t="s">
        <v>92</v>
      </c>
      <c r="U34" t="s">
        <v>92</v>
      </c>
      <c r="V34" t="s">
        <v>92</v>
      </c>
      <c r="W34" t="s">
        <v>92</v>
      </c>
      <c r="X34" t="s">
        <v>4</v>
      </c>
      <c r="Y34" t="s">
        <v>92</v>
      </c>
      <c r="Z34" t="s">
        <v>92</v>
      </c>
      <c r="AA34" t="s">
        <v>92</v>
      </c>
      <c r="AB34" t="s">
        <v>4</v>
      </c>
      <c r="AC34" s="3" t="s">
        <v>93</v>
      </c>
      <c r="AD34" t="s">
        <v>4</v>
      </c>
      <c r="AE34" s="4" t="s">
        <v>94</v>
      </c>
      <c r="AZ34" t="s">
        <v>4</v>
      </c>
      <c r="BA34" s="3" t="s">
        <v>812</v>
      </c>
      <c r="BB34" s="3" t="s">
        <v>812</v>
      </c>
      <c r="BC34" s="3" t="s">
        <v>812</v>
      </c>
      <c r="BD34" t="s">
        <v>4</v>
      </c>
      <c r="BE34" s="3" t="s">
        <v>812</v>
      </c>
      <c r="BF34" s="3" t="s">
        <v>812</v>
      </c>
      <c r="BG34" s="3" t="s">
        <v>812</v>
      </c>
      <c r="BH34" s="3" t="s">
        <v>812</v>
      </c>
      <c r="BI34" s="3" t="s">
        <v>812</v>
      </c>
      <c r="BJ34" s="3" t="s">
        <v>812</v>
      </c>
      <c r="BK34" s="3" t="s">
        <v>812</v>
      </c>
      <c r="BL34" s="3" t="s">
        <v>812</v>
      </c>
      <c r="BM34" s="3" t="s">
        <v>812</v>
      </c>
      <c r="BN34" s="3" t="s">
        <v>812</v>
      </c>
      <c r="BO34" s="3" t="s">
        <v>812</v>
      </c>
      <c r="BP34" s="3" t="s">
        <v>812</v>
      </c>
      <c r="BQ34" s="3" t="s">
        <v>812</v>
      </c>
      <c r="BR34" s="3" t="s">
        <v>812</v>
      </c>
      <c r="BS34" s="3" t="s">
        <v>812</v>
      </c>
      <c r="BT34" s="3" t="s">
        <v>812</v>
      </c>
      <c r="BU34" s="3" t="s">
        <v>812</v>
      </c>
      <c r="BV34" s="3" t="s">
        <v>812</v>
      </c>
      <c r="BW34" s="3" t="s">
        <v>812</v>
      </c>
      <c r="BX34" s="3" t="s">
        <v>812</v>
      </c>
      <c r="BY34" s="3" t="s">
        <v>812</v>
      </c>
      <c r="BZ34" s="3" t="s">
        <v>812</v>
      </c>
      <c r="CA34" s="3" t="s">
        <v>812</v>
      </c>
      <c r="CB34" s="3" t="s">
        <v>812</v>
      </c>
      <c r="CC34" s="3" t="s">
        <v>812</v>
      </c>
      <c r="CD34" s="3" t="s">
        <v>812</v>
      </c>
      <c r="CE34" s="3" t="s">
        <v>812</v>
      </c>
      <c r="CF34" s="3" t="s">
        <v>812</v>
      </c>
      <c r="CG34" s="3" t="s">
        <v>812</v>
      </c>
      <c r="CH34" s="3" t="s">
        <v>812</v>
      </c>
      <c r="CI34" s="3" t="s">
        <v>812</v>
      </c>
      <c r="CJ34" s="3" t="s">
        <v>812</v>
      </c>
      <c r="CK34" s="3" t="s">
        <v>812</v>
      </c>
      <c r="CL34" t="s">
        <v>4</v>
      </c>
      <c r="CM34" s="3" t="s">
        <v>812</v>
      </c>
      <c r="CN34" s="3" t="s">
        <v>812</v>
      </c>
      <c r="CO34" s="3" t="s">
        <v>812</v>
      </c>
      <c r="CP34" t="s">
        <v>100</v>
      </c>
      <c r="CQ34">
        <v>33</v>
      </c>
      <c r="CR34" t="s">
        <v>100</v>
      </c>
      <c r="CS34" t="s">
        <v>100</v>
      </c>
      <c r="CT34" t="s">
        <v>152</v>
      </c>
      <c r="CU34" t="s">
        <v>102</v>
      </c>
      <c r="CV34" t="s">
        <v>100</v>
      </c>
    </row>
    <row r="35" spans="1:100">
      <c r="A35" s="3" t="s">
        <v>2604</v>
      </c>
      <c r="B35" s="4" t="s">
        <v>2605</v>
      </c>
      <c r="C35">
        <v>2437.59923762469</v>
      </c>
      <c r="D35">
        <v>25917.1538690327</v>
      </c>
      <c r="E35">
        <f>-3.41027945313796</f>
        <v>-3.4102794531379601</v>
      </c>
      <c r="F35" s="5">
        <v>1.75641981782645E-31</v>
      </c>
      <c r="G35" t="s">
        <v>4</v>
      </c>
      <c r="H35">
        <v>2437.59923762469</v>
      </c>
      <c r="I35">
        <v>888.20927883060403</v>
      </c>
      <c r="J35">
        <v>1.4561827777540599</v>
      </c>
      <c r="K35" s="5">
        <v>1.28327925908895E-6</v>
      </c>
      <c r="L35" t="s">
        <v>4</v>
      </c>
      <c r="M35">
        <v>25917.1538690327</v>
      </c>
      <c r="N35">
        <v>888.20927883060403</v>
      </c>
      <c r="O35">
        <v>4.8664622308920196</v>
      </c>
      <c r="P35" s="5">
        <v>2.6683133241474401E-64</v>
      </c>
      <c r="Q35" t="s">
        <v>4</v>
      </c>
      <c r="R35" s="4" t="s">
        <v>87</v>
      </c>
      <c r="S35" t="s">
        <v>4</v>
      </c>
      <c r="T35" t="s">
        <v>2606</v>
      </c>
      <c r="U35" t="s">
        <v>2607</v>
      </c>
      <c r="V35" t="s">
        <v>2608</v>
      </c>
      <c r="W35" t="s">
        <v>203</v>
      </c>
      <c r="X35" t="s">
        <v>4</v>
      </c>
      <c r="Y35" t="s">
        <v>2609</v>
      </c>
      <c r="Z35" t="s">
        <v>2610</v>
      </c>
      <c r="AA35" t="s">
        <v>2611</v>
      </c>
      <c r="AB35" t="s">
        <v>4</v>
      </c>
      <c r="AC35" s="3" t="s">
        <v>2612</v>
      </c>
      <c r="AD35" t="s">
        <v>4</v>
      </c>
      <c r="AE35" t="s">
        <v>2613</v>
      </c>
      <c r="AF35" t="s">
        <v>2614</v>
      </c>
      <c r="AG35" t="s">
        <v>765</v>
      </c>
      <c r="AH35" t="s">
        <v>2615</v>
      </c>
      <c r="AU35" t="s">
        <v>112</v>
      </c>
      <c r="AV35" t="s">
        <v>2616</v>
      </c>
      <c r="AW35" t="s">
        <v>114</v>
      </c>
      <c r="AX35" t="s">
        <v>536</v>
      </c>
      <c r="AY35" t="s">
        <v>2617</v>
      </c>
      <c r="AZ35" t="s">
        <v>4</v>
      </c>
      <c r="BA35" s="3" t="s">
        <v>95</v>
      </c>
      <c r="BB35" s="6" t="s">
        <v>95</v>
      </c>
      <c r="BC35" s="3" t="s">
        <v>95</v>
      </c>
      <c r="BD35" t="s">
        <v>4</v>
      </c>
      <c r="BE35">
        <v>2923</v>
      </c>
      <c r="BF35" t="s">
        <v>97</v>
      </c>
      <c r="BG35">
        <v>100</v>
      </c>
      <c r="BH35">
        <v>100</v>
      </c>
      <c r="BI35">
        <v>97.454499999999996</v>
      </c>
      <c r="BJ35">
        <v>92</v>
      </c>
      <c r="BK35">
        <v>82.181799999999996</v>
      </c>
      <c r="BL35">
        <v>70.909099999999995</v>
      </c>
      <c r="BM35">
        <v>77.454499999999996</v>
      </c>
      <c r="BN35">
        <v>77.454499999999996</v>
      </c>
      <c r="BO35">
        <v>81.454499999999996</v>
      </c>
      <c r="BP35" t="s">
        <v>2618</v>
      </c>
      <c r="CK35">
        <v>4</v>
      </c>
      <c r="CL35" t="s">
        <v>4</v>
      </c>
      <c r="CM35" t="s">
        <v>98</v>
      </c>
      <c r="CN35" t="s">
        <v>98</v>
      </c>
      <c r="CO35" t="s">
        <v>99</v>
      </c>
      <c r="CP35" t="s">
        <v>100</v>
      </c>
      <c r="CQ35">
        <v>34</v>
      </c>
      <c r="CR35" t="s">
        <v>100</v>
      </c>
      <c r="CS35" s="7" t="s">
        <v>101</v>
      </c>
      <c r="CT35" t="s">
        <v>152</v>
      </c>
      <c r="CU35" t="s">
        <v>102</v>
      </c>
      <c r="CV35" t="s">
        <v>100</v>
      </c>
    </row>
    <row r="36" spans="1:100">
      <c r="A36" s="3" t="s">
        <v>2619</v>
      </c>
      <c r="B36" s="4" t="s">
        <v>2620</v>
      </c>
      <c r="C36">
        <v>3379.4349135814</v>
      </c>
      <c r="D36">
        <v>25006.8805486294</v>
      </c>
      <c r="E36">
        <f>-2.88737834009367</f>
        <v>-2.8873783400936701</v>
      </c>
      <c r="F36" s="5">
        <v>5.3684729924679396E-38</v>
      </c>
      <c r="G36" t="s">
        <v>4</v>
      </c>
      <c r="H36">
        <v>3379.4349135814</v>
      </c>
      <c r="I36">
        <v>2606.2525349195398</v>
      </c>
      <c r="J36">
        <v>0.37407390545892599</v>
      </c>
      <c r="K36">
        <v>0.12846463455138499</v>
      </c>
      <c r="L36" t="s">
        <v>4</v>
      </c>
      <c r="M36">
        <v>25006.8805486294</v>
      </c>
      <c r="N36">
        <v>2606.2525349195398</v>
      </c>
      <c r="O36">
        <v>3.2614522455525998</v>
      </c>
      <c r="P36" s="5">
        <v>1.99608581641139E-49</v>
      </c>
      <c r="Q36" t="s">
        <v>4</v>
      </c>
      <c r="R36" s="4" t="s">
        <v>87</v>
      </c>
      <c r="S36" t="s">
        <v>4</v>
      </c>
      <c r="T36" t="s">
        <v>2621</v>
      </c>
      <c r="U36" t="s">
        <v>2622</v>
      </c>
      <c r="V36" t="s">
        <v>2623</v>
      </c>
      <c r="W36" t="s">
        <v>328</v>
      </c>
      <c r="X36" t="s">
        <v>4</v>
      </c>
      <c r="Y36" t="s">
        <v>2624</v>
      </c>
      <c r="Z36" t="s">
        <v>2625</v>
      </c>
      <c r="AA36" t="s">
        <v>2626</v>
      </c>
      <c r="AB36" t="s">
        <v>4</v>
      </c>
      <c r="AC36" s="3" t="s">
        <v>2627</v>
      </c>
      <c r="AD36" t="s">
        <v>4</v>
      </c>
      <c r="AE36" t="s">
        <v>2628</v>
      </c>
      <c r="AF36" t="s">
        <v>834</v>
      </c>
      <c r="AG36" t="s">
        <v>2629</v>
      </c>
      <c r="AH36" t="s">
        <v>112</v>
      </c>
      <c r="AI36" t="s">
        <v>2630</v>
      </c>
      <c r="AJ36" t="s">
        <v>2631</v>
      </c>
      <c r="AL36" t="s">
        <v>2632</v>
      </c>
      <c r="AM36" t="s">
        <v>2633</v>
      </c>
      <c r="AN36" t="s">
        <v>2634</v>
      </c>
      <c r="AQ36" t="s">
        <v>2635</v>
      </c>
      <c r="AU36" t="s">
        <v>112</v>
      </c>
      <c r="AV36" t="s">
        <v>2636</v>
      </c>
      <c r="AW36" t="s">
        <v>114</v>
      </c>
      <c r="AX36" t="s">
        <v>536</v>
      </c>
      <c r="AY36" t="s">
        <v>2637</v>
      </c>
      <c r="AZ36" t="s">
        <v>4</v>
      </c>
      <c r="BA36" s="3" t="s">
        <v>95</v>
      </c>
      <c r="BB36" s="6" t="s">
        <v>95</v>
      </c>
      <c r="BC36" s="3" t="s">
        <v>95</v>
      </c>
      <c r="BD36" t="s">
        <v>4</v>
      </c>
      <c r="BE36">
        <v>8134</v>
      </c>
      <c r="BF36" t="s">
        <v>213</v>
      </c>
      <c r="BG36">
        <v>97.75</v>
      </c>
      <c r="BH36">
        <v>76.875</v>
      </c>
      <c r="BI36" t="s">
        <v>2638</v>
      </c>
      <c r="BJ36">
        <v>90.5</v>
      </c>
      <c r="BK36">
        <v>88.375</v>
      </c>
      <c r="BL36" t="s">
        <v>2639</v>
      </c>
      <c r="BM36">
        <v>87.625</v>
      </c>
      <c r="BN36">
        <v>91.75</v>
      </c>
      <c r="BO36">
        <v>84.375</v>
      </c>
      <c r="BP36" t="s">
        <v>2640</v>
      </c>
      <c r="BQ36">
        <v>34.875</v>
      </c>
      <c r="BR36">
        <v>24</v>
      </c>
      <c r="BS36">
        <v>28.5</v>
      </c>
      <c r="BT36" t="s">
        <v>2641</v>
      </c>
      <c r="BU36">
        <v>11.75</v>
      </c>
      <c r="BV36" t="s">
        <v>2642</v>
      </c>
      <c r="BW36">
        <v>49.375</v>
      </c>
      <c r="BX36">
        <v>50.625</v>
      </c>
      <c r="BZ36">
        <v>30.75</v>
      </c>
      <c r="CA36">
        <v>50</v>
      </c>
      <c r="CB36" t="s">
        <v>2643</v>
      </c>
      <c r="CC36">
        <v>14.25</v>
      </c>
      <c r="CD36">
        <v>33.625</v>
      </c>
      <c r="CE36">
        <v>26.375</v>
      </c>
      <c r="CF36">
        <v>38.5</v>
      </c>
      <c r="CG36">
        <v>38.125</v>
      </c>
      <c r="CH36">
        <v>37.75</v>
      </c>
      <c r="CI36">
        <v>37.875</v>
      </c>
      <c r="CK36">
        <v>8</v>
      </c>
      <c r="CL36" t="s">
        <v>4</v>
      </c>
      <c r="CM36" t="s">
        <v>2644</v>
      </c>
      <c r="CN36">
        <v>50</v>
      </c>
      <c r="CO36" t="s">
        <v>219</v>
      </c>
      <c r="CP36" t="s">
        <v>100</v>
      </c>
      <c r="CQ36">
        <v>35</v>
      </c>
      <c r="CR36" t="s">
        <v>100</v>
      </c>
      <c r="CS36" t="s">
        <v>100</v>
      </c>
      <c r="CT36" t="s">
        <v>152</v>
      </c>
      <c r="CU36" t="s">
        <v>102</v>
      </c>
      <c r="CV36" t="s">
        <v>2182</v>
      </c>
    </row>
    <row r="37" spans="1:100">
      <c r="A37" s="3" t="s">
        <v>2645</v>
      </c>
      <c r="B37" s="4" t="s">
        <v>2646</v>
      </c>
      <c r="C37">
        <v>137.40679211020199</v>
      </c>
      <c r="D37">
        <v>681.92525681540201</v>
      </c>
      <c r="E37">
        <f>-2.31094866267612</f>
        <v>-2.31094866267612</v>
      </c>
      <c r="F37" s="5">
        <v>2.0135443493335601E-7</v>
      </c>
      <c r="G37" t="s">
        <v>4</v>
      </c>
      <c r="H37">
        <v>137.40679211020199</v>
      </c>
      <c r="I37">
        <v>112.44547056875</v>
      </c>
      <c r="J37">
        <v>0.287536870848357</v>
      </c>
      <c r="K37">
        <v>0.56894926212863495</v>
      </c>
      <c r="L37" t="s">
        <v>4</v>
      </c>
      <c r="M37">
        <v>681.92525681540201</v>
      </c>
      <c r="N37">
        <v>112.44547056875</v>
      </c>
      <c r="O37">
        <v>2.5984855335244799</v>
      </c>
      <c r="P37" s="5">
        <v>2.4576032514615902E-9</v>
      </c>
      <c r="Q37" t="s">
        <v>4</v>
      </c>
      <c r="R37" s="4" t="s">
        <v>87</v>
      </c>
      <c r="S37" t="s">
        <v>4</v>
      </c>
      <c r="T37" t="s">
        <v>2243</v>
      </c>
      <c r="U37" t="s">
        <v>2244</v>
      </c>
      <c r="V37" t="s">
        <v>2245</v>
      </c>
      <c r="W37" t="s">
        <v>123</v>
      </c>
      <c r="X37" t="s">
        <v>4</v>
      </c>
      <c r="Y37" t="s">
        <v>2647</v>
      </c>
      <c r="Z37" t="s">
        <v>2648</v>
      </c>
      <c r="AA37" t="s">
        <v>2649</v>
      </c>
      <c r="AB37" t="s">
        <v>4</v>
      </c>
      <c r="AC37" s="3" t="s">
        <v>2650</v>
      </c>
      <c r="AD37" t="s">
        <v>4</v>
      </c>
      <c r="AE37" t="s">
        <v>2651</v>
      </c>
      <c r="AF37" t="s">
        <v>2652</v>
      </c>
      <c r="AG37" t="s">
        <v>2653</v>
      </c>
      <c r="AH37" t="s">
        <v>386</v>
      </c>
      <c r="AU37" t="s">
        <v>112</v>
      </c>
      <c r="AV37" t="s">
        <v>2654</v>
      </c>
      <c r="AW37" t="s">
        <v>114</v>
      </c>
      <c r="AX37" t="s">
        <v>144</v>
      </c>
      <c r="AY37" t="s">
        <v>2655</v>
      </c>
      <c r="AZ37" t="s">
        <v>4</v>
      </c>
      <c r="BA37" s="3" t="s">
        <v>95</v>
      </c>
      <c r="BB37" s="6" t="s">
        <v>95</v>
      </c>
      <c r="BC37" s="3" t="s">
        <v>95</v>
      </c>
      <c r="BD37" t="s">
        <v>4</v>
      </c>
      <c r="BE37">
        <v>8139</v>
      </c>
      <c r="BF37" t="s">
        <v>213</v>
      </c>
      <c r="BG37">
        <v>97.603800000000007</v>
      </c>
      <c r="BH37">
        <v>99.680499999999995</v>
      </c>
      <c r="BI37">
        <v>79.233199999999997</v>
      </c>
      <c r="BJ37">
        <v>63.578299999999999</v>
      </c>
      <c r="BK37">
        <v>71.245999999999995</v>
      </c>
      <c r="BL37">
        <v>68.849800000000002</v>
      </c>
      <c r="BM37">
        <v>69.169300000000007</v>
      </c>
      <c r="BN37">
        <v>69.009600000000006</v>
      </c>
      <c r="BO37">
        <v>57.987200000000001</v>
      </c>
      <c r="BP37">
        <v>18.3706</v>
      </c>
      <c r="BQ37">
        <v>22.3642</v>
      </c>
      <c r="BR37" t="s">
        <v>2656</v>
      </c>
      <c r="BT37">
        <v>6.8690100000000003</v>
      </c>
      <c r="BV37">
        <v>16.1342</v>
      </c>
      <c r="BX37">
        <v>18.051100000000002</v>
      </c>
      <c r="CB37">
        <v>4.7923299999999998</v>
      </c>
      <c r="CG37" t="s">
        <v>2657</v>
      </c>
      <c r="CH37" t="s">
        <v>2658</v>
      </c>
      <c r="CI37" t="s">
        <v>2659</v>
      </c>
      <c r="CK37">
        <v>8</v>
      </c>
      <c r="CL37" t="s">
        <v>4</v>
      </c>
      <c r="CM37" t="s">
        <v>98</v>
      </c>
      <c r="CN37" t="s">
        <v>98</v>
      </c>
      <c r="CO37" t="s">
        <v>99</v>
      </c>
      <c r="CP37" t="s">
        <v>100</v>
      </c>
      <c r="CQ37">
        <v>36</v>
      </c>
      <c r="CR37" t="s">
        <v>100</v>
      </c>
      <c r="CS37" t="s">
        <v>100</v>
      </c>
      <c r="CT37" t="s">
        <v>152</v>
      </c>
      <c r="CU37" t="s">
        <v>102</v>
      </c>
      <c r="CV37" t="s">
        <v>100</v>
      </c>
    </row>
    <row r="38" spans="1:100">
      <c r="A38" s="3" t="s">
        <v>2660</v>
      </c>
      <c r="B38" s="4" t="s">
        <v>2661</v>
      </c>
      <c r="C38">
        <v>1110.1982600245899</v>
      </c>
      <c r="D38">
        <v>15453.7816068827</v>
      </c>
      <c r="E38">
        <f>-3.79888457523126</f>
        <v>-3.7988845752312601</v>
      </c>
      <c r="F38" s="5">
        <v>3.1051079100166502E-15</v>
      </c>
      <c r="G38" t="s">
        <v>4</v>
      </c>
      <c r="H38">
        <v>1110.1982600245899</v>
      </c>
      <c r="I38">
        <v>622.88309758225103</v>
      </c>
      <c r="J38">
        <v>0.83464648569735</v>
      </c>
      <c r="K38">
        <v>0.107340232737618</v>
      </c>
      <c r="L38" t="s">
        <v>4</v>
      </c>
      <c r="M38">
        <v>15453.7816068827</v>
      </c>
      <c r="N38">
        <v>622.88309758225103</v>
      </c>
      <c r="O38">
        <v>4.6335310609286102</v>
      </c>
      <c r="P38" s="5">
        <v>6.3595207478459096E-23</v>
      </c>
      <c r="Q38" t="s">
        <v>4</v>
      </c>
      <c r="R38" s="4" t="s">
        <v>87</v>
      </c>
      <c r="S38" t="s">
        <v>4</v>
      </c>
      <c r="T38" t="s">
        <v>92</v>
      </c>
      <c r="U38" t="s">
        <v>92</v>
      </c>
      <c r="V38" t="s">
        <v>92</v>
      </c>
      <c r="W38" t="s">
        <v>92</v>
      </c>
      <c r="X38" t="s">
        <v>4</v>
      </c>
      <c r="Y38" t="s">
        <v>2662</v>
      </c>
      <c r="Z38" t="s">
        <v>2663</v>
      </c>
      <c r="AA38" t="s">
        <v>2664</v>
      </c>
      <c r="AB38" t="s">
        <v>4</v>
      </c>
      <c r="AC38" s="3" t="s">
        <v>93</v>
      </c>
      <c r="AD38" t="s">
        <v>4</v>
      </c>
      <c r="AE38" t="s">
        <v>2665</v>
      </c>
      <c r="AF38" t="s">
        <v>2666</v>
      </c>
      <c r="AG38" t="s">
        <v>2667</v>
      </c>
      <c r="AH38" t="s">
        <v>314</v>
      </c>
      <c r="AU38" t="s">
        <v>112</v>
      </c>
      <c r="AV38" t="s">
        <v>2668</v>
      </c>
      <c r="AW38" t="s">
        <v>114</v>
      </c>
      <c r="AX38" t="s">
        <v>2669</v>
      </c>
      <c r="AY38" t="s">
        <v>2670</v>
      </c>
      <c r="AZ38" t="s">
        <v>4</v>
      </c>
      <c r="BA38" s="3" t="s">
        <v>95</v>
      </c>
      <c r="BB38" s="6" t="s">
        <v>95</v>
      </c>
      <c r="BC38" s="3" t="s">
        <v>95</v>
      </c>
      <c r="BD38" t="s">
        <v>4</v>
      </c>
      <c r="BE38">
        <v>2255</v>
      </c>
      <c r="BF38" t="s">
        <v>148</v>
      </c>
      <c r="BG38">
        <v>80</v>
      </c>
      <c r="BH38">
        <v>35.172400000000003</v>
      </c>
      <c r="BI38">
        <v>82.069000000000003</v>
      </c>
      <c r="BJ38">
        <v>88.275899999999993</v>
      </c>
      <c r="BK38">
        <v>87.586200000000005</v>
      </c>
      <c r="BL38">
        <v>80</v>
      </c>
      <c r="BM38">
        <v>80</v>
      </c>
      <c r="BN38">
        <v>80</v>
      </c>
      <c r="BO38">
        <v>80.689700000000002</v>
      </c>
      <c r="CK38">
        <v>3</v>
      </c>
      <c r="CL38" t="s">
        <v>4</v>
      </c>
      <c r="CM38" t="s">
        <v>98</v>
      </c>
      <c r="CN38" t="s">
        <v>98</v>
      </c>
      <c r="CO38" t="s">
        <v>99</v>
      </c>
      <c r="CP38" t="s">
        <v>100</v>
      </c>
      <c r="CQ38">
        <v>37</v>
      </c>
      <c r="CR38" t="s">
        <v>100</v>
      </c>
      <c r="CS38" t="s">
        <v>100</v>
      </c>
      <c r="CT38" t="s">
        <v>152</v>
      </c>
      <c r="CU38" t="s">
        <v>102</v>
      </c>
      <c r="CV38" t="s">
        <v>100</v>
      </c>
    </row>
    <row r="39" spans="1:100">
      <c r="A39" s="3" t="s">
        <v>2671</v>
      </c>
      <c r="B39" s="4" t="s">
        <v>2672</v>
      </c>
      <c r="C39">
        <v>134.190341555326</v>
      </c>
      <c r="D39">
        <v>895.53579262949597</v>
      </c>
      <c r="E39">
        <f>-2.73690211732793</f>
        <v>-2.7369021173279302</v>
      </c>
      <c r="F39" s="5">
        <v>4.1730341247651701E-11</v>
      </c>
      <c r="G39" t="s">
        <v>4</v>
      </c>
      <c r="H39">
        <v>134.190341555326</v>
      </c>
      <c r="I39">
        <v>29.135280976398299</v>
      </c>
      <c r="J39">
        <v>2.2035297678198802</v>
      </c>
      <c r="K39" s="5">
        <v>1.44154483485039E-6</v>
      </c>
      <c r="L39" t="s">
        <v>4</v>
      </c>
      <c r="M39">
        <v>895.53579262949597</v>
      </c>
      <c r="N39">
        <v>29.135280976398299</v>
      </c>
      <c r="O39">
        <v>4.9404318851478104</v>
      </c>
      <c r="P39" s="5">
        <v>1.0812760021238001E-29</v>
      </c>
      <c r="Q39" t="s">
        <v>4</v>
      </c>
      <c r="R39" s="4" t="s">
        <v>87</v>
      </c>
      <c r="S39" t="s">
        <v>4</v>
      </c>
      <c r="T39" t="s">
        <v>2673</v>
      </c>
      <c r="U39" t="s">
        <v>2674</v>
      </c>
      <c r="V39" t="s">
        <v>2675</v>
      </c>
      <c r="W39" t="s">
        <v>1845</v>
      </c>
      <c r="X39" t="s">
        <v>4</v>
      </c>
      <c r="Y39" t="s">
        <v>2676</v>
      </c>
      <c r="Z39" t="s">
        <v>2677</v>
      </c>
      <c r="AA39" t="s">
        <v>2678</v>
      </c>
      <c r="AB39" t="s">
        <v>4</v>
      </c>
      <c r="AC39" s="3" t="s">
        <v>93</v>
      </c>
      <c r="AD39" t="s">
        <v>4</v>
      </c>
      <c r="AE39" t="s">
        <v>2679</v>
      </c>
      <c r="AF39" t="s">
        <v>2680</v>
      </c>
      <c r="AG39" t="s">
        <v>2681</v>
      </c>
      <c r="AH39" t="s">
        <v>112</v>
      </c>
      <c r="AL39" t="s">
        <v>2682</v>
      </c>
      <c r="AQ39" t="s">
        <v>641</v>
      </c>
      <c r="AR39" t="s">
        <v>2683</v>
      </c>
      <c r="AU39" t="s">
        <v>112</v>
      </c>
      <c r="AV39" t="s">
        <v>2684</v>
      </c>
      <c r="AW39" t="s">
        <v>114</v>
      </c>
      <c r="AX39" t="s">
        <v>909</v>
      </c>
      <c r="AY39" t="s">
        <v>2685</v>
      </c>
      <c r="AZ39" t="s">
        <v>4</v>
      </c>
      <c r="BA39" s="3" t="s">
        <v>95</v>
      </c>
      <c r="BB39" t="s">
        <v>96</v>
      </c>
      <c r="BC39" s="3" t="s">
        <v>95</v>
      </c>
      <c r="BD39" t="s">
        <v>4</v>
      </c>
      <c r="BE39">
        <v>3159</v>
      </c>
      <c r="BF39" t="s">
        <v>112</v>
      </c>
      <c r="BG39">
        <v>43.133499999999998</v>
      </c>
      <c r="BH39">
        <v>46.421700000000001</v>
      </c>
      <c r="BI39" t="s">
        <v>2686</v>
      </c>
      <c r="BJ39">
        <v>45.454500000000003</v>
      </c>
      <c r="BN39" t="s">
        <v>2687</v>
      </c>
      <c r="BO39" t="s">
        <v>2688</v>
      </c>
      <c r="BP39">
        <v>23.017399999999999</v>
      </c>
      <c r="BQ39">
        <v>32.881999999999998</v>
      </c>
      <c r="BR39">
        <v>13.7331</v>
      </c>
      <c r="BS39" t="s">
        <v>2689</v>
      </c>
      <c r="BT39" t="s">
        <v>2690</v>
      </c>
      <c r="BU39">
        <v>10.058</v>
      </c>
      <c r="BV39" t="s">
        <v>2691</v>
      </c>
      <c r="BW39">
        <v>33.655700000000003</v>
      </c>
      <c r="BX39">
        <v>33.075400000000002</v>
      </c>
      <c r="BY39">
        <v>14.5068</v>
      </c>
      <c r="BZ39">
        <v>6.1895600000000002</v>
      </c>
      <c r="CA39">
        <v>32.1083</v>
      </c>
      <c r="CK39">
        <v>5</v>
      </c>
      <c r="CL39" t="s">
        <v>4</v>
      </c>
      <c r="CM39" t="s">
        <v>2692</v>
      </c>
      <c r="CN39" t="s">
        <v>2693</v>
      </c>
      <c r="CO39" t="s">
        <v>99</v>
      </c>
      <c r="CP39" t="s">
        <v>100</v>
      </c>
      <c r="CQ39">
        <v>38</v>
      </c>
      <c r="CR39" t="s">
        <v>100</v>
      </c>
      <c r="CS39" t="s">
        <v>101</v>
      </c>
      <c r="CT39" t="s">
        <v>152</v>
      </c>
      <c r="CU39" t="s">
        <v>102</v>
      </c>
      <c r="CV39" t="s">
        <v>100</v>
      </c>
    </row>
    <row r="40" spans="1:100">
      <c r="A40" s="3" t="s">
        <v>2694</v>
      </c>
      <c r="B40" s="4" t="s">
        <v>2695</v>
      </c>
      <c r="C40">
        <v>367.79048969508102</v>
      </c>
      <c r="D40">
        <v>2831.9945916704501</v>
      </c>
      <c r="E40">
        <f>-2.94392884073393</f>
        <v>-2.9439288407339301</v>
      </c>
      <c r="F40" s="5">
        <v>5.6807493025000105E-35</v>
      </c>
      <c r="G40" t="s">
        <v>4</v>
      </c>
      <c r="H40">
        <v>367.79048969508102</v>
      </c>
      <c r="I40">
        <v>449.766828811518</v>
      </c>
      <c r="J40">
        <f>0.288539541584422</f>
        <v>0.28853954158442202</v>
      </c>
      <c r="K40">
        <v>0.28639185105182002</v>
      </c>
      <c r="L40" t="s">
        <v>4</v>
      </c>
      <c r="M40">
        <v>2831.9945916704501</v>
      </c>
      <c r="N40">
        <v>449.766828811518</v>
      </c>
      <c r="O40">
        <v>2.6553892991495101</v>
      </c>
      <c r="P40" s="5">
        <v>3.91421566793613E-29</v>
      </c>
      <c r="Q40" t="s">
        <v>4</v>
      </c>
      <c r="R40" s="4" t="s">
        <v>87</v>
      </c>
      <c r="S40" t="s">
        <v>4</v>
      </c>
      <c r="T40" t="s">
        <v>88</v>
      </c>
      <c r="U40" t="s">
        <v>89</v>
      </c>
      <c r="V40" t="s">
        <v>90</v>
      </c>
      <c r="W40" t="s">
        <v>91</v>
      </c>
      <c r="X40" t="s">
        <v>4</v>
      </c>
      <c r="Y40" t="s">
        <v>92</v>
      </c>
      <c r="Z40" t="s">
        <v>92</v>
      </c>
      <c r="AA40" t="s">
        <v>92</v>
      </c>
      <c r="AB40" t="s">
        <v>4</v>
      </c>
      <c r="AC40" s="3" t="s">
        <v>93</v>
      </c>
      <c r="AD40" t="s">
        <v>4</v>
      </c>
      <c r="AE40" t="s">
        <v>2696</v>
      </c>
      <c r="AF40" t="s">
        <v>2697</v>
      </c>
      <c r="AG40" t="s">
        <v>2698</v>
      </c>
      <c r="AH40" t="s">
        <v>638</v>
      </c>
      <c r="AU40" t="s">
        <v>112</v>
      </c>
      <c r="AV40" t="s">
        <v>2699</v>
      </c>
      <c r="AW40" t="s">
        <v>114</v>
      </c>
      <c r="AZ40" t="s">
        <v>4</v>
      </c>
      <c r="BA40" s="3" t="s">
        <v>95</v>
      </c>
      <c r="BB40" t="s">
        <v>96</v>
      </c>
      <c r="BC40" s="3" t="s">
        <v>95</v>
      </c>
      <c r="BD40" t="s">
        <v>4</v>
      </c>
      <c r="BE40">
        <v>2951</v>
      </c>
      <c r="BF40" t="s">
        <v>97</v>
      </c>
      <c r="BG40">
        <v>93.156300000000002</v>
      </c>
      <c r="BH40">
        <v>32.482100000000003</v>
      </c>
      <c r="BI40">
        <v>84.576099999999997</v>
      </c>
      <c r="BJ40">
        <v>59.856999999999999</v>
      </c>
      <c r="BK40">
        <v>49.540300000000002</v>
      </c>
      <c r="BL40" t="s">
        <v>2700</v>
      </c>
      <c r="BM40">
        <v>62.410600000000002</v>
      </c>
      <c r="BN40">
        <v>62.512799999999999</v>
      </c>
      <c r="BP40">
        <v>20.020399999999999</v>
      </c>
      <c r="CK40">
        <v>4</v>
      </c>
      <c r="CL40" t="s">
        <v>4</v>
      </c>
      <c r="CM40" t="s">
        <v>98</v>
      </c>
      <c r="CN40" t="s">
        <v>98</v>
      </c>
      <c r="CO40" t="s">
        <v>99</v>
      </c>
      <c r="CP40" t="s">
        <v>100</v>
      </c>
      <c r="CQ40">
        <v>39</v>
      </c>
      <c r="CR40" t="s">
        <v>100</v>
      </c>
      <c r="CS40" t="s">
        <v>100</v>
      </c>
      <c r="CT40" t="s">
        <v>152</v>
      </c>
      <c r="CU40" t="s">
        <v>102</v>
      </c>
      <c r="CV40" t="s">
        <v>100</v>
      </c>
    </row>
    <row r="41" spans="1:100">
      <c r="A41" s="3" t="s">
        <v>2701</v>
      </c>
      <c r="B41" s="4" t="s">
        <v>2702</v>
      </c>
      <c r="C41">
        <v>149.743139106239</v>
      </c>
      <c r="D41">
        <v>2944.6844960369799</v>
      </c>
      <c r="E41">
        <f>-4.29693896173164</f>
        <v>-4.29693896173164</v>
      </c>
      <c r="F41" s="5">
        <v>1.1262282803671799E-11</v>
      </c>
      <c r="G41" t="s">
        <v>4</v>
      </c>
      <c r="H41">
        <v>149.743139106239</v>
      </c>
      <c r="I41">
        <v>100.172960330555</v>
      </c>
      <c r="J41">
        <v>0.58494857235393105</v>
      </c>
      <c r="K41">
        <v>0.40827955244289599</v>
      </c>
      <c r="L41" t="s">
        <v>4</v>
      </c>
      <c r="M41">
        <v>2944.6844960369799</v>
      </c>
      <c r="N41">
        <v>100.172960330555</v>
      </c>
      <c r="O41">
        <v>4.8818875340855703</v>
      </c>
      <c r="P41" s="5">
        <v>3.6974386171077896E-15</v>
      </c>
      <c r="Q41" t="s">
        <v>4</v>
      </c>
      <c r="R41" s="4" t="s">
        <v>87</v>
      </c>
      <c r="S41" t="s">
        <v>4</v>
      </c>
      <c r="T41" t="s">
        <v>2243</v>
      </c>
      <c r="U41" t="s">
        <v>2244</v>
      </c>
      <c r="V41" t="s">
        <v>2245</v>
      </c>
      <c r="W41" t="s">
        <v>123</v>
      </c>
      <c r="X41" t="s">
        <v>4</v>
      </c>
      <c r="Y41" t="s">
        <v>2703</v>
      </c>
      <c r="Z41" t="s">
        <v>2704</v>
      </c>
      <c r="AA41" t="s">
        <v>2705</v>
      </c>
      <c r="AB41" t="s">
        <v>4</v>
      </c>
      <c r="AC41" s="3" t="s">
        <v>2706</v>
      </c>
      <c r="AD41" t="s">
        <v>4</v>
      </c>
      <c r="AE41" t="s">
        <v>2707</v>
      </c>
      <c r="AF41" t="s">
        <v>2708</v>
      </c>
      <c r="AG41" t="s">
        <v>2709</v>
      </c>
      <c r="AH41" t="s">
        <v>112</v>
      </c>
      <c r="AU41" t="s">
        <v>112</v>
      </c>
      <c r="AV41" t="s">
        <v>2710</v>
      </c>
      <c r="AW41" t="s">
        <v>114</v>
      </c>
      <c r="AX41" t="s">
        <v>144</v>
      </c>
      <c r="AY41" t="s">
        <v>2255</v>
      </c>
      <c r="AZ41" t="s">
        <v>4</v>
      </c>
      <c r="BA41" s="3" t="s">
        <v>95</v>
      </c>
      <c r="BB41" s="6" t="s">
        <v>95</v>
      </c>
      <c r="BC41" s="3" t="s">
        <v>95</v>
      </c>
      <c r="BD41" t="s">
        <v>4</v>
      </c>
      <c r="BE41">
        <v>10357</v>
      </c>
      <c r="BF41" t="s">
        <v>169</v>
      </c>
      <c r="BG41">
        <v>25.252500000000001</v>
      </c>
      <c r="BH41">
        <v>60.353499999999997</v>
      </c>
      <c r="BI41">
        <v>92.6768</v>
      </c>
      <c r="BJ41">
        <v>61.1111</v>
      </c>
      <c r="BO41">
        <v>45.201999999999998</v>
      </c>
      <c r="CB41">
        <v>27.2727</v>
      </c>
      <c r="CC41">
        <v>11.3636</v>
      </c>
      <c r="CD41">
        <v>26.5152</v>
      </c>
      <c r="CE41">
        <v>26.010100000000001</v>
      </c>
      <c r="CF41">
        <v>24.747499999999999</v>
      </c>
      <c r="CG41">
        <v>28.0303</v>
      </c>
      <c r="CH41">
        <v>28.0303</v>
      </c>
      <c r="CI41">
        <v>28.7879</v>
      </c>
      <c r="CJ41">
        <v>20.959599999999998</v>
      </c>
      <c r="CK41">
        <v>9</v>
      </c>
      <c r="CL41" t="s">
        <v>4</v>
      </c>
      <c r="CM41" t="s">
        <v>98</v>
      </c>
      <c r="CN41" t="s">
        <v>98</v>
      </c>
      <c r="CO41" t="s">
        <v>99</v>
      </c>
      <c r="CP41" t="s">
        <v>100</v>
      </c>
      <c r="CQ41">
        <v>40</v>
      </c>
      <c r="CR41" t="s">
        <v>100</v>
      </c>
      <c r="CS41" t="s">
        <v>100</v>
      </c>
      <c r="CT41" t="s">
        <v>152</v>
      </c>
      <c r="CU41" t="s">
        <v>102</v>
      </c>
      <c r="CV41" t="s">
        <v>100</v>
      </c>
    </row>
    <row r="42" spans="1:100">
      <c r="A42" s="3" t="s">
        <v>2711</v>
      </c>
      <c r="B42" s="4" t="s">
        <v>2712</v>
      </c>
      <c r="C42">
        <v>28.8237498193905</v>
      </c>
      <c r="D42">
        <v>198.56872701819501</v>
      </c>
      <c r="E42">
        <f>-2.78203846445908</f>
        <v>-2.7820384644590801</v>
      </c>
      <c r="F42" s="5">
        <v>9.1263499257503093E-6</v>
      </c>
      <c r="G42" t="s">
        <v>4</v>
      </c>
      <c r="H42">
        <v>28.8237498193905</v>
      </c>
      <c r="I42">
        <v>8.4516169389554996</v>
      </c>
      <c r="J42">
        <v>1.7959931669656399</v>
      </c>
      <c r="K42">
        <v>1.45990119805276E-2</v>
      </c>
      <c r="L42" t="s">
        <v>4</v>
      </c>
      <c r="M42">
        <v>198.56872701819501</v>
      </c>
      <c r="N42">
        <v>8.4516169389554996</v>
      </c>
      <c r="O42">
        <v>4.5780316314247296</v>
      </c>
      <c r="P42" s="5">
        <v>1.6477494519466299E-11</v>
      </c>
      <c r="Q42" t="s">
        <v>4</v>
      </c>
      <c r="R42" s="4" t="s">
        <v>87</v>
      </c>
      <c r="S42" t="s">
        <v>4</v>
      </c>
      <c r="T42" t="s">
        <v>92</v>
      </c>
      <c r="U42" t="s">
        <v>92</v>
      </c>
      <c r="V42" t="s">
        <v>92</v>
      </c>
      <c r="W42" t="s">
        <v>92</v>
      </c>
      <c r="X42" t="s">
        <v>4</v>
      </c>
      <c r="Y42" t="s">
        <v>92</v>
      </c>
      <c r="Z42" t="s">
        <v>92</v>
      </c>
      <c r="AA42" t="s">
        <v>92</v>
      </c>
      <c r="AB42" t="s">
        <v>4</v>
      </c>
      <c r="AC42" s="3" t="s">
        <v>93</v>
      </c>
      <c r="AD42" t="s">
        <v>4</v>
      </c>
      <c r="AE42" s="4" t="s">
        <v>94</v>
      </c>
      <c r="AZ42" t="s">
        <v>4</v>
      </c>
      <c r="BA42" s="3" t="s">
        <v>95</v>
      </c>
      <c r="BB42" s="6" t="s">
        <v>95</v>
      </c>
      <c r="BC42" s="3" t="s">
        <v>95</v>
      </c>
      <c r="BD42" t="s">
        <v>4</v>
      </c>
      <c r="BE42">
        <v>1453</v>
      </c>
      <c r="BF42" t="s">
        <v>151</v>
      </c>
      <c r="BH42">
        <v>100</v>
      </c>
      <c r="BI42">
        <v>83.695700000000002</v>
      </c>
      <c r="BJ42">
        <v>65.217399999999998</v>
      </c>
      <c r="BK42">
        <v>55.434800000000003</v>
      </c>
      <c r="BN42">
        <v>46.739100000000001</v>
      </c>
      <c r="CK42">
        <v>2</v>
      </c>
      <c r="CL42" t="s">
        <v>4</v>
      </c>
      <c r="CM42" t="s">
        <v>98</v>
      </c>
      <c r="CN42" t="s">
        <v>98</v>
      </c>
      <c r="CO42" t="s">
        <v>99</v>
      </c>
      <c r="CP42" t="s">
        <v>100</v>
      </c>
      <c r="CQ42">
        <v>41</v>
      </c>
      <c r="CR42" t="s">
        <v>100</v>
      </c>
      <c r="CS42" s="7" t="s">
        <v>101</v>
      </c>
      <c r="CT42" t="s">
        <v>152</v>
      </c>
      <c r="CU42" t="s">
        <v>102</v>
      </c>
      <c r="CV42" t="s">
        <v>100</v>
      </c>
    </row>
    <row r="43" spans="1:100">
      <c r="A43" s="3" t="s">
        <v>2713</v>
      </c>
      <c r="B43" s="4" t="s">
        <v>2714</v>
      </c>
      <c r="C43">
        <v>119.707519570667</v>
      </c>
      <c r="D43">
        <v>1041.19823339408</v>
      </c>
      <c r="E43">
        <f>-3.11896880015995</f>
        <v>-3.11896880015995</v>
      </c>
      <c r="F43" s="5">
        <v>1.7740469803944999E-12</v>
      </c>
      <c r="G43" t="s">
        <v>4</v>
      </c>
      <c r="H43">
        <v>119.707519570667</v>
      </c>
      <c r="I43">
        <v>53.997691722759598</v>
      </c>
      <c r="J43">
        <v>1.1626829511437999</v>
      </c>
      <c r="K43">
        <v>1.6276577212188399E-2</v>
      </c>
      <c r="L43" t="s">
        <v>4</v>
      </c>
      <c r="M43">
        <v>1041.19823339408</v>
      </c>
      <c r="N43">
        <v>53.997691722759598</v>
      </c>
      <c r="O43">
        <v>4.2816517513037597</v>
      </c>
      <c r="P43" s="5">
        <v>7.3940133470944598E-22</v>
      </c>
      <c r="Q43" t="s">
        <v>4</v>
      </c>
      <c r="R43" s="4" t="s">
        <v>87</v>
      </c>
      <c r="S43" t="s">
        <v>4</v>
      </c>
      <c r="T43" t="s">
        <v>88</v>
      </c>
      <c r="U43" t="s">
        <v>89</v>
      </c>
      <c r="V43" t="s">
        <v>90</v>
      </c>
      <c r="W43" t="s">
        <v>91</v>
      </c>
      <c r="X43" t="s">
        <v>4</v>
      </c>
      <c r="Y43" t="s">
        <v>2715</v>
      </c>
      <c r="Z43" t="s">
        <v>2716</v>
      </c>
      <c r="AA43" t="s">
        <v>2717</v>
      </c>
      <c r="AB43" t="s">
        <v>4</v>
      </c>
      <c r="AC43" s="3" t="s">
        <v>93</v>
      </c>
      <c r="AD43" t="s">
        <v>4</v>
      </c>
      <c r="AE43" s="4" t="s">
        <v>94</v>
      </c>
      <c r="AZ43" t="s">
        <v>4</v>
      </c>
      <c r="BA43" s="3" t="s">
        <v>95</v>
      </c>
      <c r="BB43" t="s">
        <v>96</v>
      </c>
      <c r="BC43" s="3" t="s">
        <v>95</v>
      </c>
      <c r="BD43" t="s">
        <v>4</v>
      </c>
      <c r="BE43">
        <v>2272</v>
      </c>
      <c r="BF43" t="s">
        <v>148</v>
      </c>
      <c r="BG43">
        <v>74.094700000000003</v>
      </c>
      <c r="BH43">
        <v>100</v>
      </c>
      <c r="BI43">
        <v>77.994399999999999</v>
      </c>
      <c r="BJ43">
        <v>42.618400000000001</v>
      </c>
      <c r="BK43">
        <v>29.526499999999999</v>
      </c>
      <c r="BL43">
        <v>32.311999999999998</v>
      </c>
      <c r="BM43">
        <v>28.412299999999998</v>
      </c>
      <c r="BN43">
        <v>33.704700000000003</v>
      </c>
      <c r="BO43">
        <v>35.097499999999997</v>
      </c>
      <c r="CK43">
        <v>3</v>
      </c>
      <c r="CL43" t="s">
        <v>4</v>
      </c>
      <c r="CM43" t="s">
        <v>98</v>
      </c>
      <c r="CN43" t="s">
        <v>98</v>
      </c>
      <c r="CO43" t="s">
        <v>99</v>
      </c>
      <c r="CP43" t="s">
        <v>100</v>
      </c>
      <c r="CQ43">
        <v>42</v>
      </c>
      <c r="CR43" t="s">
        <v>100</v>
      </c>
      <c r="CS43" s="7" t="s">
        <v>101</v>
      </c>
      <c r="CT43" t="s">
        <v>152</v>
      </c>
      <c r="CU43" t="s">
        <v>102</v>
      </c>
      <c r="CV43" t="s">
        <v>100</v>
      </c>
    </row>
    <row r="44" spans="1:100">
      <c r="A44" s="3" t="s">
        <v>2718</v>
      </c>
      <c r="B44" s="4" t="s">
        <v>2719</v>
      </c>
      <c r="C44">
        <v>67.173679945575699</v>
      </c>
      <c r="D44">
        <v>740.90525703593903</v>
      </c>
      <c r="E44">
        <f>-3.46190131273257</f>
        <v>-3.4619013127325702</v>
      </c>
      <c r="F44" s="5">
        <v>4.3795706230379299E-7</v>
      </c>
      <c r="G44" t="s">
        <v>4</v>
      </c>
      <c r="H44">
        <v>67.173679945575699</v>
      </c>
      <c r="I44">
        <v>34.0960771500297</v>
      </c>
      <c r="J44">
        <v>1.00277904012542</v>
      </c>
      <c r="K44">
        <v>0.18066381925005401</v>
      </c>
      <c r="L44" t="s">
        <v>4</v>
      </c>
      <c r="M44">
        <v>740.90525703593903</v>
      </c>
      <c r="N44">
        <v>34.0960771500297</v>
      </c>
      <c r="O44">
        <v>4.4646803528580001</v>
      </c>
      <c r="P44" s="5">
        <v>3.9546396571633097E-11</v>
      </c>
      <c r="Q44" t="s">
        <v>4</v>
      </c>
      <c r="R44" s="4" t="s">
        <v>87</v>
      </c>
      <c r="S44" t="s">
        <v>4</v>
      </c>
      <c r="T44" t="s">
        <v>92</v>
      </c>
      <c r="U44" t="s">
        <v>92</v>
      </c>
      <c r="V44" t="s">
        <v>92</v>
      </c>
      <c r="W44" t="s">
        <v>92</v>
      </c>
      <c r="X44" t="s">
        <v>4</v>
      </c>
      <c r="Y44" t="s">
        <v>92</v>
      </c>
      <c r="Z44" t="s">
        <v>92</v>
      </c>
      <c r="AA44" t="s">
        <v>92</v>
      </c>
      <c r="AB44" t="s">
        <v>4</v>
      </c>
      <c r="AC44" s="3" t="s">
        <v>93</v>
      </c>
      <c r="AD44" t="s">
        <v>4</v>
      </c>
      <c r="AE44" s="4" t="s">
        <v>94</v>
      </c>
      <c r="AZ44" t="s">
        <v>4</v>
      </c>
      <c r="BA44" s="3" t="s">
        <v>95</v>
      </c>
      <c r="BB44" s="6" t="s">
        <v>95</v>
      </c>
      <c r="BC44" s="3" t="s">
        <v>95</v>
      </c>
      <c r="BD44" t="s">
        <v>4</v>
      </c>
      <c r="BE44">
        <v>1457</v>
      </c>
      <c r="BF44" t="s">
        <v>151</v>
      </c>
      <c r="BG44">
        <v>96.527799999999999</v>
      </c>
      <c r="BH44">
        <v>99.652799999999999</v>
      </c>
      <c r="BI44">
        <v>72.569400000000002</v>
      </c>
      <c r="BJ44" t="s">
        <v>2720</v>
      </c>
      <c r="BK44">
        <v>12.152799999999999</v>
      </c>
      <c r="CK44">
        <v>2</v>
      </c>
      <c r="CL44" t="s">
        <v>4</v>
      </c>
      <c r="CM44" t="s">
        <v>98</v>
      </c>
      <c r="CN44" t="s">
        <v>98</v>
      </c>
      <c r="CO44" t="s">
        <v>99</v>
      </c>
      <c r="CP44" t="s">
        <v>100</v>
      </c>
      <c r="CQ44">
        <v>43</v>
      </c>
      <c r="CR44" t="s">
        <v>100</v>
      </c>
      <c r="CS44" t="s">
        <v>100</v>
      </c>
      <c r="CT44" t="s">
        <v>152</v>
      </c>
      <c r="CU44" t="s">
        <v>102</v>
      </c>
      <c r="CV44" t="s">
        <v>100</v>
      </c>
    </row>
    <row r="45" spans="1:100">
      <c r="A45" s="3" t="s">
        <v>2721</v>
      </c>
      <c r="B45" s="4" t="s">
        <v>2722</v>
      </c>
      <c r="C45">
        <v>173.952835878743</v>
      </c>
      <c r="D45">
        <v>1592.22741634057</v>
      </c>
      <c r="E45">
        <f>-3.19338200544212</f>
        <v>-3.1933820054421198</v>
      </c>
      <c r="F45" s="5">
        <v>3.8956071744213102E-23</v>
      </c>
      <c r="G45" t="s">
        <v>4</v>
      </c>
      <c r="H45">
        <v>173.952835878743</v>
      </c>
      <c r="I45">
        <v>184.061800747381</v>
      </c>
      <c r="J45">
        <f>0.0819052840799752</f>
        <v>8.1905284079975202E-2</v>
      </c>
      <c r="K45">
        <v>0.83638264885178903</v>
      </c>
      <c r="L45" t="s">
        <v>4</v>
      </c>
      <c r="M45">
        <v>1592.22741634057</v>
      </c>
      <c r="N45">
        <v>184.061800747381</v>
      </c>
      <c r="O45">
        <v>3.1114767213621501</v>
      </c>
      <c r="P45" s="5">
        <v>3.1110241867242202E-22</v>
      </c>
      <c r="Q45" t="s">
        <v>4</v>
      </c>
      <c r="R45" s="4" t="s">
        <v>87</v>
      </c>
      <c r="S45" t="s">
        <v>4</v>
      </c>
      <c r="T45" t="s">
        <v>88</v>
      </c>
      <c r="U45" t="s">
        <v>89</v>
      </c>
      <c r="V45" t="s">
        <v>90</v>
      </c>
      <c r="W45" t="s">
        <v>91</v>
      </c>
      <c r="X45" t="s">
        <v>4</v>
      </c>
      <c r="Y45" t="s">
        <v>486</v>
      </c>
      <c r="Z45" t="s">
        <v>487</v>
      </c>
      <c r="AA45" t="s">
        <v>488</v>
      </c>
      <c r="AB45" t="s">
        <v>4</v>
      </c>
      <c r="AC45" s="3" t="s">
        <v>93</v>
      </c>
      <c r="AD45" t="s">
        <v>4</v>
      </c>
      <c r="AE45" t="s">
        <v>2723</v>
      </c>
      <c r="AF45" t="s">
        <v>2724</v>
      </c>
      <c r="AG45" t="s">
        <v>2725</v>
      </c>
      <c r="AH45" t="s">
        <v>386</v>
      </c>
      <c r="AU45" t="s">
        <v>112</v>
      </c>
      <c r="AV45" t="s">
        <v>2726</v>
      </c>
      <c r="AW45" t="s">
        <v>114</v>
      </c>
      <c r="AX45" t="s">
        <v>536</v>
      </c>
      <c r="AY45" t="s">
        <v>2727</v>
      </c>
      <c r="AZ45" t="s">
        <v>4</v>
      </c>
      <c r="BA45" s="3" t="s">
        <v>95</v>
      </c>
      <c r="BB45" t="s">
        <v>96</v>
      </c>
      <c r="BC45" s="3" t="s">
        <v>95</v>
      </c>
      <c r="BD45" t="s">
        <v>4</v>
      </c>
      <c r="BE45">
        <v>2276</v>
      </c>
      <c r="BF45" t="s">
        <v>148</v>
      </c>
      <c r="BG45" t="s">
        <v>2728</v>
      </c>
      <c r="BH45">
        <v>17.1296</v>
      </c>
      <c r="BI45">
        <v>60.648099999999999</v>
      </c>
      <c r="BJ45">
        <v>46.527799999999999</v>
      </c>
      <c r="BK45">
        <v>43.981499999999997</v>
      </c>
      <c r="BL45">
        <v>38.657400000000003</v>
      </c>
      <c r="BM45">
        <v>48.842599999999997</v>
      </c>
      <c r="BN45">
        <v>65.740700000000004</v>
      </c>
      <c r="BO45">
        <v>50</v>
      </c>
      <c r="CK45">
        <v>3</v>
      </c>
      <c r="CL45" t="s">
        <v>4</v>
      </c>
      <c r="CM45" t="s">
        <v>98</v>
      </c>
      <c r="CN45" t="s">
        <v>98</v>
      </c>
      <c r="CO45" t="s">
        <v>99</v>
      </c>
      <c r="CP45" t="s">
        <v>100</v>
      </c>
      <c r="CQ45">
        <v>44</v>
      </c>
      <c r="CR45" t="s">
        <v>100</v>
      </c>
      <c r="CS45" t="s">
        <v>100</v>
      </c>
      <c r="CT45" t="s">
        <v>152</v>
      </c>
      <c r="CU45" t="s">
        <v>102</v>
      </c>
      <c r="CV45" t="s">
        <v>100</v>
      </c>
    </row>
    <row r="46" spans="1:100">
      <c r="A46" s="3" t="s">
        <v>2729</v>
      </c>
      <c r="B46" s="4" t="s">
        <v>2730</v>
      </c>
      <c r="C46">
        <v>234.45660022403899</v>
      </c>
      <c r="D46">
        <v>1376.0379322742399</v>
      </c>
      <c r="E46">
        <f>-2.55088763667927</f>
        <v>-2.5508876366792701</v>
      </c>
      <c r="F46" s="5">
        <v>1.3923135221025001E-19</v>
      </c>
      <c r="G46" t="s">
        <v>4</v>
      </c>
      <c r="H46">
        <v>234.45660022403899</v>
      </c>
      <c r="I46">
        <v>62.228351496733801</v>
      </c>
      <c r="J46">
        <v>1.90943871643184</v>
      </c>
      <c r="K46" s="5">
        <v>7.5647063163893099E-10</v>
      </c>
      <c r="L46" t="s">
        <v>4</v>
      </c>
      <c r="M46">
        <v>1376.0379322742399</v>
      </c>
      <c r="N46">
        <v>62.228351496733801</v>
      </c>
      <c r="O46">
        <v>4.4603263531110997</v>
      </c>
      <c r="P46" s="5">
        <v>1.4354223566631301E-50</v>
      </c>
      <c r="Q46" t="s">
        <v>4</v>
      </c>
      <c r="R46" s="4" t="s">
        <v>87</v>
      </c>
      <c r="S46" t="s">
        <v>4</v>
      </c>
      <c r="T46" t="s">
        <v>92</v>
      </c>
      <c r="U46" t="s">
        <v>92</v>
      </c>
      <c r="V46" t="s">
        <v>92</v>
      </c>
      <c r="W46" t="s">
        <v>92</v>
      </c>
      <c r="X46" t="s">
        <v>4</v>
      </c>
      <c r="Y46" t="s">
        <v>2731</v>
      </c>
      <c r="Z46" t="s">
        <v>2732</v>
      </c>
      <c r="AA46" t="s">
        <v>2733</v>
      </c>
      <c r="AB46" t="s">
        <v>4</v>
      </c>
      <c r="AC46" s="3" t="s">
        <v>2734</v>
      </c>
      <c r="AD46" t="s">
        <v>4</v>
      </c>
      <c r="AE46" t="s">
        <v>2735</v>
      </c>
      <c r="AF46" t="s">
        <v>2736</v>
      </c>
      <c r="AG46" t="s">
        <v>2737</v>
      </c>
      <c r="AH46" t="s">
        <v>112</v>
      </c>
      <c r="AK46" t="s">
        <v>2738</v>
      </c>
      <c r="AL46" t="s">
        <v>2739</v>
      </c>
      <c r="AM46" t="s">
        <v>2740</v>
      </c>
      <c r="AN46" t="s">
        <v>2741</v>
      </c>
      <c r="AO46" t="s">
        <v>2742</v>
      </c>
      <c r="AP46" t="s">
        <v>2743</v>
      </c>
      <c r="AQ46" t="s">
        <v>2744</v>
      </c>
      <c r="AU46" t="s">
        <v>112</v>
      </c>
      <c r="AV46" t="s">
        <v>2745</v>
      </c>
      <c r="AW46" t="s">
        <v>114</v>
      </c>
      <c r="AX46" t="s">
        <v>2746</v>
      </c>
      <c r="AY46" t="s">
        <v>2747</v>
      </c>
      <c r="AZ46" t="s">
        <v>4</v>
      </c>
      <c r="BA46" s="3" t="s">
        <v>95</v>
      </c>
      <c r="BB46" s="6" t="s">
        <v>95</v>
      </c>
      <c r="BC46" s="3" t="s">
        <v>95</v>
      </c>
      <c r="BD46" t="s">
        <v>4</v>
      </c>
      <c r="BE46">
        <v>10362</v>
      </c>
      <c r="BF46" t="s">
        <v>169</v>
      </c>
      <c r="BG46">
        <v>65.811999999999998</v>
      </c>
      <c r="BI46">
        <v>70.085499999999996</v>
      </c>
      <c r="BJ46">
        <v>69.658100000000005</v>
      </c>
      <c r="BK46">
        <v>68.376099999999994</v>
      </c>
      <c r="BL46" t="s">
        <v>2748</v>
      </c>
      <c r="BM46">
        <v>68.376099999999994</v>
      </c>
      <c r="BN46">
        <v>67.5214</v>
      </c>
      <c r="BO46">
        <v>68.803399999999996</v>
      </c>
      <c r="BP46">
        <v>60.683799999999998</v>
      </c>
      <c r="BQ46">
        <v>55.1282</v>
      </c>
      <c r="BR46">
        <v>58.546999999999997</v>
      </c>
      <c r="BS46">
        <v>58.546999999999997</v>
      </c>
      <c r="BT46">
        <v>52.136800000000001</v>
      </c>
      <c r="BU46">
        <v>57.265000000000001</v>
      </c>
      <c r="BV46" t="s">
        <v>2749</v>
      </c>
      <c r="BW46">
        <v>55.1282</v>
      </c>
      <c r="BX46" t="s">
        <v>2750</v>
      </c>
      <c r="BZ46">
        <v>59.401699999999998</v>
      </c>
      <c r="CA46">
        <v>55.555599999999998</v>
      </c>
      <c r="CC46">
        <v>51.709400000000002</v>
      </c>
      <c r="CD46" t="s">
        <v>2751</v>
      </c>
      <c r="CE46">
        <v>50.427300000000002</v>
      </c>
      <c r="CF46" t="s">
        <v>2752</v>
      </c>
      <c r="CG46">
        <v>52.136800000000001</v>
      </c>
      <c r="CH46">
        <v>52.136800000000001</v>
      </c>
      <c r="CI46">
        <v>55.982900000000001</v>
      </c>
      <c r="CJ46">
        <v>46.153799999999997</v>
      </c>
      <c r="CK46">
        <v>9</v>
      </c>
      <c r="CL46" t="s">
        <v>4</v>
      </c>
      <c r="CM46" t="s">
        <v>2753</v>
      </c>
      <c r="CN46" t="s">
        <v>2754</v>
      </c>
      <c r="CO46" t="s">
        <v>219</v>
      </c>
      <c r="CP46" t="s">
        <v>100</v>
      </c>
      <c r="CQ46">
        <v>45</v>
      </c>
      <c r="CR46" t="s">
        <v>100</v>
      </c>
      <c r="CS46" s="7" t="s">
        <v>101</v>
      </c>
      <c r="CT46" t="s">
        <v>152</v>
      </c>
      <c r="CU46" t="s">
        <v>102</v>
      </c>
      <c r="CV46" t="s">
        <v>100</v>
      </c>
    </row>
    <row r="47" spans="1:100">
      <c r="A47" s="3" t="s">
        <v>2755</v>
      </c>
      <c r="B47" s="4" t="s">
        <v>2756</v>
      </c>
      <c r="C47">
        <v>833.75087779738305</v>
      </c>
      <c r="D47">
        <v>4007.1352677281202</v>
      </c>
      <c r="E47">
        <f>-2.26480005664218</f>
        <v>-2.26480005664218</v>
      </c>
      <c r="F47" s="5">
        <v>7.1388053261247005E-16</v>
      </c>
      <c r="G47" t="s">
        <v>4</v>
      </c>
      <c r="H47">
        <v>833.75087779738305</v>
      </c>
      <c r="I47">
        <v>731.26569639130798</v>
      </c>
      <c r="J47">
        <v>0.186989158007419</v>
      </c>
      <c r="K47">
        <v>0.56031637748763596</v>
      </c>
      <c r="L47" t="s">
        <v>4</v>
      </c>
      <c r="M47">
        <v>4007.1352677281202</v>
      </c>
      <c r="N47">
        <v>731.26569639130798</v>
      </c>
      <c r="O47">
        <v>2.4517892146496001</v>
      </c>
      <c r="P47" s="5">
        <v>5.7687904371297103E-19</v>
      </c>
      <c r="Q47" t="s">
        <v>4</v>
      </c>
      <c r="R47" s="4" t="s">
        <v>87</v>
      </c>
      <c r="S47" t="s">
        <v>4</v>
      </c>
      <c r="T47" t="s">
        <v>2757</v>
      </c>
      <c r="U47" t="s">
        <v>2758</v>
      </c>
      <c r="V47" t="s">
        <v>2759</v>
      </c>
      <c r="W47" t="s">
        <v>507</v>
      </c>
      <c r="X47" t="s">
        <v>4</v>
      </c>
      <c r="Y47" t="s">
        <v>2760</v>
      </c>
      <c r="Z47" t="s">
        <v>2761</v>
      </c>
      <c r="AA47" t="s">
        <v>2762</v>
      </c>
      <c r="AB47" t="s">
        <v>4</v>
      </c>
      <c r="AC47" s="3" t="s">
        <v>93</v>
      </c>
      <c r="AD47" t="s">
        <v>4</v>
      </c>
      <c r="AE47" t="s">
        <v>2763</v>
      </c>
      <c r="AF47" t="s">
        <v>2764</v>
      </c>
      <c r="AG47" t="s">
        <v>2765</v>
      </c>
      <c r="AH47" t="s">
        <v>112</v>
      </c>
      <c r="AJ47" t="s">
        <v>2766</v>
      </c>
      <c r="AL47" t="s">
        <v>2767</v>
      </c>
      <c r="AM47" t="s">
        <v>2768</v>
      </c>
      <c r="AQ47" t="s">
        <v>2769</v>
      </c>
      <c r="AU47" t="s">
        <v>112</v>
      </c>
      <c r="AV47" t="s">
        <v>2770</v>
      </c>
      <c r="AW47" t="s">
        <v>114</v>
      </c>
      <c r="AX47" t="s">
        <v>1938</v>
      </c>
      <c r="AY47" t="s">
        <v>2771</v>
      </c>
      <c r="AZ47" t="s">
        <v>4</v>
      </c>
      <c r="BA47" s="3" t="s">
        <v>115</v>
      </c>
      <c r="BB47" s="6" t="s">
        <v>95</v>
      </c>
      <c r="BC47" s="3" t="s">
        <v>95</v>
      </c>
      <c r="BD47" t="s">
        <v>4</v>
      </c>
      <c r="BE47">
        <v>8193</v>
      </c>
      <c r="BF47" t="s">
        <v>213</v>
      </c>
      <c r="BG47">
        <v>87.202399999999997</v>
      </c>
      <c r="BH47">
        <v>0.29761900000000002</v>
      </c>
      <c r="BI47">
        <v>67.261899999999997</v>
      </c>
      <c r="BJ47">
        <v>74.404799999999994</v>
      </c>
      <c r="BK47">
        <v>74.702399999999997</v>
      </c>
      <c r="BL47">
        <v>66.369</v>
      </c>
      <c r="BM47">
        <v>53.869</v>
      </c>
      <c r="BN47">
        <v>75</v>
      </c>
      <c r="BO47">
        <v>10.119</v>
      </c>
      <c r="BP47">
        <v>33.035699999999999</v>
      </c>
      <c r="BQ47">
        <v>50.595199999999998</v>
      </c>
      <c r="BR47" t="s">
        <v>2772</v>
      </c>
      <c r="BS47">
        <v>20.833300000000001</v>
      </c>
      <c r="BT47" t="s">
        <v>2773</v>
      </c>
      <c r="BU47">
        <v>51.1905</v>
      </c>
      <c r="BV47" t="s">
        <v>2774</v>
      </c>
      <c r="BX47" t="s">
        <v>2775</v>
      </c>
      <c r="BY47">
        <v>29.761900000000001</v>
      </c>
      <c r="BZ47">
        <v>52.678600000000003</v>
      </c>
      <c r="CA47">
        <v>47.619</v>
      </c>
      <c r="CB47" t="s">
        <v>2776</v>
      </c>
      <c r="CC47">
        <v>52.381</v>
      </c>
      <c r="CD47" t="s">
        <v>2777</v>
      </c>
      <c r="CE47">
        <v>30.654800000000002</v>
      </c>
      <c r="CF47">
        <v>46.428600000000003</v>
      </c>
      <c r="CG47" t="s">
        <v>2778</v>
      </c>
      <c r="CH47">
        <v>49.702399999999997</v>
      </c>
      <c r="CI47">
        <v>49.107100000000003</v>
      </c>
      <c r="CK47">
        <v>8</v>
      </c>
      <c r="CL47" t="s">
        <v>4</v>
      </c>
      <c r="CM47" t="s">
        <v>2779</v>
      </c>
      <c r="CN47" t="s">
        <v>2780</v>
      </c>
      <c r="CO47" t="s">
        <v>219</v>
      </c>
      <c r="CP47" t="s">
        <v>100</v>
      </c>
      <c r="CQ47">
        <v>46</v>
      </c>
      <c r="CR47" t="s">
        <v>100</v>
      </c>
      <c r="CS47" t="s">
        <v>100</v>
      </c>
      <c r="CT47" t="s">
        <v>152</v>
      </c>
      <c r="CU47" t="s">
        <v>102</v>
      </c>
      <c r="CV47" t="s">
        <v>2781</v>
      </c>
    </row>
    <row r="48" spans="1:100">
      <c r="A48" s="3" t="s">
        <v>2782</v>
      </c>
      <c r="B48" s="8" t="s">
        <v>811</v>
      </c>
      <c r="C48">
        <v>48.605997203706501</v>
      </c>
      <c r="D48">
        <v>345.01483292647202</v>
      </c>
      <c r="E48">
        <f>-2.82453712490058</f>
        <v>-2.82453712490058</v>
      </c>
      <c r="F48" s="5">
        <v>2.9372909143846001E-10</v>
      </c>
      <c r="G48" t="s">
        <v>4</v>
      </c>
      <c r="H48">
        <v>48.605997203706501</v>
      </c>
      <c r="I48">
        <v>21.538184938941701</v>
      </c>
      <c r="J48">
        <v>1.2189682927896699</v>
      </c>
      <c r="K48">
        <v>1.92763573064029E-2</v>
      </c>
      <c r="L48" t="s">
        <v>4</v>
      </c>
      <c r="M48">
        <v>345.01483292647202</v>
      </c>
      <c r="N48">
        <v>21.538184938941701</v>
      </c>
      <c r="O48">
        <v>4.0435054176902598</v>
      </c>
      <c r="P48" s="5">
        <v>1.8386628848206599E-17</v>
      </c>
      <c r="Q48" t="s">
        <v>4</v>
      </c>
      <c r="R48" s="4" t="s">
        <v>95</v>
      </c>
      <c r="S48" t="s">
        <v>4</v>
      </c>
      <c r="T48" t="s">
        <v>92</v>
      </c>
      <c r="U48" t="s">
        <v>92</v>
      </c>
      <c r="V48" t="s">
        <v>92</v>
      </c>
      <c r="W48" t="s">
        <v>92</v>
      </c>
      <c r="X48" t="s">
        <v>4</v>
      </c>
      <c r="Y48" t="s">
        <v>92</v>
      </c>
      <c r="Z48" t="s">
        <v>92</v>
      </c>
      <c r="AA48" t="s">
        <v>92</v>
      </c>
      <c r="AB48" t="s">
        <v>4</v>
      </c>
      <c r="AC48" s="3" t="s">
        <v>93</v>
      </c>
      <c r="AD48" t="s">
        <v>4</v>
      </c>
      <c r="AE48" t="s">
        <v>2783</v>
      </c>
      <c r="AF48" t="s">
        <v>2784</v>
      </c>
      <c r="AG48" t="s">
        <v>2785</v>
      </c>
      <c r="AH48" t="s">
        <v>112</v>
      </c>
      <c r="AI48" t="s">
        <v>2786</v>
      </c>
      <c r="AJ48" t="s">
        <v>2787</v>
      </c>
      <c r="AU48" t="s">
        <v>112</v>
      </c>
      <c r="AV48" t="s">
        <v>2788</v>
      </c>
      <c r="AW48" t="s">
        <v>114</v>
      </c>
      <c r="AX48" t="s">
        <v>2789</v>
      </c>
      <c r="AY48" t="s">
        <v>2790</v>
      </c>
      <c r="AZ48" t="s">
        <v>4</v>
      </c>
      <c r="BA48" s="3" t="s">
        <v>812</v>
      </c>
      <c r="BB48" s="3" t="s">
        <v>812</v>
      </c>
      <c r="BC48" s="3" t="s">
        <v>812</v>
      </c>
      <c r="BD48" t="s">
        <v>4</v>
      </c>
      <c r="BE48" s="3" t="s">
        <v>812</v>
      </c>
      <c r="BF48" s="3" t="s">
        <v>812</v>
      </c>
      <c r="BG48" s="3" t="s">
        <v>812</v>
      </c>
      <c r="BH48" s="3" t="s">
        <v>812</v>
      </c>
      <c r="BI48" s="3" t="s">
        <v>812</v>
      </c>
      <c r="BJ48" s="3" t="s">
        <v>812</v>
      </c>
      <c r="BK48" s="3" t="s">
        <v>812</v>
      </c>
      <c r="BL48" s="3" t="s">
        <v>812</v>
      </c>
      <c r="BM48" s="3" t="s">
        <v>812</v>
      </c>
      <c r="BN48" s="3" t="s">
        <v>812</v>
      </c>
      <c r="BO48" s="3" t="s">
        <v>812</v>
      </c>
      <c r="BP48" s="3" t="s">
        <v>812</v>
      </c>
      <c r="BQ48" s="3" t="s">
        <v>812</v>
      </c>
      <c r="BR48" s="3" t="s">
        <v>812</v>
      </c>
      <c r="BS48" s="3" t="s">
        <v>812</v>
      </c>
      <c r="BT48" s="3" t="s">
        <v>812</v>
      </c>
      <c r="BU48" s="3" t="s">
        <v>812</v>
      </c>
      <c r="BV48" s="3" t="s">
        <v>812</v>
      </c>
      <c r="BW48" s="3" t="s">
        <v>812</v>
      </c>
      <c r="BX48" s="3" t="s">
        <v>812</v>
      </c>
      <c r="BY48" s="3" t="s">
        <v>812</v>
      </c>
      <c r="BZ48" s="3" t="s">
        <v>812</v>
      </c>
      <c r="CA48" s="3" t="s">
        <v>812</v>
      </c>
      <c r="CB48" s="3" t="s">
        <v>812</v>
      </c>
      <c r="CC48" s="3" t="s">
        <v>812</v>
      </c>
      <c r="CD48" s="3" t="s">
        <v>812</v>
      </c>
      <c r="CE48" s="3" t="s">
        <v>812</v>
      </c>
      <c r="CF48" s="3" t="s">
        <v>812</v>
      </c>
      <c r="CG48" s="3" t="s">
        <v>812</v>
      </c>
      <c r="CH48" s="3" t="s">
        <v>812</v>
      </c>
      <c r="CI48" s="3" t="s">
        <v>812</v>
      </c>
      <c r="CJ48" s="3" t="s">
        <v>812</v>
      </c>
      <c r="CK48" s="3" t="s">
        <v>812</v>
      </c>
      <c r="CL48" t="s">
        <v>4</v>
      </c>
      <c r="CM48" s="3" t="s">
        <v>812</v>
      </c>
      <c r="CN48" s="3" t="s">
        <v>812</v>
      </c>
      <c r="CO48" s="3" t="s">
        <v>812</v>
      </c>
      <c r="CP48" t="s">
        <v>100</v>
      </c>
      <c r="CQ48">
        <v>47</v>
      </c>
      <c r="CR48" t="s">
        <v>100</v>
      </c>
      <c r="CS48" s="7" t="s">
        <v>101</v>
      </c>
      <c r="CT48" t="s">
        <v>152</v>
      </c>
      <c r="CU48" t="s">
        <v>102</v>
      </c>
      <c r="CV48" t="s">
        <v>100</v>
      </c>
    </row>
    <row r="49" spans="1:100">
      <c r="A49" s="3" t="s">
        <v>2791</v>
      </c>
      <c r="B49" s="4" t="s">
        <v>2792</v>
      </c>
      <c r="C49">
        <v>130.58222738207101</v>
      </c>
      <c r="D49">
        <v>1060.85294338009</v>
      </c>
      <c r="E49">
        <f>-3.02065467440648</f>
        <v>-3.0206546744064799</v>
      </c>
      <c r="F49" s="5">
        <v>1.5292969150285701E-14</v>
      </c>
      <c r="G49" t="s">
        <v>4</v>
      </c>
      <c r="H49">
        <v>130.58222738207101</v>
      </c>
      <c r="I49">
        <v>86.365845769264297</v>
      </c>
      <c r="J49">
        <v>0.60554030554391602</v>
      </c>
      <c r="K49">
        <v>0.16977867837479499</v>
      </c>
      <c r="L49" t="s">
        <v>4</v>
      </c>
      <c r="M49">
        <v>1060.85294338009</v>
      </c>
      <c r="N49">
        <v>86.365845769264297</v>
      </c>
      <c r="O49">
        <v>3.6261949799503901</v>
      </c>
      <c r="P49" s="5">
        <v>2.8891145811298602E-20</v>
      </c>
      <c r="Q49" t="s">
        <v>4</v>
      </c>
      <c r="R49" s="4" t="s">
        <v>87</v>
      </c>
      <c r="S49" t="s">
        <v>4</v>
      </c>
      <c r="T49" t="s">
        <v>92</v>
      </c>
      <c r="U49" t="s">
        <v>92</v>
      </c>
      <c r="V49" t="s">
        <v>92</v>
      </c>
      <c r="W49" t="s">
        <v>92</v>
      </c>
      <c r="X49" t="s">
        <v>4</v>
      </c>
      <c r="Y49" t="s">
        <v>92</v>
      </c>
      <c r="Z49" t="s">
        <v>92</v>
      </c>
      <c r="AA49" t="s">
        <v>92</v>
      </c>
      <c r="AB49" t="s">
        <v>4</v>
      </c>
      <c r="AC49" s="3" t="s">
        <v>93</v>
      </c>
      <c r="AD49" t="s">
        <v>4</v>
      </c>
      <c r="AE49" s="4" t="s">
        <v>94</v>
      </c>
      <c r="AZ49" t="s">
        <v>4</v>
      </c>
      <c r="BA49" s="3" t="s">
        <v>115</v>
      </c>
      <c r="BB49" s="6" t="s">
        <v>95</v>
      </c>
      <c r="BC49" s="3" t="s">
        <v>197</v>
      </c>
      <c r="BD49" t="s">
        <v>4</v>
      </c>
      <c r="BE49">
        <v>2966</v>
      </c>
      <c r="BF49" t="s">
        <v>97</v>
      </c>
      <c r="BG49">
        <v>87.6404</v>
      </c>
      <c r="BH49">
        <v>81.8352</v>
      </c>
      <c r="BI49" t="s">
        <v>2793</v>
      </c>
      <c r="BJ49">
        <v>69.288399999999996</v>
      </c>
      <c r="BK49">
        <v>39.887599999999999</v>
      </c>
      <c r="BL49">
        <v>59.176000000000002</v>
      </c>
      <c r="BM49">
        <v>59.9251</v>
      </c>
      <c r="BN49">
        <v>60.112400000000001</v>
      </c>
      <c r="BO49">
        <v>62.546799999999998</v>
      </c>
      <c r="CK49">
        <v>4</v>
      </c>
      <c r="CL49" t="s">
        <v>4</v>
      </c>
      <c r="CM49" t="s">
        <v>98</v>
      </c>
      <c r="CN49" t="s">
        <v>98</v>
      </c>
      <c r="CO49" t="s">
        <v>99</v>
      </c>
      <c r="CP49" t="s">
        <v>100</v>
      </c>
      <c r="CQ49">
        <v>48</v>
      </c>
      <c r="CR49" t="s">
        <v>100</v>
      </c>
      <c r="CS49" t="s">
        <v>100</v>
      </c>
      <c r="CT49" t="s">
        <v>152</v>
      </c>
      <c r="CU49" t="s">
        <v>102</v>
      </c>
      <c r="CV49" t="s">
        <v>100</v>
      </c>
    </row>
    <row r="50" spans="1:100">
      <c r="A50" s="3" t="s">
        <v>2794</v>
      </c>
      <c r="B50" s="4" t="s">
        <v>2795</v>
      </c>
      <c r="C50">
        <v>194.883397361704</v>
      </c>
      <c r="D50">
        <v>4004.5189946578798</v>
      </c>
      <c r="E50">
        <f>-4.36023774434609</f>
        <v>-4.3602377443460902</v>
      </c>
      <c r="F50" s="5">
        <v>1.2908653361678E-11</v>
      </c>
      <c r="G50" t="s">
        <v>4</v>
      </c>
      <c r="H50">
        <v>194.883397361704</v>
      </c>
      <c r="I50">
        <v>115.71402865228301</v>
      </c>
      <c r="J50">
        <v>0.75498687677072096</v>
      </c>
      <c r="K50">
        <v>0.286937105639609</v>
      </c>
      <c r="L50" t="s">
        <v>4</v>
      </c>
      <c r="M50">
        <v>4004.5189946578798</v>
      </c>
      <c r="N50">
        <v>115.71402865228301</v>
      </c>
      <c r="O50">
        <v>5.11522462111681</v>
      </c>
      <c r="P50" s="5">
        <v>4.93735482563067E-16</v>
      </c>
      <c r="Q50" t="s">
        <v>4</v>
      </c>
      <c r="R50" s="4" t="s">
        <v>87</v>
      </c>
      <c r="S50" t="s">
        <v>4</v>
      </c>
      <c r="T50" t="s">
        <v>2243</v>
      </c>
      <c r="U50" t="s">
        <v>2244</v>
      </c>
      <c r="V50" t="s">
        <v>2245</v>
      </c>
      <c r="W50" t="s">
        <v>123</v>
      </c>
      <c r="X50" t="s">
        <v>4</v>
      </c>
      <c r="Y50" t="s">
        <v>2796</v>
      </c>
      <c r="Z50" t="s">
        <v>2797</v>
      </c>
      <c r="AA50" t="s">
        <v>2798</v>
      </c>
      <c r="AB50" t="s">
        <v>4</v>
      </c>
      <c r="AC50" s="3" t="s">
        <v>2799</v>
      </c>
      <c r="AD50" t="s">
        <v>4</v>
      </c>
      <c r="AE50" t="s">
        <v>2800</v>
      </c>
      <c r="AF50" t="s">
        <v>2801</v>
      </c>
      <c r="AG50" t="s">
        <v>2802</v>
      </c>
      <c r="AH50" t="s">
        <v>112</v>
      </c>
      <c r="AU50" t="s">
        <v>112</v>
      </c>
      <c r="AV50" t="s">
        <v>2803</v>
      </c>
      <c r="AW50" t="s">
        <v>114</v>
      </c>
      <c r="AX50" t="s">
        <v>144</v>
      </c>
      <c r="AY50" t="s">
        <v>2804</v>
      </c>
      <c r="AZ50" t="s">
        <v>4</v>
      </c>
      <c r="BA50" s="3" t="s">
        <v>95</v>
      </c>
      <c r="BB50" s="6" t="s">
        <v>95</v>
      </c>
      <c r="BC50" s="3" t="s">
        <v>95</v>
      </c>
      <c r="BD50" t="s">
        <v>4</v>
      </c>
      <c r="BE50">
        <v>8199</v>
      </c>
      <c r="BF50" t="s">
        <v>213</v>
      </c>
      <c r="BG50">
        <v>91.914900000000003</v>
      </c>
      <c r="BH50">
        <v>35.319099999999999</v>
      </c>
      <c r="BI50">
        <v>32.340400000000002</v>
      </c>
      <c r="BJ50">
        <v>23.404299999999999</v>
      </c>
      <c r="BO50">
        <v>47.021299999999997</v>
      </c>
      <c r="BP50">
        <v>30.212800000000001</v>
      </c>
      <c r="BQ50">
        <v>27.872299999999999</v>
      </c>
      <c r="BR50">
        <v>27.659600000000001</v>
      </c>
      <c r="BS50">
        <v>28.297899999999998</v>
      </c>
      <c r="BT50">
        <v>29.148900000000001</v>
      </c>
      <c r="BU50">
        <v>29.361699999999999</v>
      </c>
      <c r="BV50" t="s">
        <v>2805</v>
      </c>
      <c r="BW50">
        <v>27.872299999999999</v>
      </c>
      <c r="BX50">
        <v>27.659600000000001</v>
      </c>
      <c r="BZ50">
        <v>28.5106</v>
      </c>
      <c r="CA50">
        <v>29.361699999999999</v>
      </c>
      <c r="CB50">
        <v>9.1489399999999996</v>
      </c>
      <c r="CC50">
        <v>24.255299999999998</v>
      </c>
      <c r="CD50">
        <v>25.319099999999999</v>
      </c>
      <c r="CF50">
        <v>24.4681</v>
      </c>
      <c r="CG50" t="s">
        <v>2806</v>
      </c>
      <c r="CH50" t="s">
        <v>2807</v>
      </c>
      <c r="CI50">
        <v>5.9574499999999997</v>
      </c>
      <c r="CJ50" t="s">
        <v>2808</v>
      </c>
      <c r="CK50">
        <v>8</v>
      </c>
      <c r="CL50" t="s">
        <v>4</v>
      </c>
      <c r="CM50" t="s">
        <v>2809</v>
      </c>
      <c r="CN50" t="s">
        <v>2810</v>
      </c>
      <c r="CO50" t="s">
        <v>1218</v>
      </c>
      <c r="CP50" t="s">
        <v>100</v>
      </c>
      <c r="CQ50">
        <v>49</v>
      </c>
      <c r="CR50" t="s">
        <v>100</v>
      </c>
      <c r="CS50" t="s">
        <v>100</v>
      </c>
      <c r="CT50" t="s">
        <v>152</v>
      </c>
      <c r="CU50" t="s">
        <v>102</v>
      </c>
      <c r="CV50" t="s">
        <v>100</v>
      </c>
    </row>
    <row r="51" spans="1:100">
      <c r="A51" s="3" t="s">
        <v>2811</v>
      </c>
      <c r="B51" s="4" t="s">
        <v>2812</v>
      </c>
      <c r="C51">
        <v>119.83976634027501</v>
      </c>
      <c r="D51">
        <v>994.74282954354999</v>
      </c>
      <c r="E51">
        <f>-3.05311992032169</f>
        <v>-3.0531199203216901</v>
      </c>
      <c r="F51" s="5">
        <v>1.4413352345051101E-13</v>
      </c>
      <c r="G51" t="s">
        <v>4</v>
      </c>
      <c r="H51">
        <v>119.83976634027501</v>
      </c>
      <c r="I51">
        <v>36.1414348802181</v>
      </c>
      <c r="J51">
        <v>1.73265638937719</v>
      </c>
      <c r="K51">
        <v>1.4545503255051701E-4</v>
      </c>
      <c r="L51" t="s">
        <v>4</v>
      </c>
      <c r="M51">
        <v>994.74282954354999</v>
      </c>
      <c r="N51">
        <v>36.1414348802181</v>
      </c>
      <c r="O51">
        <v>4.7857763096988801</v>
      </c>
      <c r="P51" s="5">
        <v>6.4156976650846203E-29</v>
      </c>
      <c r="Q51" t="s">
        <v>4</v>
      </c>
      <c r="R51" s="4" t="s">
        <v>87</v>
      </c>
      <c r="S51" t="s">
        <v>4</v>
      </c>
      <c r="T51" t="s">
        <v>360</v>
      </c>
      <c r="U51" t="s">
        <v>361</v>
      </c>
      <c r="V51" t="s">
        <v>362</v>
      </c>
      <c r="W51" t="s">
        <v>328</v>
      </c>
      <c r="X51" t="s">
        <v>4</v>
      </c>
      <c r="Y51" t="s">
        <v>994</v>
      </c>
      <c r="Z51" t="s">
        <v>995</v>
      </c>
      <c r="AA51" t="s">
        <v>996</v>
      </c>
      <c r="AB51" t="s">
        <v>4</v>
      </c>
      <c r="AC51" s="3" t="s">
        <v>93</v>
      </c>
      <c r="AD51" t="s">
        <v>4</v>
      </c>
      <c r="AE51" t="s">
        <v>2813</v>
      </c>
      <c r="AF51" t="s">
        <v>2814</v>
      </c>
      <c r="AG51" t="s">
        <v>2815</v>
      </c>
      <c r="AH51" t="s">
        <v>112</v>
      </c>
      <c r="AJ51" t="s">
        <v>2816</v>
      </c>
      <c r="AU51" t="s">
        <v>112</v>
      </c>
      <c r="AV51" t="s">
        <v>2817</v>
      </c>
      <c r="AW51" t="s">
        <v>114</v>
      </c>
      <c r="AX51" t="s">
        <v>371</v>
      </c>
      <c r="AY51" t="s">
        <v>2818</v>
      </c>
      <c r="AZ51" t="s">
        <v>4</v>
      </c>
      <c r="BA51" s="3" t="s">
        <v>95</v>
      </c>
      <c r="BB51" s="6" t="s">
        <v>95</v>
      </c>
      <c r="BC51" s="3" t="s">
        <v>95</v>
      </c>
      <c r="BD51" t="s">
        <v>4</v>
      </c>
      <c r="BE51">
        <v>5775</v>
      </c>
      <c r="BF51" t="s">
        <v>386</v>
      </c>
      <c r="BI51">
        <v>88.165700000000001</v>
      </c>
      <c r="BJ51">
        <v>82.840199999999996</v>
      </c>
      <c r="BK51">
        <v>78.994100000000003</v>
      </c>
      <c r="BQ51">
        <v>29.881699999999999</v>
      </c>
      <c r="BR51">
        <v>21.8935</v>
      </c>
      <c r="BV51" t="s">
        <v>2819</v>
      </c>
      <c r="BW51">
        <v>23.668600000000001</v>
      </c>
      <c r="BX51">
        <v>31.065100000000001</v>
      </c>
      <c r="BY51">
        <v>30.769200000000001</v>
      </c>
      <c r="BZ51">
        <v>23.668600000000001</v>
      </c>
      <c r="CA51">
        <v>28.1065</v>
      </c>
      <c r="CC51">
        <v>24.5562</v>
      </c>
      <c r="CD51">
        <v>29.289899999999999</v>
      </c>
      <c r="CF51">
        <v>26.923100000000002</v>
      </c>
      <c r="CG51" t="s">
        <v>2820</v>
      </c>
      <c r="CH51" t="s">
        <v>2821</v>
      </c>
      <c r="CI51" t="s">
        <v>2822</v>
      </c>
      <c r="CK51">
        <v>7</v>
      </c>
      <c r="CL51" t="s">
        <v>4</v>
      </c>
      <c r="CM51" t="s">
        <v>2823</v>
      </c>
      <c r="CN51" t="s">
        <v>2824</v>
      </c>
      <c r="CO51" t="s">
        <v>99</v>
      </c>
      <c r="CP51" t="s">
        <v>100</v>
      </c>
      <c r="CQ51">
        <v>50</v>
      </c>
      <c r="CR51" t="s">
        <v>100</v>
      </c>
      <c r="CS51" s="7" t="s">
        <v>101</v>
      </c>
      <c r="CT51" t="s">
        <v>152</v>
      </c>
      <c r="CU51" t="s">
        <v>102</v>
      </c>
      <c r="CV51" t="s">
        <v>100</v>
      </c>
    </row>
    <row r="52" spans="1:100">
      <c r="A52" s="3" t="s">
        <v>2825</v>
      </c>
      <c r="B52" s="4" t="s">
        <v>2826</v>
      </c>
      <c r="C52">
        <v>40.825198841208099</v>
      </c>
      <c r="D52">
        <v>405.66023063541502</v>
      </c>
      <c r="E52">
        <f>-3.30845750250902</f>
        <v>-3.3084575025090199</v>
      </c>
      <c r="F52" s="5">
        <v>6.6779817814552295E-8</v>
      </c>
      <c r="G52" t="s">
        <v>4</v>
      </c>
      <c r="H52">
        <v>40.825198841208099</v>
      </c>
      <c r="I52">
        <v>49.627633575887799</v>
      </c>
      <c r="J52">
        <f>0.275755819157934</f>
        <v>0.27575581915793401</v>
      </c>
      <c r="K52">
        <v>0.70008280921579702</v>
      </c>
      <c r="L52" t="s">
        <v>4</v>
      </c>
      <c r="M52">
        <v>405.66023063541502</v>
      </c>
      <c r="N52">
        <v>49.627633575887799</v>
      </c>
      <c r="O52">
        <v>3.0327016833510898</v>
      </c>
      <c r="P52" s="5">
        <v>5.1453915386614196E-7</v>
      </c>
      <c r="Q52" t="s">
        <v>4</v>
      </c>
      <c r="R52" s="4" t="s">
        <v>87</v>
      </c>
      <c r="S52" t="s">
        <v>4</v>
      </c>
      <c r="T52" t="s">
        <v>92</v>
      </c>
      <c r="U52" t="s">
        <v>92</v>
      </c>
      <c r="V52" t="s">
        <v>92</v>
      </c>
      <c r="W52" t="s">
        <v>92</v>
      </c>
      <c r="X52" t="s">
        <v>4</v>
      </c>
      <c r="Y52" t="s">
        <v>92</v>
      </c>
      <c r="Z52" t="s">
        <v>92</v>
      </c>
      <c r="AA52" t="s">
        <v>92</v>
      </c>
      <c r="AB52" t="s">
        <v>4</v>
      </c>
      <c r="AC52" s="3" t="s">
        <v>93</v>
      </c>
      <c r="AD52" t="s">
        <v>4</v>
      </c>
      <c r="AE52" s="4" t="s">
        <v>94</v>
      </c>
      <c r="AZ52" t="s">
        <v>4</v>
      </c>
      <c r="BA52" s="3" t="s">
        <v>115</v>
      </c>
      <c r="BB52" s="6" t="s">
        <v>95</v>
      </c>
      <c r="BC52" s="3" t="s">
        <v>95</v>
      </c>
      <c r="BD52" t="s">
        <v>4</v>
      </c>
      <c r="BE52">
        <v>2967</v>
      </c>
      <c r="BF52" t="s">
        <v>97</v>
      </c>
      <c r="BG52">
        <v>48.051900000000003</v>
      </c>
      <c r="BJ52">
        <v>44.805199999999999</v>
      </c>
      <c r="BK52">
        <v>52.5974</v>
      </c>
      <c r="BL52">
        <v>48.051900000000003</v>
      </c>
      <c r="BM52">
        <v>51.298699999999997</v>
      </c>
      <c r="BN52">
        <v>51.298699999999997</v>
      </c>
      <c r="BO52">
        <v>51.298699999999997</v>
      </c>
      <c r="CK52">
        <v>4</v>
      </c>
      <c r="CL52" t="s">
        <v>4</v>
      </c>
      <c r="CM52" t="s">
        <v>98</v>
      </c>
      <c r="CN52" t="s">
        <v>98</v>
      </c>
      <c r="CO52" t="s">
        <v>99</v>
      </c>
      <c r="CP52" t="s">
        <v>100</v>
      </c>
      <c r="CQ52">
        <v>51</v>
      </c>
      <c r="CR52" t="s">
        <v>100</v>
      </c>
      <c r="CS52" t="s">
        <v>100</v>
      </c>
      <c r="CT52" t="s">
        <v>152</v>
      </c>
      <c r="CU52" t="s">
        <v>102</v>
      </c>
      <c r="CV52" t="s">
        <v>100</v>
      </c>
    </row>
    <row r="53" spans="1:100">
      <c r="A53" s="3" t="s">
        <v>2827</v>
      </c>
      <c r="B53" s="4" t="s">
        <v>2828</v>
      </c>
      <c r="C53">
        <v>76.032911590445096</v>
      </c>
      <c r="D53">
        <v>470.34738251693199</v>
      </c>
      <c r="E53">
        <f>-2.62858815254241</f>
        <v>-2.62858815254241</v>
      </c>
      <c r="F53" s="5">
        <v>6.0060944963596302E-14</v>
      </c>
      <c r="G53" t="s">
        <v>4</v>
      </c>
      <c r="H53">
        <v>76.032911590445096</v>
      </c>
      <c r="I53">
        <v>18.4329003245414</v>
      </c>
      <c r="J53">
        <v>2.1158591152478401</v>
      </c>
      <c r="K53" s="5">
        <v>8.2421158722971997E-7</v>
      </c>
      <c r="L53" t="s">
        <v>4</v>
      </c>
      <c r="M53">
        <v>470.34738251693199</v>
      </c>
      <c r="N53">
        <v>18.4329003245414</v>
      </c>
      <c r="O53">
        <v>4.7444472677902603</v>
      </c>
      <c r="P53" s="5">
        <v>1.8540608555045599E-31</v>
      </c>
      <c r="Q53" t="s">
        <v>4</v>
      </c>
      <c r="R53" s="4" t="s">
        <v>87</v>
      </c>
      <c r="S53" t="s">
        <v>4</v>
      </c>
      <c r="T53" t="s">
        <v>2829</v>
      </c>
      <c r="U53" t="s">
        <v>2830</v>
      </c>
      <c r="V53" t="s">
        <v>2831</v>
      </c>
      <c r="W53" t="s">
        <v>328</v>
      </c>
      <c r="X53" t="s">
        <v>4</v>
      </c>
      <c r="Y53" t="s">
        <v>2832</v>
      </c>
      <c r="Z53" t="s">
        <v>2833</v>
      </c>
      <c r="AA53" t="s">
        <v>2834</v>
      </c>
      <c r="AB53" t="s">
        <v>4</v>
      </c>
      <c r="AC53" s="3" t="s">
        <v>2835</v>
      </c>
      <c r="AD53" t="s">
        <v>4</v>
      </c>
      <c r="AE53" t="s">
        <v>2836</v>
      </c>
      <c r="AF53" t="s">
        <v>2837</v>
      </c>
      <c r="AG53" t="s">
        <v>2838</v>
      </c>
      <c r="AH53" t="s">
        <v>112</v>
      </c>
      <c r="AI53" t="s">
        <v>2839</v>
      </c>
      <c r="AJ53" t="s">
        <v>2840</v>
      </c>
      <c r="AL53" t="s">
        <v>2841</v>
      </c>
      <c r="AQ53" t="s">
        <v>641</v>
      </c>
      <c r="AR53" t="s">
        <v>2842</v>
      </c>
      <c r="AU53" t="s">
        <v>112</v>
      </c>
      <c r="AV53" t="s">
        <v>2843</v>
      </c>
      <c r="AW53" t="s">
        <v>114</v>
      </c>
      <c r="AX53" t="s">
        <v>909</v>
      </c>
      <c r="AY53" t="s">
        <v>2844</v>
      </c>
      <c r="AZ53" t="s">
        <v>4</v>
      </c>
      <c r="BA53" s="3" t="s">
        <v>95</v>
      </c>
      <c r="BB53" t="s">
        <v>96</v>
      </c>
      <c r="BC53" s="3" t="s">
        <v>95</v>
      </c>
      <c r="BD53" t="s">
        <v>4</v>
      </c>
      <c r="BE53">
        <v>8211</v>
      </c>
      <c r="BF53" t="s">
        <v>213</v>
      </c>
      <c r="BG53">
        <v>100</v>
      </c>
      <c r="BH53">
        <v>61.3889</v>
      </c>
      <c r="BI53">
        <v>49.444400000000002</v>
      </c>
      <c r="BJ53">
        <v>87.777799999999999</v>
      </c>
      <c r="BK53">
        <v>48.055599999999998</v>
      </c>
      <c r="BL53">
        <v>28.6111</v>
      </c>
      <c r="BM53">
        <v>43.6111</v>
      </c>
      <c r="BN53">
        <v>87.222200000000001</v>
      </c>
      <c r="BO53">
        <v>29.444400000000002</v>
      </c>
      <c r="BP53">
        <v>43.8889</v>
      </c>
      <c r="BQ53">
        <v>56.944400000000002</v>
      </c>
      <c r="BR53">
        <v>53.333300000000001</v>
      </c>
      <c r="BS53">
        <v>55.555599999999998</v>
      </c>
      <c r="BT53">
        <v>54.166699999999999</v>
      </c>
      <c r="BU53">
        <v>36.944400000000002</v>
      </c>
      <c r="BV53" t="s">
        <v>2845</v>
      </c>
      <c r="BX53">
        <v>55.555599999999998</v>
      </c>
      <c r="CA53">
        <v>55.277799999999999</v>
      </c>
      <c r="CB53">
        <v>34.722200000000001</v>
      </c>
      <c r="CF53" t="s">
        <v>2846</v>
      </c>
      <c r="CG53" t="s">
        <v>2847</v>
      </c>
      <c r="CH53" t="s">
        <v>2848</v>
      </c>
      <c r="CI53" t="s">
        <v>2849</v>
      </c>
      <c r="CK53">
        <v>8</v>
      </c>
      <c r="CL53" t="s">
        <v>4</v>
      </c>
      <c r="CM53" t="s">
        <v>2850</v>
      </c>
      <c r="CN53" t="s">
        <v>2851</v>
      </c>
      <c r="CO53" t="s">
        <v>99</v>
      </c>
      <c r="CP53" t="s">
        <v>100</v>
      </c>
      <c r="CQ53">
        <v>52</v>
      </c>
      <c r="CR53" t="s">
        <v>100</v>
      </c>
      <c r="CS53" t="s">
        <v>101</v>
      </c>
      <c r="CT53" t="s">
        <v>152</v>
      </c>
      <c r="CU53" t="s">
        <v>102</v>
      </c>
      <c r="CV53" t="s">
        <v>100</v>
      </c>
    </row>
    <row r="54" spans="1:100">
      <c r="A54" s="3" t="s">
        <v>2852</v>
      </c>
      <c r="B54" s="4" t="s">
        <v>2853</v>
      </c>
      <c r="C54">
        <v>155.94197402586099</v>
      </c>
      <c r="D54">
        <v>933.43037913055298</v>
      </c>
      <c r="E54">
        <f>-2.58184005649826</f>
        <v>-2.58184005649826</v>
      </c>
      <c r="F54" s="5">
        <v>2.4532925870706398E-7</v>
      </c>
      <c r="G54" t="s">
        <v>4</v>
      </c>
      <c r="H54">
        <v>155.94197402586099</v>
      </c>
      <c r="I54">
        <v>72.256137308425394</v>
      </c>
      <c r="J54">
        <v>1.0965527507958801</v>
      </c>
      <c r="K54">
        <v>3.9200178779055801E-2</v>
      </c>
      <c r="L54" t="s">
        <v>4</v>
      </c>
      <c r="M54">
        <v>933.43037913055298</v>
      </c>
      <c r="N54">
        <v>72.256137308425394</v>
      </c>
      <c r="O54">
        <v>3.6783928072941401</v>
      </c>
      <c r="P54" s="5">
        <v>6.4795464849298097E-14</v>
      </c>
      <c r="Q54" t="s">
        <v>4</v>
      </c>
      <c r="R54" s="4" t="s">
        <v>87</v>
      </c>
      <c r="S54" t="s">
        <v>4</v>
      </c>
      <c r="T54" t="s">
        <v>2854</v>
      </c>
      <c r="U54" t="s">
        <v>2855</v>
      </c>
      <c r="V54" t="s">
        <v>2856</v>
      </c>
      <c r="W54" t="s">
        <v>328</v>
      </c>
      <c r="X54" t="s">
        <v>4</v>
      </c>
      <c r="Y54" t="s">
        <v>2857</v>
      </c>
      <c r="Z54" t="s">
        <v>2858</v>
      </c>
      <c r="AA54" t="s">
        <v>2859</v>
      </c>
      <c r="AB54" t="s">
        <v>4</v>
      </c>
      <c r="AC54" s="3" t="s">
        <v>2860</v>
      </c>
      <c r="AD54" t="s">
        <v>4</v>
      </c>
      <c r="AE54" t="s">
        <v>2861</v>
      </c>
      <c r="AF54" t="s">
        <v>2862</v>
      </c>
      <c r="AG54" t="s">
        <v>2863</v>
      </c>
      <c r="AH54" t="s">
        <v>112</v>
      </c>
      <c r="AK54" t="s">
        <v>2864</v>
      </c>
      <c r="AL54" t="s">
        <v>2865</v>
      </c>
      <c r="AQ54" t="s">
        <v>1458</v>
      </c>
      <c r="AU54" t="s">
        <v>112</v>
      </c>
      <c r="AV54" t="s">
        <v>2866</v>
      </c>
      <c r="AW54" t="s">
        <v>114</v>
      </c>
      <c r="AX54" t="s">
        <v>345</v>
      </c>
      <c r="AY54" t="s">
        <v>2867</v>
      </c>
      <c r="AZ54" t="s">
        <v>4</v>
      </c>
      <c r="BA54" s="3" t="s">
        <v>95</v>
      </c>
      <c r="BB54" s="6" t="s">
        <v>95</v>
      </c>
      <c r="BC54" s="3" t="s">
        <v>95</v>
      </c>
      <c r="BD54" t="s">
        <v>4</v>
      </c>
      <c r="BE54">
        <v>10398</v>
      </c>
      <c r="BF54" t="s">
        <v>169</v>
      </c>
      <c r="BG54" t="s">
        <v>2868</v>
      </c>
      <c r="BH54">
        <v>53.444200000000002</v>
      </c>
      <c r="BI54">
        <v>96.437100000000001</v>
      </c>
      <c r="BJ54">
        <v>88.836100000000002</v>
      </c>
      <c r="BK54">
        <v>85.748199999999997</v>
      </c>
      <c r="BL54" t="s">
        <v>2869</v>
      </c>
      <c r="BM54">
        <v>74.584299999999999</v>
      </c>
      <c r="BN54">
        <v>80.760099999999994</v>
      </c>
      <c r="BO54">
        <v>82.897900000000007</v>
      </c>
      <c r="BP54">
        <v>58.432299999999998</v>
      </c>
      <c r="BQ54">
        <v>47.981000000000002</v>
      </c>
      <c r="BR54">
        <v>38.0047</v>
      </c>
      <c r="BS54">
        <v>46.318300000000001</v>
      </c>
      <c r="BT54">
        <v>13.0641</v>
      </c>
      <c r="BU54" t="s">
        <v>2870</v>
      </c>
      <c r="BV54" t="s">
        <v>2871</v>
      </c>
      <c r="BW54">
        <v>37.529699999999998</v>
      </c>
      <c r="BX54" t="s">
        <v>2872</v>
      </c>
      <c r="BY54">
        <v>22.3278</v>
      </c>
      <c r="BZ54">
        <v>46.318300000000001</v>
      </c>
      <c r="CA54">
        <v>46.080800000000004</v>
      </c>
      <c r="CC54" t="s">
        <v>2873</v>
      </c>
      <c r="CD54" t="s">
        <v>2874</v>
      </c>
      <c r="CE54">
        <v>35.154400000000003</v>
      </c>
      <c r="CF54">
        <v>39.192399999999999</v>
      </c>
      <c r="CG54">
        <v>45.368200000000002</v>
      </c>
      <c r="CH54">
        <v>45.368200000000002</v>
      </c>
      <c r="CI54">
        <v>44.180500000000002</v>
      </c>
      <c r="CJ54" t="s">
        <v>2875</v>
      </c>
      <c r="CK54">
        <v>9</v>
      </c>
      <c r="CL54" t="s">
        <v>4</v>
      </c>
      <c r="CM54" t="s">
        <v>2876</v>
      </c>
      <c r="CN54" t="s">
        <v>2877</v>
      </c>
      <c r="CO54" t="s">
        <v>219</v>
      </c>
      <c r="CP54" t="s">
        <v>100</v>
      </c>
      <c r="CQ54">
        <v>53</v>
      </c>
      <c r="CR54" t="s">
        <v>100</v>
      </c>
      <c r="CS54" s="7" t="s">
        <v>101</v>
      </c>
      <c r="CT54" t="s">
        <v>152</v>
      </c>
      <c r="CU54" t="s">
        <v>102</v>
      </c>
      <c r="CV54" t="s">
        <v>100</v>
      </c>
    </row>
    <row r="55" spans="1:100">
      <c r="A55" s="3" t="s">
        <v>2878</v>
      </c>
      <c r="B55" s="4" t="s">
        <v>2879</v>
      </c>
      <c r="C55">
        <v>179.70445406358701</v>
      </c>
      <c r="D55">
        <v>745.96684125750301</v>
      </c>
      <c r="E55">
        <f>-2.05345910778388</f>
        <v>-2.0534591077838802</v>
      </c>
      <c r="F55" s="5">
        <v>1.29923901141046E-5</v>
      </c>
      <c r="G55" t="s">
        <v>4</v>
      </c>
      <c r="H55">
        <v>179.70445406358701</v>
      </c>
      <c r="I55">
        <v>140.30148388365001</v>
      </c>
      <c r="J55">
        <v>0.36493731080658998</v>
      </c>
      <c r="K55">
        <v>0.48237575725474202</v>
      </c>
      <c r="L55" t="s">
        <v>4</v>
      </c>
      <c r="M55">
        <v>745.96684125750301</v>
      </c>
      <c r="N55">
        <v>140.30148388365001</v>
      </c>
      <c r="O55">
        <v>2.4183964185904698</v>
      </c>
      <c r="P55" s="5">
        <v>1.1501941628825501E-7</v>
      </c>
      <c r="Q55" t="s">
        <v>4</v>
      </c>
      <c r="R55" s="4" t="s">
        <v>87</v>
      </c>
      <c r="S55" t="s">
        <v>4</v>
      </c>
      <c r="T55" t="s">
        <v>92</v>
      </c>
      <c r="U55" t="s">
        <v>92</v>
      </c>
      <c r="V55" t="s">
        <v>92</v>
      </c>
      <c r="W55" t="s">
        <v>92</v>
      </c>
      <c r="X55" t="s">
        <v>4</v>
      </c>
      <c r="Y55" t="s">
        <v>2880</v>
      </c>
      <c r="Z55" t="s">
        <v>2881</v>
      </c>
      <c r="AA55" t="s">
        <v>2882</v>
      </c>
      <c r="AB55" t="s">
        <v>4</v>
      </c>
      <c r="AC55" s="3" t="s">
        <v>93</v>
      </c>
      <c r="AD55" t="s">
        <v>4</v>
      </c>
      <c r="AE55" t="s">
        <v>2883</v>
      </c>
      <c r="AF55" t="s">
        <v>834</v>
      </c>
      <c r="AG55" t="s">
        <v>2884</v>
      </c>
      <c r="AH55" t="s">
        <v>112</v>
      </c>
      <c r="AU55" t="s">
        <v>112</v>
      </c>
      <c r="AV55" t="s">
        <v>2885</v>
      </c>
      <c r="AW55" t="s">
        <v>114</v>
      </c>
      <c r="AX55" t="s">
        <v>144</v>
      </c>
      <c r="AY55" t="s">
        <v>2886</v>
      </c>
      <c r="AZ55" t="s">
        <v>4</v>
      </c>
      <c r="BA55" s="3" t="s">
        <v>95</v>
      </c>
      <c r="BB55" s="6" t="s">
        <v>95</v>
      </c>
      <c r="BC55" s="3" t="s">
        <v>95</v>
      </c>
      <c r="BD55" t="s">
        <v>4</v>
      </c>
      <c r="BE55">
        <v>8221</v>
      </c>
      <c r="BF55" t="s">
        <v>213</v>
      </c>
      <c r="BG55">
        <v>92.236000000000004</v>
      </c>
      <c r="BH55">
        <v>42.779499999999999</v>
      </c>
      <c r="BI55">
        <v>69.2547</v>
      </c>
      <c r="BJ55">
        <v>11.2578</v>
      </c>
      <c r="BK55">
        <v>26.785699999999999</v>
      </c>
      <c r="BL55">
        <v>7.0652200000000001</v>
      </c>
      <c r="BM55" t="s">
        <v>2887</v>
      </c>
      <c r="BN55">
        <v>67.779499999999999</v>
      </c>
      <c r="BO55">
        <v>32.298099999999998</v>
      </c>
      <c r="BP55">
        <v>16.304300000000001</v>
      </c>
      <c r="BW55">
        <v>33.540399999999998</v>
      </c>
      <c r="BX55">
        <v>34.860199999999999</v>
      </c>
      <c r="BY55">
        <v>17.0031</v>
      </c>
      <c r="BZ55" t="s">
        <v>2888</v>
      </c>
      <c r="CA55">
        <v>31.7547</v>
      </c>
      <c r="CB55">
        <v>9.2391299999999994</v>
      </c>
      <c r="CE55">
        <v>9.0062099999999994</v>
      </c>
      <c r="CG55" t="s">
        <v>2889</v>
      </c>
      <c r="CH55" t="s">
        <v>2890</v>
      </c>
      <c r="CK55">
        <v>8</v>
      </c>
      <c r="CL55" t="s">
        <v>4</v>
      </c>
      <c r="CM55" t="s">
        <v>2891</v>
      </c>
      <c r="CN55" t="s">
        <v>2892</v>
      </c>
      <c r="CO55" t="s">
        <v>99</v>
      </c>
      <c r="CP55" t="s">
        <v>100</v>
      </c>
      <c r="CQ55">
        <v>54</v>
      </c>
      <c r="CR55" t="s">
        <v>100</v>
      </c>
      <c r="CS55" t="s">
        <v>100</v>
      </c>
      <c r="CT55" t="s">
        <v>152</v>
      </c>
      <c r="CU55" t="s">
        <v>102</v>
      </c>
      <c r="CV55" t="s">
        <v>100</v>
      </c>
    </row>
    <row r="56" spans="1:100">
      <c r="A56" s="3" t="s">
        <v>2893</v>
      </c>
      <c r="B56" s="4" t="s">
        <v>2894</v>
      </c>
      <c r="C56">
        <v>12.2664335696248</v>
      </c>
      <c r="D56">
        <v>125.06325095662299</v>
      </c>
      <c r="E56">
        <f>-3.34829156480268</f>
        <v>-3.3482915648026799</v>
      </c>
      <c r="F56" s="5">
        <v>2.4679008931809202E-6</v>
      </c>
      <c r="G56" t="s">
        <v>4</v>
      </c>
      <c r="H56">
        <v>12.2664335696248</v>
      </c>
      <c r="I56">
        <v>21.223867694172501</v>
      </c>
      <c r="J56">
        <f>0.74866010656767</f>
        <v>0.74866010656767001</v>
      </c>
      <c r="K56">
        <v>0.34827397423370399</v>
      </c>
      <c r="L56" t="s">
        <v>4</v>
      </c>
      <c r="M56">
        <v>125.06325095662299</v>
      </c>
      <c r="N56">
        <v>21.223867694172501</v>
      </c>
      <c r="O56">
        <v>2.59963145823501</v>
      </c>
      <c r="P56">
        <v>2.1037096152572301E-4</v>
      </c>
      <c r="Q56" t="s">
        <v>4</v>
      </c>
      <c r="R56" s="4" t="s">
        <v>87</v>
      </c>
      <c r="S56" t="s">
        <v>4</v>
      </c>
      <c r="T56" t="s">
        <v>92</v>
      </c>
      <c r="U56" t="s">
        <v>92</v>
      </c>
      <c r="V56" t="s">
        <v>92</v>
      </c>
      <c r="W56" t="s">
        <v>92</v>
      </c>
      <c r="X56" t="s">
        <v>4</v>
      </c>
      <c r="Y56" t="s">
        <v>2895</v>
      </c>
      <c r="Z56" t="s">
        <v>2896</v>
      </c>
      <c r="AA56" t="s">
        <v>2897</v>
      </c>
      <c r="AB56" t="s">
        <v>4</v>
      </c>
      <c r="AC56" s="3" t="s">
        <v>93</v>
      </c>
      <c r="AD56" t="s">
        <v>4</v>
      </c>
      <c r="AE56" t="s">
        <v>2898</v>
      </c>
      <c r="AF56" t="s">
        <v>2899</v>
      </c>
      <c r="AG56" t="s">
        <v>1903</v>
      </c>
      <c r="AH56" t="s">
        <v>112</v>
      </c>
      <c r="AU56" t="s">
        <v>112</v>
      </c>
      <c r="AV56" t="s">
        <v>2900</v>
      </c>
      <c r="AW56" t="s">
        <v>114</v>
      </c>
      <c r="AX56" t="s">
        <v>144</v>
      </c>
      <c r="AY56" t="s">
        <v>2901</v>
      </c>
      <c r="AZ56" t="s">
        <v>4</v>
      </c>
      <c r="BA56" s="3" t="s">
        <v>95</v>
      </c>
      <c r="BB56" s="6" t="s">
        <v>95</v>
      </c>
      <c r="BC56" s="3" t="s">
        <v>95</v>
      </c>
      <c r="BD56" t="s">
        <v>4</v>
      </c>
      <c r="BE56">
        <v>1469</v>
      </c>
      <c r="BF56" t="s">
        <v>151</v>
      </c>
      <c r="BK56">
        <v>37.209299999999999</v>
      </c>
      <c r="CK56">
        <v>2</v>
      </c>
      <c r="CL56" t="s">
        <v>4</v>
      </c>
      <c r="CM56" t="s">
        <v>98</v>
      </c>
      <c r="CN56" t="s">
        <v>98</v>
      </c>
      <c r="CO56" t="s">
        <v>99</v>
      </c>
      <c r="CP56" t="s">
        <v>100</v>
      </c>
      <c r="CQ56">
        <v>55</v>
      </c>
      <c r="CR56" t="s">
        <v>100</v>
      </c>
      <c r="CS56" t="s">
        <v>100</v>
      </c>
      <c r="CT56" t="s">
        <v>152</v>
      </c>
      <c r="CU56" t="s">
        <v>102</v>
      </c>
      <c r="CV56" t="s">
        <v>100</v>
      </c>
    </row>
    <row r="57" spans="1:100">
      <c r="A57" s="3" t="s">
        <v>2902</v>
      </c>
      <c r="B57" s="4" t="s">
        <v>2903</v>
      </c>
      <c r="C57">
        <v>289.58103971460298</v>
      </c>
      <c r="D57">
        <v>2272.0984462374499</v>
      </c>
      <c r="E57">
        <f>-2.97195786168354</f>
        <v>-2.9719578616835398</v>
      </c>
      <c r="F57" s="5">
        <v>2.5094966049456501E-7</v>
      </c>
      <c r="G57" t="s">
        <v>4</v>
      </c>
      <c r="H57">
        <v>289.58103971460298</v>
      </c>
      <c r="I57">
        <v>336.36896606699798</v>
      </c>
      <c r="J57">
        <f>0.221034568478524</f>
        <v>0.22103456847852401</v>
      </c>
      <c r="K57">
        <v>0.73782383943146101</v>
      </c>
      <c r="L57" t="s">
        <v>4</v>
      </c>
      <c r="M57">
        <v>2272.0984462374499</v>
      </c>
      <c r="N57">
        <v>336.36896606699798</v>
      </c>
      <c r="O57">
        <v>2.75092329320502</v>
      </c>
      <c r="P57" s="5">
        <v>9.77966790997491E-7</v>
      </c>
      <c r="Q57" t="s">
        <v>4</v>
      </c>
      <c r="R57" s="4" t="s">
        <v>87</v>
      </c>
      <c r="S57" t="s">
        <v>4</v>
      </c>
      <c r="T57" t="s">
        <v>2757</v>
      </c>
      <c r="U57" t="s">
        <v>2758</v>
      </c>
      <c r="V57" t="s">
        <v>2759</v>
      </c>
      <c r="W57" t="s">
        <v>507</v>
      </c>
      <c r="X57" t="s">
        <v>4</v>
      </c>
      <c r="Y57" t="s">
        <v>2904</v>
      </c>
      <c r="Z57" t="s">
        <v>2905</v>
      </c>
      <c r="AA57" t="s">
        <v>2906</v>
      </c>
      <c r="AB57" t="s">
        <v>4</v>
      </c>
      <c r="AC57" s="3" t="s">
        <v>2907</v>
      </c>
      <c r="AD57" t="s">
        <v>4</v>
      </c>
      <c r="AE57" t="s">
        <v>2763</v>
      </c>
      <c r="AF57" t="s">
        <v>2908</v>
      </c>
      <c r="AG57" t="s">
        <v>2909</v>
      </c>
      <c r="AH57" t="s">
        <v>112</v>
      </c>
      <c r="AJ57" t="s">
        <v>2766</v>
      </c>
      <c r="AL57" t="s">
        <v>2767</v>
      </c>
      <c r="AM57" t="s">
        <v>2768</v>
      </c>
      <c r="AQ57" t="s">
        <v>2769</v>
      </c>
      <c r="AU57" t="s">
        <v>112</v>
      </c>
      <c r="AV57" t="s">
        <v>2770</v>
      </c>
      <c r="AW57" t="s">
        <v>114</v>
      </c>
      <c r="AX57" t="s">
        <v>1938</v>
      </c>
      <c r="AY57" t="s">
        <v>2771</v>
      </c>
      <c r="AZ57" t="s">
        <v>4</v>
      </c>
      <c r="BA57" s="3" t="s">
        <v>115</v>
      </c>
      <c r="BB57" s="6" t="s">
        <v>95</v>
      </c>
      <c r="BC57" s="3" t="s">
        <v>95</v>
      </c>
      <c r="BD57" t="s">
        <v>4</v>
      </c>
      <c r="BE57">
        <v>8238</v>
      </c>
      <c r="BF57" t="s">
        <v>213</v>
      </c>
      <c r="BG57">
        <v>97.674400000000006</v>
      </c>
      <c r="BH57">
        <v>0</v>
      </c>
      <c r="BI57">
        <v>93.410899999999998</v>
      </c>
      <c r="BJ57">
        <v>96.123999999999995</v>
      </c>
      <c r="BK57">
        <v>94.186000000000007</v>
      </c>
      <c r="BL57">
        <v>93.798400000000001</v>
      </c>
      <c r="BM57">
        <v>78.682199999999995</v>
      </c>
      <c r="BN57">
        <v>93.798400000000001</v>
      </c>
      <c r="BO57">
        <v>6.5891500000000001</v>
      </c>
      <c r="BP57">
        <v>31.782900000000001</v>
      </c>
      <c r="BQ57">
        <v>65.503900000000002</v>
      </c>
      <c r="BR57" t="s">
        <v>2910</v>
      </c>
      <c r="BS57">
        <v>28.682200000000002</v>
      </c>
      <c r="BT57" t="s">
        <v>2911</v>
      </c>
      <c r="BU57">
        <v>60.4651</v>
      </c>
      <c r="BV57" t="s">
        <v>2912</v>
      </c>
      <c r="BX57" t="s">
        <v>2913</v>
      </c>
      <c r="BY57">
        <v>0</v>
      </c>
      <c r="BZ57">
        <v>63.565899999999999</v>
      </c>
      <c r="CA57">
        <v>58.139499999999998</v>
      </c>
      <c r="CB57" t="s">
        <v>2914</v>
      </c>
      <c r="CC57">
        <v>68.217100000000002</v>
      </c>
      <c r="CD57" t="s">
        <v>2915</v>
      </c>
      <c r="CE57">
        <v>38.759700000000002</v>
      </c>
      <c r="CF57">
        <v>57.3643</v>
      </c>
      <c r="CG57" t="s">
        <v>2916</v>
      </c>
      <c r="CH57">
        <v>61.627899999999997</v>
      </c>
      <c r="CI57">
        <v>60.4651</v>
      </c>
      <c r="CK57">
        <v>8</v>
      </c>
      <c r="CL57" t="s">
        <v>4</v>
      </c>
      <c r="CM57" t="s">
        <v>2779</v>
      </c>
      <c r="CN57" t="s">
        <v>2917</v>
      </c>
      <c r="CO57" t="s">
        <v>219</v>
      </c>
      <c r="CP57" t="s">
        <v>100</v>
      </c>
      <c r="CQ57">
        <v>56</v>
      </c>
      <c r="CR57" t="s">
        <v>100</v>
      </c>
      <c r="CS57" t="s">
        <v>100</v>
      </c>
      <c r="CT57" t="s">
        <v>152</v>
      </c>
      <c r="CU57" t="s">
        <v>102</v>
      </c>
      <c r="CV57" t="s">
        <v>2781</v>
      </c>
    </row>
    <row r="58" spans="1:100">
      <c r="A58" s="3" t="s">
        <v>2918</v>
      </c>
      <c r="B58" s="4" t="s">
        <v>2919</v>
      </c>
      <c r="C58">
        <v>440.54608985245602</v>
      </c>
      <c r="D58">
        <v>2898.4554083545499</v>
      </c>
      <c r="E58">
        <f>-2.71778007440842</f>
        <v>-2.7177800744084202</v>
      </c>
      <c r="F58" s="5">
        <v>5.6536867690279798E-8</v>
      </c>
      <c r="G58" t="s">
        <v>4</v>
      </c>
      <c r="H58">
        <v>440.54608985245602</v>
      </c>
      <c r="I58">
        <v>469.64982901551701</v>
      </c>
      <c r="J58">
        <f>0.0964807402531959</f>
        <v>9.6480740253195904E-2</v>
      </c>
      <c r="K58">
        <v>0.86827050723700905</v>
      </c>
      <c r="L58" t="s">
        <v>4</v>
      </c>
      <c r="M58">
        <v>2898.4554083545499</v>
      </c>
      <c r="N58">
        <v>469.64982901551701</v>
      </c>
      <c r="O58">
        <v>2.62129933415522</v>
      </c>
      <c r="P58" s="5">
        <v>7.7571953663563205E-8</v>
      </c>
      <c r="Q58" t="s">
        <v>4</v>
      </c>
      <c r="R58" s="4" t="s">
        <v>87</v>
      </c>
      <c r="S58" t="s">
        <v>4</v>
      </c>
      <c r="T58" t="s">
        <v>2920</v>
      </c>
      <c r="U58" t="s">
        <v>2921</v>
      </c>
      <c r="V58" t="s">
        <v>2922</v>
      </c>
      <c r="W58" t="s">
        <v>123</v>
      </c>
      <c r="X58" t="s">
        <v>4</v>
      </c>
      <c r="Y58" t="s">
        <v>2923</v>
      </c>
      <c r="Z58" t="s">
        <v>2924</v>
      </c>
      <c r="AA58" t="s">
        <v>2925</v>
      </c>
      <c r="AB58" t="s">
        <v>4</v>
      </c>
      <c r="AC58" s="3" t="s">
        <v>93</v>
      </c>
      <c r="AD58" t="s">
        <v>4</v>
      </c>
      <c r="AE58" s="4" t="s">
        <v>94</v>
      </c>
      <c r="AZ58" t="s">
        <v>4</v>
      </c>
      <c r="BA58" s="3" t="s">
        <v>115</v>
      </c>
      <c r="BB58" s="6" t="s">
        <v>95</v>
      </c>
      <c r="BC58" s="3" t="s">
        <v>95</v>
      </c>
      <c r="BD58" t="s">
        <v>4</v>
      </c>
      <c r="BE58">
        <v>2974</v>
      </c>
      <c r="BF58" t="s">
        <v>97</v>
      </c>
      <c r="BG58">
        <v>91.514700000000005</v>
      </c>
      <c r="BH58">
        <v>98.572599999999994</v>
      </c>
      <c r="BI58">
        <v>84.456800000000001</v>
      </c>
      <c r="BJ58">
        <v>29.262499999999999</v>
      </c>
      <c r="BK58">
        <v>59.476599999999998</v>
      </c>
      <c r="BL58" t="s">
        <v>2926</v>
      </c>
      <c r="BM58">
        <v>63.283099999999997</v>
      </c>
      <c r="BN58">
        <v>63.124499999999998</v>
      </c>
      <c r="BO58">
        <v>63.838200000000001</v>
      </c>
      <c r="BP58" t="s">
        <v>2927</v>
      </c>
      <c r="CK58">
        <v>4</v>
      </c>
      <c r="CL58" t="s">
        <v>4</v>
      </c>
      <c r="CM58" t="s">
        <v>98</v>
      </c>
      <c r="CN58" t="s">
        <v>98</v>
      </c>
      <c r="CO58" t="s">
        <v>99</v>
      </c>
      <c r="CP58" t="s">
        <v>100</v>
      </c>
      <c r="CQ58">
        <v>57</v>
      </c>
      <c r="CR58" t="s">
        <v>100</v>
      </c>
      <c r="CS58" t="s">
        <v>100</v>
      </c>
      <c r="CT58" t="s">
        <v>152</v>
      </c>
      <c r="CU58" t="s">
        <v>102</v>
      </c>
      <c r="CV58" t="s">
        <v>100</v>
      </c>
    </row>
    <row r="59" spans="1:100">
      <c r="A59" s="3" t="s">
        <v>2928</v>
      </c>
      <c r="B59" s="4" t="s">
        <v>2929</v>
      </c>
      <c r="C59">
        <v>352.999624526123</v>
      </c>
      <c r="D59">
        <v>6567.6294128914797</v>
      </c>
      <c r="E59">
        <f>-4.21718069334689</f>
        <v>-4.2171806933468901</v>
      </c>
      <c r="F59" s="5">
        <v>1.8710209432607701E-24</v>
      </c>
      <c r="G59" t="s">
        <v>4</v>
      </c>
      <c r="H59">
        <v>352.999624526123</v>
      </c>
      <c r="I59">
        <v>344.37490324626202</v>
      </c>
      <c r="J59">
        <v>3.43239058781597E-2</v>
      </c>
      <c r="K59">
        <v>0.94446960501486898</v>
      </c>
      <c r="L59" t="s">
        <v>4</v>
      </c>
      <c r="M59">
        <v>6567.6294128914797</v>
      </c>
      <c r="N59">
        <v>344.37490324626202</v>
      </c>
      <c r="O59">
        <v>4.2515045992250498</v>
      </c>
      <c r="P59" s="5">
        <v>2.0260107116022999E-25</v>
      </c>
      <c r="Q59" t="s">
        <v>4</v>
      </c>
      <c r="R59" s="4" t="s">
        <v>87</v>
      </c>
      <c r="S59" t="s">
        <v>4</v>
      </c>
      <c r="T59" t="s">
        <v>2930</v>
      </c>
      <c r="U59" t="s">
        <v>2931</v>
      </c>
      <c r="V59" t="s">
        <v>2932</v>
      </c>
      <c r="W59" t="s">
        <v>1915</v>
      </c>
      <c r="X59" t="s">
        <v>4</v>
      </c>
      <c r="Y59" t="s">
        <v>2933</v>
      </c>
      <c r="Z59" t="s">
        <v>2934</v>
      </c>
      <c r="AA59" t="s">
        <v>2935</v>
      </c>
      <c r="AB59" t="s">
        <v>4</v>
      </c>
      <c r="AC59" s="3" t="s">
        <v>93</v>
      </c>
      <c r="AD59" t="s">
        <v>4</v>
      </c>
      <c r="AE59" t="s">
        <v>2936</v>
      </c>
      <c r="AF59" t="s">
        <v>2937</v>
      </c>
      <c r="AG59" t="s">
        <v>2938</v>
      </c>
      <c r="AH59" t="s">
        <v>112</v>
      </c>
      <c r="AL59" t="s">
        <v>2939</v>
      </c>
      <c r="AM59" t="s">
        <v>2940</v>
      </c>
      <c r="AQ59" t="s">
        <v>2941</v>
      </c>
      <c r="AU59" t="s">
        <v>112</v>
      </c>
      <c r="AV59" t="s">
        <v>2942</v>
      </c>
      <c r="AW59" t="s">
        <v>114</v>
      </c>
      <c r="AX59" t="s">
        <v>132</v>
      </c>
      <c r="AY59" t="s">
        <v>2943</v>
      </c>
      <c r="AZ59" t="s">
        <v>4</v>
      </c>
      <c r="BA59" s="3" t="s">
        <v>115</v>
      </c>
      <c r="BB59" s="6" t="s">
        <v>95</v>
      </c>
      <c r="BC59" s="3" t="s">
        <v>95</v>
      </c>
      <c r="BD59" t="s">
        <v>4</v>
      </c>
      <c r="BE59">
        <v>8248</v>
      </c>
      <c r="BF59" t="s">
        <v>213</v>
      </c>
      <c r="BG59">
        <v>97.674400000000006</v>
      </c>
      <c r="BI59">
        <v>81.037599999999998</v>
      </c>
      <c r="BJ59">
        <v>79.069800000000001</v>
      </c>
      <c r="BK59">
        <v>81.753100000000003</v>
      </c>
      <c r="BL59">
        <v>71.556399999999996</v>
      </c>
      <c r="BM59">
        <v>79.248699999999999</v>
      </c>
      <c r="BN59">
        <v>81.395300000000006</v>
      </c>
      <c r="BR59">
        <v>44.007199999999997</v>
      </c>
      <c r="BS59">
        <v>42.933799999999998</v>
      </c>
      <c r="BY59">
        <v>33.452599999999997</v>
      </c>
      <c r="CF59" t="s">
        <v>2944</v>
      </c>
      <c r="CG59" t="s">
        <v>2945</v>
      </c>
      <c r="CH59" t="s">
        <v>2946</v>
      </c>
      <c r="CI59" t="s">
        <v>2947</v>
      </c>
      <c r="CK59">
        <v>8</v>
      </c>
      <c r="CL59" t="s">
        <v>4</v>
      </c>
      <c r="CM59" t="s">
        <v>98</v>
      </c>
      <c r="CN59" t="s">
        <v>98</v>
      </c>
      <c r="CO59" t="s">
        <v>99</v>
      </c>
      <c r="CP59" t="s">
        <v>100</v>
      </c>
      <c r="CQ59">
        <v>58</v>
      </c>
      <c r="CR59" t="s">
        <v>100</v>
      </c>
      <c r="CS59" t="s">
        <v>100</v>
      </c>
      <c r="CT59" t="s">
        <v>152</v>
      </c>
      <c r="CU59" t="s">
        <v>102</v>
      </c>
      <c r="CV59" t="s">
        <v>100</v>
      </c>
    </row>
    <row r="60" spans="1:100">
      <c r="A60" s="3" t="s">
        <v>2948</v>
      </c>
      <c r="B60" s="4" t="s">
        <v>2949</v>
      </c>
      <c r="C60">
        <v>125.607318314018</v>
      </c>
      <c r="D60">
        <v>795.63816090814703</v>
      </c>
      <c r="E60">
        <f>-2.66171569643846</f>
        <v>-2.6617156964384598</v>
      </c>
      <c r="F60" s="5">
        <v>1.6023773375318001E-15</v>
      </c>
      <c r="G60" t="s">
        <v>4</v>
      </c>
      <c r="H60">
        <v>125.607318314018</v>
      </c>
      <c r="I60">
        <v>134.390426899706</v>
      </c>
      <c r="J60">
        <f>0.10975009445196</f>
        <v>0.10975009445196</v>
      </c>
      <c r="K60">
        <v>0.78603705436648197</v>
      </c>
      <c r="L60" t="s">
        <v>4</v>
      </c>
      <c r="M60">
        <v>795.63816090814703</v>
      </c>
      <c r="N60">
        <v>134.390426899706</v>
      </c>
      <c r="O60">
        <v>2.5519656019864998</v>
      </c>
      <c r="P60" s="5">
        <v>1.6481602519417301E-14</v>
      </c>
      <c r="Q60" t="s">
        <v>4</v>
      </c>
      <c r="R60" s="4" t="s">
        <v>87</v>
      </c>
      <c r="S60" t="s">
        <v>4</v>
      </c>
      <c r="T60" t="s">
        <v>2950</v>
      </c>
      <c r="U60" t="s">
        <v>2951</v>
      </c>
      <c r="V60" t="s">
        <v>2952</v>
      </c>
      <c r="W60" t="s">
        <v>123</v>
      </c>
      <c r="X60" t="s">
        <v>4</v>
      </c>
      <c r="Y60" t="s">
        <v>2953</v>
      </c>
      <c r="Z60" t="s">
        <v>2954</v>
      </c>
      <c r="AA60" t="s">
        <v>2955</v>
      </c>
      <c r="AB60" t="s">
        <v>4</v>
      </c>
      <c r="AC60" s="3" t="s">
        <v>2956</v>
      </c>
      <c r="AD60" t="s">
        <v>4</v>
      </c>
      <c r="AE60" t="s">
        <v>2957</v>
      </c>
      <c r="AF60" t="s">
        <v>2958</v>
      </c>
      <c r="AG60" t="s">
        <v>2959</v>
      </c>
      <c r="AH60" t="s">
        <v>112</v>
      </c>
      <c r="AK60" t="s">
        <v>2960</v>
      </c>
      <c r="AL60" t="s">
        <v>2961</v>
      </c>
      <c r="AM60" t="s">
        <v>2962</v>
      </c>
      <c r="AN60" t="s">
        <v>2963</v>
      </c>
      <c r="AO60" t="s">
        <v>2964</v>
      </c>
      <c r="AP60" t="s">
        <v>2965</v>
      </c>
      <c r="AQ60" t="s">
        <v>2966</v>
      </c>
      <c r="AR60" t="s">
        <v>2967</v>
      </c>
      <c r="AU60" t="s">
        <v>112</v>
      </c>
      <c r="AV60" t="s">
        <v>2968</v>
      </c>
      <c r="AW60" t="s">
        <v>114</v>
      </c>
      <c r="AX60" t="s">
        <v>1096</v>
      </c>
      <c r="AY60" t="s">
        <v>2969</v>
      </c>
      <c r="AZ60" t="s">
        <v>4</v>
      </c>
      <c r="BA60" s="3" t="s">
        <v>95</v>
      </c>
      <c r="BB60" s="6" t="s">
        <v>95</v>
      </c>
      <c r="BC60" s="3" t="s">
        <v>95</v>
      </c>
      <c r="BD60" t="s">
        <v>4</v>
      </c>
      <c r="BE60">
        <v>4575</v>
      </c>
      <c r="BF60" t="s">
        <v>112</v>
      </c>
      <c r="BG60">
        <v>91.445400000000006</v>
      </c>
      <c r="BH60">
        <v>54.572299999999998</v>
      </c>
      <c r="BI60">
        <v>85.545699999999997</v>
      </c>
      <c r="BJ60" t="s">
        <v>2970</v>
      </c>
      <c r="BK60">
        <v>81.120900000000006</v>
      </c>
      <c r="BL60">
        <v>69.174000000000007</v>
      </c>
      <c r="BM60">
        <v>70.649000000000001</v>
      </c>
      <c r="BN60">
        <v>80.383499999999998</v>
      </c>
      <c r="BO60">
        <v>64.159300000000002</v>
      </c>
      <c r="BP60">
        <v>42.625399999999999</v>
      </c>
      <c r="BR60">
        <v>49.852499999999999</v>
      </c>
      <c r="BS60">
        <v>42.330399999999997</v>
      </c>
      <c r="BW60">
        <v>44.395299999999999</v>
      </c>
      <c r="BX60">
        <v>46.165199999999999</v>
      </c>
      <c r="BY60">
        <v>43.805300000000003</v>
      </c>
      <c r="BZ60">
        <v>36.873199999999997</v>
      </c>
      <c r="CA60">
        <v>41.887900000000002</v>
      </c>
      <c r="CB60">
        <v>13.8643</v>
      </c>
      <c r="CF60" t="s">
        <v>2971</v>
      </c>
      <c r="CG60" t="s">
        <v>2972</v>
      </c>
      <c r="CH60" t="s">
        <v>2973</v>
      </c>
      <c r="CI60" t="s">
        <v>2974</v>
      </c>
      <c r="CK60">
        <v>5</v>
      </c>
      <c r="CL60" t="s">
        <v>4</v>
      </c>
      <c r="CM60" t="s">
        <v>2975</v>
      </c>
      <c r="CN60" t="s">
        <v>2976</v>
      </c>
      <c r="CO60" t="s">
        <v>99</v>
      </c>
      <c r="CP60" t="s">
        <v>100</v>
      </c>
      <c r="CQ60">
        <v>59</v>
      </c>
      <c r="CR60" t="s">
        <v>100</v>
      </c>
      <c r="CS60" t="s">
        <v>100</v>
      </c>
      <c r="CT60" t="s">
        <v>152</v>
      </c>
      <c r="CU60" t="s">
        <v>102</v>
      </c>
      <c r="CV60" t="s">
        <v>100</v>
      </c>
    </row>
    <row r="61" spans="1:100">
      <c r="A61" s="3" t="s">
        <v>2977</v>
      </c>
      <c r="B61" s="4" t="s">
        <v>2978</v>
      </c>
      <c r="C61">
        <v>175.00593855640599</v>
      </c>
      <c r="D61">
        <v>1608.95531683374</v>
      </c>
      <c r="E61">
        <f>-3.20003309357188</f>
        <v>-3.2000330935718799</v>
      </c>
      <c r="F61" s="5">
        <v>1.8213020296632501E-9</v>
      </c>
      <c r="G61" t="s">
        <v>4</v>
      </c>
      <c r="H61">
        <v>175.00593855640599</v>
      </c>
      <c r="I61">
        <v>22.807185892726999</v>
      </c>
      <c r="J61">
        <v>2.8873664393593201</v>
      </c>
      <c r="K61" s="5">
        <v>4.0804981430723898E-7</v>
      </c>
      <c r="L61" t="s">
        <v>4</v>
      </c>
      <c r="M61">
        <v>1608.95531683374</v>
      </c>
      <c r="N61">
        <v>22.807185892726999</v>
      </c>
      <c r="O61">
        <v>6.0873995329312001</v>
      </c>
      <c r="P61" s="5">
        <v>1.22262807102032E-28</v>
      </c>
      <c r="Q61" t="s">
        <v>4</v>
      </c>
      <c r="R61" s="4" t="s">
        <v>87</v>
      </c>
      <c r="S61" t="s">
        <v>4</v>
      </c>
      <c r="T61" t="s">
        <v>92</v>
      </c>
      <c r="U61" t="s">
        <v>92</v>
      </c>
      <c r="V61" t="s">
        <v>92</v>
      </c>
      <c r="W61" t="s">
        <v>92</v>
      </c>
      <c r="X61" t="s">
        <v>4</v>
      </c>
      <c r="Y61" t="s">
        <v>2979</v>
      </c>
      <c r="Z61" t="s">
        <v>2980</v>
      </c>
      <c r="AA61" t="s">
        <v>2981</v>
      </c>
      <c r="AB61" t="s">
        <v>4</v>
      </c>
      <c r="AC61" s="3" t="s">
        <v>93</v>
      </c>
      <c r="AD61" t="s">
        <v>4</v>
      </c>
      <c r="AE61" s="4" t="s">
        <v>94</v>
      </c>
      <c r="AZ61" t="s">
        <v>4</v>
      </c>
      <c r="BA61" s="3" t="s">
        <v>95</v>
      </c>
      <c r="BB61" s="6" t="s">
        <v>95</v>
      </c>
      <c r="BC61" s="3" t="s">
        <v>95</v>
      </c>
      <c r="BD61" t="s">
        <v>4</v>
      </c>
      <c r="BE61">
        <v>357</v>
      </c>
      <c r="BF61" t="s">
        <v>322</v>
      </c>
      <c r="CK61">
        <v>1</v>
      </c>
      <c r="CL61" t="s">
        <v>4</v>
      </c>
      <c r="CM61" t="s">
        <v>98</v>
      </c>
      <c r="CN61" t="s">
        <v>98</v>
      </c>
      <c r="CO61" t="s">
        <v>99</v>
      </c>
      <c r="CP61" t="s">
        <v>100</v>
      </c>
      <c r="CQ61">
        <v>60</v>
      </c>
      <c r="CR61" t="s">
        <v>100</v>
      </c>
      <c r="CS61" t="s">
        <v>101</v>
      </c>
      <c r="CT61" t="s">
        <v>152</v>
      </c>
      <c r="CU61" t="s">
        <v>102</v>
      </c>
      <c r="CV61" t="s">
        <v>100</v>
      </c>
    </row>
    <row r="62" spans="1:100">
      <c r="A62" s="3" t="s">
        <v>2982</v>
      </c>
      <c r="B62" s="4" t="s">
        <v>2983</v>
      </c>
      <c r="C62">
        <v>638.04060111806302</v>
      </c>
      <c r="D62">
        <v>7278.2076313132202</v>
      </c>
      <c r="E62">
        <f>-3.51114410183725</f>
        <v>-3.51114410183725</v>
      </c>
      <c r="F62" s="5">
        <v>7.0641504829465699E-76</v>
      </c>
      <c r="G62" t="s">
        <v>4</v>
      </c>
      <c r="H62">
        <v>638.04060111806302</v>
      </c>
      <c r="I62">
        <v>202.470188698751</v>
      </c>
      <c r="J62">
        <v>1.6434280952140199</v>
      </c>
      <c r="K62" s="5">
        <v>9.5941722737387004E-16</v>
      </c>
      <c r="L62" t="s">
        <v>4</v>
      </c>
      <c r="M62">
        <v>7278.2076313132202</v>
      </c>
      <c r="N62">
        <v>202.470188698751</v>
      </c>
      <c r="O62">
        <v>5.1545721970512801</v>
      </c>
      <c r="P62" s="5">
        <v>2.2815600229330402E-149</v>
      </c>
      <c r="Q62" t="s">
        <v>4</v>
      </c>
      <c r="R62" s="4" t="s">
        <v>87</v>
      </c>
      <c r="S62" t="s">
        <v>4</v>
      </c>
      <c r="T62" t="s">
        <v>92</v>
      </c>
      <c r="U62" t="s">
        <v>92</v>
      </c>
      <c r="V62" t="s">
        <v>92</v>
      </c>
      <c r="W62" t="s">
        <v>92</v>
      </c>
      <c r="X62" t="s">
        <v>4</v>
      </c>
      <c r="Y62" t="s">
        <v>92</v>
      </c>
      <c r="Z62" t="s">
        <v>92</v>
      </c>
      <c r="AA62" t="s">
        <v>92</v>
      </c>
      <c r="AB62" t="s">
        <v>4</v>
      </c>
      <c r="AC62" s="3" t="s">
        <v>93</v>
      </c>
      <c r="AD62" t="s">
        <v>4</v>
      </c>
      <c r="AE62" s="4" t="s">
        <v>94</v>
      </c>
      <c r="AZ62" t="s">
        <v>4</v>
      </c>
      <c r="BA62" s="3" t="s">
        <v>95</v>
      </c>
      <c r="BB62" s="6" t="s">
        <v>95</v>
      </c>
      <c r="BC62" s="3" t="s">
        <v>95</v>
      </c>
      <c r="BD62" t="s">
        <v>4</v>
      </c>
      <c r="BE62">
        <v>2978</v>
      </c>
      <c r="BF62" t="s">
        <v>97</v>
      </c>
      <c r="BG62">
        <v>99.146799999999999</v>
      </c>
      <c r="BH62">
        <v>74.744</v>
      </c>
      <c r="BI62">
        <v>93.686000000000007</v>
      </c>
      <c r="BJ62" t="s">
        <v>2984</v>
      </c>
      <c r="BK62">
        <v>74.573400000000007</v>
      </c>
      <c r="BL62" t="s">
        <v>2985</v>
      </c>
      <c r="BM62">
        <v>69.1126</v>
      </c>
      <c r="BN62">
        <v>66.894199999999998</v>
      </c>
      <c r="BO62">
        <v>66.894199999999998</v>
      </c>
      <c r="BP62">
        <v>7.3378800000000002</v>
      </c>
      <c r="CK62">
        <v>4</v>
      </c>
      <c r="CL62" t="s">
        <v>4</v>
      </c>
      <c r="CM62" t="s">
        <v>98</v>
      </c>
      <c r="CN62" t="s">
        <v>98</v>
      </c>
      <c r="CO62" t="s">
        <v>99</v>
      </c>
      <c r="CP62" t="s">
        <v>100</v>
      </c>
      <c r="CQ62">
        <v>61</v>
      </c>
      <c r="CR62" t="s">
        <v>100</v>
      </c>
      <c r="CS62" s="7" t="s">
        <v>101</v>
      </c>
      <c r="CT62" t="s">
        <v>152</v>
      </c>
      <c r="CU62" t="s">
        <v>102</v>
      </c>
      <c r="CV62" t="s">
        <v>100</v>
      </c>
    </row>
    <row r="63" spans="1:100">
      <c r="A63" s="3" t="s">
        <v>2986</v>
      </c>
      <c r="B63" s="4" t="s">
        <v>2987</v>
      </c>
      <c r="C63">
        <v>42.558931328358497</v>
      </c>
      <c r="D63">
        <v>221.393411608924</v>
      </c>
      <c r="E63">
        <f>-2.37388301036133</f>
        <v>-2.3738830103613302</v>
      </c>
      <c r="F63" s="5">
        <v>4.00307955001258E-8</v>
      </c>
      <c r="G63" t="s">
        <v>4</v>
      </c>
      <c r="H63">
        <v>42.558931328358497</v>
      </c>
      <c r="I63">
        <v>9.7008392891586297</v>
      </c>
      <c r="J63">
        <v>2.1836176539168699</v>
      </c>
      <c r="K63" s="5">
        <v>7.1353839316323195E-5</v>
      </c>
      <c r="L63" t="s">
        <v>4</v>
      </c>
      <c r="M63">
        <v>221.393411608924</v>
      </c>
      <c r="N63">
        <v>9.7008392891586297</v>
      </c>
      <c r="O63">
        <v>4.5575006642782103</v>
      </c>
      <c r="P63" s="5">
        <v>1.2251882717157599E-18</v>
      </c>
      <c r="Q63" t="s">
        <v>4</v>
      </c>
      <c r="R63" s="4" t="s">
        <v>87</v>
      </c>
      <c r="S63" t="s">
        <v>4</v>
      </c>
      <c r="T63" t="s">
        <v>2988</v>
      </c>
      <c r="U63" t="s">
        <v>2989</v>
      </c>
      <c r="V63" t="s">
        <v>2990</v>
      </c>
      <c r="W63" t="s">
        <v>203</v>
      </c>
      <c r="X63" t="s">
        <v>4</v>
      </c>
      <c r="Y63" t="s">
        <v>2991</v>
      </c>
      <c r="Z63" t="s">
        <v>2992</v>
      </c>
      <c r="AA63" t="s">
        <v>2993</v>
      </c>
      <c r="AB63" t="s">
        <v>4</v>
      </c>
      <c r="AC63" s="3" t="s">
        <v>2994</v>
      </c>
      <c r="AD63" t="s">
        <v>4</v>
      </c>
      <c r="AE63" t="s">
        <v>2995</v>
      </c>
      <c r="AF63" t="s">
        <v>2996</v>
      </c>
      <c r="AG63" t="s">
        <v>2997</v>
      </c>
      <c r="AH63" t="s">
        <v>386</v>
      </c>
      <c r="AU63" t="s">
        <v>112</v>
      </c>
      <c r="AV63" t="s">
        <v>2998</v>
      </c>
      <c r="AW63" t="s">
        <v>114</v>
      </c>
      <c r="AX63" t="s">
        <v>536</v>
      </c>
      <c r="AY63" t="s">
        <v>2999</v>
      </c>
      <c r="AZ63" t="s">
        <v>4</v>
      </c>
      <c r="BA63" s="3" t="s">
        <v>95</v>
      </c>
      <c r="BB63" t="s">
        <v>96</v>
      </c>
      <c r="BC63" s="3" t="s">
        <v>95</v>
      </c>
      <c r="BD63" t="s">
        <v>4</v>
      </c>
      <c r="BE63">
        <v>8265</v>
      </c>
      <c r="BF63" t="s">
        <v>213</v>
      </c>
      <c r="BG63">
        <v>97.478999999999999</v>
      </c>
      <c r="BH63">
        <v>52.1008</v>
      </c>
      <c r="BJ63">
        <v>62.745100000000001</v>
      </c>
      <c r="BK63">
        <v>59.1036</v>
      </c>
      <c r="BQ63" t="s">
        <v>3000</v>
      </c>
      <c r="BS63">
        <v>21.848700000000001</v>
      </c>
      <c r="CG63" t="s">
        <v>3001</v>
      </c>
      <c r="CH63" t="s">
        <v>3002</v>
      </c>
      <c r="CK63">
        <v>8</v>
      </c>
      <c r="CL63" t="s">
        <v>4</v>
      </c>
      <c r="CM63" t="s">
        <v>98</v>
      </c>
      <c r="CN63" t="s">
        <v>98</v>
      </c>
      <c r="CO63" t="s">
        <v>99</v>
      </c>
      <c r="CP63" t="s">
        <v>100</v>
      </c>
      <c r="CQ63">
        <v>62</v>
      </c>
      <c r="CR63" t="s">
        <v>100</v>
      </c>
      <c r="CS63" t="s">
        <v>101</v>
      </c>
      <c r="CT63" t="s">
        <v>152</v>
      </c>
      <c r="CU63" t="s">
        <v>102</v>
      </c>
      <c r="CV63" t="s">
        <v>100</v>
      </c>
    </row>
    <row r="64" spans="1:100">
      <c r="A64" s="3" t="s">
        <v>3003</v>
      </c>
      <c r="B64" s="4" t="s">
        <v>3004</v>
      </c>
      <c r="C64">
        <v>3478.7293322332098</v>
      </c>
      <c r="D64">
        <v>18206.682179855001</v>
      </c>
      <c r="E64">
        <f>-2.38787897973513</f>
        <v>-2.3878789797351301</v>
      </c>
      <c r="F64" s="5">
        <v>2.9926152238231702E-27</v>
      </c>
      <c r="G64" t="s">
        <v>4</v>
      </c>
      <c r="H64">
        <v>3478.7293322332098</v>
      </c>
      <c r="I64">
        <v>818.01661711156396</v>
      </c>
      <c r="J64">
        <v>2.0877048290969298</v>
      </c>
      <c r="K64" s="5">
        <v>4.6287049973738501E-21</v>
      </c>
      <c r="L64" t="s">
        <v>4</v>
      </c>
      <c r="M64">
        <v>18206.682179855001</v>
      </c>
      <c r="N64">
        <v>818.01661711156396</v>
      </c>
      <c r="O64">
        <v>4.4755838088320603</v>
      </c>
      <c r="P64" s="5">
        <v>8.3004615551015096E-94</v>
      </c>
      <c r="Q64" t="s">
        <v>4</v>
      </c>
      <c r="R64" s="4" t="s">
        <v>87</v>
      </c>
      <c r="S64" t="s">
        <v>4</v>
      </c>
      <c r="T64" t="s">
        <v>3005</v>
      </c>
      <c r="U64" t="s">
        <v>3006</v>
      </c>
      <c r="V64" t="s">
        <v>3007</v>
      </c>
      <c r="W64" t="s">
        <v>203</v>
      </c>
      <c r="X64" t="s">
        <v>4</v>
      </c>
      <c r="Y64" t="s">
        <v>3008</v>
      </c>
      <c r="Z64" t="s">
        <v>3009</v>
      </c>
      <c r="AA64" t="s">
        <v>3010</v>
      </c>
      <c r="AB64" t="s">
        <v>4</v>
      </c>
      <c r="AC64" s="3" t="s">
        <v>3011</v>
      </c>
      <c r="AD64" t="s">
        <v>4</v>
      </c>
      <c r="AE64" t="s">
        <v>3012</v>
      </c>
      <c r="AF64" t="s">
        <v>834</v>
      </c>
      <c r="AG64" t="s">
        <v>3013</v>
      </c>
      <c r="AH64" t="s">
        <v>282</v>
      </c>
      <c r="AU64" t="s">
        <v>112</v>
      </c>
      <c r="AV64" t="s">
        <v>3014</v>
      </c>
      <c r="AW64" t="s">
        <v>114</v>
      </c>
      <c r="AX64" t="s">
        <v>536</v>
      </c>
      <c r="AY64" t="s">
        <v>3015</v>
      </c>
      <c r="AZ64" t="s">
        <v>4</v>
      </c>
      <c r="BA64" s="3" t="s">
        <v>95</v>
      </c>
      <c r="BB64" s="6" t="s">
        <v>95</v>
      </c>
      <c r="BC64" s="3" t="s">
        <v>95</v>
      </c>
      <c r="BD64" t="s">
        <v>4</v>
      </c>
      <c r="BE64">
        <v>8277</v>
      </c>
      <c r="BF64" t="s">
        <v>213</v>
      </c>
      <c r="BH64">
        <v>58.6629</v>
      </c>
      <c r="BI64">
        <v>89.171400000000006</v>
      </c>
      <c r="BJ64">
        <v>61.0169</v>
      </c>
      <c r="BK64">
        <v>62.7119</v>
      </c>
      <c r="BM64">
        <v>32.485900000000001</v>
      </c>
      <c r="BN64">
        <v>52.259900000000002</v>
      </c>
      <c r="BO64">
        <v>64.218500000000006</v>
      </c>
      <c r="BP64">
        <v>22.316400000000002</v>
      </c>
      <c r="BX64">
        <v>5.4613899999999997</v>
      </c>
      <c r="CA64" t="s">
        <v>3016</v>
      </c>
      <c r="CB64">
        <v>9.4161999999999999</v>
      </c>
      <c r="CC64">
        <v>11.4878</v>
      </c>
      <c r="CD64">
        <v>13.371</v>
      </c>
      <c r="CF64" t="s">
        <v>3017</v>
      </c>
      <c r="CG64">
        <v>16.572500000000002</v>
      </c>
      <c r="CH64">
        <v>16.101700000000001</v>
      </c>
      <c r="CI64">
        <v>15.5367</v>
      </c>
      <c r="CJ64" t="s">
        <v>3018</v>
      </c>
      <c r="CK64">
        <v>8</v>
      </c>
      <c r="CL64" t="s">
        <v>4</v>
      </c>
      <c r="CM64" t="s">
        <v>3019</v>
      </c>
      <c r="CN64" t="s">
        <v>3020</v>
      </c>
      <c r="CO64" t="s">
        <v>3021</v>
      </c>
      <c r="CP64" t="s">
        <v>100</v>
      </c>
      <c r="CQ64">
        <v>63</v>
      </c>
      <c r="CR64" t="s">
        <v>100</v>
      </c>
      <c r="CS64" t="s">
        <v>101</v>
      </c>
      <c r="CT64" t="s">
        <v>152</v>
      </c>
      <c r="CU64" t="s">
        <v>102</v>
      </c>
      <c r="CV64" t="s">
        <v>100</v>
      </c>
    </row>
    <row r="65" spans="1:100">
      <c r="A65" s="3" t="s">
        <v>3022</v>
      </c>
      <c r="B65" s="4" t="s">
        <v>3023</v>
      </c>
      <c r="C65">
        <v>268.94045211311499</v>
      </c>
      <c r="D65">
        <v>1641.42999505329</v>
      </c>
      <c r="E65">
        <f>-2.60969284283708</f>
        <v>-2.60969284283708</v>
      </c>
      <c r="F65" s="5">
        <v>1.0351699471458301E-15</v>
      </c>
      <c r="G65" t="s">
        <v>4</v>
      </c>
      <c r="H65">
        <v>268.94045211311499</v>
      </c>
      <c r="I65">
        <v>293.06862840624802</v>
      </c>
      <c r="J65">
        <f>0.131111471297678</f>
        <v>0.131111471297678</v>
      </c>
      <c r="K65">
        <v>0.73414930424583102</v>
      </c>
      <c r="L65" t="s">
        <v>4</v>
      </c>
      <c r="M65">
        <v>1641.42999505329</v>
      </c>
      <c r="N65">
        <v>293.06862840624802</v>
      </c>
      <c r="O65">
        <v>2.4785813715393998</v>
      </c>
      <c r="P65" s="5">
        <v>1.2030477864095E-14</v>
      </c>
      <c r="Q65" t="s">
        <v>4</v>
      </c>
      <c r="R65" s="4" t="s">
        <v>87</v>
      </c>
      <c r="S65" t="s">
        <v>4</v>
      </c>
      <c r="T65" t="s">
        <v>92</v>
      </c>
      <c r="U65" t="s">
        <v>92</v>
      </c>
      <c r="V65" t="s">
        <v>92</v>
      </c>
      <c r="W65" t="s">
        <v>92</v>
      </c>
      <c r="X65" t="s">
        <v>4</v>
      </c>
      <c r="Y65" t="s">
        <v>92</v>
      </c>
      <c r="Z65" t="s">
        <v>92</v>
      </c>
      <c r="AA65" t="s">
        <v>92</v>
      </c>
      <c r="AB65" t="s">
        <v>4</v>
      </c>
      <c r="AC65" s="3" t="s">
        <v>93</v>
      </c>
      <c r="AD65" t="s">
        <v>4</v>
      </c>
      <c r="AE65" s="4" t="s">
        <v>94</v>
      </c>
      <c r="AZ65" t="s">
        <v>4</v>
      </c>
      <c r="BA65" s="3" t="s">
        <v>115</v>
      </c>
      <c r="BB65" s="6" t="s">
        <v>95</v>
      </c>
      <c r="BC65" s="3" t="s">
        <v>95</v>
      </c>
      <c r="BD65" t="s">
        <v>4</v>
      </c>
      <c r="BE65">
        <v>2993</v>
      </c>
      <c r="BF65" t="s">
        <v>97</v>
      </c>
      <c r="BG65">
        <v>97.572800000000001</v>
      </c>
      <c r="BH65">
        <v>31.5534</v>
      </c>
      <c r="BI65">
        <v>93.932000000000002</v>
      </c>
      <c r="BJ65">
        <v>83.737899999999996</v>
      </c>
      <c r="BK65">
        <v>76.698999999999998</v>
      </c>
      <c r="BL65">
        <v>33.009700000000002</v>
      </c>
      <c r="BN65">
        <v>78.155299999999997</v>
      </c>
      <c r="BO65">
        <v>76.456299999999999</v>
      </c>
      <c r="BP65">
        <v>44.174799999999998</v>
      </c>
      <c r="CK65">
        <v>4</v>
      </c>
      <c r="CL65" t="s">
        <v>4</v>
      </c>
      <c r="CM65" t="s">
        <v>98</v>
      </c>
      <c r="CN65" t="s">
        <v>98</v>
      </c>
      <c r="CO65" t="s">
        <v>99</v>
      </c>
      <c r="CP65" t="s">
        <v>100</v>
      </c>
      <c r="CQ65">
        <v>64</v>
      </c>
      <c r="CR65" t="s">
        <v>100</v>
      </c>
      <c r="CS65" t="s">
        <v>100</v>
      </c>
      <c r="CT65" t="s">
        <v>152</v>
      </c>
      <c r="CU65" t="s">
        <v>102</v>
      </c>
      <c r="CV65" t="s">
        <v>100</v>
      </c>
    </row>
    <row r="66" spans="1:100">
      <c r="A66" s="3" t="s">
        <v>3024</v>
      </c>
      <c r="B66" s="4" t="s">
        <v>3025</v>
      </c>
      <c r="C66">
        <v>89.209295806779807</v>
      </c>
      <c r="D66">
        <v>364.31802461165302</v>
      </c>
      <c r="E66">
        <f>-2.02796846676827</f>
        <v>-2.0279684667682698</v>
      </c>
      <c r="F66" s="5">
        <v>8.0486816772823503E-5</v>
      </c>
      <c r="G66" t="s">
        <v>4</v>
      </c>
      <c r="H66">
        <v>89.209295806779807</v>
      </c>
      <c r="I66">
        <v>29.2932699709757</v>
      </c>
      <c r="J66">
        <v>1.5688358999067999</v>
      </c>
      <c r="K66">
        <v>4.0772187961337202E-3</v>
      </c>
      <c r="L66" t="s">
        <v>4</v>
      </c>
      <c r="M66">
        <v>364.31802461165302</v>
      </c>
      <c r="N66">
        <v>29.2932699709757</v>
      </c>
      <c r="O66">
        <v>3.59680436667507</v>
      </c>
      <c r="P66" s="5">
        <v>2.4301516930215799E-12</v>
      </c>
      <c r="Q66" t="s">
        <v>4</v>
      </c>
      <c r="R66" s="4" t="s">
        <v>87</v>
      </c>
      <c r="S66" t="s">
        <v>4</v>
      </c>
      <c r="T66" t="s">
        <v>88</v>
      </c>
      <c r="U66" t="s">
        <v>89</v>
      </c>
      <c r="V66" t="s">
        <v>90</v>
      </c>
      <c r="W66" t="s">
        <v>91</v>
      </c>
      <c r="X66" t="s">
        <v>4</v>
      </c>
      <c r="Y66" t="s">
        <v>3026</v>
      </c>
      <c r="Z66" t="s">
        <v>3027</v>
      </c>
      <c r="AA66" t="s">
        <v>3028</v>
      </c>
      <c r="AB66" t="s">
        <v>4</v>
      </c>
      <c r="AC66" s="3" t="s">
        <v>3029</v>
      </c>
      <c r="AD66" t="s">
        <v>4</v>
      </c>
      <c r="AE66" t="s">
        <v>3030</v>
      </c>
      <c r="AF66" t="s">
        <v>3031</v>
      </c>
      <c r="AG66" t="s">
        <v>3032</v>
      </c>
      <c r="AH66" t="s">
        <v>386</v>
      </c>
      <c r="AU66" t="s">
        <v>112</v>
      </c>
      <c r="AV66" t="s">
        <v>3033</v>
      </c>
      <c r="AW66" t="s">
        <v>114</v>
      </c>
      <c r="AX66" t="s">
        <v>132</v>
      </c>
      <c r="AY66" t="s">
        <v>3034</v>
      </c>
      <c r="AZ66" t="s">
        <v>4</v>
      </c>
      <c r="BA66" s="3" t="s">
        <v>95</v>
      </c>
      <c r="BB66" t="s">
        <v>96</v>
      </c>
      <c r="BC66" s="3" t="s">
        <v>95</v>
      </c>
      <c r="BD66" t="s">
        <v>4</v>
      </c>
      <c r="BE66">
        <v>2310</v>
      </c>
      <c r="BF66" t="s">
        <v>148</v>
      </c>
      <c r="BG66">
        <v>95.987700000000004</v>
      </c>
      <c r="BH66">
        <v>72.530900000000003</v>
      </c>
      <c r="BI66">
        <v>71.296300000000002</v>
      </c>
      <c r="BK66">
        <v>51.851900000000001</v>
      </c>
      <c r="BL66">
        <v>45.987699999999997</v>
      </c>
      <c r="BM66">
        <v>42.592599999999997</v>
      </c>
      <c r="BN66">
        <v>59.259300000000003</v>
      </c>
      <c r="CK66">
        <v>3</v>
      </c>
      <c r="CL66" t="s">
        <v>4</v>
      </c>
      <c r="CM66" t="s">
        <v>98</v>
      </c>
      <c r="CN66" t="s">
        <v>98</v>
      </c>
      <c r="CO66" t="s">
        <v>99</v>
      </c>
      <c r="CP66" t="s">
        <v>100</v>
      </c>
      <c r="CQ66">
        <v>65</v>
      </c>
      <c r="CR66" t="s">
        <v>100</v>
      </c>
      <c r="CS66" s="7" t="s">
        <v>101</v>
      </c>
      <c r="CT66" t="s">
        <v>152</v>
      </c>
      <c r="CU66" t="s">
        <v>102</v>
      </c>
      <c r="CV66" t="s">
        <v>100</v>
      </c>
    </row>
    <row r="67" spans="1:100">
      <c r="A67" s="3" t="s">
        <v>3035</v>
      </c>
      <c r="B67" s="4" t="s">
        <v>3036</v>
      </c>
      <c r="C67">
        <v>761.30507271047202</v>
      </c>
      <c r="D67">
        <v>4681.99871421853</v>
      </c>
      <c r="E67">
        <f>-2.62032455437279</f>
        <v>-2.62032455437279</v>
      </c>
      <c r="F67" s="5">
        <v>5.07364526930008E-15</v>
      </c>
      <c r="G67" t="s">
        <v>4</v>
      </c>
      <c r="H67">
        <v>761.30507271047202</v>
      </c>
      <c r="I67">
        <v>199.951423319284</v>
      </c>
      <c r="J67">
        <v>1.9349034429002201</v>
      </c>
      <c r="K67" s="5">
        <v>1.5620312638749799E-8</v>
      </c>
      <c r="L67" t="s">
        <v>4</v>
      </c>
      <c r="M67">
        <v>4681.99871421853</v>
      </c>
      <c r="N67">
        <v>199.951423319284</v>
      </c>
      <c r="O67">
        <v>4.5552279972729997</v>
      </c>
      <c r="P67" s="5">
        <v>3.19230787476699E-43</v>
      </c>
      <c r="Q67" t="s">
        <v>4</v>
      </c>
      <c r="R67" s="4" t="s">
        <v>87</v>
      </c>
      <c r="S67" t="s">
        <v>4</v>
      </c>
      <c r="T67" t="s">
        <v>92</v>
      </c>
      <c r="U67" t="s">
        <v>92</v>
      </c>
      <c r="V67" t="s">
        <v>92</v>
      </c>
      <c r="W67" t="s">
        <v>92</v>
      </c>
      <c r="X67" t="s">
        <v>4</v>
      </c>
      <c r="Y67" t="s">
        <v>3037</v>
      </c>
      <c r="Z67" t="s">
        <v>3038</v>
      </c>
      <c r="AA67" t="s">
        <v>3039</v>
      </c>
      <c r="AB67" t="s">
        <v>4</v>
      </c>
      <c r="AC67" s="3" t="s">
        <v>3040</v>
      </c>
      <c r="AD67" t="s">
        <v>4</v>
      </c>
      <c r="AE67" t="s">
        <v>3041</v>
      </c>
      <c r="AF67" t="s">
        <v>3042</v>
      </c>
      <c r="AG67" t="s">
        <v>3043</v>
      </c>
      <c r="AH67" t="s">
        <v>314</v>
      </c>
      <c r="AU67" t="s">
        <v>112</v>
      </c>
      <c r="AV67" t="s">
        <v>3044</v>
      </c>
      <c r="AW67" t="s">
        <v>114</v>
      </c>
      <c r="AX67" t="s">
        <v>167</v>
      </c>
      <c r="AY67" t="s">
        <v>3045</v>
      </c>
      <c r="AZ67" t="s">
        <v>4</v>
      </c>
      <c r="BA67" s="3" t="s">
        <v>95</v>
      </c>
      <c r="BB67" s="6" t="s">
        <v>95</v>
      </c>
      <c r="BC67" s="3" t="s">
        <v>95</v>
      </c>
      <c r="BD67" t="s">
        <v>4</v>
      </c>
      <c r="BE67">
        <v>2311</v>
      </c>
      <c r="BF67" t="s">
        <v>148</v>
      </c>
      <c r="BG67">
        <v>98.874799999999993</v>
      </c>
      <c r="BH67">
        <v>96.624499999999998</v>
      </c>
      <c r="BI67">
        <v>93.670900000000003</v>
      </c>
      <c r="BJ67">
        <v>64.697599999999994</v>
      </c>
      <c r="BK67">
        <v>51.898699999999998</v>
      </c>
      <c r="CK67">
        <v>3</v>
      </c>
      <c r="CL67" t="s">
        <v>4</v>
      </c>
      <c r="CM67" t="s">
        <v>98</v>
      </c>
      <c r="CN67" t="s">
        <v>98</v>
      </c>
      <c r="CO67" t="s">
        <v>99</v>
      </c>
      <c r="CP67" t="s">
        <v>100</v>
      </c>
      <c r="CQ67">
        <v>66</v>
      </c>
      <c r="CR67" t="s">
        <v>100</v>
      </c>
      <c r="CS67" s="7" t="s">
        <v>101</v>
      </c>
      <c r="CT67" t="s">
        <v>152</v>
      </c>
      <c r="CU67" t="s">
        <v>102</v>
      </c>
      <c r="CV67" t="s">
        <v>100</v>
      </c>
    </row>
    <row r="68" spans="1:100">
      <c r="A68" s="3" t="s">
        <v>3046</v>
      </c>
      <c r="B68" s="4" t="s">
        <v>3047</v>
      </c>
      <c r="C68">
        <v>246.38528159597399</v>
      </c>
      <c r="D68">
        <v>4382.3979721321102</v>
      </c>
      <c r="E68">
        <f>-4.15172827330151</f>
        <v>-4.1517282733015097</v>
      </c>
      <c r="F68" s="5">
        <v>2.8427645409193998E-23</v>
      </c>
      <c r="G68" t="s">
        <v>4</v>
      </c>
      <c r="H68">
        <v>246.38528159597399</v>
      </c>
      <c r="I68">
        <v>743.10524365170102</v>
      </c>
      <c r="J68">
        <f>-1.5912054387749</f>
        <v>-1.5912054387748999</v>
      </c>
      <c r="K68">
        <v>2.4188208233426599E-4</v>
      </c>
      <c r="L68" t="s">
        <v>4</v>
      </c>
      <c r="M68">
        <v>4382.3979721321102</v>
      </c>
      <c r="N68">
        <v>743.10524365170102</v>
      </c>
      <c r="O68">
        <v>2.56052283452662</v>
      </c>
      <c r="P68" s="5">
        <v>7.0326447524741705E-10</v>
      </c>
      <c r="Q68" t="s">
        <v>4</v>
      </c>
      <c r="R68" s="4" t="s">
        <v>87</v>
      </c>
      <c r="S68" t="s">
        <v>4</v>
      </c>
      <c r="T68" t="s">
        <v>2243</v>
      </c>
      <c r="U68" t="s">
        <v>2244</v>
      </c>
      <c r="V68" t="s">
        <v>2245</v>
      </c>
      <c r="W68" t="s">
        <v>123</v>
      </c>
      <c r="X68" t="s">
        <v>4</v>
      </c>
      <c r="Y68" t="s">
        <v>3048</v>
      </c>
      <c r="Z68" t="s">
        <v>3049</v>
      </c>
      <c r="AA68" t="s">
        <v>3050</v>
      </c>
      <c r="AB68" t="s">
        <v>4</v>
      </c>
      <c r="AC68" s="3" t="s">
        <v>3051</v>
      </c>
      <c r="AD68" t="s">
        <v>4</v>
      </c>
      <c r="AE68" s="4" t="s">
        <v>94</v>
      </c>
      <c r="AZ68" t="s">
        <v>4</v>
      </c>
      <c r="BA68" s="3" t="s">
        <v>115</v>
      </c>
      <c r="BB68" s="6" t="s">
        <v>95</v>
      </c>
      <c r="BC68" s="3" t="s">
        <v>95</v>
      </c>
      <c r="BD68" t="s">
        <v>4</v>
      </c>
      <c r="BE68">
        <v>2313</v>
      </c>
      <c r="BF68" t="s">
        <v>148</v>
      </c>
      <c r="BG68">
        <v>87.930999999999997</v>
      </c>
      <c r="BH68">
        <v>88.793099999999995</v>
      </c>
      <c r="BI68">
        <v>91.379300000000001</v>
      </c>
      <c r="BJ68">
        <v>62.356299999999997</v>
      </c>
      <c r="BK68">
        <v>64.080500000000001</v>
      </c>
      <c r="BL68">
        <v>40.229900000000001</v>
      </c>
      <c r="BM68">
        <v>46.264400000000002</v>
      </c>
      <c r="BN68">
        <v>54.310299999999998</v>
      </c>
      <c r="BO68">
        <v>63.793100000000003</v>
      </c>
      <c r="CK68">
        <v>3</v>
      </c>
      <c r="CL68" t="s">
        <v>4</v>
      </c>
      <c r="CM68" t="s">
        <v>98</v>
      </c>
      <c r="CN68" t="s">
        <v>98</v>
      </c>
      <c r="CO68" t="s">
        <v>99</v>
      </c>
      <c r="CP68" t="s">
        <v>100</v>
      </c>
      <c r="CQ68">
        <v>67</v>
      </c>
      <c r="CR68" t="s">
        <v>100</v>
      </c>
      <c r="CS68" t="s">
        <v>100</v>
      </c>
      <c r="CT68" t="s">
        <v>152</v>
      </c>
      <c r="CU68" t="s">
        <v>102</v>
      </c>
      <c r="CV68" t="s">
        <v>100</v>
      </c>
    </row>
    <row r="69" spans="1:100">
      <c r="A69" s="3" t="s">
        <v>3052</v>
      </c>
      <c r="B69" s="4" t="s">
        <v>3053</v>
      </c>
      <c r="C69">
        <v>119.25157881558501</v>
      </c>
      <c r="D69">
        <v>1289.6679542105401</v>
      </c>
      <c r="E69">
        <f>-3.43358029519669</f>
        <v>-3.4335802951966898</v>
      </c>
      <c r="F69" s="5">
        <v>9.3409955603986005E-14</v>
      </c>
      <c r="G69" t="s">
        <v>4</v>
      </c>
      <c r="H69">
        <v>119.25157881558501</v>
      </c>
      <c r="I69">
        <v>53.373080547657999</v>
      </c>
      <c r="J69">
        <v>1.1726440611804401</v>
      </c>
      <c r="K69">
        <v>2.0204717586470699E-2</v>
      </c>
      <c r="L69" t="s">
        <v>4</v>
      </c>
      <c r="M69">
        <v>1289.6679542105401</v>
      </c>
      <c r="N69">
        <v>53.373080547657999</v>
      </c>
      <c r="O69">
        <v>4.6062243563771297</v>
      </c>
      <c r="P69" s="5">
        <v>3.1588723170982001E-23</v>
      </c>
      <c r="Q69" t="s">
        <v>4</v>
      </c>
      <c r="R69" s="4" t="s">
        <v>87</v>
      </c>
      <c r="S69" t="s">
        <v>4</v>
      </c>
      <c r="T69" t="s">
        <v>92</v>
      </c>
      <c r="U69" t="s">
        <v>92</v>
      </c>
      <c r="V69" t="s">
        <v>92</v>
      </c>
      <c r="W69" t="s">
        <v>92</v>
      </c>
      <c r="X69" t="s">
        <v>4</v>
      </c>
      <c r="Y69" t="s">
        <v>92</v>
      </c>
      <c r="Z69" t="s">
        <v>92</v>
      </c>
      <c r="AA69" t="s">
        <v>92</v>
      </c>
      <c r="AB69" t="s">
        <v>4</v>
      </c>
      <c r="AC69" s="3" t="s">
        <v>93</v>
      </c>
      <c r="AD69" t="s">
        <v>4</v>
      </c>
      <c r="AE69" s="4" t="s">
        <v>94</v>
      </c>
      <c r="AZ69" t="s">
        <v>4</v>
      </c>
      <c r="BA69" s="3" t="s">
        <v>95</v>
      </c>
      <c r="BB69" s="6" t="s">
        <v>95</v>
      </c>
      <c r="BC69" s="3" t="s">
        <v>95</v>
      </c>
      <c r="BD69" t="s">
        <v>4</v>
      </c>
      <c r="BE69">
        <v>1487</v>
      </c>
      <c r="BF69" t="s">
        <v>151</v>
      </c>
      <c r="BG69">
        <v>95.977000000000004</v>
      </c>
      <c r="BH69">
        <v>97.126400000000004</v>
      </c>
      <c r="BI69">
        <v>79.310299999999998</v>
      </c>
      <c r="BJ69">
        <v>8.6206899999999997</v>
      </c>
      <c r="BK69">
        <v>32.183900000000001</v>
      </c>
      <c r="BL69">
        <v>36.206899999999997</v>
      </c>
      <c r="BM69">
        <v>27.011500000000002</v>
      </c>
      <c r="BN69">
        <v>26.436800000000002</v>
      </c>
      <c r="BO69" t="s">
        <v>3054</v>
      </c>
      <c r="CK69">
        <v>2</v>
      </c>
      <c r="CL69" t="s">
        <v>4</v>
      </c>
      <c r="CM69" t="s">
        <v>98</v>
      </c>
      <c r="CN69" t="s">
        <v>98</v>
      </c>
      <c r="CO69" t="s">
        <v>99</v>
      </c>
      <c r="CP69" t="s">
        <v>100</v>
      </c>
      <c r="CQ69">
        <v>68</v>
      </c>
      <c r="CR69" t="s">
        <v>100</v>
      </c>
      <c r="CS69" s="7" t="s">
        <v>101</v>
      </c>
      <c r="CT69" t="s">
        <v>152</v>
      </c>
      <c r="CU69" t="s">
        <v>102</v>
      </c>
      <c r="CV69" t="s">
        <v>100</v>
      </c>
    </row>
    <row r="70" spans="1:100">
      <c r="A70" s="3" t="s">
        <v>3055</v>
      </c>
      <c r="B70" s="4" t="s">
        <v>3056</v>
      </c>
      <c r="C70">
        <v>49.316143932318397</v>
      </c>
      <c r="D70">
        <v>239.686180098943</v>
      </c>
      <c r="E70">
        <f>-2.28242674182562</f>
        <v>-2.2824267418256201</v>
      </c>
      <c r="F70" s="5">
        <v>7.6665563424919606E-5</v>
      </c>
      <c r="G70" t="s">
        <v>4</v>
      </c>
      <c r="H70">
        <v>49.316143932318397</v>
      </c>
      <c r="I70">
        <v>12.1286157883765</v>
      </c>
      <c r="J70">
        <v>1.9693626840430301</v>
      </c>
      <c r="K70">
        <v>2.2701973972507898E-3</v>
      </c>
      <c r="L70" t="s">
        <v>4</v>
      </c>
      <c r="M70">
        <v>239.686180098943</v>
      </c>
      <c r="N70">
        <v>12.1286157883765</v>
      </c>
      <c r="O70">
        <v>4.2517894258686502</v>
      </c>
      <c r="P70" s="5">
        <v>2.35906189422874E-12</v>
      </c>
      <c r="Q70" t="s">
        <v>4</v>
      </c>
      <c r="R70" s="4" t="s">
        <v>87</v>
      </c>
      <c r="S70" t="s">
        <v>4</v>
      </c>
      <c r="T70" t="s">
        <v>92</v>
      </c>
      <c r="U70" t="s">
        <v>92</v>
      </c>
      <c r="V70" t="s">
        <v>92</v>
      </c>
      <c r="W70" t="s">
        <v>92</v>
      </c>
      <c r="X70" t="s">
        <v>4</v>
      </c>
      <c r="Y70" t="s">
        <v>92</v>
      </c>
      <c r="Z70" t="s">
        <v>92</v>
      </c>
      <c r="AA70" t="s">
        <v>92</v>
      </c>
      <c r="AB70" t="s">
        <v>4</v>
      </c>
      <c r="AC70" s="3" t="s">
        <v>93</v>
      </c>
      <c r="AD70" t="s">
        <v>4</v>
      </c>
      <c r="AE70" s="4" t="s">
        <v>94</v>
      </c>
      <c r="AZ70" t="s">
        <v>4</v>
      </c>
      <c r="BA70" s="3" t="s">
        <v>95</v>
      </c>
      <c r="BB70" t="s">
        <v>96</v>
      </c>
      <c r="BC70" s="3" t="s">
        <v>95</v>
      </c>
      <c r="BD70" t="s">
        <v>4</v>
      </c>
      <c r="BE70">
        <v>1493</v>
      </c>
      <c r="BF70" t="s">
        <v>151</v>
      </c>
      <c r="BH70">
        <v>65.273300000000006</v>
      </c>
      <c r="BJ70">
        <v>59.807099999999998</v>
      </c>
      <c r="BN70" t="s">
        <v>3057</v>
      </c>
      <c r="BO70">
        <v>31.511299999999999</v>
      </c>
      <c r="CK70">
        <v>2</v>
      </c>
      <c r="CL70" t="s">
        <v>4</v>
      </c>
      <c r="CM70" t="s">
        <v>98</v>
      </c>
      <c r="CN70" t="s">
        <v>98</v>
      </c>
      <c r="CO70" t="s">
        <v>99</v>
      </c>
      <c r="CP70" t="s">
        <v>100</v>
      </c>
      <c r="CQ70">
        <v>69</v>
      </c>
      <c r="CR70" t="s">
        <v>100</v>
      </c>
      <c r="CS70" s="7" t="s">
        <v>101</v>
      </c>
      <c r="CT70" t="s">
        <v>152</v>
      </c>
      <c r="CU70" t="s">
        <v>102</v>
      </c>
      <c r="CV70" t="s">
        <v>100</v>
      </c>
    </row>
    <row r="71" spans="1:100">
      <c r="A71" s="3" t="s">
        <v>3058</v>
      </c>
      <c r="B71" s="4" t="s">
        <v>3059</v>
      </c>
      <c r="C71">
        <v>60.3465895218892</v>
      </c>
      <c r="D71">
        <v>712.18668983110194</v>
      </c>
      <c r="E71">
        <f>-3.55961449006824</f>
        <v>-3.55961449006824</v>
      </c>
      <c r="F71" s="5">
        <v>2.0199166725089601E-7</v>
      </c>
      <c r="G71" t="s">
        <v>4</v>
      </c>
      <c r="H71">
        <v>60.3465895218892</v>
      </c>
      <c r="I71">
        <v>26.836202972306101</v>
      </c>
      <c r="J71">
        <v>1.1821296347643699</v>
      </c>
      <c r="K71">
        <v>0.11508247859579999</v>
      </c>
      <c r="L71" t="s">
        <v>4</v>
      </c>
      <c r="M71">
        <v>712.18668983110194</v>
      </c>
      <c r="N71">
        <v>26.836202972306101</v>
      </c>
      <c r="O71">
        <v>4.7417441248326098</v>
      </c>
      <c r="P71" s="5">
        <v>3.30789021905105E-12</v>
      </c>
      <c r="Q71" t="s">
        <v>4</v>
      </c>
      <c r="R71" s="4" t="s">
        <v>87</v>
      </c>
      <c r="S71" t="s">
        <v>4</v>
      </c>
      <c r="T71" t="s">
        <v>92</v>
      </c>
      <c r="U71" t="s">
        <v>92</v>
      </c>
      <c r="V71" t="s">
        <v>92</v>
      </c>
      <c r="W71" t="s">
        <v>92</v>
      </c>
      <c r="X71" t="s">
        <v>4</v>
      </c>
      <c r="Y71" t="s">
        <v>92</v>
      </c>
      <c r="Z71" t="s">
        <v>92</v>
      </c>
      <c r="AA71" t="s">
        <v>92</v>
      </c>
      <c r="AB71" t="s">
        <v>4</v>
      </c>
      <c r="AC71" s="3" t="s">
        <v>93</v>
      </c>
      <c r="AD71" t="s">
        <v>4</v>
      </c>
      <c r="AE71" s="4" t="s">
        <v>94</v>
      </c>
      <c r="AZ71" t="s">
        <v>4</v>
      </c>
      <c r="BA71" s="3" t="s">
        <v>95</v>
      </c>
      <c r="BB71" s="6" t="s">
        <v>95</v>
      </c>
      <c r="BC71" s="3" t="s">
        <v>95</v>
      </c>
      <c r="BD71" t="s">
        <v>4</v>
      </c>
      <c r="BE71">
        <v>383</v>
      </c>
      <c r="BF71" t="s">
        <v>322</v>
      </c>
      <c r="CK71">
        <v>1</v>
      </c>
      <c r="CL71" t="s">
        <v>4</v>
      </c>
      <c r="CM71" t="s">
        <v>98</v>
      </c>
      <c r="CN71" t="s">
        <v>98</v>
      </c>
      <c r="CO71" t="s">
        <v>99</v>
      </c>
      <c r="CP71" t="s">
        <v>100</v>
      </c>
      <c r="CQ71">
        <v>70</v>
      </c>
      <c r="CR71" t="s">
        <v>100</v>
      </c>
      <c r="CS71" t="s">
        <v>100</v>
      </c>
      <c r="CT71" t="s">
        <v>152</v>
      </c>
      <c r="CU71" t="s">
        <v>102</v>
      </c>
      <c r="CV71" t="s">
        <v>100</v>
      </c>
    </row>
    <row r="72" spans="1:100">
      <c r="A72" s="3" t="s">
        <v>3060</v>
      </c>
      <c r="B72" s="4" t="s">
        <v>3061</v>
      </c>
      <c r="C72">
        <v>0.78823188686948098</v>
      </c>
      <c r="D72">
        <v>24.875746918082399</v>
      </c>
      <c r="E72">
        <f>-5.02343954296254</f>
        <v>-5.0234395429625396</v>
      </c>
      <c r="F72">
        <v>3.9615590473962499E-4</v>
      </c>
      <c r="G72" t="s">
        <v>4</v>
      </c>
      <c r="H72">
        <v>0.78823188686948098</v>
      </c>
      <c r="I72">
        <v>0.337017752855924</v>
      </c>
      <c r="J72">
        <v>0.60175892100009698</v>
      </c>
      <c r="K72">
        <v>0.77790566591658405</v>
      </c>
      <c r="L72" t="s">
        <v>4</v>
      </c>
      <c r="M72">
        <v>24.875746918082399</v>
      </c>
      <c r="N72">
        <v>0.337017752855924</v>
      </c>
      <c r="O72">
        <v>5.62519846396264</v>
      </c>
      <c r="P72">
        <v>5.7626834304824704E-4</v>
      </c>
      <c r="Q72" t="s">
        <v>4</v>
      </c>
      <c r="R72" s="4" t="s">
        <v>87</v>
      </c>
      <c r="S72" t="s">
        <v>4</v>
      </c>
      <c r="T72" t="s">
        <v>92</v>
      </c>
      <c r="U72" t="s">
        <v>92</v>
      </c>
      <c r="V72" t="s">
        <v>92</v>
      </c>
      <c r="W72" t="s">
        <v>92</v>
      </c>
      <c r="X72" t="s">
        <v>4</v>
      </c>
      <c r="Y72" t="s">
        <v>92</v>
      </c>
      <c r="Z72" t="s">
        <v>92</v>
      </c>
      <c r="AA72" t="s">
        <v>92</v>
      </c>
      <c r="AB72" t="s">
        <v>4</v>
      </c>
      <c r="AC72" s="3" t="s">
        <v>93</v>
      </c>
      <c r="AD72" t="s">
        <v>4</v>
      </c>
      <c r="AE72" s="4" t="s">
        <v>94</v>
      </c>
      <c r="AZ72" t="s">
        <v>4</v>
      </c>
      <c r="BA72" s="3" t="s">
        <v>95</v>
      </c>
      <c r="BB72" s="6" t="s">
        <v>95</v>
      </c>
      <c r="BC72" s="3" t="s">
        <v>95</v>
      </c>
      <c r="BD72" t="s">
        <v>4</v>
      </c>
      <c r="BE72">
        <v>389</v>
      </c>
      <c r="BF72" t="s">
        <v>322</v>
      </c>
      <c r="CK72">
        <v>1</v>
      </c>
      <c r="CL72" t="s">
        <v>4</v>
      </c>
      <c r="CM72" t="s">
        <v>98</v>
      </c>
      <c r="CN72" t="s">
        <v>98</v>
      </c>
      <c r="CO72" t="s">
        <v>99</v>
      </c>
      <c r="CP72" t="s">
        <v>100</v>
      </c>
      <c r="CQ72">
        <v>71</v>
      </c>
      <c r="CR72" t="s">
        <v>100</v>
      </c>
      <c r="CS72" t="s">
        <v>100</v>
      </c>
      <c r="CT72" t="s">
        <v>152</v>
      </c>
      <c r="CU72" t="s">
        <v>102</v>
      </c>
      <c r="CV72" t="s">
        <v>100</v>
      </c>
    </row>
    <row r="73" spans="1:100">
      <c r="A73" s="3" t="s">
        <v>3062</v>
      </c>
      <c r="B73" s="4" t="s">
        <v>3063</v>
      </c>
      <c r="C73">
        <v>107.94807796024701</v>
      </c>
      <c r="D73">
        <v>961.27926512362103</v>
      </c>
      <c r="E73">
        <f>-3.15195457612882</f>
        <v>-3.1519545761288201</v>
      </c>
      <c r="F73" s="5">
        <v>7.8505447683298605E-16</v>
      </c>
      <c r="G73" t="s">
        <v>4</v>
      </c>
      <c r="H73">
        <v>107.94807796024701</v>
      </c>
      <c r="I73">
        <v>91.973243170931397</v>
      </c>
      <c r="J73">
        <v>0.218027131914838</v>
      </c>
      <c r="K73">
        <v>0.64061492862745795</v>
      </c>
      <c r="L73" t="s">
        <v>4</v>
      </c>
      <c r="M73">
        <v>961.27926512362103</v>
      </c>
      <c r="N73">
        <v>91.973243170931397</v>
      </c>
      <c r="O73">
        <v>3.3699817080436598</v>
      </c>
      <c r="P73" s="5">
        <v>6.0931963794120999E-18</v>
      </c>
      <c r="Q73" t="s">
        <v>4</v>
      </c>
      <c r="R73" s="4" t="s">
        <v>87</v>
      </c>
      <c r="S73" t="s">
        <v>4</v>
      </c>
      <c r="T73" t="s">
        <v>92</v>
      </c>
      <c r="U73" t="s">
        <v>92</v>
      </c>
      <c r="V73" t="s">
        <v>92</v>
      </c>
      <c r="W73" t="s">
        <v>92</v>
      </c>
      <c r="X73" t="s">
        <v>4</v>
      </c>
      <c r="Y73" t="s">
        <v>92</v>
      </c>
      <c r="Z73" t="s">
        <v>92</v>
      </c>
      <c r="AA73" t="s">
        <v>92</v>
      </c>
      <c r="AB73" t="s">
        <v>4</v>
      </c>
      <c r="AC73" s="3" t="s">
        <v>93</v>
      </c>
      <c r="AD73" t="s">
        <v>4</v>
      </c>
      <c r="AE73" t="s">
        <v>3064</v>
      </c>
      <c r="AF73" t="s">
        <v>3065</v>
      </c>
      <c r="AG73" t="s">
        <v>903</v>
      </c>
      <c r="AH73" t="s">
        <v>112</v>
      </c>
      <c r="AL73" t="s">
        <v>3066</v>
      </c>
      <c r="AM73" t="s">
        <v>302</v>
      </c>
      <c r="AQ73" t="s">
        <v>303</v>
      </c>
      <c r="AU73" t="s">
        <v>112</v>
      </c>
      <c r="AV73" t="s">
        <v>3067</v>
      </c>
      <c r="AW73" t="s">
        <v>114</v>
      </c>
      <c r="AX73" t="s">
        <v>144</v>
      </c>
      <c r="AY73" t="s">
        <v>3068</v>
      </c>
      <c r="AZ73" t="s">
        <v>4</v>
      </c>
      <c r="BA73" s="3" t="s">
        <v>95</v>
      </c>
      <c r="BB73" s="6" t="s">
        <v>95</v>
      </c>
      <c r="BC73" s="3" t="s">
        <v>95</v>
      </c>
      <c r="BD73" t="s">
        <v>4</v>
      </c>
      <c r="BE73">
        <v>1519</v>
      </c>
      <c r="BF73" t="s">
        <v>151</v>
      </c>
      <c r="BG73">
        <v>81.981999999999999</v>
      </c>
      <c r="BL73">
        <v>45.945900000000002</v>
      </c>
      <c r="CK73">
        <v>2</v>
      </c>
      <c r="CL73" t="s">
        <v>4</v>
      </c>
      <c r="CM73" t="s">
        <v>98</v>
      </c>
      <c r="CN73" t="s">
        <v>98</v>
      </c>
      <c r="CO73" t="s">
        <v>99</v>
      </c>
      <c r="CP73" t="s">
        <v>100</v>
      </c>
      <c r="CQ73">
        <v>72</v>
      </c>
      <c r="CR73" t="s">
        <v>100</v>
      </c>
      <c r="CS73" t="s">
        <v>100</v>
      </c>
      <c r="CT73" t="s">
        <v>152</v>
      </c>
      <c r="CU73" t="s">
        <v>102</v>
      </c>
      <c r="CV73" t="s">
        <v>100</v>
      </c>
    </row>
    <row r="74" spans="1:100">
      <c r="A74" s="3" t="s">
        <v>3069</v>
      </c>
      <c r="B74" s="4" t="s">
        <v>3070</v>
      </c>
      <c r="C74">
        <v>1217.0885026973999</v>
      </c>
      <c r="D74">
        <v>20514.851929746201</v>
      </c>
      <c r="E74">
        <f>-4.07497340637507</f>
        <v>-4.0749734063750704</v>
      </c>
      <c r="F74" s="5">
        <v>9.2125914265597504E-21</v>
      </c>
      <c r="G74" t="s">
        <v>4</v>
      </c>
      <c r="H74">
        <v>1217.0885026973999</v>
      </c>
      <c r="I74">
        <v>1153.10020277535</v>
      </c>
      <c r="J74">
        <v>7.8154837356235005E-2</v>
      </c>
      <c r="K74">
        <v>0.88047969884978705</v>
      </c>
      <c r="L74" t="s">
        <v>4</v>
      </c>
      <c r="M74">
        <v>20514.851929746201</v>
      </c>
      <c r="N74">
        <v>1153.10020277535</v>
      </c>
      <c r="O74">
        <v>4.1531282437313104</v>
      </c>
      <c r="P74" s="5">
        <v>3.1915953068895598E-22</v>
      </c>
      <c r="Q74" t="s">
        <v>4</v>
      </c>
      <c r="R74" s="4" t="s">
        <v>87</v>
      </c>
      <c r="S74" t="s">
        <v>4</v>
      </c>
      <c r="T74" t="s">
        <v>2243</v>
      </c>
      <c r="U74" t="s">
        <v>2244</v>
      </c>
      <c r="V74" t="s">
        <v>2245</v>
      </c>
      <c r="W74" t="s">
        <v>123</v>
      </c>
      <c r="X74" t="s">
        <v>4</v>
      </c>
      <c r="Y74" t="s">
        <v>3071</v>
      </c>
      <c r="Z74" t="s">
        <v>3072</v>
      </c>
      <c r="AA74" t="s">
        <v>3073</v>
      </c>
      <c r="AB74" t="s">
        <v>4</v>
      </c>
      <c r="AC74" s="3" t="s">
        <v>3074</v>
      </c>
      <c r="AD74" t="s">
        <v>4</v>
      </c>
      <c r="AE74" s="4" t="s">
        <v>94</v>
      </c>
      <c r="AZ74" t="s">
        <v>4</v>
      </c>
      <c r="BA74" s="3" t="s">
        <v>95</v>
      </c>
      <c r="BB74" s="6" t="s">
        <v>95</v>
      </c>
      <c r="BC74" s="3" t="s">
        <v>95</v>
      </c>
      <c r="BD74" t="s">
        <v>4</v>
      </c>
      <c r="BE74">
        <v>1520</v>
      </c>
      <c r="BF74" t="s">
        <v>151</v>
      </c>
      <c r="BG74">
        <v>99.305599999999998</v>
      </c>
      <c r="BH74" t="s">
        <v>3075</v>
      </c>
      <c r="BI74">
        <v>75.347200000000001</v>
      </c>
      <c r="BJ74" t="s">
        <v>3076</v>
      </c>
      <c r="BK74">
        <v>68.75</v>
      </c>
      <c r="BL74">
        <v>35.9375</v>
      </c>
      <c r="BM74">
        <v>66.493099999999998</v>
      </c>
      <c r="BN74" t="s">
        <v>3077</v>
      </c>
      <c r="BO74" t="s">
        <v>3078</v>
      </c>
      <c r="CK74">
        <v>2</v>
      </c>
      <c r="CL74" t="s">
        <v>4</v>
      </c>
      <c r="CM74" t="s">
        <v>98</v>
      </c>
      <c r="CN74" t="s">
        <v>98</v>
      </c>
      <c r="CO74" t="s">
        <v>99</v>
      </c>
      <c r="CP74" t="s">
        <v>100</v>
      </c>
      <c r="CQ74">
        <v>73</v>
      </c>
      <c r="CR74" t="s">
        <v>100</v>
      </c>
      <c r="CS74" t="s">
        <v>100</v>
      </c>
      <c r="CT74" t="s">
        <v>152</v>
      </c>
      <c r="CU74" t="s">
        <v>102</v>
      </c>
      <c r="CV74" t="s">
        <v>100</v>
      </c>
    </row>
    <row r="75" spans="1:100">
      <c r="A75" s="3" t="s">
        <v>3079</v>
      </c>
      <c r="B75" s="4" t="s">
        <v>3080</v>
      </c>
      <c r="C75">
        <v>306.44385077647797</v>
      </c>
      <c r="D75">
        <v>1243.09292854812</v>
      </c>
      <c r="E75">
        <f>-2.02054304216387</f>
        <v>-2.0205430421638702</v>
      </c>
      <c r="F75" s="5">
        <v>7.3982854263629598E-15</v>
      </c>
      <c r="G75" t="s">
        <v>4</v>
      </c>
      <c r="H75">
        <v>306.44385077647797</v>
      </c>
      <c r="I75">
        <v>180.82504685404999</v>
      </c>
      <c r="J75">
        <v>0.76725539013191502</v>
      </c>
      <c r="K75">
        <v>6.2615804407116903E-3</v>
      </c>
      <c r="L75" t="s">
        <v>4</v>
      </c>
      <c r="M75">
        <v>1243.09292854812</v>
      </c>
      <c r="N75">
        <v>180.82504685404999</v>
      </c>
      <c r="O75">
        <v>2.7877984322957801</v>
      </c>
      <c r="P75" s="5">
        <v>8.0102545258181899E-27</v>
      </c>
      <c r="Q75" t="s">
        <v>4</v>
      </c>
      <c r="R75" s="4" t="s">
        <v>87</v>
      </c>
      <c r="S75" t="s">
        <v>4</v>
      </c>
      <c r="T75" t="s">
        <v>3081</v>
      </c>
      <c r="U75" t="s">
        <v>3082</v>
      </c>
      <c r="V75" t="s">
        <v>3083</v>
      </c>
      <c r="W75" t="s">
        <v>328</v>
      </c>
      <c r="X75" t="s">
        <v>4</v>
      </c>
      <c r="Y75" t="s">
        <v>3084</v>
      </c>
      <c r="Z75" t="s">
        <v>3085</v>
      </c>
      <c r="AA75" t="s">
        <v>3086</v>
      </c>
      <c r="AB75" t="s">
        <v>4</v>
      </c>
      <c r="AC75" s="3" t="s">
        <v>1558</v>
      </c>
      <c r="AD75" t="s">
        <v>4</v>
      </c>
      <c r="AE75" t="s">
        <v>3087</v>
      </c>
      <c r="AF75" t="s">
        <v>3088</v>
      </c>
      <c r="AG75" t="s">
        <v>3089</v>
      </c>
      <c r="AH75" t="s">
        <v>638</v>
      </c>
      <c r="AI75" t="s">
        <v>3090</v>
      </c>
      <c r="AJ75" t="s">
        <v>3091</v>
      </c>
      <c r="AL75" t="s">
        <v>3092</v>
      </c>
      <c r="AM75" t="s">
        <v>3093</v>
      </c>
      <c r="AQ75" t="s">
        <v>1343</v>
      </c>
      <c r="AU75" t="s">
        <v>112</v>
      </c>
      <c r="AV75" t="s">
        <v>3094</v>
      </c>
      <c r="AW75" t="s">
        <v>114</v>
      </c>
      <c r="AX75" t="s">
        <v>132</v>
      </c>
      <c r="AY75" t="s">
        <v>3095</v>
      </c>
      <c r="AZ75" t="s">
        <v>4</v>
      </c>
      <c r="BA75" s="3" t="s">
        <v>115</v>
      </c>
      <c r="BB75" t="s">
        <v>96</v>
      </c>
      <c r="BC75" s="3" t="s">
        <v>95</v>
      </c>
      <c r="BD75" t="s">
        <v>4</v>
      </c>
      <c r="BE75">
        <v>5799</v>
      </c>
      <c r="BF75" t="s">
        <v>386</v>
      </c>
      <c r="BG75">
        <v>76.871899999999997</v>
      </c>
      <c r="BH75">
        <v>51.747100000000003</v>
      </c>
      <c r="BI75">
        <v>49.251199999999997</v>
      </c>
      <c r="BJ75">
        <v>21.9634</v>
      </c>
      <c r="BK75">
        <v>33.111499999999999</v>
      </c>
      <c r="BL75">
        <v>38.269599999999997</v>
      </c>
      <c r="BM75">
        <v>62.895200000000003</v>
      </c>
      <c r="BN75">
        <v>70.881900000000002</v>
      </c>
      <c r="BO75">
        <v>13.1448</v>
      </c>
      <c r="BP75">
        <v>29.450900000000001</v>
      </c>
      <c r="BQ75">
        <v>37.936799999999998</v>
      </c>
      <c r="BR75">
        <v>38.269599999999997</v>
      </c>
      <c r="BS75">
        <v>37.603999999999999</v>
      </c>
      <c r="BT75">
        <v>32.445900000000002</v>
      </c>
      <c r="BV75">
        <v>12.811999999999999</v>
      </c>
      <c r="BW75">
        <v>40.099800000000002</v>
      </c>
      <c r="BX75">
        <v>39.767099999999999</v>
      </c>
      <c r="BY75">
        <v>24.2928</v>
      </c>
      <c r="BZ75">
        <v>38.103200000000001</v>
      </c>
      <c r="CA75">
        <v>40.598999999999997</v>
      </c>
      <c r="CB75" t="s">
        <v>3096</v>
      </c>
      <c r="CC75">
        <v>31.114799999999999</v>
      </c>
      <c r="CD75">
        <v>30.782</v>
      </c>
      <c r="CF75">
        <v>30.948399999999999</v>
      </c>
      <c r="CG75" t="s">
        <v>3097</v>
      </c>
      <c r="CH75" t="s">
        <v>3098</v>
      </c>
      <c r="CI75" t="s">
        <v>3099</v>
      </c>
      <c r="CK75">
        <v>7</v>
      </c>
      <c r="CL75" t="s">
        <v>4</v>
      </c>
      <c r="CM75" t="s">
        <v>3100</v>
      </c>
      <c r="CN75" t="s">
        <v>3101</v>
      </c>
      <c r="CO75" t="s">
        <v>99</v>
      </c>
      <c r="CP75" t="s">
        <v>100</v>
      </c>
      <c r="CQ75">
        <v>74</v>
      </c>
      <c r="CR75" t="s">
        <v>100</v>
      </c>
      <c r="CS75" t="s">
        <v>100</v>
      </c>
      <c r="CT75" t="s">
        <v>152</v>
      </c>
      <c r="CU75" t="s">
        <v>102</v>
      </c>
      <c r="CV75" t="s">
        <v>100</v>
      </c>
    </row>
    <row r="76" spans="1:100">
      <c r="A76" s="3" t="s">
        <v>3102</v>
      </c>
      <c r="B76" s="4" t="s">
        <v>3103</v>
      </c>
      <c r="C76">
        <v>47.381681357431297</v>
      </c>
      <c r="D76">
        <v>588.88031899347504</v>
      </c>
      <c r="E76">
        <f>-3.63480256173119</f>
        <v>-3.6348025617311901</v>
      </c>
      <c r="F76">
        <v>8.8158212099337992E-3</v>
      </c>
      <c r="G76" t="s">
        <v>4</v>
      </c>
      <c r="H76">
        <v>47.381681357431297</v>
      </c>
      <c r="I76">
        <v>14.0168904565299</v>
      </c>
      <c r="J76">
        <v>1.77384509492779</v>
      </c>
      <c r="K76">
        <v>0.21787466575117001</v>
      </c>
      <c r="L76" t="s">
        <v>4</v>
      </c>
      <c r="M76">
        <v>588.88031899347504</v>
      </c>
      <c r="N76">
        <v>14.0168904565299</v>
      </c>
      <c r="O76">
        <v>5.4086476566589798</v>
      </c>
      <c r="P76" s="5">
        <v>4.4470221586216599E-5</v>
      </c>
      <c r="Q76" t="s">
        <v>4</v>
      </c>
      <c r="R76" s="4" t="s">
        <v>87</v>
      </c>
      <c r="S76" t="s">
        <v>4</v>
      </c>
      <c r="T76" t="s">
        <v>3104</v>
      </c>
      <c r="U76" t="s">
        <v>3105</v>
      </c>
      <c r="V76" t="s">
        <v>3106</v>
      </c>
      <c r="W76" t="s">
        <v>328</v>
      </c>
      <c r="X76" t="s">
        <v>4</v>
      </c>
      <c r="Y76" t="s">
        <v>3107</v>
      </c>
      <c r="Z76" t="s">
        <v>3108</v>
      </c>
      <c r="AA76" t="s">
        <v>3109</v>
      </c>
      <c r="AB76" t="s">
        <v>4</v>
      </c>
      <c r="AC76" s="3" t="s">
        <v>3110</v>
      </c>
      <c r="AD76" t="s">
        <v>4</v>
      </c>
      <c r="AE76" t="s">
        <v>3111</v>
      </c>
      <c r="AF76" t="s">
        <v>3112</v>
      </c>
      <c r="AG76" t="s">
        <v>3113</v>
      </c>
      <c r="AH76" t="s">
        <v>112</v>
      </c>
      <c r="AK76" t="s">
        <v>3114</v>
      </c>
      <c r="AL76" t="s">
        <v>3115</v>
      </c>
      <c r="AQ76" t="s">
        <v>3116</v>
      </c>
      <c r="AU76" t="s">
        <v>112</v>
      </c>
      <c r="AV76" t="s">
        <v>3117</v>
      </c>
      <c r="AW76" t="s">
        <v>114</v>
      </c>
      <c r="AX76" t="s">
        <v>536</v>
      </c>
      <c r="AY76" t="s">
        <v>3118</v>
      </c>
      <c r="AZ76" t="s">
        <v>4</v>
      </c>
      <c r="BA76" s="3" t="s">
        <v>115</v>
      </c>
      <c r="BB76" s="6" t="s">
        <v>95</v>
      </c>
      <c r="BC76" s="3" t="s">
        <v>95</v>
      </c>
      <c r="BD76" t="s">
        <v>4</v>
      </c>
      <c r="BE76">
        <v>1843</v>
      </c>
      <c r="BF76" t="s">
        <v>148</v>
      </c>
      <c r="BI76">
        <v>83.673500000000004</v>
      </c>
      <c r="BJ76">
        <v>40.816299999999998</v>
      </c>
      <c r="BK76">
        <v>66.666700000000006</v>
      </c>
      <c r="BM76">
        <v>37.414999999999999</v>
      </c>
      <c r="BN76">
        <v>63.265300000000003</v>
      </c>
      <c r="CK76">
        <v>3</v>
      </c>
      <c r="CL76" t="s">
        <v>4</v>
      </c>
      <c r="CM76" t="s">
        <v>98</v>
      </c>
      <c r="CN76" t="s">
        <v>98</v>
      </c>
      <c r="CO76" t="s">
        <v>99</v>
      </c>
      <c r="CP76" t="s">
        <v>100</v>
      </c>
      <c r="CQ76">
        <v>75</v>
      </c>
      <c r="CR76" t="s">
        <v>100</v>
      </c>
      <c r="CS76" t="s">
        <v>100</v>
      </c>
      <c r="CT76" t="s">
        <v>152</v>
      </c>
      <c r="CU76" t="s">
        <v>102</v>
      </c>
      <c r="CV76" t="s">
        <v>100</v>
      </c>
    </row>
    <row r="77" spans="1:100">
      <c r="A77" s="3" t="s">
        <v>3119</v>
      </c>
      <c r="B77" s="4" t="s">
        <v>3120</v>
      </c>
      <c r="C77">
        <v>10.768249858033901</v>
      </c>
      <c r="D77">
        <v>173.11077429119101</v>
      </c>
      <c r="E77">
        <f>-3.99912711896092</f>
        <v>-3.9991271189609199</v>
      </c>
      <c r="F77" s="5">
        <v>7.5012468646841401E-12</v>
      </c>
      <c r="G77" t="s">
        <v>4</v>
      </c>
      <c r="H77">
        <v>10.768249858033901</v>
      </c>
      <c r="I77">
        <v>10.3269071017688</v>
      </c>
      <c r="J77">
        <v>4.24832595182289E-2</v>
      </c>
      <c r="K77">
        <v>0.95641699922212198</v>
      </c>
      <c r="L77" t="s">
        <v>4</v>
      </c>
      <c r="M77">
        <v>173.11077429119101</v>
      </c>
      <c r="N77">
        <v>10.3269071017688</v>
      </c>
      <c r="O77">
        <v>4.0416103784791497</v>
      </c>
      <c r="P77" s="5">
        <v>3.8629654066813899E-11</v>
      </c>
      <c r="Q77" t="s">
        <v>4</v>
      </c>
      <c r="R77" s="4" t="s">
        <v>87</v>
      </c>
      <c r="S77" t="s">
        <v>4</v>
      </c>
      <c r="T77" t="s">
        <v>3121</v>
      </c>
      <c r="U77" t="s">
        <v>3122</v>
      </c>
      <c r="V77" t="s">
        <v>3123</v>
      </c>
      <c r="W77" t="s">
        <v>328</v>
      </c>
      <c r="X77" t="s">
        <v>4</v>
      </c>
      <c r="Y77" t="s">
        <v>3124</v>
      </c>
      <c r="Z77" t="s">
        <v>3125</v>
      </c>
      <c r="AA77" t="s">
        <v>3126</v>
      </c>
      <c r="AB77" t="s">
        <v>4</v>
      </c>
      <c r="AC77" s="3" t="s">
        <v>93</v>
      </c>
      <c r="AD77" t="s">
        <v>4</v>
      </c>
      <c r="AE77" t="s">
        <v>3127</v>
      </c>
      <c r="AF77" t="s">
        <v>3128</v>
      </c>
      <c r="AG77" t="s">
        <v>3129</v>
      </c>
      <c r="AH77" t="s">
        <v>112</v>
      </c>
      <c r="AJ77" t="s">
        <v>3130</v>
      </c>
      <c r="AL77" t="s">
        <v>3131</v>
      </c>
      <c r="AM77" t="s">
        <v>3132</v>
      </c>
      <c r="AQ77" t="s">
        <v>3133</v>
      </c>
      <c r="AR77" t="s">
        <v>3134</v>
      </c>
      <c r="AU77" t="s">
        <v>112</v>
      </c>
      <c r="AV77" t="s">
        <v>3135</v>
      </c>
      <c r="AW77" t="s">
        <v>114</v>
      </c>
      <c r="AX77" t="s">
        <v>1345</v>
      </c>
      <c r="AY77" t="s">
        <v>3136</v>
      </c>
      <c r="AZ77" t="s">
        <v>4</v>
      </c>
      <c r="BA77" s="3" t="s">
        <v>115</v>
      </c>
      <c r="BB77" t="s">
        <v>96</v>
      </c>
      <c r="BC77" s="3" t="s">
        <v>95</v>
      </c>
      <c r="BD77" t="s">
        <v>4</v>
      </c>
      <c r="BE77">
        <v>5253</v>
      </c>
      <c r="BF77" t="s">
        <v>282</v>
      </c>
      <c r="BG77">
        <v>0</v>
      </c>
      <c r="BJ77">
        <v>0</v>
      </c>
      <c r="BK77">
        <v>69.642899999999997</v>
      </c>
      <c r="BM77">
        <v>0.89285700000000001</v>
      </c>
      <c r="BN77">
        <v>72.544600000000003</v>
      </c>
      <c r="BO77">
        <v>33.258899999999997</v>
      </c>
      <c r="BQ77" t="s">
        <v>3137</v>
      </c>
      <c r="BR77">
        <v>44.866100000000003</v>
      </c>
      <c r="BS77" t="s">
        <v>3138</v>
      </c>
      <c r="BT77">
        <v>43.973199999999999</v>
      </c>
      <c r="BU77">
        <v>37.053600000000003</v>
      </c>
      <c r="BV77" t="s">
        <v>3139</v>
      </c>
      <c r="BW77" t="s">
        <v>3140</v>
      </c>
      <c r="BX77" t="s">
        <v>3141</v>
      </c>
      <c r="BY77" t="s">
        <v>3142</v>
      </c>
      <c r="BZ77" t="s">
        <v>3143</v>
      </c>
      <c r="CA77">
        <v>39.508899999999997</v>
      </c>
      <c r="CB77">
        <v>26.785699999999999</v>
      </c>
      <c r="CC77">
        <v>14.955399999999999</v>
      </c>
      <c r="CD77">
        <v>27.455400000000001</v>
      </c>
      <c r="CG77" t="s">
        <v>3144</v>
      </c>
      <c r="CH77" t="s">
        <v>3145</v>
      </c>
      <c r="CI77" t="s">
        <v>3146</v>
      </c>
      <c r="CK77">
        <v>6</v>
      </c>
      <c r="CL77" t="s">
        <v>4</v>
      </c>
      <c r="CM77" t="s">
        <v>3147</v>
      </c>
      <c r="CN77" t="s">
        <v>3148</v>
      </c>
      <c r="CO77" t="s">
        <v>663</v>
      </c>
      <c r="CP77" t="s">
        <v>100</v>
      </c>
      <c r="CQ77">
        <v>76</v>
      </c>
      <c r="CR77" t="s">
        <v>100</v>
      </c>
      <c r="CS77" t="s">
        <v>100</v>
      </c>
      <c r="CT77" t="s">
        <v>152</v>
      </c>
      <c r="CU77" t="s">
        <v>102</v>
      </c>
      <c r="CV77" t="s">
        <v>100</v>
      </c>
    </row>
    <row r="78" spans="1:100">
      <c r="A78" s="3" t="s">
        <v>3149</v>
      </c>
      <c r="B78" s="4" t="s">
        <v>3150</v>
      </c>
      <c r="C78">
        <v>90.867559911610101</v>
      </c>
      <c r="D78">
        <v>791.59441525894397</v>
      </c>
      <c r="E78">
        <f>-3.11795853806688</f>
        <v>-3.1179585380668802</v>
      </c>
      <c r="F78" s="5">
        <v>9.6208704618719405E-29</v>
      </c>
      <c r="G78" t="s">
        <v>4</v>
      </c>
      <c r="H78">
        <v>90.867559911610101</v>
      </c>
      <c r="I78">
        <v>13.8413343077221</v>
      </c>
      <c r="J78">
        <v>2.7397562475010999</v>
      </c>
      <c r="K78" s="5">
        <v>3.2541129958681701E-12</v>
      </c>
      <c r="L78" t="s">
        <v>4</v>
      </c>
      <c r="M78">
        <v>791.59441525894397</v>
      </c>
      <c r="N78">
        <v>13.8413343077221</v>
      </c>
      <c r="O78">
        <v>5.8577147855679703</v>
      </c>
      <c r="P78" s="5">
        <v>2.0215152293056099E-54</v>
      </c>
      <c r="Q78" t="s">
        <v>4</v>
      </c>
      <c r="R78" s="4" t="s">
        <v>87</v>
      </c>
      <c r="S78" t="s">
        <v>4</v>
      </c>
      <c r="T78" t="s">
        <v>92</v>
      </c>
      <c r="U78" t="s">
        <v>92</v>
      </c>
      <c r="V78" t="s">
        <v>92</v>
      </c>
      <c r="W78" t="s">
        <v>92</v>
      </c>
      <c r="X78" t="s">
        <v>4</v>
      </c>
      <c r="Y78" t="s">
        <v>92</v>
      </c>
      <c r="Z78" t="s">
        <v>92</v>
      </c>
      <c r="AA78" t="s">
        <v>92</v>
      </c>
      <c r="AB78" t="s">
        <v>4</v>
      </c>
      <c r="AC78" s="3" t="s">
        <v>93</v>
      </c>
      <c r="AD78" t="s">
        <v>4</v>
      </c>
      <c r="AE78" s="4" t="s">
        <v>94</v>
      </c>
      <c r="AZ78" t="s">
        <v>4</v>
      </c>
      <c r="BA78" s="3" t="s">
        <v>95</v>
      </c>
      <c r="BB78" s="6" t="s">
        <v>95</v>
      </c>
      <c r="BC78" s="3" t="s">
        <v>95</v>
      </c>
      <c r="BD78" t="s">
        <v>4</v>
      </c>
      <c r="BE78">
        <v>486</v>
      </c>
      <c r="BF78" t="s">
        <v>322</v>
      </c>
      <c r="CK78">
        <v>1</v>
      </c>
      <c r="CL78" t="s">
        <v>4</v>
      </c>
      <c r="CM78" t="s">
        <v>98</v>
      </c>
      <c r="CN78" t="s">
        <v>98</v>
      </c>
      <c r="CO78" t="s">
        <v>99</v>
      </c>
      <c r="CP78" t="s">
        <v>100</v>
      </c>
      <c r="CQ78">
        <v>77</v>
      </c>
      <c r="CR78" t="s">
        <v>100</v>
      </c>
      <c r="CS78" t="s">
        <v>101</v>
      </c>
      <c r="CT78" t="s">
        <v>152</v>
      </c>
      <c r="CU78" t="s">
        <v>102</v>
      </c>
      <c r="CV78" t="s">
        <v>100</v>
      </c>
    </row>
    <row r="79" spans="1:100">
      <c r="A79" s="3" t="s">
        <v>3151</v>
      </c>
      <c r="B79" s="4" t="s">
        <v>3152</v>
      </c>
      <c r="C79">
        <v>505.42794579774102</v>
      </c>
      <c r="D79">
        <v>2655.0739329686398</v>
      </c>
      <c r="E79">
        <f>-2.39228452009841</f>
        <v>-2.3922845200984102</v>
      </c>
      <c r="F79" s="5">
        <v>6.39144877748671E-15</v>
      </c>
      <c r="G79" t="s">
        <v>4</v>
      </c>
      <c r="H79">
        <v>505.42794579774102</v>
      </c>
      <c r="I79">
        <v>335.18742718855998</v>
      </c>
      <c r="J79">
        <v>0.59632049201967197</v>
      </c>
      <c r="K79">
        <v>7.2275219857053999E-2</v>
      </c>
      <c r="L79" t="s">
        <v>4</v>
      </c>
      <c r="M79">
        <v>2655.0739329686398</v>
      </c>
      <c r="N79">
        <v>335.18742718855998</v>
      </c>
      <c r="O79">
        <v>2.9886050121180801</v>
      </c>
      <c r="P79" s="5">
        <v>4.1513651443361498E-23</v>
      </c>
      <c r="Q79" t="s">
        <v>4</v>
      </c>
      <c r="R79" s="4" t="s">
        <v>87</v>
      </c>
      <c r="S79" t="s">
        <v>4</v>
      </c>
      <c r="T79" t="s">
        <v>88</v>
      </c>
      <c r="U79" t="s">
        <v>89</v>
      </c>
      <c r="V79" t="s">
        <v>90</v>
      </c>
      <c r="W79" t="s">
        <v>91</v>
      </c>
      <c r="X79" t="s">
        <v>4</v>
      </c>
      <c r="Y79" t="s">
        <v>92</v>
      </c>
      <c r="Z79" t="s">
        <v>92</v>
      </c>
      <c r="AA79" t="s">
        <v>92</v>
      </c>
      <c r="AB79" t="s">
        <v>4</v>
      </c>
      <c r="AC79" s="3" t="s">
        <v>93</v>
      </c>
      <c r="AD79" t="s">
        <v>4</v>
      </c>
      <c r="AE79" s="4" t="s">
        <v>94</v>
      </c>
      <c r="AZ79" t="s">
        <v>4</v>
      </c>
      <c r="BA79" s="3" t="s">
        <v>95</v>
      </c>
      <c r="BB79" t="s">
        <v>96</v>
      </c>
      <c r="BC79" s="3" t="s">
        <v>95</v>
      </c>
      <c r="BD79" t="s">
        <v>4</v>
      </c>
      <c r="BE79">
        <v>881</v>
      </c>
      <c r="BF79" t="s">
        <v>604</v>
      </c>
      <c r="BH79">
        <v>100</v>
      </c>
      <c r="CK79">
        <v>1.5</v>
      </c>
      <c r="CL79" t="s">
        <v>4</v>
      </c>
      <c r="CM79" t="s">
        <v>98</v>
      </c>
      <c r="CN79" t="s">
        <v>98</v>
      </c>
      <c r="CO79" t="s">
        <v>99</v>
      </c>
      <c r="CP79" t="s">
        <v>100</v>
      </c>
      <c r="CQ79">
        <v>78</v>
      </c>
      <c r="CR79" t="s">
        <v>100</v>
      </c>
      <c r="CS79" t="s">
        <v>100</v>
      </c>
      <c r="CT79" t="s">
        <v>152</v>
      </c>
      <c r="CU79" t="s">
        <v>102</v>
      </c>
      <c r="CV79" t="s">
        <v>100</v>
      </c>
    </row>
    <row r="80" spans="1:100">
      <c r="A80" s="3" t="s">
        <v>3153</v>
      </c>
      <c r="B80" s="4" t="s">
        <v>3154</v>
      </c>
      <c r="C80">
        <v>396.11274741132797</v>
      </c>
      <c r="D80">
        <v>5945.1504247170897</v>
      </c>
      <c r="E80">
        <f>-3.90703691194339</f>
        <v>-3.9070369119433899</v>
      </c>
      <c r="F80" s="5">
        <v>2.6643301811162199E-17</v>
      </c>
      <c r="G80" t="s">
        <v>4</v>
      </c>
      <c r="H80">
        <v>396.11274741132797</v>
      </c>
      <c r="I80">
        <v>368.48256494386197</v>
      </c>
      <c r="J80">
        <v>0.10572777643700899</v>
      </c>
      <c r="K80">
        <v>0.847553596756212</v>
      </c>
      <c r="L80" t="s">
        <v>4</v>
      </c>
      <c r="M80">
        <v>5945.1504247170897</v>
      </c>
      <c r="N80">
        <v>368.48256494386197</v>
      </c>
      <c r="O80">
        <v>4.0127646883803996</v>
      </c>
      <c r="P80" s="5">
        <v>9.1409512793694502E-19</v>
      </c>
      <c r="Q80" t="s">
        <v>4</v>
      </c>
      <c r="R80" s="4" t="s">
        <v>87</v>
      </c>
      <c r="S80" t="s">
        <v>4</v>
      </c>
      <c r="T80" t="s">
        <v>92</v>
      </c>
      <c r="U80" t="s">
        <v>92</v>
      </c>
      <c r="V80" t="s">
        <v>92</v>
      </c>
      <c r="W80" t="s">
        <v>92</v>
      </c>
      <c r="X80" t="s">
        <v>4</v>
      </c>
      <c r="Y80" t="s">
        <v>2546</v>
      </c>
      <c r="Z80" t="s">
        <v>2547</v>
      </c>
      <c r="AA80" t="s">
        <v>2548</v>
      </c>
      <c r="AB80" t="s">
        <v>4</v>
      </c>
      <c r="AC80" s="3" t="s">
        <v>3155</v>
      </c>
      <c r="AD80" t="s">
        <v>4</v>
      </c>
      <c r="AE80" t="s">
        <v>2550</v>
      </c>
      <c r="AF80" t="s">
        <v>3156</v>
      </c>
      <c r="AG80" t="s">
        <v>3157</v>
      </c>
      <c r="AH80" t="s">
        <v>112</v>
      </c>
      <c r="AU80" t="s">
        <v>112</v>
      </c>
      <c r="AV80" t="s">
        <v>2553</v>
      </c>
      <c r="AW80" t="s">
        <v>114</v>
      </c>
      <c r="AX80" t="s">
        <v>144</v>
      </c>
      <c r="AY80" t="s">
        <v>2554</v>
      </c>
      <c r="AZ80" t="s">
        <v>4</v>
      </c>
      <c r="BA80" s="3" t="s">
        <v>95</v>
      </c>
      <c r="BB80" s="6" t="s">
        <v>95</v>
      </c>
      <c r="BC80" s="3" t="s">
        <v>197</v>
      </c>
      <c r="BD80" t="s">
        <v>4</v>
      </c>
      <c r="BE80">
        <v>2347</v>
      </c>
      <c r="BF80" t="s">
        <v>148</v>
      </c>
      <c r="BG80">
        <v>73.480699999999999</v>
      </c>
      <c r="BH80">
        <v>100</v>
      </c>
      <c r="BI80">
        <v>89.778999999999996</v>
      </c>
      <c r="BJ80">
        <v>40.331499999999998</v>
      </c>
      <c r="BK80">
        <v>65.4696</v>
      </c>
      <c r="BO80">
        <v>61.326000000000001</v>
      </c>
      <c r="CK80">
        <v>3</v>
      </c>
      <c r="CL80" t="s">
        <v>4</v>
      </c>
      <c r="CM80" t="s">
        <v>98</v>
      </c>
      <c r="CN80" t="s">
        <v>98</v>
      </c>
      <c r="CO80" t="s">
        <v>99</v>
      </c>
      <c r="CP80" t="s">
        <v>100</v>
      </c>
      <c r="CQ80">
        <v>79</v>
      </c>
      <c r="CR80" t="s">
        <v>100</v>
      </c>
      <c r="CS80" t="s">
        <v>100</v>
      </c>
      <c r="CT80" t="s">
        <v>152</v>
      </c>
      <c r="CU80" t="s">
        <v>102</v>
      </c>
      <c r="CV80" t="s">
        <v>100</v>
      </c>
    </row>
    <row r="81" spans="1:100">
      <c r="A81" s="3" t="s">
        <v>3158</v>
      </c>
      <c r="B81" s="4" t="s">
        <v>3159</v>
      </c>
      <c r="C81">
        <v>152.903016111222</v>
      </c>
      <c r="D81">
        <v>1674.1397747544299</v>
      </c>
      <c r="E81">
        <f>-3.45200242056154</f>
        <v>-3.4520024205615401</v>
      </c>
      <c r="F81" s="5">
        <v>3.1109971627649702E-13</v>
      </c>
      <c r="G81" t="s">
        <v>4</v>
      </c>
      <c r="H81">
        <v>152.903016111222</v>
      </c>
      <c r="I81">
        <v>74.808944215908497</v>
      </c>
      <c r="J81">
        <v>1.0386138156515901</v>
      </c>
      <c r="K81">
        <v>4.3886616091229298E-2</v>
      </c>
      <c r="L81" t="s">
        <v>4</v>
      </c>
      <c r="M81">
        <v>1674.1397747544299</v>
      </c>
      <c r="N81">
        <v>74.808944215908497</v>
      </c>
      <c r="O81">
        <v>4.4906162362131301</v>
      </c>
      <c r="P81" s="5">
        <v>1.50796768411682E-21</v>
      </c>
      <c r="Q81" t="s">
        <v>4</v>
      </c>
      <c r="R81" s="4" t="s">
        <v>87</v>
      </c>
      <c r="S81" t="s">
        <v>4</v>
      </c>
      <c r="T81" t="s">
        <v>92</v>
      </c>
      <c r="U81" t="s">
        <v>92</v>
      </c>
      <c r="V81" t="s">
        <v>92</v>
      </c>
      <c r="W81" t="s">
        <v>92</v>
      </c>
      <c r="X81" t="s">
        <v>4</v>
      </c>
      <c r="Y81" t="s">
        <v>92</v>
      </c>
      <c r="Z81" t="s">
        <v>92</v>
      </c>
      <c r="AA81" t="s">
        <v>92</v>
      </c>
      <c r="AB81" t="s">
        <v>4</v>
      </c>
      <c r="AC81" s="3" t="s">
        <v>93</v>
      </c>
      <c r="AD81" t="s">
        <v>4</v>
      </c>
      <c r="AE81" s="4" t="s">
        <v>94</v>
      </c>
      <c r="AZ81" t="s">
        <v>4</v>
      </c>
      <c r="BA81" s="3" t="s">
        <v>95</v>
      </c>
      <c r="BB81" s="6" t="s">
        <v>95</v>
      </c>
      <c r="BC81" s="3" t="s">
        <v>95</v>
      </c>
      <c r="BD81" t="s">
        <v>4</v>
      </c>
      <c r="BE81">
        <v>1553</v>
      </c>
      <c r="BF81" t="s">
        <v>151</v>
      </c>
      <c r="BG81">
        <v>94.955500000000001</v>
      </c>
      <c r="BH81">
        <v>63.798200000000001</v>
      </c>
      <c r="BI81">
        <v>77.448099999999997</v>
      </c>
      <c r="BJ81">
        <v>4.74777</v>
      </c>
      <c r="BK81">
        <v>33.8279</v>
      </c>
      <c r="BL81">
        <v>37.982199999999999</v>
      </c>
      <c r="BM81">
        <v>32.640900000000002</v>
      </c>
      <c r="BN81">
        <v>32.344200000000001</v>
      </c>
      <c r="BO81" t="s">
        <v>3160</v>
      </c>
      <c r="CK81">
        <v>2</v>
      </c>
      <c r="CL81" t="s">
        <v>4</v>
      </c>
      <c r="CM81" t="s">
        <v>98</v>
      </c>
      <c r="CN81" t="s">
        <v>98</v>
      </c>
      <c r="CO81" t="s">
        <v>99</v>
      </c>
      <c r="CP81" t="s">
        <v>100</v>
      </c>
      <c r="CQ81">
        <v>80</v>
      </c>
      <c r="CR81" t="s">
        <v>100</v>
      </c>
      <c r="CS81" s="7" t="s">
        <v>101</v>
      </c>
      <c r="CT81" t="s">
        <v>152</v>
      </c>
      <c r="CU81" t="s">
        <v>102</v>
      </c>
      <c r="CV81" t="s">
        <v>100</v>
      </c>
    </row>
    <row r="82" spans="1:100">
      <c r="A82" s="3" t="s">
        <v>3161</v>
      </c>
      <c r="B82" s="4" t="s">
        <v>3162</v>
      </c>
      <c r="C82">
        <v>908.11570867196895</v>
      </c>
      <c r="D82">
        <v>11798.3714345384</v>
      </c>
      <c r="E82">
        <f>-3.69947301478869</f>
        <v>-3.6994730147886901</v>
      </c>
      <c r="F82" s="5">
        <v>4.0396157582185099E-31</v>
      </c>
      <c r="G82" t="s">
        <v>4</v>
      </c>
      <c r="H82">
        <v>908.11570867196895</v>
      </c>
      <c r="I82">
        <v>333.74696564646302</v>
      </c>
      <c r="J82">
        <v>1.4488691394562401</v>
      </c>
      <c r="K82" s="5">
        <v>1.36663670817687E-5</v>
      </c>
      <c r="L82" t="s">
        <v>4</v>
      </c>
      <c r="M82">
        <v>11798.3714345384</v>
      </c>
      <c r="N82">
        <v>333.74696564646302</v>
      </c>
      <c r="O82">
        <v>5.1483421542449301</v>
      </c>
      <c r="P82" s="5">
        <v>1.21441358337971E-59</v>
      </c>
      <c r="Q82" t="s">
        <v>4</v>
      </c>
      <c r="R82" s="4" t="s">
        <v>87</v>
      </c>
      <c r="S82" t="s">
        <v>4</v>
      </c>
      <c r="T82" t="s">
        <v>684</v>
      </c>
      <c r="U82" t="s">
        <v>685</v>
      </c>
      <c r="V82" t="s">
        <v>686</v>
      </c>
      <c r="W82" t="s">
        <v>123</v>
      </c>
      <c r="X82" t="s">
        <v>4</v>
      </c>
      <c r="Y82" t="s">
        <v>3163</v>
      </c>
      <c r="Z82" t="s">
        <v>3164</v>
      </c>
      <c r="AA82" t="s">
        <v>3165</v>
      </c>
      <c r="AB82" t="s">
        <v>4</v>
      </c>
      <c r="AC82" s="3" t="s">
        <v>3166</v>
      </c>
      <c r="AD82" t="s">
        <v>4</v>
      </c>
      <c r="AE82" s="4" t="s">
        <v>94</v>
      </c>
      <c r="AZ82" t="s">
        <v>4</v>
      </c>
      <c r="BA82" s="3" t="s">
        <v>95</v>
      </c>
      <c r="BB82" s="6" t="s">
        <v>95</v>
      </c>
      <c r="BC82" s="3" t="s">
        <v>95</v>
      </c>
      <c r="BD82" t="s">
        <v>4</v>
      </c>
      <c r="BE82">
        <v>3028</v>
      </c>
      <c r="BF82" t="s">
        <v>97</v>
      </c>
      <c r="BI82">
        <v>91.105099999999993</v>
      </c>
      <c r="BJ82">
        <v>66.307299999999998</v>
      </c>
      <c r="BK82">
        <v>78.436700000000002</v>
      </c>
      <c r="BL82" t="s">
        <v>3167</v>
      </c>
      <c r="BM82" t="s">
        <v>3168</v>
      </c>
      <c r="BN82" t="s">
        <v>3169</v>
      </c>
      <c r="BO82">
        <v>68.4636</v>
      </c>
      <c r="BP82">
        <v>22.911100000000001</v>
      </c>
      <c r="CK82">
        <v>4</v>
      </c>
      <c r="CL82" t="s">
        <v>4</v>
      </c>
      <c r="CM82" t="s">
        <v>98</v>
      </c>
      <c r="CN82" t="s">
        <v>98</v>
      </c>
      <c r="CO82" t="s">
        <v>99</v>
      </c>
      <c r="CP82" t="s">
        <v>100</v>
      </c>
      <c r="CQ82">
        <v>81</v>
      </c>
      <c r="CR82" t="s">
        <v>100</v>
      </c>
      <c r="CS82" s="7" t="s">
        <v>101</v>
      </c>
      <c r="CT82" t="s">
        <v>152</v>
      </c>
      <c r="CU82" t="s">
        <v>102</v>
      </c>
      <c r="CV82" t="s">
        <v>100</v>
      </c>
    </row>
    <row r="83" spans="1:100">
      <c r="A83" s="3" t="s">
        <v>3170</v>
      </c>
      <c r="B83" s="4" t="s">
        <v>3171</v>
      </c>
      <c r="C83">
        <v>111.05648115626499</v>
      </c>
      <c r="D83">
        <v>880.91937780619799</v>
      </c>
      <c r="E83">
        <f>-2.98414899939847</f>
        <v>-2.98414899939847</v>
      </c>
      <c r="F83" s="5">
        <v>9.3046761794621003E-26</v>
      </c>
      <c r="G83" t="s">
        <v>4</v>
      </c>
      <c r="H83">
        <v>111.05648115626499</v>
      </c>
      <c r="I83">
        <v>54.908990387564302</v>
      </c>
      <c r="J83">
        <v>1.0127225115382399</v>
      </c>
      <c r="K83">
        <v>2.12535835619195E-3</v>
      </c>
      <c r="L83" t="s">
        <v>4</v>
      </c>
      <c r="M83">
        <v>880.91937780619799</v>
      </c>
      <c r="N83">
        <v>54.908990387564302</v>
      </c>
      <c r="O83">
        <v>3.9968715109367201</v>
      </c>
      <c r="P83" s="5">
        <v>5.4146517166651303E-40</v>
      </c>
      <c r="Q83" t="s">
        <v>4</v>
      </c>
      <c r="R83" s="4" t="s">
        <v>87</v>
      </c>
      <c r="S83" t="s">
        <v>4</v>
      </c>
      <c r="T83" t="s">
        <v>3172</v>
      </c>
      <c r="U83" t="s">
        <v>3173</v>
      </c>
      <c r="V83" t="s">
        <v>3174</v>
      </c>
      <c r="W83" t="s">
        <v>328</v>
      </c>
      <c r="X83" t="s">
        <v>4</v>
      </c>
      <c r="Y83" t="s">
        <v>1998</v>
      </c>
      <c r="Z83" t="s">
        <v>1999</v>
      </c>
      <c r="AA83" t="s">
        <v>2000</v>
      </c>
      <c r="AB83" t="s">
        <v>4</v>
      </c>
      <c r="AC83" s="3" t="s">
        <v>2001</v>
      </c>
      <c r="AD83" t="s">
        <v>4</v>
      </c>
      <c r="AE83" t="s">
        <v>3175</v>
      </c>
      <c r="AF83" t="s">
        <v>3176</v>
      </c>
      <c r="AG83" t="s">
        <v>3177</v>
      </c>
      <c r="AH83" t="s">
        <v>112</v>
      </c>
      <c r="AI83" t="s">
        <v>3178</v>
      </c>
      <c r="AK83" t="s">
        <v>2005</v>
      </c>
      <c r="AL83" t="s">
        <v>2006</v>
      </c>
      <c r="AM83" t="s">
        <v>2007</v>
      </c>
      <c r="AO83" t="s">
        <v>2008</v>
      </c>
      <c r="AP83" t="s">
        <v>2009</v>
      </c>
      <c r="AQ83" t="s">
        <v>2010</v>
      </c>
      <c r="AS83" t="s">
        <v>2011</v>
      </c>
      <c r="AU83" t="s">
        <v>112</v>
      </c>
      <c r="AV83" t="s">
        <v>2012</v>
      </c>
      <c r="AW83" t="s">
        <v>114</v>
      </c>
      <c r="AX83" t="s">
        <v>345</v>
      </c>
      <c r="AY83" t="s">
        <v>2013</v>
      </c>
      <c r="AZ83" t="s">
        <v>4</v>
      </c>
      <c r="BA83" s="3" t="s">
        <v>95</v>
      </c>
      <c r="BB83" t="s">
        <v>96</v>
      </c>
      <c r="BC83" s="3" t="s">
        <v>197</v>
      </c>
      <c r="BD83" t="s">
        <v>4</v>
      </c>
      <c r="BE83">
        <v>8546</v>
      </c>
      <c r="BF83" t="s">
        <v>169</v>
      </c>
      <c r="BG83">
        <v>97.584500000000006</v>
      </c>
      <c r="BH83">
        <v>99.194800000000001</v>
      </c>
      <c r="BI83">
        <v>92.592600000000004</v>
      </c>
      <c r="BJ83">
        <v>82.125600000000006</v>
      </c>
      <c r="BL83">
        <v>70.048299999999998</v>
      </c>
      <c r="BM83">
        <v>71.1755</v>
      </c>
      <c r="BN83">
        <v>70.692400000000006</v>
      </c>
      <c r="BO83">
        <v>75.201300000000003</v>
      </c>
      <c r="BP83" t="s">
        <v>3179</v>
      </c>
      <c r="BQ83" t="s">
        <v>3180</v>
      </c>
      <c r="BR83" t="s">
        <v>3181</v>
      </c>
      <c r="BW83">
        <v>45.893700000000003</v>
      </c>
      <c r="BX83">
        <v>42.512099999999997</v>
      </c>
      <c r="CA83">
        <v>45.732700000000001</v>
      </c>
      <c r="CB83" t="s">
        <v>3182</v>
      </c>
      <c r="CF83" t="s">
        <v>3183</v>
      </c>
      <c r="CG83">
        <v>34.621600000000001</v>
      </c>
      <c r="CH83">
        <v>34.943600000000004</v>
      </c>
      <c r="CI83">
        <v>25.764900000000001</v>
      </c>
      <c r="CJ83" t="s">
        <v>3184</v>
      </c>
      <c r="CK83">
        <v>9</v>
      </c>
      <c r="CL83" t="s">
        <v>4</v>
      </c>
      <c r="CM83" t="s">
        <v>3185</v>
      </c>
      <c r="CN83" t="s">
        <v>3186</v>
      </c>
      <c r="CO83" t="s">
        <v>663</v>
      </c>
      <c r="CP83" t="s">
        <v>100</v>
      </c>
      <c r="CQ83">
        <v>82</v>
      </c>
      <c r="CR83" t="s">
        <v>100</v>
      </c>
      <c r="CS83" s="7" t="s">
        <v>101</v>
      </c>
      <c r="CT83" t="s">
        <v>152</v>
      </c>
      <c r="CU83" t="s">
        <v>102</v>
      </c>
      <c r="CV83" t="s">
        <v>100</v>
      </c>
    </row>
    <row r="84" spans="1:100">
      <c r="A84" s="3" t="s">
        <v>3187</v>
      </c>
      <c r="B84" s="4" t="s">
        <v>3188</v>
      </c>
      <c r="C84">
        <v>513.68465134067901</v>
      </c>
      <c r="D84">
        <v>3732.7519274040301</v>
      </c>
      <c r="E84">
        <f>-2.86096186969666</f>
        <v>-2.8609618696966601</v>
      </c>
      <c r="F84" s="5">
        <v>2.0150081248173E-11</v>
      </c>
      <c r="G84" t="s">
        <v>4</v>
      </c>
      <c r="H84">
        <v>513.68465134067901</v>
      </c>
      <c r="I84">
        <v>162.35298890661099</v>
      </c>
      <c r="J84">
        <v>1.6597760476916501</v>
      </c>
      <c r="K84">
        <v>1.66089418894623E-4</v>
      </c>
      <c r="L84" t="s">
        <v>4</v>
      </c>
      <c r="M84">
        <v>3732.7519274040301</v>
      </c>
      <c r="N84">
        <v>162.35298890661099</v>
      </c>
      <c r="O84">
        <v>4.5207379173883098</v>
      </c>
      <c r="P84" s="5">
        <v>2.7304975047103499E-27</v>
      </c>
      <c r="Q84" t="s">
        <v>4</v>
      </c>
      <c r="R84" s="4" t="s">
        <v>87</v>
      </c>
      <c r="S84" t="s">
        <v>4</v>
      </c>
      <c r="T84" t="s">
        <v>92</v>
      </c>
      <c r="U84" t="s">
        <v>92</v>
      </c>
      <c r="V84" t="s">
        <v>92</v>
      </c>
      <c r="W84" t="s">
        <v>92</v>
      </c>
      <c r="X84" t="s">
        <v>4</v>
      </c>
      <c r="Y84" t="s">
        <v>2107</v>
      </c>
      <c r="Z84" t="s">
        <v>2108</v>
      </c>
      <c r="AA84" t="s">
        <v>2109</v>
      </c>
      <c r="AB84" t="s">
        <v>4</v>
      </c>
      <c r="AC84" s="3" t="s">
        <v>3189</v>
      </c>
      <c r="AD84" t="s">
        <v>4</v>
      </c>
      <c r="AE84" t="s">
        <v>3190</v>
      </c>
      <c r="AF84" t="s">
        <v>3191</v>
      </c>
      <c r="AG84" t="s">
        <v>3192</v>
      </c>
      <c r="AH84" t="s">
        <v>112</v>
      </c>
      <c r="AJ84" t="s">
        <v>3193</v>
      </c>
      <c r="AK84" t="s">
        <v>3194</v>
      </c>
      <c r="AL84" t="s">
        <v>3195</v>
      </c>
      <c r="AM84" t="s">
        <v>3196</v>
      </c>
      <c r="AQ84" t="s">
        <v>3197</v>
      </c>
      <c r="AU84" t="s">
        <v>112</v>
      </c>
      <c r="AV84" t="s">
        <v>3198</v>
      </c>
      <c r="AW84" t="s">
        <v>114</v>
      </c>
      <c r="AX84" t="s">
        <v>2157</v>
      </c>
      <c r="AY84" t="s">
        <v>3199</v>
      </c>
      <c r="AZ84" t="s">
        <v>4</v>
      </c>
      <c r="BA84" s="3" t="s">
        <v>95</v>
      </c>
      <c r="BB84" s="6" t="s">
        <v>95</v>
      </c>
      <c r="BC84" s="3" t="s">
        <v>95</v>
      </c>
      <c r="BD84" t="s">
        <v>4</v>
      </c>
      <c r="BE84">
        <v>1853</v>
      </c>
      <c r="BF84" t="s">
        <v>148</v>
      </c>
      <c r="BG84">
        <v>68.181799999999996</v>
      </c>
      <c r="BJ84">
        <v>91.818200000000004</v>
      </c>
      <c r="CK84">
        <v>3</v>
      </c>
      <c r="CL84" t="s">
        <v>4</v>
      </c>
      <c r="CM84" t="s">
        <v>98</v>
      </c>
      <c r="CN84" t="s">
        <v>98</v>
      </c>
      <c r="CO84" t="s">
        <v>99</v>
      </c>
      <c r="CP84" t="s">
        <v>100</v>
      </c>
      <c r="CQ84">
        <v>83</v>
      </c>
      <c r="CR84" t="s">
        <v>100</v>
      </c>
      <c r="CS84" s="7" t="s">
        <v>101</v>
      </c>
      <c r="CT84" t="s">
        <v>152</v>
      </c>
      <c r="CU84" t="s">
        <v>102</v>
      </c>
      <c r="CV84" t="s">
        <v>100</v>
      </c>
    </row>
    <row r="85" spans="1:100">
      <c r="A85" s="3" t="s">
        <v>3200</v>
      </c>
      <c r="B85" s="4" t="s">
        <v>3201</v>
      </c>
      <c r="C85">
        <v>40.823986500373003</v>
      </c>
      <c r="D85">
        <v>306.89916079797399</v>
      </c>
      <c r="E85">
        <f>-2.89952699345019</f>
        <v>-2.8995269934501899</v>
      </c>
      <c r="F85" s="5">
        <v>1.93700096972384E-16</v>
      </c>
      <c r="G85" t="s">
        <v>4</v>
      </c>
      <c r="H85">
        <v>40.823986500373003</v>
      </c>
      <c r="I85">
        <v>40.622624367985303</v>
      </c>
      <c r="J85">
        <f>0.0107878984954875</f>
        <v>1.0787898495487501E-2</v>
      </c>
      <c r="K85">
        <v>0.98082975689637197</v>
      </c>
      <c r="L85" t="s">
        <v>4</v>
      </c>
      <c r="M85">
        <v>306.89916079797399</v>
      </c>
      <c r="N85">
        <v>40.622624367985303</v>
      </c>
      <c r="O85">
        <v>2.88873909495471</v>
      </c>
      <c r="P85" s="5">
        <v>1.49236281068557E-15</v>
      </c>
      <c r="Q85" t="s">
        <v>4</v>
      </c>
      <c r="R85" s="4" t="s">
        <v>87</v>
      </c>
      <c r="S85" t="s">
        <v>4</v>
      </c>
      <c r="T85" t="s">
        <v>3202</v>
      </c>
      <c r="U85" t="s">
        <v>3203</v>
      </c>
      <c r="V85" t="s">
        <v>3204</v>
      </c>
      <c r="W85" t="s">
        <v>328</v>
      </c>
      <c r="X85" t="s">
        <v>4</v>
      </c>
      <c r="Y85" t="s">
        <v>3205</v>
      </c>
      <c r="Z85" t="s">
        <v>3206</v>
      </c>
      <c r="AA85" t="s">
        <v>3207</v>
      </c>
      <c r="AB85" t="s">
        <v>4</v>
      </c>
      <c r="AC85" s="3" t="s">
        <v>93</v>
      </c>
      <c r="AD85" t="s">
        <v>4</v>
      </c>
      <c r="AE85" t="s">
        <v>3208</v>
      </c>
      <c r="AF85" t="s">
        <v>3209</v>
      </c>
      <c r="AG85" t="s">
        <v>3210</v>
      </c>
      <c r="AH85" t="s">
        <v>638</v>
      </c>
      <c r="AI85" t="s">
        <v>3211</v>
      </c>
      <c r="AU85" t="s">
        <v>112</v>
      </c>
      <c r="AV85" t="s">
        <v>3212</v>
      </c>
      <c r="AW85" t="s">
        <v>114</v>
      </c>
      <c r="AX85" t="s">
        <v>909</v>
      </c>
      <c r="AY85" t="s">
        <v>3213</v>
      </c>
      <c r="AZ85" t="s">
        <v>4</v>
      </c>
      <c r="BA85" s="3" t="s">
        <v>95</v>
      </c>
      <c r="BB85" t="s">
        <v>96</v>
      </c>
      <c r="BC85" s="3" t="s">
        <v>95</v>
      </c>
      <c r="BD85" t="s">
        <v>4</v>
      </c>
      <c r="BE85">
        <v>3182</v>
      </c>
      <c r="BF85" t="s">
        <v>112</v>
      </c>
      <c r="BG85" t="s">
        <v>3214</v>
      </c>
      <c r="BJ85" t="s">
        <v>3215</v>
      </c>
      <c r="BK85">
        <v>51.034500000000001</v>
      </c>
      <c r="BL85">
        <v>41.379300000000001</v>
      </c>
      <c r="BM85" t="s">
        <v>3216</v>
      </c>
      <c r="BN85" t="s">
        <v>3217</v>
      </c>
      <c r="BO85">
        <v>65.517200000000003</v>
      </c>
      <c r="BW85">
        <v>43.103400000000001</v>
      </c>
      <c r="BX85">
        <v>42.069000000000003</v>
      </c>
      <c r="BZ85">
        <v>3.7930999999999999</v>
      </c>
      <c r="CA85">
        <v>37.241399999999999</v>
      </c>
      <c r="CK85">
        <v>5</v>
      </c>
      <c r="CL85" t="s">
        <v>4</v>
      </c>
      <c r="CM85" t="s">
        <v>3218</v>
      </c>
      <c r="CN85" t="s">
        <v>3219</v>
      </c>
      <c r="CO85" t="s">
        <v>663</v>
      </c>
      <c r="CP85" t="s">
        <v>100</v>
      </c>
      <c r="CQ85">
        <v>84</v>
      </c>
      <c r="CR85" t="s">
        <v>100</v>
      </c>
      <c r="CS85" t="s">
        <v>100</v>
      </c>
      <c r="CT85" t="s">
        <v>152</v>
      </c>
      <c r="CU85" t="s">
        <v>102</v>
      </c>
      <c r="CV85" t="s">
        <v>100</v>
      </c>
    </row>
    <row r="86" spans="1:100">
      <c r="A86" s="3" t="s">
        <v>3220</v>
      </c>
      <c r="B86" s="4" t="s">
        <v>3221</v>
      </c>
      <c r="C86">
        <v>113.412329106051</v>
      </c>
      <c r="D86">
        <v>596.53359690596301</v>
      </c>
      <c r="E86">
        <f>-2.39415164495763</f>
        <v>-2.3941516449576299</v>
      </c>
      <c r="F86" s="5">
        <v>3.9607610096119998E-16</v>
      </c>
      <c r="G86" t="s">
        <v>4</v>
      </c>
      <c r="H86">
        <v>113.412329106051</v>
      </c>
      <c r="I86">
        <v>96.463047251512805</v>
      </c>
      <c r="J86">
        <v>0.22187486327997299</v>
      </c>
      <c r="K86">
        <v>0.52717036011701301</v>
      </c>
      <c r="L86" t="s">
        <v>4</v>
      </c>
      <c r="M86">
        <v>596.53359690596301</v>
      </c>
      <c r="N86">
        <v>96.463047251512805</v>
      </c>
      <c r="O86">
        <v>2.6160265082376002</v>
      </c>
      <c r="P86" s="5">
        <v>1.4960216290528299E-18</v>
      </c>
      <c r="Q86" t="s">
        <v>4</v>
      </c>
      <c r="R86" s="4" t="s">
        <v>87</v>
      </c>
      <c r="S86" t="s">
        <v>4</v>
      </c>
      <c r="T86" t="s">
        <v>88</v>
      </c>
      <c r="U86" t="s">
        <v>89</v>
      </c>
      <c r="V86" t="s">
        <v>90</v>
      </c>
      <c r="W86" t="s">
        <v>91</v>
      </c>
      <c r="X86" t="s">
        <v>4</v>
      </c>
      <c r="Y86" t="s">
        <v>92</v>
      </c>
      <c r="Z86" t="s">
        <v>92</v>
      </c>
      <c r="AA86" t="s">
        <v>92</v>
      </c>
      <c r="AB86" t="s">
        <v>4</v>
      </c>
      <c r="AC86" s="3" t="s">
        <v>93</v>
      </c>
      <c r="AD86" t="s">
        <v>4</v>
      </c>
      <c r="AE86" s="4" t="s">
        <v>94</v>
      </c>
      <c r="AZ86" t="s">
        <v>4</v>
      </c>
      <c r="BA86" s="3" t="s">
        <v>95</v>
      </c>
      <c r="BB86" t="s">
        <v>96</v>
      </c>
      <c r="BC86" s="3" t="s">
        <v>95</v>
      </c>
      <c r="BD86" t="s">
        <v>4</v>
      </c>
      <c r="BE86">
        <v>3033</v>
      </c>
      <c r="BF86" t="s">
        <v>97</v>
      </c>
      <c r="BI86">
        <v>85.542199999999994</v>
      </c>
      <c r="BO86">
        <v>62.650599999999997</v>
      </c>
      <c r="CK86">
        <v>4</v>
      </c>
      <c r="CL86" t="s">
        <v>4</v>
      </c>
      <c r="CM86" t="s">
        <v>98</v>
      </c>
      <c r="CN86" t="s">
        <v>98</v>
      </c>
      <c r="CO86" t="s">
        <v>99</v>
      </c>
      <c r="CP86" t="s">
        <v>100</v>
      </c>
      <c r="CQ86">
        <v>85</v>
      </c>
      <c r="CR86" t="s">
        <v>100</v>
      </c>
      <c r="CS86" t="s">
        <v>100</v>
      </c>
      <c r="CT86" t="s">
        <v>152</v>
      </c>
      <c r="CU86" t="s">
        <v>102</v>
      </c>
      <c r="CV86" t="s">
        <v>100</v>
      </c>
    </row>
    <row r="87" spans="1:100">
      <c r="A87" s="3" t="s">
        <v>3222</v>
      </c>
      <c r="B87" s="4" t="s">
        <v>3223</v>
      </c>
      <c r="C87">
        <v>16.557647774228101</v>
      </c>
      <c r="D87">
        <v>168.407029076029</v>
      </c>
      <c r="E87">
        <f>-3.34882048891943</f>
        <v>-3.3488204889194302</v>
      </c>
      <c r="F87">
        <v>1.09289366356908E-4</v>
      </c>
      <c r="G87" t="s">
        <v>4</v>
      </c>
      <c r="H87">
        <v>16.557647774228101</v>
      </c>
      <c r="I87">
        <v>7.4537522926049702</v>
      </c>
      <c r="J87">
        <v>1.14749901971154</v>
      </c>
      <c r="K87">
        <v>0.248310075371901</v>
      </c>
      <c r="L87" t="s">
        <v>4</v>
      </c>
      <c r="M87">
        <v>168.407029076029</v>
      </c>
      <c r="N87">
        <v>7.4537522926049702</v>
      </c>
      <c r="O87">
        <v>4.49631950863097</v>
      </c>
      <c r="P87" s="5">
        <v>4.1310959919164999E-7</v>
      </c>
      <c r="Q87" t="s">
        <v>4</v>
      </c>
      <c r="R87" s="4" t="s">
        <v>87</v>
      </c>
      <c r="S87" t="s">
        <v>4</v>
      </c>
      <c r="T87" t="s">
        <v>2325</v>
      </c>
      <c r="U87" t="s">
        <v>2326</v>
      </c>
      <c r="V87" t="s">
        <v>2327</v>
      </c>
      <c r="W87" t="s">
        <v>203</v>
      </c>
      <c r="X87" t="s">
        <v>4</v>
      </c>
      <c r="Y87" t="s">
        <v>3224</v>
      </c>
      <c r="Z87" t="s">
        <v>3225</v>
      </c>
      <c r="AA87" t="s">
        <v>3226</v>
      </c>
      <c r="AB87" t="s">
        <v>4</v>
      </c>
      <c r="AC87" s="3" t="s">
        <v>207</v>
      </c>
      <c r="AD87" t="s">
        <v>4</v>
      </c>
      <c r="AE87" t="s">
        <v>3227</v>
      </c>
      <c r="AF87" t="s">
        <v>3228</v>
      </c>
      <c r="AG87" t="s">
        <v>3229</v>
      </c>
      <c r="AH87" t="s">
        <v>386</v>
      </c>
      <c r="AU87" t="s">
        <v>112</v>
      </c>
      <c r="AV87" t="s">
        <v>3230</v>
      </c>
      <c r="AW87" t="s">
        <v>114</v>
      </c>
      <c r="AX87" t="s">
        <v>132</v>
      </c>
      <c r="AY87" t="s">
        <v>3231</v>
      </c>
      <c r="AZ87" t="s">
        <v>4</v>
      </c>
      <c r="BA87" s="3" t="s">
        <v>95</v>
      </c>
      <c r="BB87" s="6" t="s">
        <v>95</v>
      </c>
      <c r="BC87" s="3" t="s">
        <v>95</v>
      </c>
      <c r="BD87" t="s">
        <v>4</v>
      </c>
      <c r="BE87">
        <v>4744</v>
      </c>
      <c r="BF87" t="s">
        <v>282</v>
      </c>
      <c r="BG87">
        <v>97.343000000000004</v>
      </c>
      <c r="BH87">
        <v>70.772900000000007</v>
      </c>
      <c r="BI87">
        <v>85.990300000000005</v>
      </c>
      <c r="BJ87">
        <v>12.8019</v>
      </c>
      <c r="BK87">
        <v>50</v>
      </c>
      <c r="BM87">
        <v>66.4251</v>
      </c>
      <c r="BN87">
        <v>68.115899999999996</v>
      </c>
      <c r="BO87">
        <v>70.048299999999998</v>
      </c>
      <c r="BP87">
        <v>37.922699999999999</v>
      </c>
      <c r="BR87">
        <v>39.8551</v>
      </c>
      <c r="BS87">
        <v>38.8889</v>
      </c>
      <c r="BW87">
        <v>15.2174</v>
      </c>
      <c r="BX87">
        <v>39.372</v>
      </c>
      <c r="BY87">
        <v>27.777799999999999</v>
      </c>
      <c r="CA87">
        <v>31.642499999999998</v>
      </c>
      <c r="CD87">
        <v>23.188400000000001</v>
      </c>
      <c r="CK87">
        <v>6</v>
      </c>
      <c r="CL87" t="s">
        <v>4</v>
      </c>
      <c r="CM87" t="s">
        <v>3232</v>
      </c>
      <c r="CN87" t="s">
        <v>3233</v>
      </c>
      <c r="CO87" t="s">
        <v>663</v>
      </c>
      <c r="CP87" t="s">
        <v>100</v>
      </c>
      <c r="CQ87">
        <v>86</v>
      </c>
      <c r="CR87" t="s">
        <v>100</v>
      </c>
      <c r="CS87" t="s">
        <v>100</v>
      </c>
      <c r="CT87" t="s">
        <v>152</v>
      </c>
      <c r="CU87" t="s">
        <v>102</v>
      </c>
      <c r="CV87" t="s">
        <v>100</v>
      </c>
    </row>
    <row r="88" spans="1:100">
      <c r="A88" s="3" t="s">
        <v>3234</v>
      </c>
      <c r="B88" s="4" t="s">
        <v>3235</v>
      </c>
      <c r="C88">
        <v>142.60049082223699</v>
      </c>
      <c r="D88">
        <v>781.84746959719598</v>
      </c>
      <c r="E88">
        <f>-2.4563243847117</f>
        <v>-2.4563243847116998</v>
      </c>
      <c r="F88" s="5">
        <v>2.74817717519726E-21</v>
      </c>
      <c r="G88" t="s">
        <v>4</v>
      </c>
      <c r="H88">
        <v>142.60049082223699</v>
      </c>
      <c r="I88">
        <v>48.241310874108997</v>
      </c>
      <c r="J88">
        <v>1.5358636279964399</v>
      </c>
      <c r="K88" s="5">
        <v>3.2082942710842798E-7</v>
      </c>
      <c r="L88" t="s">
        <v>4</v>
      </c>
      <c r="M88">
        <v>781.84746959719598</v>
      </c>
      <c r="N88">
        <v>48.241310874108997</v>
      </c>
      <c r="O88">
        <v>3.9921880127081302</v>
      </c>
      <c r="P88" s="5">
        <v>7.6048195765490195E-45</v>
      </c>
      <c r="Q88" t="s">
        <v>4</v>
      </c>
      <c r="R88" s="4" t="s">
        <v>87</v>
      </c>
      <c r="S88" t="s">
        <v>4</v>
      </c>
      <c r="T88" t="s">
        <v>92</v>
      </c>
      <c r="U88" t="s">
        <v>92</v>
      </c>
      <c r="V88" t="s">
        <v>92</v>
      </c>
      <c r="W88" t="s">
        <v>92</v>
      </c>
      <c r="X88" t="s">
        <v>4</v>
      </c>
      <c r="Y88" t="s">
        <v>3236</v>
      </c>
      <c r="Z88" t="s">
        <v>3237</v>
      </c>
      <c r="AA88" t="s">
        <v>3238</v>
      </c>
      <c r="AB88" t="s">
        <v>4</v>
      </c>
      <c r="AC88" s="3" t="s">
        <v>93</v>
      </c>
      <c r="AD88" t="s">
        <v>4</v>
      </c>
      <c r="AE88" t="s">
        <v>3111</v>
      </c>
      <c r="AF88" t="s">
        <v>3239</v>
      </c>
      <c r="AG88" t="s">
        <v>3240</v>
      </c>
      <c r="AH88" t="s">
        <v>112</v>
      </c>
      <c r="AK88" t="s">
        <v>3114</v>
      </c>
      <c r="AL88" t="s">
        <v>3115</v>
      </c>
      <c r="AQ88" t="s">
        <v>3116</v>
      </c>
      <c r="AU88" t="s">
        <v>112</v>
      </c>
      <c r="AV88" t="s">
        <v>3117</v>
      </c>
      <c r="AW88" t="s">
        <v>114</v>
      </c>
      <c r="AX88" t="s">
        <v>536</v>
      </c>
      <c r="AY88" t="s">
        <v>3118</v>
      </c>
      <c r="AZ88" t="s">
        <v>4</v>
      </c>
      <c r="BA88" s="3" t="s">
        <v>115</v>
      </c>
      <c r="BB88" s="6" t="s">
        <v>95</v>
      </c>
      <c r="BC88" s="3" t="s">
        <v>95</v>
      </c>
      <c r="BD88" t="s">
        <v>4</v>
      </c>
      <c r="BE88">
        <v>1574</v>
      </c>
      <c r="BF88" t="s">
        <v>151</v>
      </c>
      <c r="BG88">
        <v>92.682900000000004</v>
      </c>
      <c r="BI88">
        <v>39.430900000000001</v>
      </c>
      <c r="BJ88">
        <v>26.422799999999999</v>
      </c>
      <c r="BO88" t="s">
        <v>3241</v>
      </c>
      <c r="CK88">
        <v>2</v>
      </c>
      <c r="CL88" t="s">
        <v>4</v>
      </c>
      <c r="CM88" t="s">
        <v>98</v>
      </c>
      <c r="CN88" t="s">
        <v>98</v>
      </c>
      <c r="CO88" t="s">
        <v>99</v>
      </c>
      <c r="CP88" t="s">
        <v>100</v>
      </c>
      <c r="CQ88">
        <v>87</v>
      </c>
      <c r="CR88" t="s">
        <v>100</v>
      </c>
      <c r="CS88" s="7" t="s">
        <v>101</v>
      </c>
      <c r="CT88" t="s">
        <v>152</v>
      </c>
      <c r="CU88" t="s">
        <v>102</v>
      </c>
      <c r="CV88" t="s">
        <v>100</v>
      </c>
    </row>
    <row r="89" spans="1:100">
      <c r="A89" s="3" t="s">
        <v>3242</v>
      </c>
      <c r="B89" s="4" t="s">
        <v>3243</v>
      </c>
      <c r="C89">
        <v>92.265321700825496</v>
      </c>
      <c r="D89">
        <v>957.97327527842504</v>
      </c>
      <c r="E89">
        <f>-3.37355180105356</f>
        <v>-3.3735518010535599</v>
      </c>
      <c r="F89" s="5">
        <v>1.8419540967674901E-8</v>
      </c>
      <c r="G89" t="s">
        <v>4</v>
      </c>
      <c r="H89">
        <v>92.265321700825496</v>
      </c>
      <c r="I89">
        <v>66.310114395694498</v>
      </c>
      <c r="J89">
        <v>0.46557507803103398</v>
      </c>
      <c r="K89">
        <v>0.49262157560466402</v>
      </c>
      <c r="L89" t="s">
        <v>4</v>
      </c>
      <c r="M89">
        <v>957.97327527842504</v>
      </c>
      <c r="N89">
        <v>66.310114395694498</v>
      </c>
      <c r="O89">
        <v>3.8391268790845898</v>
      </c>
      <c r="P89" s="5">
        <v>7.0398378740532104E-11</v>
      </c>
      <c r="Q89" t="s">
        <v>4</v>
      </c>
      <c r="R89" s="4" t="s">
        <v>87</v>
      </c>
      <c r="S89" t="s">
        <v>4</v>
      </c>
      <c r="T89" t="s">
        <v>92</v>
      </c>
      <c r="U89" t="s">
        <v>92</v>
      </c>
      <c r="V89" t="s">
        <v>92</v>
      </c>
      <c r="W89" t="s">
        <v>92</v>
      </c>
      <c r="X89" t="s">
        <v>4</v>
      </c>
      <c r="Y89" t="s">
        <v>92</v>
      </c>
      <c r="Z89" t="s">
        <v>92</v>
      </c>
      <c r="AA89" t="s">
        <v>92</v>
      </c>
      <c r="AB89" t="s">
        <v>4</v>
      </c>
      <c r="AC89" s="3" t="s">
        <v>93</v>
      </c>
      <c r="AD89" t="s">
        <v>4</v>
      </c>
      <c r="AE89" s="4" t="s">
        <v>94</v>
      </c>
      <c r="AZ89" t="s">
        <v>4</v>
      </c>
      <c r="BA89" s="3" t="s">
        <v>95</v>
      </c>
      <c r="BB89" s="6" t="s">
        <v>95</v>
      </c>
      <c r="BC89" s="3" t="s">
        <v>95</v>
      </c>
      <c r="BD89" t="s">
        <v>4</v>
      </c>
      <c r="BE89">
        <v>524</v>
      </c>
      <c r="BF89" t="s">
        <v>322</v>
      </c>
      <c r="CK89">
        <v>1</v>
      </c>
      <c r="CL89" t="s">
        <v>4</v>
      </c>
      <c r="CM89" t="s">
        <v>98</v>
      </c>
      <c r="CN89" t="s">
        <v>98</v>
      </c>
      <c r="CO89" t="s">
        <v>99</v>
      </c>
      <c r="CP89" t="s">
        <v>100</v>
      </c>
      <c r="CQ89">
        <v>88</v>
      </c>
      <c r="CR89" t="s">
        <v>100</v>
      </c>
      <c r="CS89" t="s">
        <v>100</v>
      </c>
      <c r="CT89" t="s">
        <v>152</v>
      </c>
      <c r="CU89" t="s">
        <v>102</v>
      </c>
      <c r="CV89" t="s">
        <v>100</v>
      </c>
    </row>
    <row r="90" spans="1:100">
      <c r="A90" s="3" t="s">
        <v>3244</v>
      </c>
      <c r="B90" s="4" t="s">
        <v>3245</v>
      </c>
      <c r="C90">
        <v>42.941987679995997</v>
      </c>
      <c r="D90">
        <v>654.84925013616305</v>
      </c>
      <c r="E90">
        <f>-3.92698635733158</f>
        <v>-3.9269863573315802</v>
      </c>
      <c r="F90" s="5">
        <v>4.7909649657699902E-23</v>
      </c>
      <c r="G90" t="s">
        <v>4</v>
      </c>
      <c r="H90">
        <v>42.941987679995997</v>
      </c>
      <c r="I90">
        <v>36.5956232603682</v>
      </c>
      <c r="J90">
        <v>0.18397150119691899</v>
      </c>
      <c r="K90">
        <v>0.71553216451915402</v>
      </c>
      <c r="L90" t="s">
        <v>4</v>
      </c>
      <c r="M90">
        <v>654.84925013616305</v>
      </c>
      <c r="N90">
        <v>36.5956232603682</v>
      </c>
      <c r="O90">
        <v>4.11095785852849</v>
      </c>
      <c r="P90" s="5">
        <v>7.8360769451478007E-24</v>
      </c>
      <c r="Q90" t="s">
        <v>4</v>
      </c>
      <c r="R90" s="4" t="s">
        <v>87</v>
      </c>
      <c r="S90" t="s">
        <v>4</v>
      </c>
      <c r="T90" t="s">
        <v>92</v>
      </c>
      <c r="U90" t="s">
        <v>92</v>
      </c>
      <c r="V90" t="s">
        <v>92</v>
      </c>
      <c r="W90" t="s">
        <v>92</v>
      </c>
      <c r="X90" t="s">
        <v>4</v>
      </c>
      <c r="Y90" t="s">
        <v>92</v>
      </c>
      <c r="Z90" t="s">
        <v>92</v>
      </c>
      <c r="AA90" t="s">
        <v>92</v>
      </c>
      <c r="AB90" t="s">
        <v>4</v>
      </c>
      <c r="AC90" s="3" t="s">
        <v>93</v>
      </c>
      <c r="AD90" t="s">
        <v>4</v>
      </c>
      <c r="AE90" s="4" t="s">
        <v>94</v>
      </c>
      <c r="AZ90" t="s">
        <v>4</v>
      </c>
      <c r="BA90" s="3" t="s">
        <v>115</v>
      </c>
      <c r="BB90" s="6" t="s">
        <v>95</v>
      </c>
      <c r="BC90" s="3" t="s">
        <v>95</v>
      </c>
      <c r="BD90" t="s">
        <v>4</v>
      </c>
      <c r="BE90">
        <v>3048</v>
      </c>
      <c r="BF90" t="s">
        <v>97</v>
      </c>
      <c r="BG90">
        <v>47.933900000000001</v>
      </c>
      <c r="BJ90">
        <v>46.694200000000002</v>
      </c>
      <c r="BK90">
        <v>52.479300000000002</v>
      </c>
      <c r="BL90">
        <v>48.347099999999998</v>
      </c>
      <c r="BM90">
        <v>49.586799999999997</v>
      </c>
      <c r="BN90">
        <v>49.586799999999997</v>
      </c>
      <c r="BO90">
        <v>51.239699999999999</v>
      </c>
      <c r="CK90">
        <v>4</v>
      </c>
      <c r="CL90" t="s">
        <v>4</v>
      </c>
      <c r="CM90" t="s">
        <v>98</v>
      </c>
      <c r="CN90" t="s">
        <v>98</v>
      </c>
      <c r="CO90" t="s">
        <v>99</v>
      </c>
      <c r="CP90" t="s">
        <v>100</v>
      </c>
      <c r="CQ90">
        <v>89</v>
      </c>
      <c r="CR90" t="s">
        <v>100</v>
      </c>
      <c r="CS90" t="s">
        <v>100</v>
      </c>
      <c r="CT90" t="s">
        <v>152</v>
      </c>
      <c r="CU90" t="s">
        <v>102</v>
      </c>
      <c r="CV90" t="s">
        <v>100</v>
      </c>
    </row>
    <row r="91" spans="1:100">
      <c r="A91" s="3" t="s">
        <v>3246</v>
      </c>
      <c r="B91" s="4" t="s">
        <v>3247</v>
      </c>
      <c r="C91">
        <v>68.787751223407795</v>
      </c>
      <c r="D91">
        <v>729.77199866352998</v>
      </c>
      <c r="E91">
        <f>-3.40493146699129</f>
        <v>-3.40493146699129</v>
      </c>
      <c r="F91" s="5">
        <v>3.6386757400848198E-30</v>
      </c>
      <c r="G91" t="s">
        <v>4</v>
      </c>
      <c r="H91">
        <v>68.787751223407795</v>
      </c>
      <c r="I91">
        <v>46.963348729420296</v>
      </c>
      <c r="J91">
        <v>0.51365212471474597</v>
      </c>
      <c r="K91">
        <v>0.157034351938135</v>
      </c>
      <c r="L91" t="s">
        <v>4</v>
      </c>
      <c r="M91">
        <v>729.77199866352998</v>
      </c>
      <c r="N91">
        <v>46.963348729420296</v>
      </c>
      <c r="O91">
        <v>3.9185835917060401</v>
      </c>
      <c r="P91" s="5">
        <v>1.5772975141023301E-35</v>
      </c>
      <c r="Q91" t="s">
        <v>4</v>
      </c>
      <c r="R91" s="4" t="s">
        <v>87</v>
      </c>
      <c r="S91" t="s">
        <v>4</v>
      </c>
      <c r="T91" t="s">
        <v>92</v>
      </c>
      <c r="U91" t="s">
        <v>92</v>
      </c>
      <c r="V91" t="s">
        <v>92</v>
      </c>
      <c r="W91" t="s">
        <v>92</v>
      </c>
      <c r="X91" t="s">
        <v>4</v>
      </c>
      <c r="Y91" t="s">
        <v>92</v>
      </c>
      <c r="Z91" t="s">
        <v>92</v>
      </c>
      <c r="AA91" t="s">
        <v>92</v>
      </c>
      <c r="AB91" t="s">
        <v>4</v>
      </c>
      <c r="AC91" s="3" t="s">
        <v>93</v>
      </c>
      <c r="AD91" t="s">
        <v>4</v>
      </c>
      <c r="AE91" s="4" t="s">
        <v>94</v>
      </c>
      <c r="AZ91" t="s">
        <v>4</v>
      </c>
      <c r="BA91" s="3" t="s">
        <v>115</v>
      </c>
      <c r="BB91" s="6" t="s">
        <v>95</v>
      </c>
      <c r="BC91" s="3" t="s">
        <v>95</v>
      </c>
      <c r="BD91" t="s">
        <v>4</v>
      </c>
      <c r="BE91">
        <v>3052</v>
      </c>
      <c r="BF91" t="s">
        <v>97</v>
      </c>
      <c r="BG91">
        <v>47.933900000000001</v>
      </c>
      <c r="BJ91">
        <v>46.694200000000002</v>
      </c>
      <c r="BK91">
        <v>52.479300000000002</v>
      </c>
      <c r="BL91">
        <v>48.347099999999998</v>
      </c>
      <c r="BM91">
        <v>49.586799999999997</v>
      </c>
      <c r="BN91">
        <v>49.586799999999997</v>
      </c>
      <c r="BO91">
        <v>51.239699999999999</v>
      </c>
      <c r="CK91">
        <v>4</v>
      </c>
      <c r="CL91" t="s">
        <v>4</v>
      </c>
      <c r="CM91" t="s">
        <v>98</v>
      </c>
      <c r="CN91" t="s">
        <v>98</v>
      </c>
      <c r="CO91" t="s">
        <v>99</v>
      </c>
      <c r="CP91" t="s">
        <v>100</v>
      </c>
      <c r="CQ91">
        <v>90</v>
      </c>
      <c r="CR91" t="s">
        <v>100</v>
      </c>
      <c r="CS91" t="s">
        <v>100</v>
      </c>
      <c r="CT91" t="s">
        <v>152</v>
      </c>
      <c r="CU91" t="s">
        <v>102</v>
      </c>
      <c r="CV91" t="s">
        <v>100</v>
      </c>
    </row>
    <row r="92" spans="1:100">
      <c r="A92" s="3" t="s">
        <v>3248</v>
      </c>
      <c r="B92" s="4" t="s">
        <v>3249</v>
      </c>
      <c r="C92">
        <v>13.8232127749444</v>
      </c>
      <c r="D92">
        <v>97.0729377447486</v>
      </c>
      <c r="E92">
        <f>-2.81287692803033</f>
        <v>-2.8128769280303301</v>
      </c>
      <c r="F92" s="5">
        <v>3.6012624430056599E-8</v>
      </c>
      <c r="G92" t="s">
        <v>4</v>
      </c>
      <c r="H92">
        <v>13.8232127749444</v>
      </c>
      <c r="I92">
        <v>3.2460616823237398</v>
      </c>
      <c r="J92">
        <v>2.1041703106660901</v>
      </c>
      <c r="K92">
        <v>7.6279484676517297E-3</v>
      </c>
      <c r="L92" t="s">
        <v>4</v>
      </c>
      <c r="M92">
        <v>97.0729377447486</v>
      </c>
      <c r="N92">
        <v>3.2460616823237398</v>
      </c>
      <c r="O92">
        <v>4.9170472386964104</v>
      </c>
      <c r="P92" s="5">
        <v>1.00142748737646E-11</v>
      </c>
      <c r="Q92" t="s">
        <v>4</v>
      </c>
      <c r="R92" s="4" t="s">
        <v>87</v>
      </c>
      <c r="S92" t="s">
        <v>4</v>
      </c>
      <c r="T92" t="s">
        <v>92</v>
      </c>
      <c r="U92" t="s">
        <v>92</v>
      </c>
      <c r="V92" t="s">
        <v>92</v>
      </c>
      <c r="W92" t="s">
        <v>92</v>
      </c>
      <c r="X92" t="s">
        <v>4</v>
      </c>
      <c r="Y92" t="s">
        <v>92</v>
      </c>
      <c r="Z92" t="s">
        <v>92</v>
      </c>
      <c r="AA92" t="s">
        <v>92</v>
      </c>
      <c r="AB92" t="s">
        <v>4</v>
      </c>
      <c r="AC92" s="3" t="s">
        <v>93</v>
      </c>
      <c r="AD92" t="s">
        <v>4</v>
      </c>
      <c r="AE92" s="4" t="s">
        <v>94</v>
      </c>
      <c r="AZ92" t="s">
        <v>4</v>
      </c>
      <c r="BA92" s="3" t="s">
        <v>115</v>
      </c>
      <c r="BB92" s="6" t="s">
        <v>95</v>
      </c>
      <c r="BC92" s="3" t="s">
        <v>95</v>
      </c>
      <c r="BD92" t="s">
        <v>4</v>
      </c>
      <c r="BE92">
        <v>3053</v>
      </c>
      <c r="BF92" t="s">
        <v>97</v>
      </c>
      <c r="BG92">
        <v>47.933900000000001</v>
      </c>
      <c r="BJ92">
        <v>46.694200000000002</v>
      </c>
      <c r="BK92">
        <v>52.479300000000002</v>
      </c>
      <c r="BL92">
        <v>48.347099999999998</v>
      </c>
      <c r="BM92">
        <v>49.586799999999997</v>
      </c>
      <c r="BN92">
        <v>49.586799999999997</v>
      </c>
      <c r="BO92">
        <v>51.239699999999999</v>
      </c>
      <c r="CK92">
        <v>4</v>
      </c>
      <c r="CL92" t="s">
        <v>4</v>
      </c>
      <c r="CM92" t="s">
        <v>98</v>
      </c>
      <c r="CN92" t="s">
        <v>98</v>
      </c>
      <c r="CO92" t="s">
        <v>99</v>
      </c>
      <c r="CP92" t="s">
        <v>100</v>
      </c>
      <c r="CQ92">
        <v>91</v>
      </c>
      <c r="CR92" t="s">
        <v>100</v>
      </c>
      <c r="CS92" t="s">
        <v>101</v>
      </c>
      <c r="CT92" t="s">
        <v>152</v>
      </c>
      <c r="CU92" t="s">
        <v>102</v>
      </c>
      <c r="CV92" t="s">
        <v>100</v>
      </c>
    </row>
    <row r="93" spans="1:100">
      <c r="A93" s="3" t="s">
        <v>3250</v>
      </c>
      <c r="B93" s="4" t="s">
        <v>3251</v>
      </c>
      <c r="C93">
        <v>88.527567413471104</v>
      </c>
      <c r="D93">
        <v>1488.78060063203</v>
      </c>
      <c r="E93">
        <f>-4.07043967695217</f>
        <v>-4.0704396769521702</v>
      </c>
      <c r="F93" s="5">
        <v>4.3434134247604902E-19</v>
      </c>
      <c r="G93" t="s">
        <v>4</v>
      </c>
      <c r="H93">
        <v>88.527567413471104</v>
      </c>
      <c r="I93">
        <v>78.062350701440394</v>
      </c>
      <c r="J93">
        <v>0.159996507460617</v>
      </c>
      <c r="K93">
        <v>0.77263672088822599</v>
      </c>
      <c r="L93" t="s">
        <v>4</v>
      </c>
      <c r="M93">
        <v>1488.78060063203</v>
      </c>
      <c r="N93">
        <v>78.062350701440394</v>
      </c>
      <c r="O93">
        <v>4.2304361844127802</v>
      </c>
      <c r="P93" s="5">
        <v>1.3469228389318E-20</v>
      </c>
      <c r="Q93" t="s">
        <v>4</v>
      </c>
      <c r="R93" s="4" t="s">
        <v>87</v>
      </c>
      <c r="S93" t="s">
        <v>4</v>
      </c>
      <c r="T93" t="s">
        <v>92</v>
      </c>
      <c r="U93" t="s">
        <v>92</v>
      </c>
      <c r="V93" t="s">
        <v>92</v>
      </c>
      <c r="W93" t="s">
        <v>92</v>
      </c>
      <c r="X93" t="s">
        <v>4</v>
      </c>
      <c r="Y93" t="s">
        <v>92</v>
      </c>
      <c r="Z93" t="s">
        <v>92</v>
      </c>
      <c r="AA93" t="s">
        <v>92</v>
      </c>
      <c r="AB93" t="s">
        <v>4</v>
      </c>
      <c r="AC93" s="3" t="s">
        <v>93</v>
      </c>
      <c r="AD93" t="s">
        <v>4</v>
      </c>
      <c r="AE93" s="4" t="s">
        <v>94</v>
      </c>
      <c r="AZ93" t="s">
        <v>4</v>
      </c>
      <c r="BA93" s="3" t="s">
        <v>115</v>
      </c>
      <c r="BB93" s="6" t="s">
        <v>95</v>
      </c>
      <c r="BC93" s="3" t="s">
        <v>95</v>
      </c>
      <c r="BD93" t="s">
        <v>4</v>
      </c>
      <c r="BE93">
        <v>3054</v>
      </c>
      <c r="BF93" t="s">
        <v>97</v>
      </c>
      <c r="BG93">
        <v>47.933900000000001</v>
      </c>
      <c r="BJ93">
        <v>46.694200000000002</v>
      </c>
      <c r="BK93">
        <v>52.479300000000002</v>
      </c>
      <c r="BL93">
        <v>48.347099999999998</v>
      </c>
      <c r="BM93">
        <v>49.586799999999997</v>
      </c>
      <c r="BN93">
        <v>49.586799999999997</v>
      </c>
      <c r="BO93">
        <v>51.239699999999999</v>
      </c>
      <c r="CK93">
        <v>4</v>
      </c>
      <c r="CL93" t="s">
        <v>4</v>
      </c>
      <c r="CM93" t="s">
        <v>98</v>
      </c>
      <c r="CN93" t="s">
        <v>98</v>
      </c>
      <c r="CO93" t="s">
        <v>99</v>
      </c>
      <c r="CP93" t="s">
        <v>100</v>
      </c>
      <c r="CQ93">
        <v>92</v>
      </c>
      <c r="CR93" t="s">
        <v>100</v>
      </c>
      <c r="CS93" t="s">
        <v>100</v>
      </c>
      <c r="CT93" t="s">
        <v>152</v>
      </c>
      <c r="CU93" t="s">
        <v>102</v>
      </c>
      <c r="CV93" t="s">
        <v>100</v>
      </c>
    </row>
    <row r="94" spans="1:100">
      <c r="A94" s="3" t="s">
        <v>3252</v>
      </c>
      <c r="B94" s="4" t="s">
        <v>3253</v>
      </c>
      <c r="C94">
        <v>100.662108414583</v>
      </c>
      <c r="D94">
        <v>1402.0993537132099</v>
      </c>
      <c r="E94">
        <f>-3.79934332295337</f>
        <v>-3.7993433229533702</v>
      </c>
      <c r="F94" s="5">
        <v>1.0840470073486401E-27</v>
      </c>
      <c r="G94" t="s">
        <v>4</v>
      </c>
      <c r="H94">
        <v>100.662108414583</v>
      </c>
      <c r="I94">
        <v>345.58606938349999</v>
      </c>
      <c r="J94">
        <f>-1.78479191698786</f>
        <v>-1.7847919169878601</v>
      </c>
      <c r="K94" s="5">
        <v>6.6197512726811203E-7</v>
      </c>
      <c r="L94" t="s">
        <v>4</v>
      </c>
      <c r="M94">
        <v>1402.0993537132099</v>
      </c>
      <c r="N94">
        <v>345.58606938349999</v>
      </c>
      <c r="O94">
        <v>2.0145514059655101</v>
      </c>
      <c r="P94" s="5">
        <v>5.5574090511361998E-9</v>
      </c>
      <c r="Q94" t="s">
        <v>4</v>
      </c>
      <c r="R94" s="4" t="s">
        <v>87</v>
      </c>
      <c r="S94" t="s">
        <v>4</v>
      </c>
      <c r="T94" t="s">
        <v>92</v>
      </c>
      <c r="U94" t="s">
        <v>92</v>
      </c>
      <c r="V94" t="s">
        <v>92</v>
      </c>
      <c r="W94" t="s">
        <v>92</v>
      </c>
      <c r="X94" t="s">
        <v>4</v>
      </c>
      <c r="Y94" t="s">
        <v>92</v>
      </c>
      <c r="Z94" t="s">
        <v>92</v>
      </c>
      <c r="AA94" t="s">
        <v>92</v>
      </c>
      <c r="AB94" t="s">
        <v>4</v>
      </c>
      <c r="AC94" s="3" t="s">
        <v>93</v>
      </c>
      <c r="AD94" t="s">
        <v>4</v>
      </c>
      <c r="AE94" s="4" t="s">
        <v>94</v>
      </c>
      <c r="AZ94" t="s">
        <v>4</v>
      </c>
      <c r="BA94" s="3" t="s">
        <v>115</v>
      </c>
      <c r="BB94" s="6" t="s">
        <v>95</v>
      </c>
      <c r="BC94" s="3" t="s">
        <v>95</v>
      </c>
      <c r="BD94" t="s">
        <v>4</v>
      </c>
      <c r="BE94">
        <v>3056</v>
      </c>
      <c r="BF94" t="s">
        <v>97</v>
      </c>
      <c r="BG94">
        <v>41.603099999999998</v>
      </c>
      <c r="BJ94">
        <v>45.801499999999997</v>
      </c>
      <c r="BK94">
        <v>49.618299999999998</v>
      </c>
      <c r="BL94">
        <v>48.473300000000002</v>
      </c>
      <c r="BM94">
        <v>50</v>
      </c>
      <c r="BN94">
        <v>50</v>
      </c>
      <c r="BO94">
        <v>49.618299999999998</v>
      </c>
      <c r="CK94">
        <v>4</v>
      </c>
      <c r="CL94" t="s">
        <v>4</v>
      </c>
      <c r="CM94" t="s">
        <v>98</v>
      </c>
      <c r="CN94" t="s">
        <v>98</v>
      </c>
      <c r="CO94" t="s">
        <v>99</v>
      </c>
      <c r="CP94" t="s">
        <v>100</v>
      </c>
      <c r="CQ94">
        <v>93</v>
      </c>
      <c r="CR94" t="s">
        <v>100</v>
      </c>
      <c r="CS94" t="s">
        <v>100</v>
      </c>
      <c r="CT94" t="s">
        <v>152</v>
      </c>
      <c r="CU94" t="s">
        <v>102</v>
      </c>
      <c r="CV94" t="s">
        <v>100</v>
      </c>
    </row>
    <row r="95" spans="1:100">
      <c r="A95" s="3" t="s">
        <v>3254</v>
      </c>
      <c r="B95" s="4" t="s">
        <v>3255</v>
      </c>
      <c r="C95">
        <v>86.043714295264195</v>
      </c>
      <c r="D95">
        <v>1518.92303793979</v>
      </c>
      <c r="E95">
        <f>-4.14018452458008</f>
        <v>-4.1401845245800803</v>
      </c>
      <c r="F95" s="5">
        <v>1.2467296810906901E-19</v>
      </c>
      <c r="G95" t="s">
        <v>4</v>
      </c>
      <c r="H95">
        <v>86.043714295264195</v>
      </c>
      <c r="I95">
        <v>57.204595782185699</v>
      </c>
      <c r="J95">
        <v>0.57396943639700004</v>
      </c>
      <c r="K95">
        <v>0.27382974276774402</v>
      </c>
      <c r="L95" t="s">
        <v>4</v>
      </c>
      <c r="M95">
        <v>1518.92303793979</v>
      </c>
      <c r="N95">
        <v>57.204595782185699</v>
      </c>
      <c r="O95">
        <v>4.7141539609770797</v>
      </c>
      <c r="P95" s="5">
        <v>1.14381789873948E-24</v>
      </c>
      <c r="Q95" t="s">
        <v>4</v>
      </c>
      <c r="R95" s="4" t="s">
        <v>87</v>
      </c>
      <c r="S95" t="s">
        <v>4</v>
      </c>
      <c r="T95" t="s">
        <v>92</v>
      </c>
      <c r="U95" t="s">
        <v>92</v>
      </c>
      <c r="V95" t="s">
        <v>92</v>
      </c>
      <c r="W95" t="s">
        <v>92</v>
      </c>
      <c r="X95" t="s">
        <v>4</v>
      </c>
      <c r="Y95" t="s">
        <v>92</v>
      </c>
      <c r="Z95" t="s">
        <v>92</v>
      </c>
      <c r="AA95" t="s">
        <v>92</v>
      </c>
      <c r="AB95" t="s">
        <v>4</v>
      </c>
      <c r="AC95" s="3" t="s">
        <v>93</v>
      </c>
      <c r="AD95" t="s">
        <v>4</v>
      </c>
      <c r="AE95" s="4" t="s">
        <v>94</v>
      </c>
      <c r="AZ95" t="s">
        <v>4</v>
      </c>
      <c r="BA95" s="3" t="s">
        <v>115</v>
      </c>
      <c r="BB95" s="6" t="s">
        <v>95</v>
      </c>
      <c r="BC95" s="3" t="s">
        <v>95</v>
      </c>
      <c r="BD95" t="s">
        <v>4</v>
      </c>
      <c r="BE95">
        <v>3065</v>
      </c>
      <c r="BF95" t="s">
        <v>97</v>
      </c>
      <c r="BG95">
        <v>49.785400000000003</v>
      </c>
      <c r="BJ95">
        <v>46.351900000000001</v>
      </c>
      <c r="BK95">
        <v>51.9313</v>
      </c>
      <c r="BL95">
        <v>48.927</v>
      </c>
      <c r="BM95">
        <v>50.214599999999997</v>
      </c>
      <c r="BN95">
        <v>50.214599999999997</v>
      </c>
      <c r="BO95">
        <v>51.502099999999999</v>
      </c>
      <c r="CK95">
        <v>4</v>
      </c>
      <c r="CL95" t="s">
        <v>4</v>
      </c>
      <c r="CM95" t="s">
        <v>98</v>
      </c>
      <c r="CN95" t="s">
        <v>98</v>
      </c>
      <c r="CO95" t="s">
        <v>99</v>
      </c>
      <c r="CP95" t="s">
        <v>100</v>
      </c>
      <c r="CQ95">
        <v>94</v>
      </c>
      <c r="CR95" t="s">
        <v>100</v>
      </c>
      <c r="CS95" t="s">
        <v>100</v>
      </c>
      <c r="CT95" t="s">
        <v>152</v>
      </c>
      <c r="CU95" t="s">
        <v>102</v>
      </c>
      <c r="CV95" t="s">
        <v>100</v>
      </c>
    </row>
    <row r="96" spans="1:100">
      <c r="A96" s="3" t="s">
        <v>3256</v>
      </c>
      <c r="B96" s="4" t="s">
        <v>3257</v>
      </c>
      <c r="C96">
        <v>258.03366626726898</v>
      </c>
      <c r="D96">
        <v>1428.0127463261899</v>
      </c>
      <c r="E96">
        <f>-2.46706760057666</f>
        <v>-2.4670676005766601</v>
      </c>
      <c r="F96" s="5">
        <v>1.0203820145660301E-12</v>
      </c>
      <c r="G96" t="s">
        <v>4</v>
      </c>
      <c r="H96">
        <v>258.03366626726898</v>
      </c>
      <c r="I96">
        <v>50.995279084016602</v>
      </c>
      <c r="J96">
        <v>2.33609886431314</v>
      </c>
      <c r="K96" s="5">
        <v>3.09707924413988E-10</v>
      </c>
      <c r="L96" t="s">
        <v>4</v>
      </c>
      <c r="M96">
        <v>1428.0127463261899</v>
      </c>
      <c r="N96">
        <v>50.995279084016602</v>
      </c>
      <c r="O96">
        <v>4.8031664648897996</v>
      </c>
      <c r="P96" s="5">
        <v>8.9152843764244005E-41</v>
      </c>
      <c r="Q96" t="s">
        <v>4</v>
      </c>
      <c r="R96" s="4" t="s">
        <v>87</v>
      </c>
      <c r="S96" t="s">
        <v>4</v>
      </c>
      <c r="T96" t="s">
        <v>92</v>
      </c>
      <c r="U96" t="s">
        <v>92</v>
      </c>
      <c r="V96" t="s">
        <v>92</v>
      </c>
      <c r="W96" t="s">
        <v>92</v>
      </c>
      <c r="X96" t="s">
        <v>4</v>
      </c>
      <c r="Y96" t="s">
        <v>2731</v>
      </c>
      <c r="Z96" t="s">
        <v>2732</v>
      </c>
      <c r="AA96" t="s">
        <v>2733</v>
      </c>
      <c r="AB96" t="s">
        <v>4</v>
      </c>
      <c r="AC96" s="3" t="s">
        <v>93</v>
      </c>
      <c r="AD96" t="s">
        <v>4</v>
      </c>
      <c r="AE96" t="s">
        <v>2735</v>
      </c>
      <c r="AF96" t="s">
        <v>2736</v>
      </c>
      <c r="AG96" t="s">
        <v>2737</v>
      </c>
      <c r="AH96" t="s">
        <v>112</v>
      </c>
      <c r="AK96" t="s">
        <v>2738</v>
      </c>
      <c r="AL96" t="s">
        <v>2739</v>
      </c>
      <c r="AM96" t="s">
        <v>2740</v>
      </c>
      <c r="AN96" t="s">
        <v>2741</v>
      </c>
      <c r="AO96" t="s">
        <v>2742</v>
      </c>
      <c r="AP96" t="s">
        <v>2743</v>
      </c>
      <c r="AQ96" t="s">
        <v>2744</v>
      </c>
      <c r="AU96" t="s">
        <v>112</v>
      </c>
      <c r="AV96" t="s">
        <v>2745</v>
      </c>
      <c r="AW96" t="s">
        <v>114</v>
      </c>
      <c r="AX96" t="s">
        <v>2746</v>
      </c>
      <c r="AY96" t="s">
        <v>2747</v>
      </c>
      <c r="AZ96" t="s">
        <v>4</v>
      </c>
      <c r="BA96" s="3" t="s">
        <v>95</v>
      </c>
      <c r="BB96" s="6" t="s">
        <v>95</v>
      </c>
      <c r="BC96" s="3" t="s">
        <v>95</v>
      </c>
      <c r="BD96" t="s">
        <v>4</v>
      </c>
      <c r="BE96">
        <v>10871</v>
      </c>
      <c r="BF96" t="s">
        <v>169</v>
      </c>
      <c r="BG96">
        <v>65.811999999999998</v>
      </c>
      <c r="BI96">
        <v>70.085499999999996</v>
      </c>
      <c r="BJ96">
        <v>69.658100000000005</v>
      </c>
      <c r="BK96">
        <v>68.376099999999994</v>
      </c>
      <c r="BL96" t="s">
        <v>2748</v>
      </c>
      <c r="BM96">
        <v>68.376099999999994</v>
      </c>
      <c r="BN96">
        <v>67.5214</v>
      </c>
      <c r="BO96">
        <v>68.803399999999996</v>
      </c>
      <c r="BP96">
        <v>60.683799999999998</v>
      </c>
      <c r="BQ96">
        <v>55.1282</v>
      </c>
      <c r="BR96">
        <v>58.546999999999997</v>
      </c>
      <c r="BS96">
        <v>58.546999999999997</v>
      </c>
      <c r="BT96">
        <v>52.136800000000001</v>
      </c>
      <c r="BU96">
        <v>57.265000000000001</v>
      </c>
      <c r="BV96" t="s">
        <v>2749</v>
      </c>
      <c r="BW96">
        <v>55.1282</v>
      </c>
      <c r="BX96" t="s">
        <v>2750</v>
      </c>
      <c r="BZ96">
        <v>59.401699999999998</v>
      </c>
      <c r="CA96">
        <v>55.555599999999998</v>
      </c>
      <c r="CC96">
        <v>51.709400000000002</v>
      </c>
      <c r="CD96" t="s">
        <v>2751</v>
      </c>
      <c r="CE96">
        <v>50.427300000000002</v>
      </c>
      <c r="CF96" t="s">
        <v>2752</v>
      </c>
      <c r="CG96">
        <v>52.136800000000001</v>
      </c>
      <c r="CH96">
        <v>52.136800000000001</v>
      </c>
      <c r="CI96">
        <v>55.982900000000001</v>
      </c>
      <c r="CJ96">
        <v>46.153799999999997</v>
      </c>
      <c r="CK96">
        <v>9</v>
      </c>
      <c r="CL96" t="s">
        <v>4</v>
      </c>
      <c r="CM96" t="s">
        <v>2753</v>
      </c>
      <c r="CN96" t="s">
        <v>2754</v>
      </c>
      <c r="CO96" t="s">
        <v>219</v>
      </c>
      <c r="CP96" t="s">
        <v>100</v>
      </c>
      <c r="CQ96">
        <v>95</v>
      </c>
      <c r="CR96" t="s">
        <v>100</v>
      </c>
      <c r="CS96" t="s">
        <v>101</v>
      </c>
      <c r="CT96" t="s">
        <v>152</v>
      </c>
      <c r="CU96" t="s">
        <v>102</v>
      </c>
      <c r="CV96" t="s">
        <v>100</v>
      </c>
    </row>
    <row r="97" spans="1:100">
      <c r="A97" s="3" t="s">
        <v>3258</v>
      </c>
      <c r="B97" s="4" t="s">
        <v>3259</v>
      </c>
      <c r="C97">
        <v>188.68041867130901</v>
      </c>
      <c r="D97">
        <v>1666.7720359459199</v>
      </c>
      <c r="E97">
        <f>-3.14021358023499</f>
        <v>-3.14021358023499</v>
      </c>
      <c r="F97" s="5">
        <v>4.3988357831986003E-22</v>
      </c>
      <c r="G97" t="s">
        <v>4</v>
      </c>
      <c r="H97">
        <v>188.68041867130901</v>
      </c>
      <c r="I97">
        <v>31.0312556753363</v>
      </c>
      <c r="J97">
        <v>2.56291324955754</v>
      </c>
      <c r="K97" s="5">
        <v>5.4063197373027903E-12</v>
      </c>
      <c r="L97" t="s">
        <v>4</v>
      </c>
      <c r="M97">
        <v>1666.7720359459199</v>
      </c>
      <c r="N97">
        <v>31.0312556753363</v>
      </c>
      <c r="O97">
        <v>5.7031268297925299</v>
      </c>
      <c r="P97" s="5">
        <v>8.1254975340525704E-57</v>
      </c>
      <c r="Q97" t="s">
        <v>4</v>
      </c>
      <c r="R97" s="4" t="s">
        <v>87</v>
      </c>
      <c r="S97" t="s">
        <v>4</v>
      </c>
      <c r="T97" t="s">
        <v>92</v>
      </c>
      <c r="U97" t="s">
        <v>92</v>
      </c>
      <c r="V97" t="s">
        <v>92</v>
      </c>
      <c r="W97" t="s">
        <v>92</v>
      </c>
      <c r="X97" t="s">
        <v>4</v>
      </c>
      <c r="Y97" t="s">
        <v>3260</v>
      </c>
      <c r="Z97" t="s">
        <v>3261</v>
      </c>
      <c r="AA97" t="s">
        <v>3262</v>
      </c>
      <c r="AB97" t="s">
        <v>4</v>
      </c>
      <c r="AC97" s="3" t="s">
        <v>93</v>
      </c>
      <c r="AD97" t="s">
        <v>4</v>
      </c>
      <c r="AE97" t="s">
        <v>2735</v>
      </c>
      <c r="AF97" t="s">
        <v>3263</v>
      </c>
      <c r="AG97" t="s">
        <v>3264</v>
      </c>
      <c r="AH97" t="s">
        <v>112</v>
      </c>
      <c r="AK97" t="s">
        <v>2738</v>
      </c>
      <c r="AL97" t="s">
        <v>2739</v>
      </c>
      <c r="AM97" t="s">
        <v>2740</v>
      </c>
      <c r="AN97" t="s">
        <v>2741</v>
      </c>
      <c r="AO97" t="s">
        <v>2742</v>
      </c>
      <c r="AP97" t="s">
        <v>2743</v>
      </c>
      <c r="AQ97" t="s">
        <v>2744</v>
      </c>
      <c r="AU97" t="s">
        <v>112</v>
      </c>
      <c r="AV97" t="s">
        <v>2745</v>
      </c>
      <c r="AW97" t="s">
        <v>114</v>
      </c>
      <c r="AX97" t="s">
        <v>2746</v>
      </c>
      <c r="AY97" t="s">
        <v>2747</v>
      </c>
      <c r="AZ97" t="s">
        <v>4</v>
      </c>
      <c r="BA97" s="3" t="s">
        <v>95</v>
      </c>
      <c r="BB97" s="6" t="s">
        <v>95</v>
      </c>
      <c r="BC97" s="3" t="s">
        <v>95</v>
      </c>
      <c r="BD97" t="s">
        <v>4</v>
      </c>
      <c r="BE97">
        <v>2359</v>
      </c>
      <c r="BF97" t="s">
        <v>148</v>
      </c>
      <c r="CK97">
        <v>3</v>
      </c>
      <c r="CL97" t="s">
        <v>4</v>
      </c>
      <c r="CM97" t="s">
        <v>98</v>
      </c>
      <c r="CN97" t="s">
        <v>98</v>
      </c>
      <c r="CO97" t="s">
        <v>99</v>
      </c>
      <c r="CP97" t="s">
        <v>100</v>
      </c>
      <c r="CQ97">
        <v>96</v>
      </c>
      <c r="CR97" t="s">
        <v>100</v>
      </c>
      <c r="CS97" t="s">
        <v>101</v>
      </c>
      <c r="CT97" t="s">
        <v>152</v>
      </c>
      <c r="CU97" t="s">
        <v>102</v>
      </c>
      <c r="CV97" t="s">
        <v>100</v>
      </c>
    </row>
    <row r="98" spans="1:100">
      <c r="A98" s="3" t="s">
        <v>3265</v>
      </c>
      <c r="B98" s="4" t="s">
        <v>3266</v>
      </c>
      <c r="C98">
        <v>10.9141680286239</v>
      </c>
      <c r="D98">
        <v>151.85763550114601</v>
      </c>
      <c r="E98">
        <f>-3.79496219967861</f>
        <v>-3.79496219967861</v>
      </c>
      <c r="F98" s="5">
        <v>3.8617405550981699E-10</v>
      </c>
      <c r="G98" t="s">
        <v>4</v>
      </c>
      <c r="H98">
        <v>10.9141680286239</v>
      </c>
      <c r="I98">
        <v>26.7388109485942</v>
      </c>
      <c r="J98">
        <f>-1.27594909997457</f>
        <v>-1.27594909997457</v>
      </c>
      <c r="K98">
        <v>5.6242886902901801E-2</v>
      </c>
      <c r="L98" t="s">
        <v>4</v>
      </c>
      <c r="M98">
        <v>151.85763550114601</v>
      </c>
      <c r="N98">
        <v>26.7388109485942</v>
      </c>
      <c r="O98">
        <v>2.5190130997040301</v>
      </c>
      <c r="P98" s="5">
        <v>2.0382374821051799E-5</v>
      </c>
      <c r="Q98" t="s">
        <v>4</v>
      </c>
      <c r="R98" s="4" t="s">
        <v>87</v>
      </c>
      <c r="S98" t="s">
        <v>4</v>
      </c>
      <c r="T98" t="s">
        <v>92</v>
      </c>
      <c r="U98" t="s">
        <v>92</v>
      </c>
      <c r="V98" t="s">
        <v>92</v>
      </c>
      <c r="W98" t="s">
        <v>92</v>
      </c>
      <c r="X98" t="s">
        <v>4</v>
      </c>
      <c r="Y98" t="s">
        <v>3267</v>
      </c>
      <c r="Z98" t="s">
        <v>3268</v>
      </c>
      <c r="AA98" t="s">
        <v>3269</v>
      </c>
      <c r="AB98" t="s">
        <v>4</v>
      </c>
      <c r="AC98" s="3" t="s">
        <v>93</v>
      </c>
      <c r="AD98" t="s">
        <v>4</v>
      </c>
      <c r="AE98" s="4" t="s">
        <v>94</v>
      </c>
      <c r="AZ98" t="s">
        <v>4</v>
      </c>
      <c r="BA98" s="3" t="s">
        <v>95</v>
      </c>
      <c r="BB98" s="6" t="s">
        <v>95</v>
      </c>
      <c r="BC98" s="3" t="s">
        <v>95</v>
      </c>
      <c r="BD98" t="s">
        <v>4</v>
      </c>
      <c r="BE98">
        <v>3068</v>
      </c>
      <c r="BF98" t="s">
        <v>97</v>
      </c>
      <c r="BG98">
        <v>85</v>
      </c>
      <c r="BH98">
        <v>95</v>
      </c>
      <c r="BI98">
        <v>85</v>
      </c>
      <c r="BJ98">
        <v>53.333300000000001</v>
      </c>
      <c r="BL98">
        <v>31.1111</v>
      </c>
      <c r="BM98">
        <v>31.666699999999999</v>
      </c>
      <c r="BN98">
        <v>70.555599999999998</v>
      </c>
      <c r="BO98">
        <v>72.777799999999999</v>
      </c>
      <c r="BP98">
        <v>26.1111</v>
      </c>
      <c r="CK98">
        <v>4</v>
      </c>
      <c r="CL98" t="s">
        <v>4</v>
      </c>
      <c r="CM98" t="s">
        <v>98</v>
      </c>
      <c r="CN98" t="s">
        <v>98</v>
      </c>
      <c r="CO98" t="s">
        <v>99</v>
      </c>
      <c r="CP98" t="s">
        <v>100</v>
      </c>
      <c r="CQ98">
        <v>97</v>
      </c>
      <c r="CR98" t="s">
        <v>100</v>
      </c>
      <c r="CS98" t="s">
        <v>100</v>
      </c>
      <c r="CT98" t="s">
        <v>152</v>
      </c>
      <c r="CU98" t="s">
        <v>102</v>
      </c>
      <c r="CV98" t="s">
        <v>100</v>
      </c>
    </row>
    <row r="99" spans="1:100">
      <c r="A99" s="3" t="s">
        <v>3270</v>
      </c>
      <c r="B99" s="4" t="s">
        <v>3271</v>
      </c>
      <c r="C99">
        <v>90.538184283160504</v>
      </c>
      <c r="D99">
        <v>478.32569493410699</v>
      </c>
      <c r="E99">
        <f>-2.39956829821043</f>
        <v>-2.3995682982104301</v>
      </c>
      <c r="F99" s="5">
        <v>1.14102857487033E-14</v>
      </c>
      <c r="G99" t="s">
        <v>4</v>
      </c>
      <c r="H99">
        <v>90.538184283160504</v>
      </c>
      <c r="I99">
        <v>16.983964679935099</v>
      </c>
      <c r="J99">
        <v>2.4073690293831498</v>
      </c>
      <c r="K99" s="5">
        <v>1.11986971140518E-9</v>
      </c>
      <c r="L99" t="s">
        <v>4</v>
      </c>
      <c r="M99">
        <v>478.32569493410699</v>
      </c>
      <c r="N99">
        <v>16.983964679935099</v>
      </c>
      <c r="O99">
        <v>4.8069373275935803</v>
      </c>
      <c r="P99" s="5">
        <v>6.0751628405056201E-37</v>
      </c>
      <c r="Q99" t="s">
        <v>4</v>
      </c>
      <c r="R99" s="4" t="s">
        <v>87</v>
      </c>
      <c r="S99" t="s">
        <v>4</v>
      </c>
      <c r="T99" t="s">
        <v>460</v>
      </c>
      <c r="U99" t="s">
        <v>461</v>
      </c>
      <c r="V99" t="s">
        <v>462</v>
      </c>
      <c r="W99" t="s">
        <v>123</v>
      </c>
      <c r="X99" t="s">
        <v>4</v>
      </c>
      <c r="Y99" t="s">
        <v>3272</v>
      </c>
      <c r="Z99" t="s">
        <v>3273</v>
      </c>
      <c r="AA99" t="s">
        <v>3274</v>
      </c>
      <c r="AB99" t="s">
        <v>4</v>
      </c>
      <c r="AC99" s="3" t="s">
        <v>93</v>
      </c>
      <c r="AD99" t="s">
        <v>4</v>
      </c>
      <c r="AE99" s="4" t="s">
        <v>94</v>
      </c>
      <c r="AZ99" t="s">
        <v>4</v>
      </c>
      <c r="BA99" s="3" t="s">
        <v>95</v>
      </c>
      <c r="BB99" s="6" t="s">
        <v>95</v>
      </c>
      <c r="BC99" s="3" t="s">
        <v>95</v>
      </c>
      <c r="BD99" t="s">
        <v>4</v>
      </c>
      <c r="BE99">
        <v>8407</v>
      </c>
      <c r="BF99" t="s">
        <v>213</v>
      </c>
      <c r="BG99">
        <v>64.7727</v>
      </c>
      <c r="BK99">
        <v>48.4848</v>
      </c>
      <c r="BM99">
        <v>74.621200000000002</v>
      </c>
      <c r="BN99">
        <v>57.197000000000003</v>
      </c>
      <c r="BP99">
        <v>34.469700000000003</v>
      </c>
      <c r="BQ99">
        <v>31.060600000000001</v>
      </c>
      <c r="BR99">
        <v>24.2424</v>
      </c>
      <c r="BS99">
        <v>28.0303</v>
      </c>
      <c r="BW99">
        <v>23.863600000000002</v>
      </c>
      <c r="BX99">
        <v>35.9848</v>
      </c>
      <c r="CA99">
        <v>29.924199999999999</v>
      </c>
      <c r="CC99">
        <v>32.197000000000003</v>
      </c>
      <c r="CF99">
        <v>29.924199999999999</v>
      </c>
      <c r="CJ99" t="s">
        <v>3275</v>
      </c>
      <c r="CK99">
        <v>8</v>
      </c>
      <c r="CL99" t="s">
        <v>4</v>
      </c>
      <c r="CM99" t="s">
        <v>3276</v>
      </c>
      <c r="CN99" t="s">
        <v>3277</v>
      </c>
      <c r="CO99" t="s">
        <v>99</v>
      </c>
      <c r="CP99" t="s">
        <v>100</v>
      </c>
      <c r="CQ99">
        <v>98</v>
      </c>
      <c r="CR99" t="s">
        <v>100</v>
      </c>
      <c r="CS99" t="s">
        <v>101</v>
      </c>
      <c r="CT99" t="s">
        <v>152</v>
      </c>
      <c r="CU99" t="s">
        <v>102</v>
      </c>
      <c r="CV99" t="s">
        <v>100</v>
      </c>
    </row>
    <row r="100" spans="1:100">
      <c r="A100" s="3" t="s">
        <v>3278</v>
      </c>
      <c r="B100" s="4" t="s">
        <v>3279</v>
      </c>
      <c r="C100">
        <v>20.828091756643801</v>
      </c>
      <c r="D100">
        <v>636.79946707259603</v>
      </c>
      <c r="E100">
        <f>-4.93400468128984</f>
        <v>-4.9340046812898404</v>
      </c>
      <c r="F100">
        <v>5.9930512800259296E-3</v>
      </c>
      <c r="G100" t="s">
        <v>4</v>
      </c>
      <c r="H100">
        <v>20.828091756643801</v>
      </c>
      <c r="I100">
        <v>4.2691935136892001</v>
      </c>
      <c r="J100">
        <v>2.27869715008694</v>
      </c>
      <c r="K100">
        <v>0.232657541781598</v>
      </c>
      <c r="L100" t="s">
        <v>4</v>
      </c>
      <c r="M100">
        <v>636.79946707259603</v>
      </c>
      <c r="N100">
        <v>4.2691935136892001</v>
      </c>
      <c r="O100">
        <v>7.2127018313767799</v>
      </c>
      <c r="P100" s="5">
        <v>3.8179510670361E-5</v>
      </c>
      <c r="Q100" t="s">
        <v>4</v>
      </c>
      <c r="R100" s="4" t="s">
        <v>87</v>
      </c>
      <c r="S100" t="s">
        <v>4</v>
      </c>
      <c r="T100" t="s">
        <v>92</v>
      </c>
      <c r="U100" t="s">
        <v>92</v>
      </c>
      <c r="V100" t="s">
        <v>92</v>
      </c>
      <c r="W100" t="s">
        <v>92</v>
      </c>
      <c r="X100" t="s">
        <v>4</v>
      </c>
      <c r="Y100" t="s">
        <v>1513</v>
      </c>
      <c r="Z100" t="s">
        <v>1514</v>
      </c>
      <c r="AA100" t="s">
        <v>1515</v>
      </c>
      <c r="AB100" t="s">
        <v>4</v>
      </c>
      <c r="AC100" s="3" t="s">
        <v>93</v>
      </c>
      <c r="AD100" t="s">
        <v>4</v>
      </c>
      <c r="AE100" t="s">
        <v>3280</v>
      </c>
      <c r="AF100" t="s">
        <v>3281</v>
      </c>
      <c r="AG100" t="s">
        <v>3282</v>
      </c>
      <c r="AH100" t="s">
        <v>112</v>
      </c>
      <c r="AU100" t="s">
        <v>112</v>
      </c>
      <c r="AV100" t="s">
        <v>3283</v>
      </c>
      <c r="AW100" t="s">
        <v>114</v>
      </c>
      <c r="AZ100" t="s">
        <v>4</v>
      </c>
      <c r="BA100" s="3" t="s">
        <v>95</v>
      </c>
      <c r="BB100" s="6" t="s">
        <v>95</v>
      </c>
      <c r="BC100" s="3" t="s">
        <v>197</v>
      </c>
      <c r="BD100" t="s">
        <v>4</v>
      </c>
      <c r="BE100">
        <v>2361</v>
      </c>
      <c r="BF100" t="s">
        <v>148</v>
      </c>
      <c r="BG100">
        <v>99.212599999999995</v>
      </c>
      <c r="BI100">
        <v>90.551199999999994</v>
      </c>
      <c r="BJ100">
        <v>65.354299999999995</v>
      </c>
      <c r="BK100">
        <v>38.582700000000003</v>
      </c>
      <c r="BL100">
        <v>33.8583</v>
      </c>
      <c r="BM100">
        <v>38.582700000000003</v>
      </c>
      <c r="BN100">
        <v>66.929100000000005</v>
      </c>
      <c r="CK100">
        <v>3</v>
      </c>
      <c r="CL100" t="s">
        <v>4</v>
      </c>
      <c r="CM100" t="s">
        <v>98</v>
      </c>
      <c r="CN100" t="s">
        <v>98</v>
      </c>
      <c r="CO100" t="s">
        <v>99</v>
      </c>
      <c r="CP100" t="s">
        <v>100</v>
      </c>
      <c r="CQ100">
        <v>99</v>
      </c>
      <c r="CR100" t="s">
        <v>100</v>
      </c>
      <c r="CS100" t="s">
        <v>100</v>
      </c>
      <c r="CT100" t="s">
        <v>152</v>
      </c>
      <c r="CU100" t="s">
        <v>102</v>
      </c>
      <c r="CV100" t="s">
        <v>100</v>
      </c>
    </row>
    <row r="101" spans="1:100">
      <c r="A101" s="3" t="s">
        <v>3284</v>
      </c>
      <c r="B101" s="4" t="s">
        <v>3285</v>
      </c>
      <c r="C101">
        <v>671.22860171882496</v>
      </c>
      <c r="D101">
        <v>4793.3888479199304</v>
      </c>
      <c r="E101">
        <f>-2.83613510092691</f>
        <v>-2.83613510092691</v>
      </c>
      <c r="F101" s="5">
        <v>1.01316999616266E-14</v>
      </c>
      <c r="G101" t="s">
        <v>4</v>
      </c>
      <c r="H101">
        <v>671.22860171882496</v>
      </c>
      <c r="I101">
        <v>390.349392876926</v>
      </c>
      <c r="J101">
        <v>0.77687789748156999</v>
      </c>
      <c r="K101">
        <v>4.7388610048554401E-2</v>
      </c>
      <c r="L101" t="s">
        <v>4</v>
      </c>
      <c r="M101">
        <v>4793.3888479199304</v>
      </c>
      <c r="N101">
        <v>390.349392876926</v>
      </c>
      <c r="O101">
        <v>3.6130129984084798</v>
      </c>
      <c r="P101" s="5">
        <v>7.7948976479748702E-24</v>
      </c>
      <c r="Q101" t="s">
        <v>4</v>
      </c>
      <c r="R101" s="4" t="s">
        <v>87</v>
      </c>
      <c r="S101" t="s">
        <v>4</v>
      </c>
      <c r="T101" t="s">
        <v>88</v>
      </c>
      <c r="U101" t="s">
        <v>89</v>
      </c>
      <c r="V101" t="s">
        <v>90</v>
      </c>
      <c r="W101" t="s">
        <v>91</v>
      </c>
      <c r="X101" t="s">
        <v>4</v>
      </c>
      <c r="Y101" t="s">
        <v>3286</v>
      </c>
      <c r="Z101" t="s">
        <v>3287</v>
      </c>
      <c r="AA101" t="s">
        <v>3288</v>
      </c>
      <c r="AB101" t="s">
        <v>4</v>
      </c>
      <c r="AC101" s="3" t="s">
        <v>93</v>
      </c>
      <c r="AD101" t="s">
        <v>4</v>
      </c>
      <c r="AE101" t="s">
        <v>3289</v>
      </c>
      <c r="AF101" t="s">
        <v>3290</v>
      </c>
      <c r="AG101" t="s">
        <v>3291</v>
      </c>
      <c r="AH101" t="s">
        <v>314</v>
      </c>
      <c r="AU101" t="s">
        <v>112</v>
      </c>
      <c r="AV101" t="s">
        <v>3292</v>
      </c>
      <c r="AW101" t="s">
        <v>114</v>
      </c>
      <c r="AX101" t="s">
        <v>144</v>
      </c>
      <c r="AY101" t="s">
        <v>3293</v>
      </c>
      <c r="AZ101" t="s">
        <v>4</v>
      </c>
      <c r="BA101" s="3" t="s">
        <v>95</v>
      </c>
      <c r="BB101" t="s">
        <v>96</v>
      </c>
      <c r="BC101" s="3" t="s">
        <v>197</v>
      </c>
      <c r="BD101" t="s">
        <v>4</v>
      </c>
      <c r="BE101">
        <v>5820</v>
      </c>
      <c r="BF101" t="s">
        <v>386</v>
      </c>
      <c r="BG101">
        <v>65.016499999999994</v>
      </c>
      <c r="BH101">
        <v>67.986800000000002</v>
      </c>
      <c r="BI101">
        <v>88.778899999999993</v>
      </c>
      <c r="BJ101">
        <v>28.3828</v>
      </c>
      <c r="BK101">
        <v>54.455399999999997</v>
      </c>
      <c r="BM101">
        <v>31.023099999999999</v>
      </c>
      <c r="BN101">
        <v>63.036299999999997</v>
      </c>
      <c r="BO101">
        <v>30.363</v>
      </c>
      <c r="BQ101">
        <v>29.372900000000001</v>
      </c>
      <c r="BR101">
        <v>35.313499999999998</v>
      </c>
      <c r="BS101">
        <v>36.303600000000003</v>
      </c>
      <c r="BT101">
        <v>29.042899999999999</v>
      </c>
      <c r="BU101">
        <v>28.3828</v>
      </c>
      <c r="BW101">
        <v>31.353100000000001</v>
      </c>
      <c r="BX101">
        <v>37.293700000000001</v>
      </c>
      <c r="CA101">
        <v>34.653500000000001</v>
      </c>
      <c r="CD101" t="s">
        <v>3294</v>
      </c>
      <c r="CF101">
        <v>20.462</v>
      </c>
      <c r="CK101">
        <v>7</v>
      </c>
      <c r="CL101" t="s">
        <v>4</v>
      </c>
      <c r="CM101" t="s">
        <v>3295</v>
      </c>
      <c r="CN101" t="s">
        <v>3296</v>
      </c>
      <c r="CO101" t="s">
        <v>99</v>
      </c>
      <c r="CP101" t="s">
        <v>100</v>
      </c>
      <c r="CQ101">
        <v>100</v>
      </c>
      <c r="CR101" t="s">
        <v>100</v>
      </c>
      <c r="CS101" t="s">
        <v>100</v>
      </c>
      <c r="CT101" t="s">
        <v>152</v>
      </c>
      <c r="CU101" t="s">
        <v>102</v>
      </c>
      <c r="CV101" t="s">
        <v>100</v>
      </c>
    </row>
    <row r="102" spans="1:100">
      <c r="A102" s="3" t="s">
        <v>3297</v>
      </c>
      <c r="B102" s="4" t="s">
        <v>3298</v>
      </c>
      <c r="C102">
        <v>240.195349673945</v>
      </c>
      <c r="D102">
        <v>4490.9077396953498</v>
      </c>
      <c r="E102">
        <f>-4.22389534228036</f>
        <v>-4.2238953422803602</v>
      </c>
      <c r="F102" s="5">
        <v>4.3090100377148595E-22</v>
      </c>
      <c r="G102" t="s">
        <v>4</v>
      </c>
      <c r="H102">
        <v>240.195349673945</v>
      </c>
      <c r="I102">
        <v>213.83870934814601</v>
      </c>
      <c r="J102">
        <v>0.17098761598305701</v>
      </c>
      <c r="K102">
        <v>0.74268780267062795</v>
      </c>
      <c r="L102" t="s">
        <v>4</v>
      </c>
      <c r="M102">
        <v>4490.9077396953498</v>
      </c>
      <c r="N102">
        <v>213.83870934814601</v>
      </c>
      <c r="O102">
        <v>4.3948829582634197</v>
      </c>
      <c r="P102" s="5">
        <v>2.6145659213065001E-24</v>
      </c>
      <c r="Q102" t="s">
        <v>4</v>
      </c>
      <c r="R102" s="4" t="s">
        <v>87</v>
      </c>
      <c r="S102" t="s">
        <v>4</v>
      </c>
      <c r="T102" t="s">
        <v>3299</v>
      </c>
      <c r="U102" t="s">
        <v>3300</v>
      </c>
      <c r="V102" t="s">
        <v>3301</v>
      </c>
      <c r="W102" t="s">
        <v>328</v>
      </c>
      <c r="X102" t="s">
        <v>4</v>
      </c>
      <c r="Y102" t="s">
        <v>3302</v>
      </c>
      <c r="Z102" t="s">
        <v>3303</v>
      </c>
      <c r="AA102" t="s">
        <v>3304</v>
      </c>
      <c r="AB102" t="s">
        <v>4</v>
      </c>
      <c r="AC102" s="3" t="s">
        <v>3305</v>
      </c>
      <c r="AD102" t="s">
        <v>4</v>
      </c>
      <c r="AE102" t="s">
        <v>3306</v>
      </c>
      <c r="AF102" t="s">
        <v>3307</v>
      </c>
      <c r="AG102" t="s">
        <v>3308</v>
      </c>
      <c r="AH102" t="s">
        <v>112</v>
      </c>
      <c r="AL102" t="s">
        <v>3309</v>
      </c>
      <c r="AQ102" t="s">
        <v>3310</v>
      </c>
      <c r="AU102" t="s">
        <v>112</v>
      </c>
      <c r="AV102" t="s">
        <v>3311</v>
      </c>
      <c r="AW102" t="s">
        <v>114</v>
      </c>
      <c r="AX102" t="s">
        <v>3312</v>
      </c>
      <c r="AY102" t="s">
        <v>3313</v>
      </c>
      <c r="AZ102" t="s">
        <v>4</v>
      </c>
      <c r="BA102" s="3" t="s">
        <v>95</v>
      </c>
      <c r="BB102" t="s">
        <v>96</v>
      </c>
      <c r="BC102" s="3" t="s">
        <v>95</v>
      </c>
      <c r="BD102" t="s">
        <v>4</v>
      </c>
      <c r="BE102">
        <v>3198</v>
      </c>
      <c r="BF102" t="s">
        <v>112</v>
      </c>
      <c r="BG102">
        <v>93.358599999999996</v>
      </c>
      <c r="BH102">
        <v>94.117599999999996</v>
      </c>
      <c r="BI102">
        <v>96.204899999999995</v>
      </c>
      <c r="BJ102">
        <v>90.702100000000002</v>
      </c>
      <c r="BK102">
        <v>80.645200000000003</v>
      </c>
      <c r="BL102">
        <v>71.537000000000006</v>
      </c>
      <c r="BM102">
        <v>83.491500000000002</v>
      </c>
      <c r="BN102">
        <v>83.491500000000002</v>
      </c>
      <c r="BO102">
        <v>79.696399999999997</v>
      </c>
      <c r="BP102">
        <v>50.853900000000003</v>
      </c>
      <c r="BQ102">
        <v>48.387099999999997</v>
      </c>
      <c r="BR102">
        <v>50.094900000000003</v>
      </c>
      <c r="BS102">
        <v>18.595800000000001</v>
      </c>
      <c r="BT102">
        <v>45.350999999999999</v>
      </c>
      <c r="BU102">
        <v>38.5199</v>
      </c>
      <c r="BV102" t="s">
        <v>3314</v>
      </c>
      <c r="BW102">
        <v>37.381399999999999</v>
      </c>
      <c r="BX102">
        <v>52.751399999999997</v>
      </c>
      <c r="BY102" t="s">
        <v>3315</v>
      </c>
      <c r="BZ102">
        <v>20.872900000000001</v>
      </c>
      <c r="CA102">
        <v>48.387099999999997</v>
      </c>
      <c r="CG102" t="s">
        <v>3316</v>
      </c>
      <c r="CH102" t="s">
        <v>3317</v>
      </c>
      <c r="CI102" t="s">
        <v>3318</v>
      </c>
      <c r="CK102">
        <v>5</v>
      </c>
      <c r="CL102" t="s">
        <v>4</v>
      </c>
      <c r="CM102" t="s">
        <v>3319</v>
      </c>
      <c r="CN102" t="s">
        <v>3320</v>
      </c>
      <c r="CO102" t="s">
        <v>99</v>
      </c>
      <c r="CP102" t="s">
        <v>100</v>
      </c>
      <c r="CQ102">
        <v>101</v>
      </c>
      <c r="CR102" t="s">
        <v>100</v>
      </c>
      <c r="CS102" t="s">
        <v>100</v>
      </c>
      <c r="CT102" t="s">
        <v>152</v>
      </c>
      <c r="CU102" t="s">
        <v>102</v>
      </c>
      <c r="CV102" t="s">
        <v>100</v>
      </c>
    </row>
    <row r="103" spans="1:100">
      <c r="A103" s="3" t="s">
        <v>3321</v>
      </c>
      <c r="B103" s="4" t="s">
        <v>3322</v>
      </c>
      <c r="C103">
        <v>14.3212432663125</v>
      </c>
      <c r="D103">
        <v>86.356445567736003</v>
      </c>
      <c r="E103">
        <f>-2.58161628874852</f>
        <v>-2.5816162887485201</v>
      </c>
      <c r="F103" s="5">
        <v>1.5296560912125301E-5</v>
      </c>
      <c r="G103" t="s">
        <v>4</v>
      </c>
      <c r="H103">
        <v>14.3212432663125</v>
      </c>
      <c r="I103">
        <v>9.6094865518455101</v>
      </c>
      <c r="J103">
        <v>0.59437628049540403</v>
      </c>
      <c r="K103">
        <v>0.418530593810509</v>
      </c>
      <c r="L103" t="s">
        <v>4</v>
      </c>
      <c r="M103">
        <v>86.356445567736003</v>
      </c>
      <c r="N103">
        <v>9.6094865518455101</v>
      </c>
      <c r="O103">
        <v>3.1759925692439301</v>
      </c>
      <c r="P103" s="5">
        <v>5.22012823104905E-7</v>
      </c>
      <c r="Q103" t="s">
        <v>4</v>
      </c>
      <c r="R103" s="4" t="s">
        <v>87</v>
      </c>
      <c r="S103" t="s">
        <v>4</v>
      </c>
      <c r="T103" t="s">
        <v>88</v>
      </c>
      <c r="U103" t="s">
        <v>89</v>
      </c>
      <c r="V103" t="s">
        <v>90</v>
      </c>
      <c r="W103" t="s">
        <v>91</v>
      </c>
      <c r="X103" t="s">
        <v>4</v>
      </c>
      <c r="Y103" t="s">
        <v>92</v>
      </c>
      <c r="Z103" t="s">
        <v>92</v>
      </c>
      <c r="AA103" t="s">
        <v>92</v>
      </c>
      <c r="AB103" t="s">
        <v>4</v>
      </c>
      <c r="AC103" s="3" t="s">
        <v>93</v>
      </c>
      <c r="AD103" t="s">
        <v>4</v>
      </c>
      <c r="AE103" t="s">
        <v>3323</v>
      </c>
      <c r="AF103" t="s">
        <v>3324</v>
      </c>
      <c r="AG103" t="s">
        <v>564</v>
      </c>
      <c r="AH103" t="s">
        <v>112</v>
      </c>
      <c r="AI103" t="s">
        <v>3325</v>
      </c>
      <c r="AU103" t="s">
        <v>112</v>
      </c>
      <c r="AV103" t="s">
        <v>3326</v>
      </c>
      <c r="AW103" t="s">
        <v>114</v>
      </c>
      <c r="AZ103" t="s">
        <v>4</v>
      </c>
      <c r="BA103" s="3" t="s">
        <v>95</v>
      </c>
      <c r="BB103" t="s">
        <v>96</v>
      </c>
      <c r="BC103" s="3" t="s">
        <v>95</v>
      </c>
      <c r="BD103" t="s">
        <v>4</v>
      </c>
      <c r="BE103">
        <v>2378</v>
      </c>
      <c r="BF103" t="s">
        <v>148</v>
      </c>
      <c r="BH103">
        <v>67.7273</v>
      </c>
      <c r="BI103">
        <v>64.545500000000004</v>
      </c>
      <c r="BJ103">
        <v>52.2727</v>
      </c>
      <c r="BL103">
        <v>65</v>
      </c>
      <c r="BM103">
        <v>57.7273</v>
      </c>
      <c r="BO103">
        <v>72.2727</v>
      </c>
      <c r="CK103">
        <v>3</v>
      </c>
      <c r="CL103" t="s">
        <v>4</v>
      </c>
      <c r="CM103" t="s">
        <v>98</v>
      </c>
      <c r="CN103" t="s">
        <v>98</v>
      </c>
      <c r="CO103" t="s">
        <v>99</v>
      </c>
      <c r="CP103" t="s">
        <v>100</v>
      </c>
      <c r="CQ103">
        <v>102</v>
      </c>
      <c r="CR103" t="s">
        <v>100</v>
      </c>
      <c r="CS103" t="s">
        <v>100</v>
      </c>
      <c r="CT103" t="s">
        <v>152</v>
      </c>
      <c r="CU103" t="s">
        <v>102</v>
      </c>
      <c r="CV103" t="s">
        <v>100</v>
      </c>
    </row>
    <row r="104" spans="1:100">
      <c r="A104" s="3" t="s">
        <v>3327</v>
      </c>
      <c r="B104" s="4" t="s">
        <v>3328</v>
      </c>
      <c r="C104">
        <v>39.091385207181403</v>
      </c>
      <c r="D104">
        <v>179.292226135128</v>
      </c>
      <c r="E104">
        <f>-2.19201272460607</f>
        <v>-2.1920127246060699</v>
      </c>
      <c r="F104" s="5">
        <v>7.9226904172716696E-5</v>
      </c>
      <c r="G104" t="s">
        <v>4</v>
      </c>
      <c r="H104">
        <v>39.091385207181403</v>
      </c>
      <c r="I104">
        <v>5.56180090810376</v>
      </c>
      <c r="J104">
        <v>2.7625832802179402</v>
      </c>
      <c r="K104" s="5">
        <v>7.0318482718593396E-5</v>
      </c>
      <c r="L104" t="s">
        <v>4</v>
      </c>
      <c r="M104">
        <v>179.292226135128</v>
      </c>
      <c r="N104">
        <v>5.56180090810376</v>
      </c>
      <c r="O104">
        <v>4.9545960048240101</v>
      </c>
      <c r="P104" s="5">
        <v>6.4712958945530997E-14</v>
      </c>
      <c r="Q104" t="s">
        <v>4</v>
      </c>
      <c r="R104" s="4" t="s">
        <v>87</v>
      </c>
      <c r="S104" t="s">
        <v>4</v>
      </c>
      <c r="T104" t="s">
        <v>92</v>
      </c>
      <c r="U104" t="s">
        <v>92</v>
      </c>
      <c r="V104" t="s">
        <v>92</v>
      </c>
      <c r="W104" t="s">
        <v>92</v>
      </c>
      <c r="X104" t="s">
        <v>4</v>
      </c>
      <c r="Y104" t="s">
        <v>92</v>
      </c>
      <c r="Z104" t="s">
        <v>92</v>
      </c>
      <c r="AA104" t="s">
        <v>92</v>
      </c>
      <c r="AB104" t="s">
        <v>4</v>
      </c>
      <c r="AC104" s="3" t="s">
        <v>93</v>
      </c>
      <c r="AD104" t="s">
        <v>4</v>
      </c>
      <c r="AE104" s="4" t="s">
        <v>94</v>
      </c>
      <c r="AZ104" t="s">
        <v>4</v>
      </c>
      <c r="BA104" s="3" t="s">
        <v>115</v>
      </c>
      <c r="BB104" s="6" t="s">
        <v>95</v>
      </c>
      <c r="BC104" s="3" t="s">
        <v>95</v>
      </c>
      <c r="BD104" t="s">
        <v>4</v>
      </c>
      <c r="BE104">
        <v>920</v>
      </c>
      <c r="BF104" t="s">
        <v>604</v>
      </c>
      <c r="BG104">
        <v>83.802800000000005</v>
      </c>
      <c r="BH104">
        <v>67.605599999999995</v>
      </c>
      <c r="CK104">
        <v>1.5</v>
      </c>
      <c r="CL104" t="s">
        <v>4</v>
      </c>
      <c r="CM104" t="s">
        <v>98</v>
      </c>
      <c r="CN104" t="s">
        <v>98</v>
      </c>
      <c r="CO104" t="s">
        <v>99</v>
      </c>
      <c r="CP104" t="s">
        <v>100</v>
      </c>
      <c r="CQ104">
        <v>103</v>
      </c>
      <c r="CR104" t="s">
        <v>100</v>
      </c>
      <c r="CS104" t="s">
        <v>101</v>
      </c>
      <c r="CT104" t="s">
        <v>152</v>
      </c>
      <c r="CU104" t="s">
        <v>102</v>
      </c>
      <c r="CV104" t="s">
        <v>100</v>
      </c>
    </row>
    <row r="105" spans="1:100">
      <c r="A105" s="3" t="s">
        <v>3329</v>
      </c>
      <c r="B105" s="4" t="s">
        <v>3330</v>
      </c>
      <c r="C105">
        <v>524.65006547731502</v>
      </c>
      <c r="D105">
        <v>4380.5288430160499</v>
      </c>
      <c r="E105">
        <f>-3.0614705167509</f>
        <v>-3.0614705167509002</v>
      </c>
      <c r="F105" s="5">
        <v>6.9929441454648602E-12</v>
      </c>
      <c r="G105" t="s">
        <v>4</v>
      </c>
      <c r="H105">
        <v>524.65006547731502</v>
      </c>
      <c r="I105">
        <v>162.60559914109501</v>
      </c>
      <c r="J105">
        <v>1.69000564087017</v>
      </c>
      <c r="K105">
        <v>2.5082656626073698E-4</v>
      </c>
      <c r="L105" t="s">
        <v>4</v>
      </c>
      <c r="M105">
        <v>4380.5288430160499</v>
      </c>
      <c r="N105">
        <v>162.60559914109501</v>
      </c>
      <c r="O105">
        <v>4.7514761576210596</v>
      </c>
      <c r="P105" s="5">
        <v>1.49308309820755E-27</v>
      </c>
      <c r="Q105" t="s">
        <v>4</v>
      </c>
      <c r="R105" s="4" t="s">
        <v>87</v>
      </c>
      <c r="S105" t="s">
        <v>4</v>
      </c>
      <c r="T105" t="s">
        <v>460</v>
      </c>
      <c r="U105" t="s">
        <v>461</v>
      </c>
      <c r="V105" t="s">
        <v>462</v>
      </c>
      <c r="W105" t="s">
        <v>123</v>
      </c>
      <c r="X105" t="s">
        <v>4</v>
      </c>
      <c r="Y105" t="s">
        <v>3331</v>
      </c>
      <c r="Z105" t="s">
        <v>3332</v>
      </c>
      <c r="AA105" t="s">
        <v>3333</v>
      </c>
      <c r="AB105" t="s">
        <v>4</v>
      </c>
      <c r="AC105" s="3" t="s">
        <v>93</v>
      </c>
      <c r="AD105" t="s">
        <v>4</v>
      </c>
      <c r="AE105" t="s">
        <v>3190</v>
      </c>
      <c r="AF105" t="s">
        <v>3334</v>
      </c>
      <c r="AG105" t="s">
        <v>3192</v>
      </c>
      <c r="AH105" t="s">
        <v>112</v>
      </c>
      <c r="AJ105" t="s">
        <v>3193</v>
      </c>
      <c r="AK105" t="s">
        <v>3194</v>
      </c>
      <c r="AL105" t="s">
        <v>3195</v>
      </c>
      <c r="AM105" t="s">
        <v>3196</v>
      </c>
      <c r="AQ105" t="s">
        <v>3197</v>
      </c>
      <c r="AU105" t="s">
        <v>112</v>
      </c>
      <c r="AV105" t="s">
        <v>3198</v>
      </c>
      <c r="AW105" t="s">
        <v>114</v>
      </c>
      <c r="AX105" t="s">
        <v>2157</v>
      </c>
      <c r="AY105" t="s">
        <v>3199</v>
      </c>
      <c r="AZ105" t="s">
        <v>4</v>
      </c>
      <c r="BA105" s="3" t="s">
        <v>95</v>
      </c>
      <c r="BB105" s="6" t="s">
        <v>95</v>
      </c>
      <c r="BC105" s="3" t="s">
        <v>95</v>
      </c>
      <c r="BD105" t="s">
        <v>4</v>
      </c>
      <c r="BE105">
        <v>1684</v>
      </c>
      <c r="BF105" t="s">
        <v>151</v>
      </c>
      <c r="BI105">
        <v>48.337600000000002</v>
      </c>
      <c r="BJ105" t="s">
        <v>3335</v>
      </c>
      <c r="CK105">
        <v>2</v>
      </c>
      <c r="CL105" t="s">
        <v>4</v>
      </c>
      <c r="CM105" t="s">
        <v>98</v>
      </c>
      <c r="CN105" t="s">
        <v>98</v>
      </c>
      <c r="CO105" t="s">
        <v>99</v>
      </c>
      <c r="CP105" t="s">
        <v>100</v>
      </c>
      <c r="CQ105">
        <v>104</v>
      </c>
      <c r="CR105" t="s">
        <v>100</v>
      </c>
      <c r="CS105" s="7" t="s">
        <v>101</v>
      </c>
      <c r="CT105" t="s">
        <v>152</v>
      </c>
      <c r="CU105" t="s">
        <v>102</v>
      </c>
      <c r="CV105" t="s">
        <v>100</v>
      </c>
    </row>
    <row r="106" spans="1:100">
      <c r="A106" s="3" t="s">
        <v>3336</v>
      </c>
      <c r="B106" s="4" t="s">
        <v>3337</v>
      </c>
      <c r="C106">
        <v>116.65861536138399</v>
      </c>
      <c r="D106">
        <v>977.46471565427498</v>
      </c>
      <c r="E106">
        <f>-3.06585171205593</f>
        <v>-3.0658517120559301</v>
      </c>
      <c r="F106" s="5">
        <v>2.3491791995137102E-13</v>
      </c>
      <c r="G106" t="s">
        <v>4</v>
      </c>
      <c r="H106">
        <v>116.65861536138399</v>
      </c>
      <c r="I106">
        <v>61.7562493642642</v>
      </c>
      <c r="J106">
        <v>0.91560960377172296</v>
      </c>
      <c r="K106">
        <v>4.7980218177479897E-2</v>
      </c>
      <c r="L106" t="s">
        <v>4</v>
      </c>
      <c r="M106">
        <v>977.46471565427498</v>
      </c>
      <c r="N106">
        <v>61.7562493642642</v>
      </c>
      <c r="O106">
        <v>3.9814613158276599</v>
      </c>
      <c r="P106" s="5">
        <v>3.2314259687114399E-21</v>
      </c>
      <c r="Q106" t="s">
        <v>4</v>
      </c>
      <c r="R106" s="4" t="s">
        <v>87</v>
      </c>
      <c r="S106" t="s">
        <v>4</v>
      </c>
      <c r="T106" t="s">
        <v>1261</v>
      </c>
      <c r="U106" t="s">
        <v>1262</v>
      </c>
      <c r="V106" t="s">
        <v>1263</v>
      </c>
      <c r="W106" t="s">
        <v>328</v>
      </c>
      <c r="X106" t="s">
        <v>4</v>
      </c>
      <c r="Y106" t="s">
        <v>3338</v>
      </c>
      <c r="Z106" t="s">
        <v>3339</v>
      </c>
      <c r="AA106" t="s">
        <v>3340</v>
      </c>
      <c r="AB106" t="s">
        <v>4</v>
      </c>
      <c r="AC106" s="3" t="s">
        <v>93</v>
      </c>
      <c r="AD106" t="s">
        <v>4</v>
      </c>
      <c r="AE106" t="s">
        <v>3341</v>
      </c>
      <c r="AF106" t="s">
        <v>834</v>
      </c>
      <c r="AG106" t="s">
        <v>3342</v>
      </c>
      <c r="AH106" t="s">
        <v>112</v>
      </c>
      <c r="AJ106" t="s">
        <v>1001</v>
      </c>
      <c r="AU106" t="s">
        <v>112</v>
      </c>
      <c r="AV106" t="s">
        <v>3343</v>
      </c>
      <c r="AW106" t="s">
        <v>114</v>
      </c>
      <c r="AX106" t="s">
        <v>371</v>
      </c>
      <c r="AY106" t="s">
        <v>1275</v>
      </c>
      <c r="AZ106" t="s">
        <v>4</v>
      </c>
      <c r="BA106" s="3" t="s">
        <v>115</v>
      </c>
      <c r="BB106" s="6" t="s">
        <v>95</v>
      </c>
      <c r="BC106" s="3" t="s">
        <v>95</v>
      </c>
      <c r="BD106" t="s">
        <v>4</v>
      </c>
      <c r="BE106">
        <v>1688</v>
      </c>
      <c r="BF106" t="s">
        <v>151</v>
      </c>
      <c r="CK106">
        <v>2</v>
      </c>
      <c r="CL106" t="s">
        <v>4</v>
      </c>
      <c r="CM106" t="s">
        <v>98</v>
      </c>
      <c r="CN106" t="s">
        <v>98</v>
      </c>
      <c r="CO106" t="s">
        <v>99</v>
      </c>
      <c r="CP106" t="s">
        <v>100</v>
      </c>
      <c r="CQ106">
        <v>105</v>
      </c>
      <c r="CR106" t="s">
        <v>100</v>
      </c>
      <c r="CS106" t="s">
        <v>100</v>
      </c>
      <c r="CT106" t="s">
        <v>152</v>
      </c>
      <c r="CU106" t="s">
        <v>102</v>
      </c>
      <c r="CV106" t="s">
        <v>100</v>
      </c>
    </row>
    <row r="107" spans="1:100">
      <c r="A107" s="3" t="s">
        <v>3344</v>
      </c>
      <c r="B107" s="4" t="s">
        <v>3345</v>
      </c>
      <c r="C107">
        <v>54.7093051044845</v>
      </c>
      <c r="D107">
        <v>595.01144978469995</v>
      </c>
      <c r="E107">
        <f>-3.44033587963656</f>
        <v>-3.4403358796365602</v>
      </c>
      <c r="F107" s="5">
        <v>1.2526874920894499E-16</v>
      </c>
      <c r="G107" t="s">
        <v>4</v>
      </c>
      <c r="H107">
        <v>54.7093051044845</v>
      </c>
      <c r="I107">
        <v>24.6253516941455</v>
      </c>
      <c r="J107">
        <v>1.1842347383610901</v>
      </c>
      <c r="K107">
        <v>1.5218067562812699E-2</v>
      </c>
      <c r="L107" t="s">
        <v>4</v>
      </c>
      <c r="M107">
        <v>595.01144978469995</v>
      </c>
      <c r="N107">
        <v>24.6253516941455</v>
      </c>
      <c r="O107">
        <v>4.6245706179976498</v>
      </c>
      <c r="P107" s="5">
        <v>1.7970331036501501E-25</v>
      </c>
      <c r="Q107" t="s">
        <v>4</v>
      </c>
      <c r="R107" s="4" t="s">
        <v>87</v>
      </c>
      <c r="S107" t="s">
        <v>4</v>
      </c>
      <c r="T107" t="s">
        <v>1261</v>
      </c>
      <c r="U107" t="s">
        <v>1262</v>
      </c>
      <c r="V107" t="s">
        <v>1263</v>
      </c>
      <c r="W107" t="s">
        <v>328</v>
      </c>
      <c r="X107" t="s">
        <v>4</v>
      </c>
      <c r="Y107" t="s">
        <v>1264</v>
      </c>
      <c r="Z107" t="s">
        <v>1265</v>
      </c>
      <c r="AA107" t="s">
        <v>1266</v>
      </c>
      <c r="AB107" t="s">
        <v>4</v>
      </c>
      <c r="AC107" s="3" t="s">
        <v>93</v>
      </c>
      <c r="AD107" t="s">
        <v>4</v>
      </c>
      <c r="AE107" t="s">
        <v>3346</v>
      </c>
      <c r="AF107" t="s">
        <v>3347</v>
      </c>
      <c r="AG107" t="s">
        <v>3348</v>
      </c>
      <c r="AH107" t="s">
        <v>2253</v>
      </c>
      <c r="AU107" t="s">
        <v>112</v>
      </c>
      <c r="AV107" t="s">
        <v>3349</v>
      </c>
      <c r="AW107" t="s">
        <v>114</v>
      </c>
      <c r="AX107" t="s">
        <v>371</v>
      </c>
      <c r="AY107" t="s">
        <v>3350</v>
      </c>
      <c r="AZ107" t="s">
        <v>4</v>
      </c>
      <c r="BA107" s="3" t="s">
        <v>95</v>
      </c>
      <c r="BB107" s="6" t="s">
        <v>95</v>
      </c>
      <c r="BC107" s="3" t="s">
        <v>95</v>
      </c>
      <c r="BD107" t="s">
        <v>4</v>
      </c>
      <c r="BE107">
        <v>5833</v>
      </c>
      <c r="BF107" t="s">
        <v>386</v>
      </c>
      <c r="BG107">
        <v>18.789100000000001</v>
      </c>
      <c r="BH107">
        <v>18.997900000000001</v>
      </c>
      <c r="BI107">
        <v>10.020899999999999</v>
      </c>
      <c r="BJ107">
        <v>10.4384</v>
      </c>
      <c r="BK107">
        <v>13.3612</v>
      </c>
      <c r="BL107">
        <v>17.119</v>
      </c>
      <c r="BM107">
        <v>17.9541</v>
      </c>
      <c r="BN107">
        <v>19.206700000000001</v>
      </c>
      <c r="BO107">
        <v>2.50522</v>
      </c>
      <c r="BP107">
        <v>1.67015</v>
      </c>
      <c r="BR107">
        <v>10.020899999999999</v>
      </c>
      <c r="BT107">
        <v>14.196199999999999</v>
      </c>
      <c r="BV107" t="s">
        <v>3351</v>
      </c>
      <c r="BW107">
        <v>12.5261</v>
      </c>
      <c r="BX107">
        <v>9.6033399999999993</v>
      </c>
      <c r="BY107">
        <v>6.2630499999999998</v>
      </c>
      <c r="BZ107">
        <v>9.6033399999999993</v>
      </c>
      <c r="CB107">
        <v>7.9331899999999997</v>
      </c>
      <c r="CC107">
        <v>10.2296</v>
      </c>
      <c r="CD107" t="s">
        <v>3352</v>
      </c>
      <c r="CF107">
        <v>11.899800000000001</v>
      </c>
      <c r="CK107">
        <v>7</v>
      </c>
      <c r="CL107" t="s">
        <v>4</v>
      </c>
      <c r="CM107" t="s">
        <v>98</v>
      </c>
      <c r="CN107" t="s">
        <v>98</v>
      </c>
      <c r="CO107" t="s">
        <v>99</v>
      </c>
      <c r="CP107" t="s">
        <v>100</v>
      </c>
      <c r="CQ107">
        <v>106</v>
      </c>
      <c r="CR107" t="s">
        <v>100</v>
      </c>
      <c r="CS107" s="7" t="s">
        <v>101</v>
      </c>
      <c r="CT107" t="s">
        <v>152</v>
      </c>
      <c r="CU107" t="s">
        <v>102</v>
      </c>
      <c r="CV107" t="s">
        <v>100</v>
      </c>
    </row>
    <row r="108" spans="1:100">
      <c r="A108" s="3" t="s">
        <v>3353</v>
      </c>
      <c r="B108" s="4" t="s">
        <v>3354</v>
      </c>
      <c r="C108">
        <v>152.97249400273799</v>
      </c>
      <c r="D108">
        <v>1612.8873564574001</v>
      </c>
      <c r="E108">
        <f>-3.39778098729885</f>
        <v>-3.3977809872988498</v>
      </c>
      <c r="F108" s="5">
        <v>1.41526388058458E-18</v>
      </c>
      <c r="G108" t="s">
        <v>4</v>
      </c>
      <c r="H108">
        <v>152.97249400273799</v>
      </c>
      <c r="I108">
        <v>127.534713080378</v>
      </c>
      <c r="J108">
        <v>0.26794749986705801</v>
      </c>
      <c r="K108">
        <v>0.55272150186336</v>
      </c>
      <c r="L108" t="s">
        <v>4</v>
      </c>
      <c r="M108">
        <v>1612.8873564574001</v>
      </c>
      <c r="N108">
        <v>127.534713080378</v>
      </c>
      <c r="O108">
        <v>3.6657284871659099</v>
      </c>
      <c r="P108" s="5">
        <v>1.42441510902763E-21</v>
      </c>
      <c r="Q108" t="s">
        <v>4</v>
      </c>
      <c r="R108" s="4" t="s">
        <v>87</v>
      </c>
      <c r="S108" t="s">
        <v>4</v>
      </c>
      <c r="T108" t="s">
        <v>1261</v>
      </c>
      <c r="U108" t="s">
        <v>1262</v>
      </c>
      <c r="V108" t="s">
        <v>1263</v>
      </c>
      <c r="W108" t="s">
        <v>328</v>
      </c>
      <c r="X108" t="s">
        <v>4</v>
      </c>
      <c r="Y108" t="s">
        <v>3338</v>
      </c>
      <c r="Z108" t="s">
        <v>3339</v>
      </c>
      <c r="AA108" t="s">
        <v>3340</v>
      </c>
      <c r="AB108" t="s">
        <v>4</v>
      </c>
      <c r="AC108" s="3" t="s">
        <v>93</v>
      </c>
      <c r="AD108" t="s">
        <v>4</v>
      </c>
      <c r="AE108" t="s">
        <v>3341</v>
      </c>
      <c r="AF108" t="s">
        <v>834</v>
      </c>
      <c r="AG108" t="s">
        <v>3355</v>
      </c>
      <c r="AH108" t="s">
        <v>112</v>
      </c>
      <c r="AJ108" t="s">
        <v>1001</v>
      </c>
      <c r="AU108" t="s">
        <v>112</v>
      </c>
      <c r="AV108" t="s">
        <v>3343</v>
      </c>
      <c r="AW108" t="s">
        <v>114</v>
      </c>
      <c r="AX108" t="s">
        <v>371</v>
      </c>
      <c r="AY108" t="s">
        <v>1275</v>
      </c>
      <c r="AZ108" t="s">
        <v>4</v>
      </c>
      <c r="BA108" s="3" t="s">
        <v>115</v>
      </c>
      <c r="BB108" s="6" t="s">
        <v>95</v>
      </c>
      <c r="BC108" s="3" t="s">
        <v>95</v>
      </c>
      <c r="BD108" t="s">
        <v>4</v>
      </c>
      <c r="BE108">
        <v>5834</v>
      </c>
      <c r="BF108" t="s">
        <v>386</v>
      </c>
      <c r="BG108">
        <v>97.855500000000006</v>
      </c>
      <c r="BH108">
        <v>99.548500000000004</v>
      </c>
      <c r="BI108">
        <v>91.7607</v>
      </c>
      <c r="BJ108">
        <v>4.5146699999999997</v>
      </c>
      <c r="BK108">
        <v>44.356699999999996</v>
      </c>
      <c r="BM108">
        <v>8.6907499999999995</v>
      </c>
      <c r="BN108">
        <v>6.8848799999999999</v>
      </c>
      <c r="BO108">
        <v>67.494399999999999</v>
      </c>
      <c r="BP108">
        <v>12.979699999999999</v>
      </c>
      <c r="BS108">
        <v>9.5936800000000009</v>
      </c>
      <c r="BV108">
        <v>3.9503400000000002</v>
      </c>
      <c r="BW108">
        <v>7.9006800000000004</v>
      </c>
      <c r="BZ108">
        <v>8.1264099999999999</v>
      </c>
      <c r="CA108">
        <v>11.625299999999999</v>
      </c>
      <c r="CB108">
        <v>9.0293500000000009</v>
      </c>
      <c r="CK108">
        <v>7</v>
      </c>
      <c r="CL108" t="s">
        <v>4</v>
      </c>
      <c r="CM108" t="s">
        <v>3356</v>
      </c>
      <c r="CN108" t="s">
        <v>3357</v>
      </c>
      <c r="CO108" t="s">
        <v>1218</v>
      </c>
      <c r="CP108" t="s">
        <v>100</v>
      </c>
      <c r="CQ108">
        <v>107</v>
      </c>
      <c r="CR108" t="s">
        <v>100</v>
      </c>
      <c r="CS108" t="s">
        <v>100</v>
      </c>
      <c r="CT108" t="s">
        <v>152</v>
      </c>
      <c r="CU108" t="s">
        <v>102</v>
      </c>
      <c r="CV108" t="s">
        <v>100</v>
      </c>
    </row>
    <row r="109" spans="1:100">
      <c r="A109" s="3" t="s">
        <v>3358</v>
      </c>
      <c r="B109" s="4" t="s">
        <v>3359</v>
      </c>
      <c r="C109">
        <v>33.2738676830839</v>
      </c>
      <c r="D109">
        <v>286.66397942467302</v>
      </c>
      <c r="E109">
        <f>-3.10568193504237</f>
        <v>-3.1056819350423699</v>
      </c>
      <c r="F109" s="5">
        <v>8.3303133714866796E-11</v>
      </c>
      <c r="G109" t="s">
        <v>4</v>
      </c>
      <c r="H109">
        <v>33.2738676830839</v>
      </c>
      <c r="I109">
        <v>18.380003384460402</v>
      </c>
      <c r="J109">
        <v>0.86129469779924706</v>
      </c>
      <c r="K109">
        <v>0.13120297953520799</v>
      </c>
      <c r="L109" t="s">
        <v>4</v>
      </c>
      <c r="M109">
        <v>286.66397942467302</v>
      </c>
      <c r="N109">
        <v>18.380003384460402</v>
      </c>
      <c r="O109">
        <v>3.9669766328416198</v>
      </c>
      <c r="P109" s="5">
        <v>4.2290108754351896E-15</v>
      </c>
      <c r="Q109" t="s">
        <v>4</v>
      </c>
      <c r="R109" s="4" t="s">
        <v>87</v>
      </c>
      <c r="S109" t="s">
        <v>4</v>
      </c>
      <c r="T109" t="s">
        <v>92</v>
      </c>
      <c r="U109" t="s">
        <v>92</v>
      </c>
      <c r="V109" t="s">
        <v>92</v>
      </c>
      <c r="W109" t="s">
        <v>92</v>
      </c>
      <c r="X109" t="s">
        <v>4</v>
      </c>
      <c r="Y109" t="s">
        <v>92</v>
      </c>
      <c r="Z109" t="s">
        <v>92</v>
      </c>
      <c r="AA109" t="s">
        <v>92</v>
      </c>
      <c r="AB109" t="s">
        <v>4</v>
      </c>
      <c r="AC109" s="3" t="s">
        <v>93</v>
      </c>
      <c r="AD109" t="s">
        <v>4</v>
      </c>
      <c r="AE109" s="4" t="s">
        <v>94</v>
      </c>
      <c r="AZ109" t="s">
        <v>4</v>
      </c>
      <c r="BA109" s="3" t="s">
        <v>95</v>
      </c>
      <c r="BB109" s="6" t="s">
        <v>95</v>
      </c>
      <c r="BC109" s="3" t="s">
        <v>95</v>
      </c>
      <c r="BD109" t="s">
        <v>4</v>
      </c>
      <c r="BE109">
        <v>1690</v>
      </c>
      <c r="BF109" t="s">
        <v>151</v>
      </c>
      <c r="BG109">
        <v>93.714299999999994</v>
      </c>
      <c r="BH109">
        <v>83.142899999999997</v>
      </c>
      <c r="BJ109" t="s">
        <v>3360</v>
      </c>
      <c r="BK109">
        <v>24.857099999999999</v>
      </c>
      <c r="BL109">
        <v>22.285699999999999</v>
      </c>
      <c r="CK109">
        <v>2</v>
      </c>
      <c r="CL109" t="s">
        <v>4</v>
      </c>
      <c r="CM109" t="s">
        <v>98</v>
      </c>
      <c r="CN109" t="s">
        <v>98</v>
      </c>
      <c r="CO109" t="s">
        <v>99</v>
      </c>
      <c r="CP109" t="s">
        <v>100</v>
      </c>
      <c r="CQ109">
        <v>108</v>
      </c>
      <c r="CR109" t="s">
        <v>100</v>
      </c>
      <c r="CS109" t="s">
        <v>100</v>
      </c>
      <c r="CT109" t="s">
        <v>152</v>
      </c>
      <c r="CU109" t="s">
        <v>102</v>
      </c>
      <c r="CV109" t="s">
        <v>100</v>
      </c>
    </row>
    <row r="110" spans="1:100">
      <c r="A110" s="3" t="s">
        <v>3361</v>
      </c>
      <c r="B110" s="4" t="s">
        <v>3362</v>
      </c>
      <c r="C110">
        <v>161.20042101618199</v>
      </c>
      <c r="D110">
        <v>1573.8536951393</v>
      </c>
      <c r="E110">
        <f>-3.28749847902709</f>
        <v>-3.2874984790270898</v>
      </c>
      <c r="F110" s="5">
        <v>2.5578568968031801E-16</v>
      </c>
      <c r="G110" t="s">
        <v>4</v>
      </c>
      <c r="H110">
        <v>161.20042101618199</v>
      </c>
      <c r="I110">
        <v>128.734511099971</v>
      </c>
      <c r="J110">
        <v>0.32924179996594899</v>
      </c>
      <c r="K110">
        <v>0.47664521182637898</v>
      </c>
      <c r="L110" t="s">
        <v>4</v>
      </c>
      <c r="M110">
        <v>1573.8536951393</v>
      </c>
      <c r="N110">
        <v>128.734511099971</v>
      </c>
      <c r="O110">
        <v>3.6167402789930398</v>
      </c>
      <c r="P110" s="5">
        <v>1.03052667069909E-19</v>
      </c>
      <c r="Q110" t="s">
        <v>4</v>
      </c>
      <c r="R110" s="4" t="s">
        <v>87</v>
      </c>
      <c r="S110" t="s">
        <v>4</v>
      </c>
      <c r="T110" t="s">
        <v>1261</v>
      </c>
      <c r="U110" t="s">
        <v>1262</v>
      </c>
      <c r="V110" t="s">
        <v>1263</v>
      </c>
      <c r="W110" t="s">
        <v>328</v>
      </c>
      <c r="X110" t="s">
        <v>4</v>
      </c>
      <c r="Y110" t="s">
        <v>3338</v>
      </c>
      <c r="Z110" t="s">
        <v>3339</v>
      </c>
      <c r="AA110" t="s">
        <v>3340</v>
      </c>
      <c r="AB110" t="s">
        <v>4</v>
      </c>
      <c r="AC110" s="3" t="s">
        <v>93</v>
      </c>
      <c r="AD110" t="s">
        <v>4</v>
      </c>
      <c r="AE110" t="s">
        <v>3341</v>
      </c>
      <c r="AF110" t="s">
        <v>834</v>
      </c>
      <c r="AG110" t="s">
        <v>3363</v>
      </c>
      <c r="AH110" t="s">
        <v>112</v>
      </c>
      <c r="AJ110" t="s">
        <v>1001</v>
      </c>
      <c r="AU110" t="s">
        <v>112</v>
      </c>
      <c r="AV110" t="s">
        <v>3343</v>
      </c>
      <c r="AW110" t="s">
        <v>114</v>
      </c>
      <c r="AX110" t="s">
        <v>371</v>
      </c>
      <c r="AY110" t="s">
        <v>1275</v>
      </c>
      <c r="AZ110" t="s">
        <v>4</v>
      </c>
      <c r="BA110" s="3" t="s">
        <v>115</v>
      </c>
      <c r="BB110" s="6" t="s">
        <v>95</v>
      </c>
      <c r="BC110" s="3" t="s">
        <v>95</v>
      </c>
      <c r="BD110" t="s">
        <v>4</v>
      </c>
      <c r="BE110">
        <v>5835</v>
      </c>
      <c r="BF110" t="s">
        <v>386</v>
      </c>
      <c r="BG110">
        <v>97.569400000000002</v>
      </c>
      <c r="BH110">
        <v>99.305599999999998</v>
      </c>
      <c r="BI110">
        <v>91.319400000000002</v>
      </c>
      <c r="BJ110">
        <v>4.6296299999999997</v>
      </c>
      <c r="BK110">
        <v>45.4861</v>
      </c>
      <c r="BM110">
        <v>8.9120399999999993</v>
      </c>
      <c r="BN110">
        <v>7.0601799999999999</v>
      </c>
      <c r="BO110">
        <v>67.361099999999993</v>
      </c>
      <c r="BP110">
        <v>13.3102</v>
      </c>
      <c r="BS110">
        <v>9.7222200000000001</v>
      </c>
      <c r="BV110">
        <v>4.0509300000000001</v>
      </c>
      <c r="BW110">
        <v>7.98611</v>
      </c>
      <c r="BZ110">
        <v>8.3333300000000001</v>
      </c>
      <c r="CA110">
        <v>11.5741</v>
      </c>
      <c r="CB110">
        <v>9.375</v>
      </c>
      <c r="CK110">
        <v>7</v>
      </c>
      <c r="CL110" t="s">
        <v>4</v>
      </c>
      <c r="CM110" t="s">
        <v>3356</v>
      </c>
      <c r="CN110" t="s">
        <v>3364</v>
      </c>
      <c r="CO110" t="s">
        <v>1218</v>
      </c>
      <c r="CP110" t="s">
        <v>100</v>
      </c>
      <c r="CQ110">
        <v>109</v>
      </c>
      <c r="CR110" t="s">
        <v>100</v>
      </c>
      <c r="CS110" t="s">
        <v>100</v>
      </c>
      <c r="CT110" t="s">
        <v>152</v>
      </c>
      <c r="CU110" t="s">
        <v>102</v>
      </c>
      <c r="CV110" t="s">
        <v>100</v>
      </c>
    </row>
    <row r="111" spans="1:100">
      <c r="A111" s="3" t="s">
        <v>3365</v>
      </c>
      <c r="B111" s="4" t="s">
        <v>3366</v>
      </c>
      <c r="C111">
        <v>67.930795574328201</v>
      </c>
      <c r="D111">
        <v>1101.19391126604</v>
      </c>
      <c r="E111">
        <f>-4.01504928483667</f>
        <v>-4.0150492848366701</v>
      </c>
      <c r="F111" s="5">
        <v>2.7161552210277698E-30</v>
      </c>
      <c r="G111" t="s">
        <v>4</v>
      </c>
      <c r="H111">
        <v>67.930795574328201</v>
      </c>
      <c r="I111">
        <v>147.89288723279699</v>
      </c>
      <c r="J111">
        <f>-1.10906551650087</f>
        <v>-1.10906551650087</v>
      </c>
      <c r="K111">
        <v>3.4036378738195598E-3</v>
      </c>
      <c r="L111" t="s">
        <v>4</v>
      </c>
      <c r="M111">
        <v>1101.19391126604</v>
      </c>
      <c r="N111">
        <v>147.89288723279699</v>
      </c>
      <c r="O111">
        <v>2.9059837683357901</v>
      </c>
      <c r="P111" s="5">
        <v>5.2092195419959001E-17</v>
      </c>
      <c r="Q111" t="s">
        <v>4</v>
      </c>
      <c r="R111" s="4" t="s">
        <v>87</v>
      </c>
      <c r="S111" t="s">
        <v>4</v>
      </c>
      <c r="T111" t="s">
        <v>3367</v>
      </c>
      <c r="U111" t="s">
        <v>3368</v>
      </c>
      <c r="V111" t="s">
        <v>3369</v>
      </c>
      <c r="W111" t="s">
        <v>328</v>
      </c>
      <c r="X111" t="s">
        <v>4</v>
      </c>
      <c r="Y111" t="s">
        <v>3370</v>
      </c>
      <c r="Z111" t="s">
        <v>3371</v>
      </c>
      <c r="AA111" t="s">
        <v>3372</v>
      </c>
      <c r="AB111" t="s">
        <v>4</v>
      </c>
      <c r="AC111" s="3" t="s">
        <v>93</v>
      </c>
      <c r="AD111" t="s">
        <v>4</v>
      </c>
      <c r="AE111" t="s">
        <v>3373</v>
      </c>
      <c r="AF111" t="s">
        <v>3374</v>
      </c>
      <c r="AG111" t="s">
        <v>3375</v>
      </c>
      <c r="AH111" t="s">
        <v>386</v>
      </c>
      <c r="AU111" t="s">
        <v>112</v>
      </c>
      <c r="AV111" t="s">
        <v>3376</v>
      </c>
      <c r="AW111" t="s">
        <v>114</v>
      </c>
      <c r="AX111" t="s">
        <v>371</v>
      </c>
      <c r="AY111" t="s">
        <v>3377</v>
      </c>
      <c r="AZ111" t="s">
        <v>4</v>
      </c>
      <c r="BA111" s="3" t="s">
        <v>95</v>
      </c>
      <c r="BB111" s="6" t="s">
        <v>95</v>
      </c>
      <c r="BC111" s="3" t="s">
        <v>95</v>
      </c>
      <c r="BD111" t="s">
        <v>4</v>
      </c>
      <c r="BE111">
        <v>5836</v>
      </c>
      <c r="BF111" t="s">
        <v>386</v>
      </c>
      <c r="BG111">
        <v>99.259299999999996</v>
      </c>
      <c r="BH111">
        <v>99.629599999999996</v>
      </c>
      <c r="BK111">
        <v>82.222200000000001</v>
      </c>
      <c r="BQ111">
        <v>39.259300000000003</v>
      </c>
      <c r="BV111" t="s">
        <v>3378</v>
      </c>
      <c r="BX111">
        <v>39.629600000000003</v>
      </c>
      <c r="CB111">
        <v>30</v>
      </c>
      <c r="CE111">
        <v>29.6296</v>
      </c>
      <c r="CK111">
        <v>7</v>
      </c>
      <c r="CL111" t="s">
        <v>4</v>
      </c>
      <c r="CM111" t="s">
        <v>98</v>
      </c>
      <c r="CN111" t="s">
        <v>98</v>
      </c>
      <c r="CO111" t="s">
        <v>99</v>
      </c>
      <c r="CP111" t="s">
        <v>100</v>
      </c>
      <c r="CQ111">
        <v>110</v>
      </c>
      <c r="CR111" t="s">
        <v>100</v>
      </c>
      <c r="CS111" t="s">
        <v>100</v>
      </c>
      <c r="CT111" t="s">
        <v>152</v>
      </c>
      <c r="CU111" t="s">
        <v>102</v>
      </c>
      <c r="CV111" t="s">
        <v>100</v>
      </c>
    </row>
    <row r="112" spans="1:100">
      <c r="A112" s="3" t="s">
        <v>3379</v>
      </c>
      <c r="B112" s="4" t="s">
        <v>3380</v>
      </c>
      <c r="C112">
        <v>10.4831125967732</v>
      </c>
      <c r="D112">
        <v>104.583886547375</v>
      </c>
      <c r="E112">
        <f>-3.31314897489642</f>
        <v>-3.31314897489642</v>
      </c>
      <c r="F112">
        <v>3.4132922382695899E-3</v>
      </c>
      <c r="G112" t="s">
        <v>4</v>
      </c>
      <c r="H112">
        <v>10.4831125967732</v>
      </c>
      <c r="I112">
        <v>12.343880265048</v>
      </c>
      <c r="J112">
        <f>0.187650650498105</f>
        <v>0.187650650498105</v>
      </c>
      <c r="K112">
        <v>0.88494341928200904</v>
      </c>
      <c r="L112" t="s">
        <v>4</v>
      </c>
      <c r="M112">
        <v>104.583886547375</v>
      </c>
      <c r="N112">
        <v>12.343880265048</v>
      </c>
      <c r="O112">
        <v>3.1254983243983201</v>
      </c>
      <c r="P112">
        <v>4.78566676999708E-3</v>
      </c>
      <c r="Q112" t="s">
        <v>4</v>
      </c>
      <c r="R112" s="4" t="s">
        <v>87</v>
      </c>
      <c r="S112" t="s">
        <v>4</v>
      </c>
      <c r="T112" t="s">
        <v>92</v>
      </c>
      <c r="U112" t="s">
        <v>92</v>
      </c>
      <c r="V112" t="s">
        <v>92</v>
      </c>
      <c r="W112" t="s">
        <v>92</v>
      </c>
      <c r="X112" t="s">
        <v>4</v>
      </c>
      <c r="Y112" t="s">
        <v>92</v>
      </c>
      <c r="Z112" t="s">
        <v>92</v>
      </c>
      <c r="AA112" t="s">
        <v>92</v>
      </c>
      <c r="AB112" t="s">
        <v>4</v>
      </c>
      <c r="AC112" s="3" t="s">
        <v>93</v>
      </c>
      <c r="AD112" t="s">
        <v>4</v>
      </c>
      <c r="AE112" s="4" t="s">
        <v>94</v>
      </c>
      <c r="AZ112" t="s">
        <v>4</v>
      </c>
      <c r="BA112" s="3" t="s">
        <v>95</v>
      </c>
      <c r="BB112" s="6" t="s">
        <v>95</v>
      </c>
      <c r="BC112" s="3" t="s">
        <v>95</v>
      </c>
      <c r="BD112" t="s">
        <v>4</v>
      </c>
      <c r="BE112">
        <v>1713</v>
      </c>
      <c r="BF112" t="s">
        <v>151</v>
      </c>
      <c r="BG112">
        <v>95.945899999999995</v>
      </c>
      <c r="BJ112">
        <v>51.351399999999998</v>
      </c>
      <c r="BK112">
        <v>25.675699999999999</v>
      </c>
      <c r="BL112" t="s">
        <v>3381</v>
      </c>
      <c r="BM112">
        <v>32.432400000000001</v>
      </c>
      <c r="BN112">
        <v>33.1081</v>
      </c>
      <c r="BO112">
        <v>49.324300000000001</v>
      </c>
      <c r="CK112">
        <v>2</v>
      </c>
      <c r="CL112" t="s">
        <v>4</v>
      </c>
      <c r="CM112" t="s">
        <v>98</v>
      </c>
      <c r="CN112" t="s">
        <v>98</v>
      </c>
      <c r="CO112" t="s">
        <v>99</v>
      </c>
      <c r="CP112" t="s">
        <v>100</v>
      </c>
      <c r="CQ112">
        <v>111</v>
      </c>
      <c r="CR112" t="s">
        <v>100</v>
      </c>
      <c r="CS112" t="s">
        <v>100</v>
      </c>
      <c r="CT112" t="s">
        <v>152</v>
      </c>
      <c r="CU112" t="s">
        <v>102</v>
      </c>
      <c r="CV112" t="s">
        <v>100</v>
      </c>
    </row>
    <row r="113" spans="1:100">
      <c r="A113" s="3" t="s">
        <v>3382</v>
      </c>
      <c r="B113" s="4" t="s">
        <v>3383</v>
      </c>
      <c r="C113">
        <v>50.555093142825001</v>
      </c>
      <c r="D113">
        <v>543.21981026035701</v>
      </c>
      <c r="E113">
        <f>-3.42321201042475</f>
        <v>-3.4232120104247499</v>
      </c>
      <c r="F113" s="5">
        <v>4.1276436591073802E-6</v>
      </c>
      <c r="G113" t="s">
        <v>4</v>
      </c>
      <c r="H113">
        <v>50.555093142825001</v>
      </c>
      <c r="I113">
        <v>26.881044654026201</v>
      </c>
      <c r="J113">
        <v>0.915442484294962</v>
      </c>
      <c r="K113">
        <v>0.262692820839108</v>
      </c>
      <c r="L113" t="s">
        <v>4</v>
      </c>
      <c r="M113">
        <v>543.21981026035701</v>
      </c>
      <c r="N113">
        <v>26.881044654026201</v>
      </c>
      <c r="O113">
        <v>4.3386544947197097</v>
      </c>
      <c r="P113" s="5">
        <v>3.11243688321649E-9</v>
      </c>
      <c r="Q113" t="s">
        <v>4</v>
      </c>
      <c r="R113" s="4" t="s">
        <v>87</v>
      </c>
      <c r="S113" t="s">
        <v>4</v>
      </c>
      <c r="T113" t="s">
        <v>92</v>
      </c>
      <c r="U113" t="s">
        <v>92</v>
      </c>
      <c r="V113" t="s">
        <v>92</v>
      </c>
      <c r="W113" t="s">
        <v>92</v>
      </c>
      <c r="X113" t="s">
        <v>4</v>
      </c>
      <c r="Y113" t="s">
        <v>92</v>
      </c>
      <c r="Z113" t="s">
        <v>92</v>
      </c>
      <c r="AA113" t="s">
        <v>92</v>
      </c>
      <c r="AB113" t="s">
        <v>4</v>
      </c>
      <c r="AC113" s="3" t="s">
        <v>93</v>
      </c>
      <c r="AD113" t="s">
        <v>4</v>
      </c>
      <c r="AE113" s="4" t="s">
        <v>94</v>
      </c>
      <c r="AZ113" t="s">
        <v>4</v>
      </c>
      <c r="BA113" s="3" t="s">
        <v>95</v>
      </c>
      <c r="BB113" s="6" t="s">
        <v>95</v>
      </c>
      <c r="BC113" s="3" t="s">
        <v>95</v>
      </c>
      <c r="BD113" t="s">
        <v>4</v>
      </c>
      <c r="BE113">
        <v>1723</v>
      </c>
      <c r="BF113" t="s">
        <v>151</v>
      </c>
      <c r="BI113">
        <v>65.573800000000006</v>
      </c>
      <c r="BJ113">
        <v>54.508200000000002</v>
      </c>
      <c r="BK113">
        <v>38.114800000000002</v>
      </c>
      <c r="BM113">
        <v>43.032800000000002</v>
      </c>
      <c r="BN113">
        <v>51.639299999999999</v>
      </c>
      <c r="BO113">
        <v>22.1311</v>
      </c>
      <c r="CK113">
        <v>2</v>
      </c>
      <c r="CL113" t="s">
        <v>4</v>
      </c>
      <c r="CM113" t="s">
        <v>98</v>
      </c>
      <c r="CN113" t="s">
        <v>98</v>
      </c>
      <c r="CO113" t="s">
        <v>99</v>
      </c>
      <c r="CP113" t="s">
        <v>100</v>
      </c>
      <c r="CQ113">
        <v>112</v>
      </c>
      <c r="CR113" t="s">
        <v>100</v>
      </c>
      <c r="CS113" t="s">
        <v>100</v>
      </c>
      <c r="CT113" t="s">
        <v>152</v>
      </c>
      <c r="CU113" t="s">
        <v>102</v>
      </c>
      <c r="CV113" t="s">
        <v>100</v>
      </c>
    </row>
    <row r="114" spans="1:100">
      <c r="A114" s="3" t="s">
        <v>3384</v>
      </c>
      <c r="B114" s="4" t="s">
        <v>3385</v>
      </c>
      <c r="C114">
        <v>25.968190892367499</v>
      </c>
      <c r="D114">
        <v>404.129389781405</v>
      </c>
      <c r="E114">
        <f>-3.95544021629139</f>
        <v>-3.95544021629139</v>
      </c>
      <c r="F114" s="5">
        <v>9.2572136267207897E-12</v>
      </c>
      <c r="G114" t="s">
        <v>4</v>
      </c>
      <c r="H114">
        <v>25.968190892367499</v>
      </c>
      <c r="I114">
        <v>12.865060130038801</v>
      </c>
      <c r="J114">
        <v>1.1045997203372</v>
      </c>
      <c r="K114">
        <v>0.112129240724485</v>
      </c>
      <c r="L114" t="s">
        <v>4</v>
      </c>
      <c r="M114">
        <v>404.129389781405</v>
      </c>
      <c r="N114">
        <v>12.865060130038801</v>
      </c>
      <c r="O114">
        <v>5.0600399366285904</v>
      </c>
      <c r="P114" s="5">
        <v>2.7018740529741499E-16</v>
      </c>
      <c r="Q114" t="s">
        <v>4</v>
      </c>
      <c r="R114" s="4" t="s">
        <v>87</v>
      </c>
      <c r="S114" t="s">
        <v>4</v>
      </c>
      <c r="T114" t="s">
        <v>88</v>
      </c>
      <c r="U114" t="s">
        <v>89</v>
      </c>
      <c r="V114" t="s">
        <v>90</v>
      </c>
      <c r="W114" t="s">
        <v>91</v>
      </c>
      <c r="X114" t="s">
        <v>4</v>
      </c>
      <c r="Y114" t="s">
        <v>92</v>
      </c>
      <c r="Z114" t="s">
        <v>92</v>
      </c>
      <c r="AA114" t="s">
        <v>92</v>
      </c>
      <c r="AB114" t="s">
        <v>4</v>
      </c>
      <c r="AC114" s="3" t="s">
        <v>93</v>
      </c>
      <c r="AD114" t="s">
        <v>4</v>
      </c>
      <c r="AE114" t="s">
        <v>3386</v>
      </c>
      <c r="AF114" t="s">
        <v>3387</v>
      </c>
      <c r="AG114" t="s">
        <v>3388</v>
      </c>
      <c r="AH114" t="s">
        <v>638</v>
      </c>
      <c r="AU114" t="s">
        <v>112</v>
      </c>
      <c r="AV114" t="s">
        <v>3389</v>
      </c>
      <c r="AW114" t="s">
        <v>114</v>
      </c>
      <c r="AX114" t="s">
        <v>167</v>
      </c>
      <c r="AY114" t="s">
        <v>3390</v>
      </c>
      <c r="AZ114" t="s">
        <v>4</v>
      </c>
      <c r="BA114" s="3" t="s">
        <v>95</v>
      </c>
      <c r="BB114" t="s">
        <v>96</v>
      </c>
      <c r="BC114" s="3" t="s">
        <v>95</v>
      </c>
      <c r="BD114" t="s">
        <v>4</v>
      </c>
      <c r="BE114">
        <v>4697</v>
      </c>
      <c r="BF114" t="s">
        <v>112</v>
      </c>
      <c r="BJ114">
        <v>66.666700000000006</v>
      </c>
      <c r="BK114">
        <v>84.444400000000002</v>
      </c>
      <c r="BN114">
        <v>77.777799999999999</v>
      </c>
      <c r="BO114">
        <v>84.444400000000002</v>
      </c>
      <c r="BZ114">
        <v>22.222200000000001</v>
      </c>
      <c r="CA114">
        <v>23.333300000000001</v>
      </c>
      <c r="CK114">
        <v>5</v>
      </c>
      <c r="CL114" t="s">
        <v>4</v>
      </c>
      <c r="CM114" t="s">
        <v>3391</v>
      </c>
      <c r="CN114" t="s">
        <v>3392</v>
      </c>
      <c r="CO114" t="s">
        <v>99</v>
      </c>
      <c r="CP114" t="s">
        <v>100</v>
      </c>
      <c r="CQ114">
        <v>113</v>
      </c>
      <c r="CR114" t="s">
        <v>100</v>
      </c>
      <c r="CS114" t="s">
        <v>100</v>
      </c>
      <c r="CT114" t="s">
        <v>152</v>
      </c>
      <c r="CU114" t="s">
        <v>102</v>
      </c>
      <c r="CV114" t="s">
        <v>100</v>
      </c>
    </row>
    <row r="115" spans="1:100">
      <c r="A115" s="3" t="s">
        <v>3393</v>
      </c>
      <c r="B115" s="4" t="s">
        <v>3394</v>
      </c>
      <c r="C115">
        <v>67.878190571403493</v>
      </c>
      <c r="D115">
        <v>1312.90752729259</v>
      </c>
      <c r="E115">
        <f>-4.27191600709747</f>
        <v>-4.2719160070974702</v>
      </c>
      <c r="F115" s="5">
        <v>3.9734035169218901E-11</v>
      </c>
      <c r="G115" t="s">
        <v>4</v>
      </c>
      <c r="H115">
        <v>67.878190571403493</v>
      </c>
      <c r="I115">
        <v>37.537473584743502</v>
      </c>
      <c r="J115">
        <v>0.85859317872748497</v>
      </c>
      <c r="K115">
        <v>0.23522246597086399</v>
      </c>
      <c r="L115" t="s">
        <v>4</v>
      </c>
      <c r="M115">
        <v>1312.90752729259</v>
      </c>
      <c r="N115">
        <v>37.537473584743502</v>
      </c>
      <c r="O115">
        <v>5.1305091858249501</v>
      </c>
      <c r="P115" s="5">
        <v>1.56566931972284E-15</v>
      </c>
      <c r="Q115" t="s">
        <v>4</v>
      </c>
      <c r="R115" s="4" t="s">
        <v>87</v>
      </c>
      <c r="S115" t="s">
        <v>4</v>
      </c>
      <c r="T115" t="s">
        <v>92</v>
      </c>
      <c r="U115" t="s">
        <v>92</v>
      </c>
      <c r="V115" t="s">
        <v>92</v>
      </c>
      <c r="W115" t="s">
        <v>92</v>
      </c>
      <c r="X115" t="s">
        <v>4</v>
      </c>
      <c r="Y115" t="s">
        <v>92</v>
      </c>
      <c r="Z115" t="s">
        <v>92</v>
      </c>
      <c r="AA115" t="s">
        <v>92</v>
      </c>
      <c r="AB115" t="s">
        <v>4</v>
      </c>
      <c r="AC115" s="3" t="s">
        <v>93</v>
      </c>
      <c r="AD115" t="s">
        <v>4</v>
      </c>
      <c r="AE115" t="s">
        <v>2550</v>
      </c>
      <c r="AF115" t="s">
        <v>3395</v>
      </c>
      <c r="AG115" t="s">
        <v>3396</v>
      </c>
      <c r="AH115" t="s">
        <v>112</v>
      </c>
      <c r="AU115" t="s">
        <v>112</v>
      </c>
      <c r="AV115" t="s">
        <v>2553</v>
      </c>
      <c r="AW115" t="s">
        <v>114</v>
      </c>
      <c r="AX115" t="s">
        <v>144</v>
      </c>
      <c r="AY115" t="s">
        <v>2554</v>
      </c>
      <c r="AZ115" t="s">
        <v>4</v>
      </c>
      <c r="BA115" s="3" t="s">
        <v>95</v>
      </c>
      <c r="BB115" s="6" t="s">
        <v>95</v>
      </c>
      <c r="BC115" s="3" t="s">
        <v>95</v>
      </c>
      <c r="BD115" t="s">
        <v>4</v>
      </c>
      <c r="BE115">
        <v>2396</v>
      </c>
      <c r="BF115" t="s">
        <v>148</v>
      </c>
      <c r="BG115">
        <v>98.893000000000001</v>
      </c>
      <c r="BH115">
        <v>77.121799999999993</v>
      </c>
      <c r="BI115" t="s">
        <v>3397</v>
      </c>
      <c r="BJ115">
        <v>78.597800000000007</v>
      </c>
      <c r="BK115">
        <v>68.265699999999995</v>
      </c>
      <c r="BO115">
        <v>59.778599999999997</v>
      </c>
      <c r="CK115">
        <v>3</v>
      </c>
      <c r="CL115" t="s">
        <v>4</v>
      </c>
      <c r="CM115" t="s">
        <v>98</v>
      </c>
      <c r="CN115" t="s">
        <v>98</v>
      </c>
      <c r="CO115" t="s">
        <v>99</v>
      </c>
      <c r="CP115" t="s">
        <v>100</v>
      </c>
      <c r="CQ115">
        <v>114</v>
      </c>
      <c r="CR115" t="s">
        <v>100</v>
      </c>
      <c r="CS115" t="s">
        <v>100</v>
      </c>
      <c r="CT115" t="s">
        <v>152</v>
      </c>
      <c r="CU115" t="s">
        <v>102</v>
      </c>
      <c r="CV115" t="s">
        <v>100</v>
      </c>
    </row>
    <row r="116" spans="1:100">
      <c r="A116" s="3" t="s">
        <v>3398</v>
      </c>
      <c r="B116" s="4" t="s">
        <v>3399</v>
      </c>
      <c r="C116">
        <v>54.273608143236601</v>
      </c>
      <c r="D116">
        <v>1351.3000226005099</v>
      </c>
      <c r="E116">
        <f>-4.63031084104536</f>
        <v>-4.6303108410453602</v>
      </c>
      <c r="F116" s="5">
        <v>3.3365581016367499E-38</v>
      </c>
      <c r="G116" t="s">
        <v>4</v>
      </c>
      <c r="H116">
        <v>54.273608143236601</v>
      </c>
      <c r="I116">
        <v>49.813252325531202</v>
      </c>
      <c r="J116">
        <v>0.12637254370939</v>
      </c>
      <c r="K116">
        <v>0.78349871530070203</v>
      </c>
      <c r="L116" t="s">
        <v>4</v>
      </c>
      <c r="M116">
        <v>1351.3000226005099</v>
      </c>
      <c r="N116">
        <v>49.813252325531202</v>
      </c>
      <c r="O116">
        <v>4.7566833847547496</v>
      </c>
      <c r="P116" s="5">
        <v>2.4712488308334702E-38</v>
      </c>
      <c r="Q116" t="s">
        <v>4</v>
      </c>
      <c r="R116" s="4" t="s">
        <v>87</v>
      </c>
      <c r="S116" t="s">
        <v>4</v>
      </c>
      <c r="T116" t="s">
        <v>3400</v>
      </c>
      <c r="U116" t="s">
        <v>3401</v>
      </c>
      <c r="V116" t="s">
        <v>3402</v>
      </c>
      <c r="W116" t="s">
        <v>328</v>
      </c>
      <c r="X116" t="s">
        <v>4</v>
      </c>
      <c r="Y116" t="s">
        <v>3403</v>
      </c>
      <c r="Z116" t="s">
        <v>3404</v>
      </c>
      <c r="AA116" t="s">
        <v>3405</v>
      </c>
      <c r="AB116" t="s">
        <v>4</v>
      </c>
      <c r="AC116" s="3" t="s">
        <v>93</v>
      </c>
      <c r="AD116" t="s">
        <v>4</v>
      </c>
      <c r="AE116" t="s">
        <v>3406</v>
      </c>
      <c r="AF116" t="s">
        <v>3407</v>
      </c>
      <c r="AG116" t="s">
        <v>3408</v>
      </c>
      <c r="AH116" t="s">
        <v>314</v>
      </c>
      <c r="AU116" t="s">
        <v>112</v>
      </c>
      <c r="AV116" t="s">
        <v>3409</v>
      </c>
      <c r="AW116" t="s">
        <v>114</v>
      </c>
      <c r="AX116" t="s">
        <v>132</v>
      </c>
      <c r="AY116" t="s">
        <v>3410</v>
      </c>
      <c r="AZ116" t="s">
        <v>4</v>
      </c>
      <c r="BA116" s="3" t="s">
        <v>95</v>
      </c>
      <c r="BB116" t="s">
        <v>96</v>
      </c>
      <c r="BC116" s="3" t="s">
        <v>95</v>
      </c>
      <c r="BD116" t="s">
        <v>4</v>
      </c>
      <c r="BE116">
        <v>4703</v>
      </c>
      <c r="BF116" t="s">
        <v>112</v>
      </c>
      <c r="BG116">
        <v>87.345699999999994</v>
      </c>
      <c r="BI116">
        <v>81.481499999999997</v>
      </c>
      <c r="BJ116">
        <v>70.370400000000004</v>
      </c>
      <c r="BK116">
        <v>44.753100000000003</v>
      </c>
      <c r="BL116">
        <v>5.5555599999999998</v>
      </c>
      <c r="BN116">
        <v>73.148099999999999</v>
      </c>
      <c r="BV116">
        <v>14.8148</v>
      </c>
      <c r="BX116">
        <v>12.037000000000001</v>
      </c>
      <c r="BY116">
        <v>8.3333300000000001</v>
      </c>
      <c r="BZ116">
        <v>11.728400000000001</v>
      </c>
      <c r="CA116">
        <v>11.4198</v>
      </c>
      <c r="CB116">
        <v>3.0864199999999999</v>
      </c>
      <c r="CE116" t="s">
        <v>3411</v>
      </c>
      <c r="CF116">
        <v>18.209900000000001</v>
      </c>
      <c r="CG116" t="s">
        <v>3412</v>
      </c>
      <c r="CH116" t="s">
        <v>3413</v>
      </c>
      <c r="CI116" t="s">
        <v>3414</v>
      </c>
      <c r="CJ116" t="s">
        <v>3415</v>
      </c>
      <c r="CK116">
        <v>5</v>
      </c>
      <c r="CL116" t="s">
        <v>4</v>
      </c>
      <c r="CM116" t="s">
        <v>3416</v>
      </c>
      <c r="CN116" t="s">
        <v>3417</v>
      </c>
      <c r="CO116" t="s">
        <v>219</v>
      </c>
      <c r="CP116" t="s">
        <v>100</v>
      </c>
      <c r="CQ116">
        <v>115</v>
      </c>
      <c r="CR116" t="s">
        <v>100</v>
      </c>
      <c r="CS116" t="s">
        <v>100</v>
      </c>
      <c r="CT116" t="s">
        <v>152</v>
      </c>
      <c r="CU116" t="s">
        <v>102</v>
      </c>
      <c r="CV116" t="s">
        <v>100</v>
      </c>
    </row>
    <row r="117" spans="1:100">
      <c r="A117" s="3" t="s">
        <v>3418</v>
      </c>
      <c r="B117" s="4" t="s">
        <v>3419</v>
      </c>
      <c r="C117">
        <v>54.5681195436729</v>
      </c>
      <c r="D117">
        <v>1059.83325323706</v>
      </c>
      <c r="E117">
        <f>-4.27669323826943</f>
        <v>-4.2766932382694298</v>
      </c>
      <c r="F117" s="5">
        <v>9.85600351560745E-26</v>
      </c>
      <c r="G117" t="s">
        <v>4</v>
      </c>
      <c r="H117">
        <v>54.5681195436729</v>
      </c>
      <c r="I117">
        <v>34.119328363082602</v>
      </c>
      <c r="J117">
        <v>0.69201939203123097</v>
      </c>
      <c r="K117">
        <v>0.15317776678527201</v>
      </c>
      <c r="L117" t="s">
        <v>4</v>
      </c>
      <c r="M117">
        <v>1059.83325323706</v>
      </c>
      <c r="N117">
        <v>34.119328363082602</v>
      </c>
      <c r="O117">
        <v>4.9687126303006597</v>
      </c>
      <c r="P117" s="5">
        <v>1.3950285595333199E-31</v>
      </c>
      <c r="Q117" t="s">
        <v>4</v>
      </c>
      <c r="R117" s="4" t="s">
        <v>87</v>
      </c>
      <c r="S117" t="s">
        <v>4</v>
      </c>
      <c r="T117" t="s">
        <v>3420</v>
      </c>
      <c r="U117" t="s">
        <v>3421</v>
      </c>
      <c r="V117" t="s">
        <v>3422</v>
      </c>
      <c r="W117" t="s">
        <v>507</v>
      </c>
      <c r="X117" t="s">
        <v>4</v>
      </c>
      <c r="Y117" t="s">
        <v>3423</v>
      </c>
      <c r="Z117" t="s">
        <v>3424</v>
      </c>
      <c r="AA117" t="s">
        <v>3425</v>
      </c>
      <c r="AB117" t="s">
        <v>4</v>
      </c>
      <c r="AC117" s="3" t="s">
        <v>3426</v>
      </c>
      <c r="AD117" t="s">
        <v>4</v>
      </c>
      <c r="AE117" t="s">
        <v>3427</v>
      </c>
      <c r="AF117" t="s">
        <v>3428</v>
      </c>
      <c r="AG117" t="s">
        <v>3429</v>
      </c>
      <c r="AH117" t="s">
        <v>638</v>
      </c>
      <c r="AK117" t="s">
        <v>3430</v>
      </c>
      <c r="AL117" t="s">
        <v>3431</v>
      </c>
      <c r="AM117" t="s">
        <v>3432</v>
      </c>
      <c r="AO117" t="s">
        <v>3433</v>
      </c>
      <c r="AP117" t="s">
        <v>3434</v>
      </c>
      <c r="AQ117" t="s">
        <v>342</v>
      </c>
      <c r="AU117" t="s">
        <v>112</v>
      </c>
      <c r="AV117" t="s">
        <v>3435</v>
      </c>
      <c r="AW117" t="s">
        <v>114</v>
      </c>
      <c r="AX117" t="s">
        <v>1096</v>
      </c>
      <c r="AY117" t="s">
        <v>3436</v>
      </c>
      <c r="AZ117" t="s">
        <v>4</v>
      </c>
      <c r="BA117" s="3" t="s">
        <v>95</v>
      </c>
      <c r="BB117" t="s">
        <v>96</v>
      </c>
      <c r="BC117" s="3" t="s">
        <v>95</v>
      </c>
      <c r="BD117" t="s">
        <v>4</v>
      </c>
      <c r="BE117">
        <v>8590</v>
      </c>
      <c r="BF117" t="s">
        <v>169</v>
      </c>
      <c r="BG117">
        <v>89.912300000000002</v>
      </c>
      <c r="BH117">
        <v>31.3596</v>
      </c>
      <c r="BI117">
        <v>89.692999999999998</v>
      </c>
      <c r="BJ117">
        <v>26.7544</v>
      </c>
      <c r="BL117">
        <v>61.403500000000001</v>
      </c>
      <c r="BM117">
        <v>47.149099999999997</v>
      </c>
      <c r="BN117">
        <v>68.201800000000006</v>
      </c>
      <c r="BO117">
        <v>77.850899999999996</v>
      </c>
      <c r="BP117">
        <v>52.412300000000002</v>
      </c>
      <c r="BQ117">
        <v>46.052599999999998</v>
      </c>
      <c r="BR117">
        <v>46.491199999999999</v>
      </c>
      <c r="BS117">
        <v>45.3947</v>
      </c>
      <c r="BT117">
        <v>43.8596</v>
      </c>
      <c r="BV117" t="s">
        <v>3437</v>
      </c>
      <c r="BW117">
        <v>39.473700000000001</v>
      </c>
      <c r="BX117">
        <v>43.421100000000003</v>
      </c>
      <c r="BY117">
        <v>26.973700000000001</v>
      </c>
      <c r="BZ117">
        <v>46.052599999999998</v>
      </c>
      <c r="CA117">
        <v>43.421100000000003</v>
      </c>
      <c r="CC117">
        <v>16.447399999999998</v>
      </c>
      <c r="CE117">
        <v>32.8947</v>
      </c>
      <c r="CF117">
        <v>27.631599999999999</v>
      </c>
      <c r="CG117" t="s">
        <v>3438</v>
      </c>
      <c r="CH117" t="s">
        <v>3439</v>
      </c>
      <c r="CI117" t="s">
        <v>3440</v>
      </c>
      <c r="CJ117" t="s">
        <v>3441</v>
      </c>
      <c r="CK117">
        <v>9</v>
      </c>
      <c r="CL117" t="s">
        <v>4</v>
      </c>
      <c r="CM117" t="s">
        <v>3442</v>
      </c>
      <c r="CN117" t="s">
        <v>3443</v>
      </c>
      <c r="CO117" t="s">
        <v>99</v>
      </c>
      <c r="CP117" t="s">
        <v>100</v>
      </c>
      <c r="CQ117">
        <v>116</v>
      </c>
      <c r="CR117" t="s">
        <v>100</v>
      </c>
      <c r="CS117" t="s">
        <v>100</v>
      </c>
      <c r="CT117" t="s">
        <v>152</v>
      </c>
      <c r="CU117" t="s">
        <v>102</v>
      </c>
      <c r="CV117" t="s">
        <v>100</v>
      </c>
    </row>
    <row r="118" spans="1:100">
      <c r="A118" s="3" t="s">
        <v>3444</v>
      </c>
      <c r="B118" s="4" t="s">
        <v>3445</v>
      </c>
      <c r="C118">
        <v>60.1021574288213</v>
      </c>
      <c r="D118">
        <v>489.840374224068</v>
      </c>
      <c r="E118">
        <f>-3.02660750417681</f>
        <v>-3.0266075041768099</v>
      </c>
      <c r="F118" s="5">
        <v>4.0658366077085803E-28</v>
      </c>
      <c r="G118" t="s">
        <v>4</v>
      </c>
      <c r="H118">
        <v>60.1021574288213</v>
      </c>
      <c r="I118">
        <v>86.157526511534101</v>
      </c>
      <c r="J118">
        <f>0.504723787534085</f>
        <v>0.50472378753408498</v>
      </c>
      <c r="K118">
        <v>0.115509913492963</v>
      </c>
      <c r="L118" t="s">
        <v>4</v>
      </c>
      <c r="M118">
        <v>489.840374224068</v>
      </c>
      <c r="N118">
        <v>86.157526511534101</v>
      </c>
      <c r="O118">
        <v>2.5218837166427202</v>
      </c>
      <c r="P118" s="5">
        <v>1.0877922359368599E-19</v>
      </c>
      <c r="Q118" t="s">
        <v>4</v>
      </c>
      <c r="R118" s="4" t="s">
        <v>87</v>
      </c>
      <c r="S118" t="s">
        <v>4</v>
      </c>
      <c r="T118" t="s">
        <v>460</v>
      </c>
      <c r="U118" t="s">
        <v>461</v>
      </c>
      <c r="V118" t="s">
        <v>462</v>
      </c>
      <c r="W118" t="s">
        <v>123</v>
      </c>
      <c r="X118" t="s">
        <v>4</v>
      </c>
      <c r="Y118" t="s">
        <v>463</v>
      </c>
      <c r="Z118" t="s">
        <v>464</v>
      </c>
      <c r="AA118" t="s">
        <v>465</v>
      </c>
      <c r="AB118" t="s">
        <v>4</v>
      </c>
      <c r="AC118" s="3" t="s">
        <v>93</v>
      </c>
      <c r="AD118" t="s">
        <v>4</v>
      </c>
      <c r="AE118" s="4" t="s">
        <v>94</v>
      </c>
      <c r="AZ118" t="s">
        <v>4</v>
      </c>
      <c r="BA118" s="3" t="s">
        <v>95</v>
      </c>
      <c r="BB118" s="6" t="s">
        <v>95</v>
      </c>
      <c r="BC118" s="3" t="s">
        <v>95</v>
      </c>
      <c r="BD118" t="s">
        <v>4</v>
      </c>
      <c r="BE118">
        <v>944</v>
      </c>
      <c r="BF118" t="s">
        <v>604</v>
      </c>
      <c r="BG118">
        <v>53.2258</v>
      </c>
      <c r="CK118">
        <v>1.5</v>
      </c>
      <c r="CL118" t="s">
        <v>4</v>
      </c>
      <c r="CM118" t="s">
        <v>98</v>
      </c>
      <c r="CN118" t="s">
        <v>98</v>
      </c>
      <c r="CO118" t="s">
        <v>99</v>
      </c>
      <c r="CP118" t="s">
        <v>100</v>
      </c>
      <c r="CQ118">
        <v>117</v>
      </c>
      <c r="CR118" t="s">
        <v>100</v>
      </c>
      <c r="CS118" t="s">
        <v>100</v>
      </c>
      <c r="CT118" t="s">
        <v>152</v>
      </c>
      <c r="CU118" t="s">
        <v>102</v>
      </c>
      <c r="CV118" t="s">
        <v>100</v>
      </c>
    </row>
    <row r="119" spans="1:100">
      <c r="A119" s="3" t="s">
        <v>3446</v>
      </c>
      <c r="B119" s="4" t="s">
        <v>3447</v>
      </c>
      <c r="C119">
        <v>41.816595430989402</v>
      </c>
      <c r="D119">
        <v>205.464156555258</v>
      </c>
      <c r="E119">
        <f>-2.29696120013131</f>
        <v>-2.2969612001313102</v>
      </c>
      <c r="F119" s="5">
        <v>4.8875383038756897E-6</v>
      </c>
      <c r="G119" t="s">
        <v>4</v>
      </c>
      <c r="H119">
        <v>41.816595430989402</v>
      </c>
      <c r="I119">
        <v>13.983221415065101</v>
      </c>
      <c r="J119">
        <v>1.5643078224432501</v>
      </c>
      <c r="K119">
        <v>6.9307165042912901E-3</v>
      </c>
      <c r="L119" t="s">
        <v>4</v>
      </c>
      <c r="M119">
        <v>205.464156555258</v>
      </c>
      <c r="N119">
        <v>13.983221415065101</v>
      </c>
      <c r="O119">
        <v>3.8612690225745601</v>
      </c>
      <c r="P119" s="5">
        <v>6.9654801377169695E-13</v>
      </c>
      <c r="Q119" t="s">
        <v>4</v>
      </c>
      <c r="R119" s="4" t="s">
        <v>87</v>
      </c>
      <c r="S119" t="s">
        <v>4</v>
      </c>
      <c r="T119" t="s">
        <v>92</v>
      </c>
      <c r="U119" t="s">
        <v>92</v>
      </c>
      <c r="V119" t="s">
        <v>92</v>
      </c>
      <c r="W119" t="s">
        <v>92</v>
      </c>
      <c r="X119" t="s">
        <v>4</v>
      </c>
      <c r="Y119" t="s">
        <v>92</v>
      </c>
      <c r="Z119" t="s">
        <v>92</v>
      </c>
      <c r="AA119" t="s">
        <v>92</v>
      </c>
      <c r="AB119" t="s">
        <v>4</v>
      </c>
      <c r="AC119" s="3" t="s">
        <v>93</v>
      </c>
      <c r="AD119" t="s">
        <v>4</v>
      </c>
      <c r="AE119" t="s">
        <v>3190</v>
      </c>
      <c r="AF119" t="s">
        <v>3448</v>
      </c>
      <c r="AG119" t="s">
        <v>3449</v>
      </c>
      <c r="AH119" t="s">
        <v>112</v>
      </c>
      <c r="AJ119" t="s">
        <v>3193</v>
      </c>
      <c r="AK119" t="s">
        <v>3194</v>
      </c>
      <c r="AL119" t="s">
        <v>3195</v>
      </c>
      <c r="AM119" t="s">
        <v>3196</v>
      </c>
      <c r="AQ119" t="s">
        <v>3197</v>
      </c>
      <c r="AU119" t="s">
        <v>112</v>
      </c>
      <c r="AV119" t="s">
        <v>3198</v>
      </c>
      <c r="AW119" t="s">
        <v>114</v>
      </c>
      <c r="AX119" t="s">
        <v>2157</v>
      </c>
      <c r="AY119" t="s">
        <v>3199</v>
      </c>
      <c r="AZ119" t="s">
        <v>4</v>
      </c>
      <c r="BA119" s="3" t="s">
        <v>115</v>
      </c>
      <c r="BB119" s="6" t="s">
        <v>95</v>
      </c>
      <c r="BC119" s="3" t="s">
        <v>95</v>
      </c>
      <c r="BD119" t="s">
        <v>4</v>
      </c>
      <c r="BE119">
        <v>946</v>
      </c>
      <c r="BF119" t="s">
        <v>604</v>
      </c>
      <c r="BG119">
        <v>62.7273</v>
      </c>
      <c r="CK119">
        <v>1.5</v>
      </c>
      <c r="CL119" t="s">
        <v>4</v>
      </c>
      <c r="CM119" t="s">
        <v>98</v>
      </c>
      <c r="CN119" t="s">
        <v>98</v>
      </c>
      <c r="CO119" t="s">
        <v>99</v>
      </c>
      <c r="CP119" t="s">
        <v>100</v>
      </c>
      <c r="CQ119">
        <v>118</v>
      </c>
      <c r="CR119" t="s">
        <v>100</v>
      </c>
      <c r="CS119" s="7" t="s">
        <v>101</v>
      </c>
      <c r="CT119" t="s">
        <v>152</v>
      </c>
      <c r="CU119" t="s">
        <v>102</v>
      </c>
      <c r="CV119" t="s">
        <v>100</v>
      </c>
    </row>
    <row r="120" spans="1:100">
      <c r="A120" s="3" t="s">
        <v>3450</v>
      </c>
      <c r="B120" s="4" t="s">
        <v>3451</v>
      </c>
      <c r="C120">
        <v>16.748889965775099</v>
      </c>
      <c r="D120">
        <v>113.67965546141301</v>
      </c>
      <c r="E120">
        <f>-2.75425238216183</f>
        <v>-2.7542523821618299</v>
      </c>
      <c r="F120">
        <v>1.27772149895944E-4</v>
      </c>
      <c r="G120" t="s">
        <v>4</v>
      </c>
      <c r="H120">
        <v>16.748889965775099</v>
      </c>
      <c r="I120">
        <v>5.4089452673826797</v>
      </c>
      <c r="J120">
        <v>1.5675602466701699</v>
      </c>
      <c r="K120">
        <v>6.9252250734980703E-2</v>
      </c>
      <c r="L120" t="s">
        <v>4</v>
      </c>
      <c r="M120">
        <v>113.67965546141301</v>
      </c>
      <c r="N120">
        <v>5.4089452673826797</v>
      </c>
      <c r="O120">
        <v>4.3218126288320002</v>
      </c>
      <c r="P120" s="5">
        <v>3.86423461182297E-8</v>
      </c>
      <c r="Q120" t="s">
        <v>4</v>
      </c>
      <c r="R120" s="4" t="s">
        <v>87</v>
      </c>
      <c r="S120" t="s">
        <v>4</v>
      </c>
      <c r="T120" t="s">
        <v>92</v>
      </c>
      <c r="U120" t="s">
        <v>92</v>
      </c>
      <c r="V120" t="s">
        <v>92</v>
      </c>
      <c r="W120" t="s">
        <v>92</v>
      </c>
      <c r="X120" t="s">
        <v>4</v>
      </c>
      <c r="Y120" t="s">
        <v>92</v>
      </c>
      <c r="Z120" t="s">
        <v>92</v>
      </c>
      <c r="AA120" t="s">
        <v>92</v>
      </c>
      <c r="AB120" t="s">
        <v>4</v>
      </c>
      <c r="AC120" s="3" t="s">
        <v>93</v>
      </c>
      <c r="AD120" t="s">
        <v>4</v>
      </c>
      <c r="AE120" s="4" t="s">
        <v>94</v>
      </c>
      <c r="AZ120" t="s">
        <v>4</v>
      </c>
      <c r="BA120" s="3" t="s">
        <v>95</v>
      </c>
      <c r="BB120" s="6" t="s">
        <v>95</v>
      </c>
      <c r="BC120" s="3" t="s">
        <v>95</v>
      </c>
      <c r="BD120" t="s">
        <v>4</v>
      </c>
      <c r="BE120">
        <v>950</v>
      </c>
      <c r="BF120" t="s">
        <v>604</v>
      </c>
      <c r="BG120">
        <v>94.318200000000004</v>
      </c>
      <c r="CK120">
        <v>1.5</v>
      </c>
      <c r="CL120" t="s">
        <v>4</v>
      </c>
      <c r="CM120" t="s">
        <v>98</v>
      </c>
      <c r="CN120" t="s">
        <v>98</v>
      </c>
      <c r="CO120" t="s">
        <v>99</v>
      </c>
      <c r="CP120" t="s">
        <v>100</v>
      </c>
      <c r="CQ120">
        <v>119</v>
      </c>
      <c r="CR120" t="s">
        <v>100</v>
      </c>
      <c r="CS120" t="s">
        <v>100</v>
      </c>
      <c r="CT120" t="s">
        <v>152</v>
      </c>
      <c r="CU120" t="s">
        <v>102</v>
      </c>
      <c r="CV120" t="s">
        <v>100</v>
      </c>
    </row>
    <row r="121" spans="1:100">
      <c r="A121" s="3" t="s">
        <v>3452</v>
      </c>
      <c r="B121" s="4" t="s">
        <v>3453</v>
      </c>
      <c r="C121">
        <v>20.9853149298646</v>
      </c>
      <c r="D121">
        <v>207.87113409173301</v>
      </c>
      <c r="E121">
        <f>-3.31752800625382</f>
        <v>-3.3175280062538199</v>
      </c>
      <c r="F121" s="5">
        <v>1.2730601009465401E-9</v>
      </c>
      <c r="G121" t="s">
        <v>4</v>
      </c>
      <c r="H121">
        <v>20.9853149298646</v>
      </c>
      <c r="I121">
        <v>13.6536995861166</v>
      </c>
      <c r="J121">
        <v>0.56520986342565604</v>
      </c>
      <c r="K121">
        <v>0.39895809411363897</v>
      </c>
      <c r="L121" t="s">
        <v>4</v>
      </c>
      <c r="M121">
        <v>207.87113409173301</v>
      </c>
      <c r="N121">
        <v>13.6536995861166</v>
      </c>
      <c r="O121">
        <v>3.8827378696794699</v>
      </c>
      <c r="P121" s="5">
        <v>1.3373368241332999E-11</v>
      </c>
      <c r="Q121" t="s">
        <v>4</v>
      </c>
      <c r="R121" s="4" t="s">
        <v>87</v>
      </c>
      <c r="S121" t="s">
        <v>4</v>
      </c>
      <c r="T121" t="s">
        <v>92</v>
      </c>
      <c r="U121" t="s">
        <v>92</v>
      </c>
      <c r="V121" t="s">
        <v>92</v>
      </c>
      <c r="W121" t="s">
        <v>92</v>
      </c>
      <c r="X121" t="s">
        <v>4</v>
      </c>
      <c r="Y121" t="s">
        <v>92</v>
      </c>
      <c r="Z121" t="s">
        <v>92</v>
      </c>
      <c r="AA121" t="s">
        <v>92</v>
      </c>
      <c r="AB121" t="s">
        <v>4</v>
      </c>
      <c r="AC121" s="3" t="s">
        <v>93</v>
      </c>
      <c r="AD121" t="s">
        <v>4</v>
      </c>
      <c r="AE121" s="4" t="s">
        <v>94</v>
      </c>
      <c r="AZ121" t="s">
        <v>4</v>
      </c>
      <c r="BA121" s="3" t="s">
        <v>95</v>
      </c>
      <c r="BB121" s="6" t="s">
        <v>95</v>
      </c>
      <c r="BC121" s="3" t="s">
        <v>95</v>
      </c>
      <c r="BD121" t="s">
        <v>4</v>
      </c>
      <c r="BE121">
        <v>690</v>
      </c>
      <c r="BF121" t="s">
        <v>322</v>
      </c>
      <c r="CK121">
        <v>1</v>
      </c>
      <c r="CL121" t="s">
        <v>4</v>
      </c>
      <c r="CM121" t="s">
        <v>98</v>
      </c>
      <c r="CN121" t="s">
        <v>98</v>
      </c>
      <c r="CO121" t="s">
        <v>99</v>
      </c>
      <c r="CP121" t="s">
        <v>100</v>
      </c>
      <c r="CQ121">
        <v>120</v>
      </c>
      <c r="CR121" t="s">
        <v>100</v>
      </c>
      <c r="CS121" t="s">
        <v>100</v>
      </c>
      <c r="CT121" t="s">
        <v>152</v>
      </c>
      <c r="CU121" t="s">
        <v>102</v>
      </c>
      <c r="CV121" t="s">
        <v>100</v>
      </c>
    </row>
    <row r="122" spans="1:100">
      <c r="A122" s="3" t="s">
        <v>3454</v>
      </c>
      <c r="B122" s="4" t="s">
        <v>3455</v>
      </c>
      <c r="C122">
        <v>8.07079492060444</v>
      </c>
      <c r="D122">
        <v>89.718200850574405</v>
      </c>
      <c r="E122">
        <f>-3.4676190120142</f>
        <v>-3.4676190120141999</v>
      </c>
      <c r="F122">
        <v>2.7407111413206E-4</v>
      </c>
      <c r="G122" t="s">
        <v>4</v>
      </c>
      <c r="H122">
        <v>8.07079492060444</v>
      </c>
      <c r="I122">
        <v>1.7572136029766501</v>
      </c>
      <c r="J122">
        <v>2.4390537115779001</v>
      </c>
      <c r="K122">
        <v>6.3662938127263105E-2</v>
      </c>
      <c r="L122" t="s">
        <v>4</v>
      </c>
      <c r="M122">
        <v>89.718200850574405</v>
      </c>
      <c r="N122">
        <v>1.7572136029766501</v>
      </c>
      <c r="O122">
        <v>5.9066727235921004</v>
      </c>
      <c r="P122" s="5">
        <v>9.7695615735572696E-7</v>
      </c>
      <c r="Q122" t="s">
        <v>4</v>
      </c>
      <c r="R122" s="4" t="s">
        <v>87</v>
      </c>
      <c r="S122" t="s">
        <v>4</v>
      </c>
      <c r="T122" t="s">
        <v>92</v>
      </c>
      <c r="U122" t="s">
        <v>92</v>
      </c>
      <c r="V122" t="s">
        <v>92</v>
      </c>
      <c r="W122" t="s">
        <v>92</v>
      </c>
      <c r="X122" t="s">
        <v>4</v>
      </c>
      <c r="Y122" t="s">
        <v>92</v>
      </c>
      <c r="Z122" t="s">
        <v>92</v>
      </c>
      <c r="AA122" t="s">
        <v>92</v>
      </c>
      <c r="AB122" t="s">
        <v>4</v>
      </c>
      <c r="AC122" s="3" t="s">
        <v>93</v>
      </c>
      <c r="AD122" t="s">
        <v>4</v>
      </c>
      <c r="AE122" s="4" t="s">
        <v>94</v>
      </c>
      <c r="AZ122" t="s">
        <v>4</v>
      </c>
      <c r="BA122" s="3" t="s">
        <v>95</v>
      </c>
      <c r="BB122" s="6" t="s">
        <v>95</v>
      </c>
      <c r="BC122" s="3" t="s">
        <v>197</v>
      </c>
      <c r="BD122" t="s">
        <v>4</v>
      </c>
      <c r="BE122">
        <v>951</v>
      </c>
      <c r="BF122" t="s">
        <v>604</v>
      </c>
      <c r="BG122">
        <v>100</v>
      </c>
      <c r="BH122">
        <v>100</v>
      </c>
      <c r="CK122">
        <v>1.5</v>
      </c>
      <c r="CL122" t="s">
        <v>4</v>
      </c>
      <c r="CM122" t="s">
        <v>98</v>
      </c>
      <c r="CN122" t="s">
        <v>98</v>
      </c>
      <c r="CO122" t="s">
        <v>99</v>
      </c>
      <c r="CP122" t="s">
        <v>100</v>
      </c>
      <c r="CQ122">
        <v>121</v>
      </c>
      <c r="CR122" t="s">
        <v>100</v>
      </c>
      <c r="CS122" t="s">
        <v>100</v>
      </c>
      <c r="CT122" t="s">
        <v>152</v>
      </c>
      <c r="CU122" t="s">
        <v>102</v>
      </c>
      <c r="CV122" t="s">
        <v>100</v>
      </c>
    </row>
    <row r="123" spans="1:100">
      <c r="A123" s="3" t="s">
        <v>3456</v>
      </c>
      <c r="B123" s="4" t="s">
        <v>3457</v>
      </c>
      <c r="C123">
        <v>93.462444295760704</v>
      </c>
      <c r="D123">
        <v>1876.1585108204699</v>
      </c>
      <c r="E123">
        <f>-4.32423243125139</f>
        <v>-4.3242324312513896</v>
      </c>
      <c r="F123" s="5">
        <v>5.3492307429205297E-29</v>
      </c>
      <c r="G123" t="s">
        <v>4</v>
      </c>
      <c r="H123">
        <v>93.462444295760704</v>
      </c>
      <c r="I123">
        <v>84.749959939177202</v>
      </c>
      <c r="J123">
        <v>0.14019016614526</v>
      </c>
      <c r="K123">
        <v>0.76982654757102598</v>
      </c>
      <c r="L123" t="s">
        <v>4</v>
      </c>
      <c r="M123">
        <v>1876.1585108204699</v>
      </c>
      <c r="N123">
        <v>84.749959939177202</v>
      </c>
      <c r="O123">
        <v>4.4644225973966503</v>
      </c>
      <c r="P123" s="5">
        <v>1.7202824581970801E-30</v>
      </c>
      <c r="Q123" t="s">
        <v>4</v>
      </c>
      <c r="R123" s="4" t="s">
        <v>87</v>
      </c>
      <c r="S123" t="s">
        <v>4</v>
      </c>
      <c r="T123" t="s">
        <v>92</v>
      </c>
      <c r="U123" t="s">
        <v>92</v>
      </c>
      <c r="V123" t="s">
        <v>92</v>
      </c>
      <c r="W123" t="s">
        <v>92</v>
      </c>
      <c r="X123" t="s">
        <v>4</v>
      </c>
      <c r="Y123" t="s">
        <v>92</v>
      </c>
      <c r="Z123" t="s">
        <v>92</v>
      </c>
      <c r="AA123" t="s">
        <v>92</v>
      </c>
      <c r="AB123" t="s">
        <v>4</v>
      </c>
      <c r="AC123" s="3" t="s">
        <v>93</v>
      </c>
      <c r="AD123" t="s">
        <v>4</v>
      </c>
      <c r="AE123" t="s">
        <v>3458</v>
      </c>
      <c r="AF123" t="s">
        <v>3459</v>
      </c>
      <c r="AG123" t="s">
        <v>3460</v>
      </c>
      <c r="AH123" t="s">
        <v>112</v>
      </c>
      <c r="AJ123" t="s">
        <v>3461</v>
      </c>
      <c r="AU123" t="s">
        <v>112</v>
      </c>
      <c r="AV123" t="s">
        <v>3462</v>
      </c>
      <c r="AW123" t="s">
        <v>114</v>
      </c>
      <c r="AX123" t="s">
        <v>132</v>
      </c>
      <c r="AY123" t="s">
        <v>3463</v>
      </c>
      <c r="AZ123" t="s">
        <v>4</v>
      </c>
      <c r="BA123" s="3" t="s">
        <v>95</v>
      </c>
      <c r="BB123" s="6" t="s">
        <v>95</v>
      </c>
      <c r="BC123" s="3" t="s">
        <v>95</v>
      </c>
      <c r="BD123" t="s">
        <v>4</v>
      </c>
      <c r="BE123">
        <v>1752</v>
      </c>
      <c r="BF123" t="s">
        <v>151</v>
      </c>
      <c r="BI123">
        <v>58.285699999999999</v>
      </c>
      <c r="CK123">
        <v>2</v>
      </c>
      <c r="CL123" t="s">
        <v>4</v>
      </c>
      <c r="CM123" t="s">
        <v>98</v>
      </c>
      <c r="CN123" t="s">
        <v>98</v>
      </c>
      <c r="CO123" t="s">
        <v>99</v>
      </c>
      <c r="CP123" t="s">
        <v>100</v>
      </c>
      <c r="CQ123">
        <v>122</v>
      </c>
      <c r="CR123" t="s">
        <v>100</v>
      </c>
      <c r="CS123" t="s">
        <v>100</v>
      </c>
      <c r="CT123" t="s">
        <v>152</v>
      </c>
      <c r="CU123" t="s">
        <v>102</v>
      </c>
      <c r="CV123" t="s">
        <v>100</v>
      </c>
    </row>
    <row r="124" spans="1:100">
      <c r="A124" s="3" t="s">
        <v>3464</v>
      </c>
      <c r="B124" s="4" t="s">
        <v>3465</v>
      </c>
      <c r="C124">
        <v>5.3689844380495302</v>
      </c>
      <c r="D124">
        <v>93.130500098609104</v>
      </c>
      <c r="E124">
        <f>-4.09580004766657</f>
        <v>-4.0958000476665699</v>
      </c>
      <c r="F124" s="5">
        <v>4.2852771761448097E-14</v>
      </c>
      <c r="G124" t="s">
        <v>4</v>
      </c>
      <c r="H124">
        <v>5.3689844380495302</v>
      </c>
      <c r="I124">
        <v>7.8401943760711799</v>
      </c>
      <c r="J124">
        <f>0.56754979949076</f>
        <v>0.56754979949076001</v>
      </c>
      <c r="K124">
        <v>0.43026547636116502</v>
      </c>
      <c r="L124" t="s">
        <v>4</v>
      </c>
      <c r="M124">
        <v>93.130500098609104</v>
      </c>
      <c r="N124">
        <v>7.8401943760711799</v>
      </c>
      <c r="O124">
        <v>3.52825024817581</v>
      </c>
      <c r="P124" s="5">
        <v>2.4382119407743599E-10</v>
      </c>
      <c r="Q124" t="s">
        <v>4</v>
      </c>
      <c r="R124" s="4" t="s">
        <v>87</v>
      </c>
      <c r="S124" t="s">
        <v>4</v>
      </c>
      <c r="T124" t="s">
        <v>92</v>
      </c>
      <c r="U124" t="s">
        <v>92</v>
      </c>
      <c r="V124" t="s">
        <v>92</v>
      </c>
      <c r="W124" t="s">
        <v>92</v>
      </c>
      <c r="X124" t="s">
        <v>4</v>
      </c>
      <c r="Y124" t="s">
        <v>3466</v>
      </c>
      <c r="Z124" t="s">
        <v>3467</v>
      </c>
      <c r="AA124" t="s">
        <v>3468</v>
      </c>
      <c r="AB124" t="s">
        <v>4</v>
      </c>
      <c r="AC124" s="3" t="s">
        <v>93</v>
      </c>
      <c r="AD124" t="s">
        <v>4</v>
      </c>
      <c r="AE124" s="4" t="s">
        <v>94</v>
      </c>
      <c r="AZ124" t="s">
        <v>4</v>
      </c>
      <c r="BA124" s="3" t="s">
        <v>95</v>
      </c>
      <c r="BB124" s="6" t="s">
        <v>95</v>
      </c>
      <c r="BC124" s="3" t="s">
        <v>95</v>
      </c>
      <c r="BD124" t="s">
        <v>4</v>
      </c>
      <c r="BE124">
        <v>3105</v>
      </c>
      <c r="BF124" t="s">
        <v>97</v>
      </c>
      <c r="BG124">
        <v>33.813000000000002</v>
      </c>
      <c r="BI124">
        <v>64.028800000000004</v>
      </c>
      <c r="BL124">
        <v>37.4101</v>
      </c>
      <c r="BM124">
        <v>58.992800000000003</v>
      </c>
      <c r="BN124">
        <v>58.273400000000002</v>
      </c>
      <c r="BO124">
        <v>55.395699999999998</v>
      </c>
      <c r="BP124">
        <v>26.6187</v>
      </c>
      <c r="CK124">
        <v>4</v>
      </c>
      <c r="CL124" t="s">
        <v>4</v>
      </c>
      <c r="CM124" t="s">
        <v>98</v>
      </c>
      <c r="CN124" t="s">
        <v>98</v>
      </c>
      <c r="CO124" t="s">
        <v>99</v>
      </c>
      <c r="CP124" t="s">
        <v>100</v>
      </c>
      <c r="CQ124">
        <v>123</v>
      </c>
      <c r="CR124" t="s">
        <v>100</v>
      </c>
      <c r="CS124" t="s">
        <v>100</v>
      </c>
      <c r="CT124" t="s">
        <v>152</v>
      </c>
      <c r="CU124" t="s">
        <v>102</v>
      </c>
      <c r="CV124" t="s">
        <v>100</v>
      </c>
    </row>
    <row r="125" spans="1:100">
      <c r="A125" s="3" t="s">
        <v>3469</v>
      </c>
      <c r="B125" s="4" t="s">
        <v>3470</v>
      </c>
      <c r="C125">
        <v>10.828766281712999</v>
      </c>
      <c r="D125">
        <v>92.564535890065301</v>
      </c>
      <c r="E125">
        <f>-3.10271686174669</f>
        <v>-3.10271686174669</v>
      </c>
      <c r="F125" s="5">
        <v>3.6803818226932701E-5</v>
      </c>
      <c r="G125" t="s">
        <v>4</v>
      </c>
      <c r="H125">
        <v>10.828766281712999</v>
      </c>
      <c r="I125">
        <v>3.6698495236025601</v>
      </c>
      <c r="J125">
        <v>1.39247447995247</v>
      </c>
      <c r="K125">
        <v>0.14270756192714901</v>
      </c>
      <c r="L125" t="s">
        <v>4</v>
      </c>
      <c r="M125">
        <v>92.564535890065301</v>
      </c>
      <c r="N125">
        <v>3.6698495236025601</v>
      </c>
      <c r="O125">
        <v>4.4951913416991696</v>
      </c>
      <c r="P125" s="5">
        <v>1.19017864144313E-7</v>
      </c>
      <c r="Q125" t="s">
        <v>4</v>
      </c>
      <c r="R125" s="4" t="s">
        <v>87</v>
      </c>
      <c r="S125" t="s">
        <v>4</v>
      </c>
      <c r="T125" t="s">
        <v>92</v>
      </c>
      <c r="U125" t="s">
        <v>92</v>
      </c>
      <c r="V125" t="s">
        <v>92</v>
      </c>
      <c r="W125" t="s">
        <v>92</v>
      </c>
      <c r="X125" t="s">
        <v>4</v>
      </c>
      <c r="Y125" t="s">
        <v>92</v>
      </c>
      <c r="Z125" t="s">
        <v>92</v>
      </c>
      <c r="AA125" t="s">
        <v>92</v>
      </c>
      <c r="AB125" t="s">
        <v>4</v>
      </c>
      <c r="AC125" s="3" t="s">
        <v>93</v>
      </c>
      <c r="AD125" t="s">
        <v>4</v>
      </c>
      <c r="AE125" t="s">
        <v>3471</v>
      </c>
      <c r="AF125" t="s">
        <v>3472</v>
      </c>
      <c r="AG125" t="s">
        <v>3473</v>
      </c>
      <c r="AH125" t="s">
        <v>112</v>
      </c>
      <c r="AU125" t="s">
        <v>112</v>
      </c>
      <c r="AV125" t="s">
        <v>3474</v>
      </c>
      <c r="AW125" t="s">
        <v>114</v>
      </c>
      <c r="AZ125" t="s">
        <v>4</v>
      </c>
      <c r="BA125" s="3" t="s">
        <v>95</v>
      </c>
      <c r="BB125" s="6" t="s">
        <v>95</v>
      </c>
      <c r="BC125" s="3" t="s">
        <v>95</v>
      </c>
      <c r="BD125" t="s">
        <v>4</v>
      </c>
      <c r="BE125">
        <v>4718</v>
      </c>
      <c r="BF125" t="s">
        <v>112</v>
      </c>
      <c r="BG125">
        <v>54.609900000000003</v>
      </c>
      <c r="BI125">
        <v>63.829799999999999</v>
      </c>
      <c r="BJ125">
        <v>55.319099999999999</v>
      </c>
      <c r="BK125">
        <v>48.226999999999997</v>
      </c>
      <c r="BL125">
        <v>46.808500000000002</v>
      </c>
      <c r="BN125">
        <v>56.028399999999998</v>
      </c>
      <c r="BO125">
        <v>47.517699999999998</v>
      </c>
      <c r="BP125">
        <v>35.460999999999999</v>
      </c>
      <c r="BR125">
        <v>29.787199999999999</v>
      </c>
      <c r="BW125">
        <v>31.914899999999999</v>
      </c>
      <c r="BX125">
        <v>31.2057</v>
      </c>
      <c r="BY125">
        <v>32.624099999999999</v>
      </c>
      <c r="CA125">
        <v>30.496500000000001</v>
      </c>
      <c r="CK125">
        <v>5</v>
      </c>
      <c r="CL125" t="s">
        <v>4</v>
      </c>
      <c r="CM125" t="s">
        <v>3475</v>
      </c>
      <c r="CN125" t="s">
        <v>3476</v>
      </c>
      <c r="CO125" t="s">
        <v>663</v>
      </c>
      <c r="CP125" t="s">
        <v>100</v>
      </c>
      <c r="CQ125">
        <v>124</v>
      </c>
      <c r="CR125" t="s">
        <v>100</v>
      </c>
      <c r="CS125" t="s">
        <v>100</v>
      </c>
      <c r="CT125" t="s">
        <v>152</v>
      </c>
      <c r="CU125" t="s">
        <v>102</v>
      </c>
      <c r="CV125" t="s">
        <v>100</v>
      </c>
    </row>
    <row r="126" spans="1:100">
      <c r="A126" s="3" t="s">
        <v>3477</v>
      </c>
      <c r="B126" s="4" t="s">
        <v>3478</v>
      </c>
      <c r="C126">
        <v>15.363577303202</v>
      </c>
      <c r="D126">
        <v>93.588374997269597</v>
      </c>
      <c r="E126">
        <f>-2.60083394152575</f>
        <v>-2.60083394152575</v>
      </c>
      <c r="F126">
        <v>9.8618531875528507E-4</v>
      </c>
      <c r="G126" t="s">
        <v>4</v>
      </c>
      <c r="H126">
        <v>15.363577303202</v>
      </c>
      <c r="I126">
        <v>6.8785654481137</v>
      </c>
      <c r="J126">
        <v>1.13712938451121</v>
      </c>
      <c r="K126">
        <v>0.21292360893690901</v>
      </c>
      <c r="L126" t="s">
        <v>4</v>
      </c>
      <c r="M126">
        <v>93.588374997269597</v>
      </c>
      <c r="N126">
        <v>6.8785654481137</v>
      </c>
      <c r="O126">
        <v>3.7379633260369598</v>
      </c>
      <c r="P126" s="5">
        <v>5.3137582503463101E-6</v>
      </c>
      <c r="Q126" t="s">
        <v>4</v>
      </c>
      <c r="R126" s="4" t="s">
        <v>87</v>
      </c>
      <c r="S126" t="s">
        <v>4</v>
      </c>
      <c r="T126" t="s">
        <v>88</v>
      </c>
      <c r="U126" t="s">
        <v>89</v>
      </c>
      <c r="V126" t="s">
        <v>90</v>
      </c>
      <c r="W126" t="s">
        <v>91</v>
      </c>
      <c r="X126" t="s">
        <v>4</v>
      </c>
      <c r="Y126" t="s">
        <v>3479</v>
      </c>
      <c r="Z126" t="s">
        <v>3480</v>
      </c>
      <c r="AA126" t="s">
        <v>3481</v>
      </c>
      <c r="AB126" t="s">
        <v>4</v>
      </c>
      <c r="AC126" s="3" t="s">
        <v>93</v>
      </c>
      <c r="AD126" t="s">
        <v>4</v>
      </c>
      <c r="AE126" s="4" t="s">
        <v>94</v>
      </c>
      <c r="AZ126" t="s">
        <v>4</v>
      </c>
      <c r="BA126" s="3" t="s">
        <v>95</v>
      </c>
      <c r="BB126" t="s">
        <v>96</v>
      </c>
      <c r="BC126" s="3" t="s">
        <v>95</v>
      </c>
      <c r="BD126" t="s">
        <v>4</v>
      </c>
      <c r="BE126">
        <v>1757</v>
      </c>
      <c r="BF126" t="s">
        <v>151</v>
      </c>
      <c r="BL126" t="s">
        <v>3482</v>
      </c>
      <c r="CK126">
        <v>2</v>
      </c>
      <c r="CL126" t="s">
        <v>4</v>
      </c>
      <c r="CM126" t="s">
        <v>98</v>
      </c>
      <c r="CN126" t="s">
        <v>98</v>
      </c>
      <c r="CO126" t="s">
        <v>99</v>
      </c>
      <c r="CP126" t="s">
        <v>100</v>
      </c>
      <c r="CQ126">
        <v>125</v>
      </c>
      <c r="CR126" t="s">
        <v>100</v>
      </c>
      <c r="CS126" t="s">
        <v>100</v>
      </c>
      <c r="CT126" t="s">
        <v>152</v>
      </c>
      <c r="CU126" t="s">
        <v>102</v>
      </c>
      <c r="CV126" t="s">
        <v>100</v>
      </c>
    </row>
    <row r="127" spans="1:100">
      <c r="A127" s="3" t="s">
        <v>3483</v>
      </c>
      <c r="B127" s="4" t="s">
        <v>3484</v>
      </c>
      <c r="C127">
        <v>36.391118589923899</v>
      </c>
      <c r="D127">
        <v>722.24961118587396</v>
      </c>
      <c r="E127">
        <f>-4.30449163990602</f>
        <v>-4.3044916399060202</v>
      </c>
      <c r="F127" s="5">
        <v>4.2437286282626697E-22</v>
      </c>
      <c r="G127" t="s">
        <v>4</v>
      </c>
      <c r="H127">
        <v>36.391118589923899</v>
      </c>
      <c r="I127">
        <v>12.2562042440826</v>
      </c>
      <c r="J127">
        <v>1.5496861794002601</v>
      </c>
      <c r="K127">
        <v>5.3790315955602897E-3</v>
      </c>
      <c r="L127" t="s">
        <v>4</v>
      </c>
      <c r="M127">
        <v>722.24961118587396</v>
      </c>
      <c r="N127">
        <v>12.2562042440826</v>
      </c>
      <c r="O127">
        <v>5.8541778193062903</v>
      </c>
      <c r="P127" s="5">
        <v>6.6088290336605301E-31</v>
      </c>
      <c r="Q127" t="s">
        <v>4</v>
      </c>
      <c r="R127" s="4" t="s">
        <v>87</v>
      </c>
      <c r="S127" t="s">
        <v>4</v>
      </c>
      <c r="T127" t="s">
        <v>92</v>
      </c>
      <c r="U127" t="s">
        <v>92</v>
      </c>
      <c r="V127" t="s">
        <v>92</v>
      </c>
      <c r="W127" t="s">
        <v>92</v>
      </c>
      <c r="X127" t="s">
        <v>4</v>
      </c>
      <c r="Y127" t="s">
        <v>92</v>
      </c>
      <c r="Z127" t="s">
        <v>92</v>
      </c>
      <c r="AA127" t="s">
        <v>92</v>
      </c>
      <c r="AB127" t="s">
        <v>4</v>
      </c>
      <c r="AC127" s="3" t="s">
        <v>93</v>
      </c>
      <c r="AD127" t="s">
        <v>4</v>
      </c>
      <c r="AE127" s="4" t="s">
        <v>94</v>
      </c>
      <c r="AZ127" t="s">
        <v>4</v>
      </c>
      <c r="BA127" s="3" t="s">
        <v>95</v>
      </c>
      <c r="BB127" s="6" t="s">
        <v>95</v>
      </c>
      <c r="BC127" s="3" t="s">
        <v>95</v>
      </c>
      <c r="BD127" t="s">
        <v>4</v>
      </c>
      <c r="BE127">
        <v>1760</v>
      </c>
      <c r="BF127" t="s">
        <v>151</v>
      </c>
      <c r="CK127">
        <v>2</v>
      </c>
      <c r="CL127" t="s">
        <v>4</v>
      </c>
      <c r="CM127" t="s">
        <v>98</v>
      </c>
      <c r="CN127" t="s">
        <v>98</v>
      </c>
      <c r="CO127" t="s">
        <v>99</v>
      </c>
      <c r="CP127" t="s">
        <v>100</v>
      </c>
      <c r="CQ127">
        <v>126</v>
      </c>
      <c r="CR127" t="s">
        <v>100</v>
      </c>
      <c r="CS127" s="7" t="s">
        <v>101</v>
      </c>
      <c r="CT127" t="s">
        <v>152</v>
      </c>
      <c r="CU127" t="s">
        <v>102</v>
      </c>
      <c r="CV127" t="s">
        <v>100</v>
      </c>
    </row>
    <row r="128" spans="1:100">
      <c r="A128" s="3" t="s">
        <v>3485</v>
      </c>
      <c r="B128" s="4" t="s">
        <v>3486</v>
      </c>
      <c r="C128">
        <v>232.70085237680399</v>
      </c>
      <c r="D128">
        <v>1649.0387278400799</v>
      </c>
      <c r="E128">
        <f>-2.82436207786255</f>
        <v>-2.82436207786255</v>
      </c>
      <c r="F128" s="5">
        <v>9.9296132075685905E-15</v>
      </c>
      <c r="G128" t="s">
        <v>4</v>
      </c>
      <c r="H128">
        <v>232.70085237680399</v>
      </c>
      <c r="I128">
        <v>238.95790476412699</v>
      </c>
      <c r="J128">
        <f>0.0282273200358077</f>
        <v>2.8227320035807701E-2</v>
      </c>
      <c r="K128">
        <v>0.94851296605849</v>
      </c>
      <c r="L128" t="s">
        <v>4</v>
      </c>
      <c r="M128">
        <v>1649.0387278400799</v>
      </c>
      <c r="N128">
        <v>238.95790476412699</v>
      </c>
      <c r="O128">
        <v>2.7961347578267399</v>
      </c>
      <c r="P128" s="5">
        <v>8.0414602177334893E-15</v>
      </c>
      <c r="Q128" t="s">
        <v>4</v>
      </c>
      <c r="R128" s="4" t="s">
        <v>87</v>
      </c>
      <c r="S128" t="s">
        <v>4</v>
      </c>
      <c r="T128" t="s">
        <v>92</v>
      </c>
      <c r="U128" t="s">
        <v>92</v>
      </c>
      <c r="V128" t="s">
        <v>92</v>
      </c>
      <c r="W128" t="s">
        <v>92</v>
      </c>
      <c r="X128" t="s">
        <v>4</v>
      </c>
      <c r="Y128" t="s">
        <v>92</v>
      </c>
      <c r="Z128" t="s">
        <v>92</v>
      </c>
      <c r="AA128" t="s">
        <v>92</v>
      </c>
      <c r="AB128" t="s">
        <v>4</v>
      </c>
      <c r="AC128" s="3" t="s">
        <v>93</v>
      </c>
      <c r="AD128" t="s">
        <v>4</v>
      </c>
      <c r="AE128" s="4" t="s">
        <v>94</v>
      </c>
      <c r="AZ128" t="s">
        <v>4</v>
      </c>
      <c r="BA128" s="3" t="s">
        <v>95</v>
      </c>
      <c r="BB128" s="6" t="s">
        <v>95</v>
      </c>
      <c r="BC128" s="3" t="s">
        <v>197</v>
      </c>
      <c r="BD128" t="s">
        <v>4</v>
      </c>
      <c r="BE128">
        <v>3109</v>
      </c>
      <c r="BF128" t="s">
        <v>97</v>
      </c>
      <c r="BJ128">
        <v>66.666700000000006</v>
      </c>
      <c r="BK128">
        <v>54.726399999999998</v>
      </c>
      <c r="BL128">
        <v>57.213900000000002</v>
      </c>
      <c r="CK128">
        <v>4</v>
      </c>
      <c r="CL128" t="s">
        <v>4</v>
      </c>
      <c r="CM128" t="s">
        <v>98</v>
      </c>
      <c r="CN128" t="s">
        <v>98</v>
      </c>
      <c r="CO128" t="s">
        <v>99</v>
      </c>
      <c r="CP128" t="s">
        <v>100</v>
      </c>
      <c r="CQ128">
        <v>127</v>
      </c>
      <c r="CR128" t="s">
        <v>100</v>
      </c>
      <c r="CS128" t="s">
        <v>100</v>
      </c>
      <c r="CT128" t="s">
        <v>152</v>
      </c>
      <c r="CU128" t="s">
        <v>102</v>
      </c>
      <c r="CV128" t="s">
        <v>100</v>
      </c>
    </row>
    <row r="129" spans="1:100">
      <c r="A129" s="3" t="s">
        <v>3487</v>
      </c>
      <c r="B129" s="8" t="s">
        <v>811</v>
      </c>
      <c r="C129">
        <v>484.41623334562303</v>
      </c>
      <c r="D129">
        <v>9383.0905677178907</v>
      </c>
      <c r="E129">
        <f>-4.27537429771444</f>
        <v>-4.27537429771444</v>
      </c>
      <c r="F129" s="5">
        <v>7.6118219238152993E-15</v>
      </c>
      <c r="G129" t="s">
        <v>4</v>
      </c>
      <c r="H129">
        <v>484.41623334562303</v>
      </c>
      <c r="I129">
        <v>215.308320899389</v>
      </c>
      <c r="J129">
        <v>1.1701673597219</v>
      </c>
      <c r="K129">
        <v>4.6150796408125E-2</v>
      </c>
      <c r="L129" t="s">
        <v>4</v>
      </c>
      <c r="M129">
        <v>9383.0905677178907</v>
      </c>
      <c r="N129">
        <v>215.308320899389</v>
      </c>
      <c r="O129">
        <v>5.4455416574363404</v>
      </c>
      <c r="P129" s="5">
        <v>4.4706495163150503E-24</v>
      </c>
      <c r="Q129" t="s">
        <v>4</v>
      </c>
      <c r="R129" s="4" t="s">
        <v>95</v>
      </c>
      <c r="S129" t="s">
        <v>4</v>
      </c>
      <c r="T129" t="s">
        <v>92</v>
      </c>
      <c r="U129" t="s">
        <v>92</v>
      </c>
      <c r="V129" t="s">
        <v>92</v>
      </c>
      <c r="W129" t="s">
        <v>92</v>
      </c>
      <c r="X129" t="s">
        <v>4</v>
      </c>
      <c r="Y129" t="s">
        <v>92</v>
      </c>
      <c r="Z129" t="s">
        <v>92</v>
      </c>
      <c r="AA129" t="s">
        <v>92</v>
      </c>
      <c r="AB129" t="s">
        <v>4</v>
      </c>
      <c r="AC129" s="3" t="s">
        <v>93</v>
      </c>
      <c r="AD129" t="s">
        <v>4</v>
      </c>
      <c r="AE129" t="s">
        <v>3488</v>
      </c>
      <c r="AF129" t="s">
        <v>3489</v>
      </c>
      <c r="AG129" t="s">
        <v>656</v>
      </c>
      <c r="AH129" t="s">
        <v>638</v>
      </c>
      <c r="AJ129" t="s">
        <v>3490</v>
      </c>
      <c r="AL129" t="s">
        <v>3491</v>
      </c>
      <c r="AQ129" t="s">
        <v>641</v>
      </c>
      <c r="AR129" t="s">
        <v>3492</v>
      </c>
      <c r="AU129" t="s">
        <v>112</v>
      </c>
      <c r="AV129" t="s">
        <v>3493</v>
      </c>
      <c r="AW129" t="s">
        <v>114</v>
      </c>
      <c r="AX129" t="s">
        <v>132</v>
      </c>
      <c r="AY129" t="s">
        <v>3494</v>
      </c>
      <c r="AZ129" t="s">
        <v>4</v>
      </c>
      <c r="BA129" s="3" t="s">
        <v>812</v>
      </c>
      <c r="BB129" s="3" t="s">
        <v>812</v>
      </c>
      <c r="BC129" s="3" t="s">
        <v>812</v>
      </c>
      <c r="BD129" t="s">
        <v>4</v>
      </c>
      <c r="BE129" s="3" t="s">
        <v>812</v>
      </c>
      <c r="BF129" s="3" t="s">
        <v>812</v>
      </c>
      <c r="BG129" s="3" t="s">
        <v>812</v>
      </c>
      <c r="BH129" s="3" t="s">
        <v>812</v>
      </c>
      <c r="BI129" s="3" t="s">
        <v>812</v>
      </c>
      <c r="BJ129" s="3" t="s">
        <v>812</v>
      </c>
      <c r="BK129" s="3" t="s">
        <v>812</v>
      </c>
      <c r="BL129" s="3" t="s">
        <v>812</v>
      </c>
      <c r="BM129" s="3" t="s">
        <v>812</v>
      </c>
      <c r="BN129" s="3" t="s">
        <v>812</v>
      </c>
      <c r="BO129" s="3" t="s">
        <v>812</v>
      </c>
      <c r="BP129" s="3" t="s">
        <v>812</v>
      </c>
      <c r="BQ129" s="3" t="s">
        <v>812</v>
      </c>
      <c r="BR129" s="3" t="s">
        <v>812</v>
      </c>
      <c r="BS129" s="3" t="s">
        <v>812</v>
      </c>
      <c r="BT129" s="3" t="s">
        <v>812</v>
      </c>
      <c r="BU129" s="3" t="s">
        <v>812</v>
      </c>
      <c r="BV129" s="3" t="s">
        <v>812</v>
      </c>
      <c r="BW129" s="3" t="s">
        <v>812</v>
      </c>
      <c r="BX129" s="3" t="s">
        <v>812</v>
      </c>
      <c r="BY129" s="3" t="s">
        <v>812</v>
      </c>
      <c r="BZ129" s="3" t="s">
        <v>812</v>
      </c>
      <c r="CA129" s="3" t="s">
        <v>812</v>
      </c>
      <c r="CB129" s="3" t="s">
        <v>812</v>
      </c>
      <c r="CC129" s="3" t="s">
        <v>812</v>
      </c>
      <c r="CD129" s="3" t="s">
        <v>812</v>
      </c>
      <c r="CE129" s="3" t="s">
        <v>812</v>
      </c>
      <c r="CF129" s="3" t="s">
        <v>812</v>
      </c>
      <c r="CG129" s="3" t="s">
        <v>812</v>
      </c>
      <c r="CH129" s="3" t="s">
        <v>812</v>
      </c>
      <c r="CI129" s="3" t="s">
        <v>812</v>
      </c>
      <c r="CJ129" s="3" t="s">
        <v>812</v>
      </c>
      <c r="CK129" s="3" t="s">
        <v>812</v>
      </c>
      <c r="CL129" t="s">
        <v>4</v>
      </c>
      <c r="CM129" s="3" t="s">
        <v>812</v>
      </c>
      <c r="CN129" s="3" t="s">
        <v>812</v>
      </c>
      <c r="CO129" s="3" t="s">
        <v>812</v>
      </c>
      <c r="CP129" t="s">
        <v>100</v>
      </c>
      <c r="CQ129">
        <v>128</v>
      </c>
      <c r="CR129" t="s">
        <v>100</v>
      </c>
      <c r="CS129" s="7" t="s">
        <v>101</v>
      </c>
      <c r="CT129" t="s">
        <v>152</v>
      </c>
      <c r="CU129" t="s">
        <v>102</v>
      </c>
      <c r="CV129" t="s">
        <v>100</v>
      </c>
    </row>
    <row r="130" spans="1:100">
      <c r="A130" s="3" t="s">
        <v>3495</v>
      </c>
      <c r="B130" s="4" t="s">
        <v>3496</v>
      </c>
      <c r="C130">
        <v>252.72986245892901</v>
      </c>
      <c r="D130">
        <v>1089.72017290195</v>
      </c>
      <c r="E130">
        <f>-2.10818353155664</f>
        <v>-2.10818353155664</v>
      </c>
      <c r="F130" s="5">
        <v>2.4538907003896999E-10</v>
      </c>
      <c r="G130" t="s">
        <v>4</v>
      </c>
      <c r="H130">
        <v>252.72986245892901</v>
      </c>
      <c r="I130">
        <v>52.294129871707099</v>
      </c>
      <c r="J130">
        <v>2.2339606608174498</v>
      </c>
      <c r="K130" s="5">
        <v>3.4796886201707499E-10</v>
      </c>
      <c r="L130" t="s">
        <v>4</v>
      </c>
      <c r="M130">
        <v>1089.72017290195</v>
      </c>
      <c r="N130">
        <v>52.294129871707099</v>
      </c>
      <c r="O130">
        <v>4.3421441923740902</v>
      </c>
      <c r="P130" s="5">
        <v>2.24518826895837E-36</v>
      </c>
      <c r="Q130" t="s">
        <v>4</v>
      </c>
      <c r="R130" s="4" t="s">
        <v>87</v>
      </c>
      <c r="S130" t="s">
        <v>4</v>
      </c>
      <c r="T130" t="s">
        <v>3497</v>
      </c>
      <c r="U130" t="s">
        <v>3498</v>
      </c>
      <c r="V130" t="s">
        <v>3499</v>
      </c>
      <c r="W130" t="s">
        <v>203</v>
      </c>
      <c r="X130" t="s">
        <v>4</v>
      </c>
      <c r="Y130" t="s">
        <v>3500</v>
      </c>
      <c r="Z130" t="s">
        <v>3501</v>
      </c>
      <c r="AA130" t="s">
        <v>3502</v>
      </c>
      <c r="AB130" t="s">
        <v>4</v>
      </c>
      <c r="AC130" s="3" t="s">
        <v>3503</v>
      </c>
      <c r="AD130" t="s">
        <v>4</v>
      </c>
      <c r="AE130" t="s">
        <v>3504</v>
      </c>
      <c r="AF130" t="s">
        <v>3505</v>
      </c>
      <c r="AG130" t="s">
        <v>3506</v>
      </c>
      <c r="AH130" t="s">
        <v>112</v>
      </c>
      <c r="AU130" t="s">
        <v>112</v>
      </c>
      <c r="AV130" t="s">
        <v>3507</v>
      </c>
      <c r="AW130" t="s">
        <v>114</v>
      </c>
      <c r="AX130" t="s">
        <v>536</v>
      </c>
      <c r="AY130" t="s">
        <v>3508</v>
      </c>
      <c r="AZ130" t="s">
        <v>4</v>
      </c>
      <c r="BA130" s="3" t="s">
        <v>95</v>
      </c>
      <c r="BB130" s="6" t="s">
        <v>95</v>
      </c>
      <c r="BC130" s="3" t="s">
        <v>197</v>
      </c>
      <c r="BD130" t="s">
        <v>4</v>
      </c>
      <c r="BE130">
        <v>4751</v>
      </c>
      <c r="BF130" t="s">
        <v>282</v>
      </c>
      <c r="BG130">
        <v>99.376900000000006</v>
      </c>
      <c r="BH130">
        <v>86.915899999999993</v>
      </c>
      <c r="BI130">
        <v>97.507800000000003</v>
      </c>
      <c r="BJ130">
        <v>91.588800000000006</v>
      </c>
      <c r="BK130">
        <v>83.800600000000003</v>
      </c>
      <c r="BL130">
        <v>80.373800000000003</v>
      </c>
      <c r="BM130">
        <v>79.750799999999998</v>
      </c>
      <c r="BN130">
        <v>84.735200000000006</v>
      </c>
      <c r="BO130">
        <v>85.046700000000001</v>
      </c>
      <c r="BP130">
        <v>69.781899999999993</v>
      </c>
      <c r="BQ130">
        <v>40.81</v>
      </c>
      <c r="BR130">
        <v>62.9283</v>
      </c>
      <c r="BS130">
        <v>58.255499999999998</v>
      </c>
      <c r="BT130">
        <v>55.451700000000002</v>
      </c>
      <c r="BV130" t="s">
        <v>3509</v>
      </c>
      <c r="BX130">
        <v>53.894100000000002</v>
      </c>
      <c r="BY130">
        <v>53.582599999999999</v>
      </c>
      <c r="BZ130">
        <v>43.302199999999999</v>
      </c>
      <c r="CA130">
        <v>53.582599999999999</v>
      </c>
      <c r="CB130">
        <v>45.482900000000001</v>
      </c>
      <c r="CC130">
        <v>33.021799999999999</v>
      </c>
      <c r="CD130">
        <v>39.252299999999998</v>
      </c>
      <c r="CF130" t="s">
        <v>3510</v>
      </c>
      <c r="CG130" t="s">
        <v>3511</v>
      </c>
      <c r="CH130" t="s">
        <v>3512</v>
      </c>
      <c r="CI130" t="s">
        <v>3513</v>
      </c>
      <c r="CJ130" t="s">
        <v>3514</v>
      </c>
      <c r="CK130">
        <v>6</v>
      </c>
      <c r="CL130" t="s">
        <v>4</v>
      </c>
      <c r="CM130" t="s">
        <v>3515</v>
      </c>
      <c r="CN130" t="s">
        <v>3516</v>
      </c>
      <c r="CO130" t="s">
        <v>99</v>
      </c>
      <c r="CP130" t="s">
        <v>100</v>
      </c>
      <c r="CQ130">
        <v>129</v>
      </c>
      <c r="CR130" t="s">
        <v>100</v>
      </c>
      <c r="CS130" t="s">
        <v>101</v>
      </c>
      <c r="CT130" t="s">
        <v>152</v>
      </c>
      <c r="CU130" t="s">
        <v>102</v>
      </c>
      <c r="CV130" t="s">
        <v>100</v>
      </c>
    </row>
    <row r="131" spans="1:100">
      <c r="A131" s="3" t="s">
        <v>3517</v>
      </c>
      <c r="B131" s="4" t="s">
        <v>3518</v>
      </c>
      <c r="C131">
        <v>92.556003984489095</v>
      </c>
      <c r="D131">
        <v>572.740782351902</v>
      </c>
      <c r="E131">
        <f>-2.62904102047098</f>
        <v>-2.62904102047098</v>
      </c>
      <c r="F131" s="5">
        <v>7.5177901461111198E-7</v>
      </c>
      <c r="G131" t="s">
        <v>4</v>
      </c>
      <c r="H131">
        <v>92.556003984489095</v>
      </c>
      <c r="I131">
        <v>17.627803753652699</v>
      </c>
      <c r="J131">
        <v>2.3757739281483898</v>
      </c>
      <c r="K131" s="5">
        <v>4.57424491402822E-5</v>
      </c>
      <c r="L131" t="s">
        <v>4</v>
      </c>
      <c r="M131">
        <v>572.740782351902</v>
      </c>
      <c r="N131">
        <v>17.627803753652699</v>
      </c>
      <c r="O131">
        <v>5.0048149486193703</v>
      </c>
      <c r="P131" s="5">
        <v>1.7570391758327001E-19</v>
      </c>
      <c r="Q131" t="s">
        <v>4</v>
      </c>
      <c r="R131" s="4" t="s">
        <v>87</v>
      </c>
      <c r="S131" t="s">
        <v>4</v>
      </c>
      <c r="T131" t="s">
        <v>3519</v>
      </c>
      <c r="U131" t="s">
        <v>3520</v>
      </c>
      <c r="V131" t="s">
        <v>3521</v>
      </c>
      <c r="W131" t="s">
        <v>328</v>
      </c>
      <c r="X131" t="s">
        <v>4</v>
      </c>
      <c r="Y131" t="s">
        <v>3522</v>
      </c>
      <c r="Z131" t="s">
        <v>3523</v>
      </c>
      <c r="AA131" t="s">
        <v>3524</v>
      </c>
      <c r="AB131" t="s">
        <v>4</v>
      </c>
      <c r="AC131" s="3" t="s">
        <v>3525</v>
      </c>
      <c r="AD131" t="s">
        <v>4</v>
      </c>
      <c r="AE131" t="s">
        <v>3526</v>
      </c>
      <c r="AF131" t="s">
        <v>3527</v>
      </c>
      <c r="AG131" t="s">
        <v>3528</v>
      </c>
      <c r="AH131" t="s">
        <v>112</v>
      </c>
      <c r="AJ131" t="s">
        <v>3529</v>
      </c>
      <c r="AL131" t="s">
        <v>3530</v>
      </c>
      <c r="AQ131" t="s">
        <v>1273</v>
      </c>
      <c r="AU131" t="s">
        <v>112</v>
      </c>
      <c r="AV131" t="s">
        <v>3531</v>
      </c>
      <c r="AW131" t="s">
        <v>114</v>
      </c>
      <c r="AX131" t="s">
        <v>371</v>
      </c>
      <c r="AY131" t="s">
        <v>3532</v>
      </c>
      <c r="AZ131" t="s">
        <v>4</v>
      </c>
      <c r="BA131" s="3" t="s">
        <v>95</v>
      </c>
      <c r="BB131" s="6" t="s">
        <v>95</v>
      </c>
      <c r="BC131" s="3" t="s">
        <v>95</v>
      </c>
      <c r="BD131" t="s">
        <v>4</v>
      </c>
      <c r="BE131">
        <v>5316</v>
      </c>
      <c r="BF131" t="s">
        <v>386</v>
      </c>
      <c r="BG131">
        <v>39.908299999999997</v>
      </c>
      <c r="BJ131" t="s">
        <v>3533</v>
      </c>
      <c r="BK131">
        <v>38.9908</v>
      </c>
      <c r="BL131">
        <v>38.9908</v>
      </c>
      <c r="BM131">
        <v>44.036700000000003</v>
      </c>
      <c r="BO131">
        <v>93.348600000000005</v>
      </c>
      <c r="BP131">
        <v>68.807299999999998</v>
      </c>
      <c r="BQ131">
        <v>52.5229</v>
      </c>
      <c r="BR131">
        <v>40.825699999999998</v>
      </c>
      <c r="BS131">
        <v>40.137599999999999</v>
      </c>
      <c r="BT131">
        <v>24.311900000000001</v>
      </c>
      <c r="BU131">
        <v>41.743099999999998</v>
      </c>
      <c r="BV131" t="s">
        <v>3534</v>
      </c>
      <c r="BW131" t="s">
        <v>3535</v>
      </c>
      <c r="BX131">
        <v>49.770600000000002</v>
      </c>
      <c r="BY131">
        <v>16.743099999999998</v>
      </c>
      <c r="BZ131">
        <v>50.4587</v>
      </c>
      <c r="CA131">
        <v>41.972499999999997</v>
      </c>
      <c r="CB131">
        <v>21.100899999999999</v>
      </c>
      <c r="CC131">
        <v>40.366999999999997</v>
      </c>
      <c r="CD131" t="s">
        <v>3536</v>
      </c>
      <c r="CK131">
        <v>7</v>
      </c>
      <c r="CL131" t="s">
        <v>4</v>
      </c>
      <c r="CM131" t="s">
        <v>3537</v>
      </c>
      <c r="CN131" t="s">
        <v>3538</v>
      </c>
      <c r="CO131" t="s">
        <v>663</v>
      </c>
      <c r="CP131" t="s">
        <v>100</v>
      </c>
      <c r="CQ131">
        <v>130</v>
      </c>
      <c r="CR131" t="s">
        <v>100</v>
      </c>
      <c r="CS131" t="s">
        <v>101</v>
      </c>
      <c r="CT131" t="s">
        <v>152</v>
      </c>
      <c r="CU131" t="s">
        <v>102</v>
      </c>
      <c r="CV131" t="s">
        <v>100</v>
      </c>
    </row>
    <row r="132" spans="1:100">
      <c r="A132" s="3" t="s">
        <v>3539</v>
      </c>
      <c r="B132" s="4" t="s">
        <v>3540</v>
      </c>
      <c r="C132">
        <v>91.940266010815705</v>
      </c>
      <c r="D132">
        <v>693.83179483907304</v>
      </c>
      <c r="E132">
        <f>-2.91380466620469</f>
        <v>-2.9138046662046899</v>
      </c>
      <c r="F132" s="5">
        <v>5.6673861869196703E-8</v>
      </c>
      <c r="G132" t="s">
        <v>4</v>
      </c>
      <c r="H132">
        <v>91.940266010815705</v>
      </c>
      <c r="I132">
        <v>139.252010555053</v>
      </c>
      <c r="J132">
        <f>0.608555681288753</f>
        <v>0.60855568128875304</v>
      </c>
      <c r="K132">
        <v>0.298003413907306</v>
      </c>
      <c r="L132" t="s">
        <v>4</v>
      </c>
      <c r="M132">
        <v>693.83179483907304</v>
      </c>
      <c r="N132">
        <v>139.252010555053</v>
      </c>
      <c r="O132">
        <v>2.3052489849159401</v>
      </c>
      <c r="P132" s="5">
        <v>1.2824971152137599E-5</v>
      </c>
      <c r="Q132" t="s">
        <v>4</v>
      </c>
      <c r="R132" s="4" t="s">
        <v>87</v>
      </c>
      <c r="S132" t="s">
        <v>4</v>
      </c>
      <c r="T132" t="s">
        <v>2243</v>
      </c>
      <c r="U132" t="s">
        <v>2244</v>
      </c>
      <c r="V132" t="s">
        <v>2245</v>
      </c>
      <c r="W132" t="s">
        <v>123</v>
      </c>
      <c r="X132" t="s">
        <v>4</v>
      </c>
      <c r="Y132" t="s">
        <v>3541</v>
      </c>
      <c r="Z132" t="s">
        <v>3542</v>
      </c>
      <c r="AA132" t="s">
        <v>3543</v>
      </c>
      <c r="AB132" t="s">
        <v>4</v>
      </c>
      <c r="AC132" s="3" t="s">
        <v>3544</v>
      </c>
      <c r="AD132" t="s">
        <v>4</v>
      </c>
      <c r="AE132" t="s">
        <v>3545</v>
      </c>
      <c r="AF132" t="s">
        <v>3546</v>
      </c>
      <c r="AG132" t="s">
        <v>3547</v>
      </c>
      <c r="AH132" t="s">
        <v>112</v>
      </c>
      <c r="AU132" t="s">
        <v>112</v>
      </c>
      <c r="AV132" t="s">
        <v>3548</v>
      </c>
      <c r="AW132" t="s">
        <v>114</v>
      </c>
      <c r="AX132" t="s">
        <v>144</v>
      </c>
      <c r="AY132" t="s">
        <v>2455</v>
      </c>
      <c r="AZ132" t="s">
        <v>4</v>
      </c>
      <c r="BA132" s="3" t="s">
        <v>95</v>
      </c>
      <c r="BB132" s="6" t="s">
        <v>95</v>
      </c>
      <c r="BC132" s="3" t="s">
        <v>95</v>
      </c>
      <c r="BD132" t="s">
        <v>4</v>
      </c>
      <c r="BE132">
        <v>5983</v>
      </c>
      <c r="BF132" t="s">
        <v>213</v>
      </c>
      <c r="BG132">
        <v>99.548500000000004</v>
      </c>
      <c r="BI132">
        <v>99.097099999999998</v>
      </c>
      <c r="BJ132">
        <v>88.4876</v>
      </c>
      <c r="BK132">
        <v>86.230199999999996</v>
      </c>
      <c r="BM132">
        <v>86.456000000000003</v>
      </c>
      <c r="BN132">
        <v>86.456000000000003</v>
      </c>
      <c r="BQ132">
        <v>67.494399999999999</v>
      </c>
      <c r="BR132">
        <v>65.236999999999995</v>
      </c>
      <c r="BS132">
        <v>61.399500000000003</v>
      </c>
      <c r="BU132">
        <v>53.724600000000002</v>
      </c>
      <c r="BV132" t="s">
        <v>3549</v>
      </c>
      <c r="BW132">
        <v>39.503399999999999</v>
      </c>
      <c r="BX132">
        <v>54.401800000000001</v>
      </c>
      <c r="CA132">
        <v>53.273099999999999</v>
      </c>
      <c r="CK132">
        <v>8</v>
      </c>
      <c r="CL132" t="s">
        <v>4</v>
      </c>
      <c r="CM132" t="s">
        <v>3550</v>
      </c>
      <c r="CN132" t="s">
        <v>3551</v>
      </c>
      <c r="CO132" t="s">
        <v>99</v>
      </c>
      <c r="CP132" t="s">
        <v>100</v>
      </c>
      <c r="CQ132">
        <v>131</v>
      </c>
      <c r="CR132" t="s">
        <v>100</v>
      </c>
      <c r="CS132" t="s">
        <v>100</v>
      </c>
      <c r="CT132" t="s">
        <v>152</v>
      </c>
      <c r="CU132" t="s">
        <v>102</v>
      </c>
      <c r="CV132" t="s">
        <v>100</v>
      </c>
    </row>
    <row r="133" spans="1:100">
      <c r="A133" s="3" t="s">
        <v>3552</v>
      </c>
      <c r="B133" s="4" t="s">
        <v>3553</v>
      </c>
      <c r="C133">
        <v>806.59139531675498</v>
      </c>
      <c r="D133">
        <v>3616.0896213521301</v>
      </c>
      <c r="E133">
        <f>-2.16452704117919</f>
        <v>-2.1645270411791899</v>
      </c>
      <c r="F133" s="5">
        <v>1.34985254489456E-15</v>
      </c>
      <c r="G133" t="s">
        <v>4</v>
      </c>
      <c r="H133">
        <v>806.59139531675498</v>
      </c>
      <c r="I133">
        <v>694.03830199962499</v>
      </c>
      <c r="J133">
        <v>0.21313900748470399</v>
      </c>
      <c r="K133">
        <v>0.48902527358214498</v>
      </c>
      <c r="L133" t="s">
        <v>4</v>
      </c>
      <c r="M133">
        <v>3616.0896213521301</v>
      </c>
      <c r="N133">
        <v>694.03830199962499</v>
      </c>
      <c r="O133">
        <v>2.3776660486638899</v>
      </c>
      <c r="P133" s="5">
        <v>3.9987987579891598E-19</v>
      </c>
      <c r="Q133" t="s">
        <v>4</v>
      </c>
      <c r="R133" s="4" t="s">
        <v>87</v>
      </c>
      <c r="S133" t="s">
        <v>4</v>
      </c>
      <c r="T133" t="s">
        <v>3554</v>
      </c>
      <c r="U133" t="s">
        <v>3555</v>
      </c>
      <c r="V133" t="s">
        <v>3556</v>
      </c>
      <c r="W133" t="s">
        <v>203</v>
      </c>
      <c r="X133" t="s">
        <v>4</v>
      </c>
      <c r="Y133" t="s">
        <v>3557</v>
      </c>
      <c r="Z133" t="s">
        <v>3558</v>
      </c>
      <c r="AA133" t="s">
        <v>3559</v>
      </c>
      <c r="AB133" t="s">
        <v>4</v>
      </c>
      <c r="AC133" s="3" t="s">
        <v>3560</v>
      </c>
      <c r="AD133" t="s">
        <v>4</v>
      </c>
      <c r="AE133" t="s">
        <v>3561</v>
      </c>
      <c r="AF133" t="s">
        <v>3562</v>
      </c>
      <c r="AG133" t="s">
        <v>3563</v>
      </c>
      <c r="AH133" t="s">
        <v>112</v>
      </c>
      <c r="AJ133" t="s">
        <v>3564</v>
      </c>
      <c r="AU133" t="s">
        <v>112</v>
      </c>
      <c r="AV133" t="s">
        <v>3565</v>
      </c>
      <c r="AW133" t="s">
        <v>114</v>
      </c>
      <c r="AX133" t="s">
        <v>132</v>
      </c>
      <c r="AY133" t="s">
        <v>3566</v>
      </c>
      <c r="AZ133" t="s">
        <v>4</v>
      </c>
      <c r="BA133" s="3" t="s">
        <v>115</v>
      </c>
      <c r="BB133" s="6" t="s">
        <v>95</v>
      </c>
      <c r="BC133" s="3" t="s">
        <v>95</v>
      </c>
      <c r="BD133" t="s">
        <v>4</v>
      </c>
      <c r="BE133">
        <v>8667</v>
      </c>
      <c r="BF133" t="s">
        <v>169</v>
      </c>
      <c r="BG133">
        <v>94.453199999999995</v>
      </c>
      <c r="BH133">
        <v>99.683000000000007</v>
      </c>
      <c r="BJ133">
        <v>70.522999999999996</v>
      </c>
      <c r="BK133">
        <v>73.692599999999999</v>
      </c>
      <c r="BM133">
        <v>50.554699999999997</v>
      </c>
      <c r="BN133">
        <v>81.299499999999995</v>
      </c>
      <c r="BO133">
        <v>78.763900000000007</v>
      </c>
      <c r="BP133">
        <v>58.637099999999997</v>
      </c>
      <c r="BR133">
        <v>29.3185</v>
      </c>
      <c r="BX133">
        <v>29.1601</v>
      </c>
      <c r="BY133">
        <v>29.3185</v>
      </c>
      <c r="BZ133">
        <v>11.727399999999999</v>
      </c>
      <c r="CA133">
        <v>29.0016</v>
      </c>
      <c r="CB133">
        <v>12.5198</v>
      </c>
      <c r="CF133">
        <v>19.334399999999999</v>
      </c>
      <c r="CG133" t="s">
        <v>3567</v>
      </c>
      <c r="CH133" t="s">
        <v>3568</v>
      </c>
      <c r="CI133" t="s">
        <v>3569</v>
      </c>
      <c r="CJ133">
        <v>15.213900000000001</v>
      </c>
      <c r="CK133">
        <v>9</v>
      </c>
      <c r="CL133" t="s">
        <v>4</v>
      </c>
      <c r="CM133" t="s">
        <v>3570</v>
      </c>
      <c r="CN133" t="s">
        <v>3571</v>
      </c>
      <c r="CO133" t="s">
        <v>1218</v>
      </c>
      <c r="CP133" t="s">
        <v>100</v>
      </c>
      <c r="CQ133">
        <v>132</v>
      </c>
      <c r="CR133" t="s">
        <v>100</v>
      </c>
      <c r="CS133" t="s">
        <v>100</v>
      </c>
      <c r="CT133" t="s">
        <v>152</v>
      </c>
      <c r="CU133" t="s">
        <v>102</v>
      </c>
      <c r="CV133" t="s">
        <v>100</v>
      </c>
    </row>
    <row r="134" spans="1:100">
      <c r="A134" s="3" t="s">
        <v>3572</v>
      </c>
      <c r="B134" s="4" t="s">
        <v>3573</v>
      </c>
      <c r="C134">
        <v>393.69955885229098</v>
      </c>
      <c r="D134">
        <v>14267.928405731</v>
      </c>
      <c r="E134">
        <f>-5.17874173691137</f>
        <v>-5.1787417369113697</v>
      </c>
      <c r="F134" s="5">
        <v>1.9146781759857299E-34</v>
      </c>
      <c r="G134" t="s">
        <v>4</v>
      </c>
      <c r="H134">
        <v>393.69955885229098</v>
      </c>
      <c r="I134">
        <v>329.27121096229803</v>
      </c>
      <c r="J134">
        <v>0.25416707615680201</v>
      </c>
      <c r="K134">
        <v>0.60882738742154796</v>
      </c>
      <c r="L134" t="s">
        <v>4</v>
      </c>
      <c r="M134">
        <v>14267.928405731</v>
      </c>
      <c r="N134">
        <v>329.27121096229803</v>
      </c>
      <c r="O134">
        <v>5.4329088130681802</v>
      </c>
      <c r="P134" s="5">
        <v>1.3014793647209901E-38</v>
      </c>
      <c r="Q134" t="s">
        <v>4</v>
      </c>
      <c r="R134" s="4" t="s">
        <v>87</v>
      </c>
      <c r="S134" t="s">
        <v>4</v>
      </c>
      <c r="T134" t="s">
        <v>1866</v>
      </c>
      <c r="U134" t="s">
        <v>1867</v>
      </c>
      <c r="V134" t="s">
        <v>1868</v>
      </c>
      <c r="W134" t="s">
        <v>123</v>
      </c>
      <c r="X134" t="s">
        <v>4</v>
      </c>
      <c r="Y134" t="s">
        <v>3574</v>
      </c>
      <c r="Z134" t="s">
        <v>3575</v>
      </c>
      <c r="AA134" t="s">
        <v>3576</v>
      </c>
      <c r="AB134" t="s">
        <v>4</v>
      </c>
      <c r="AC134" s="3" t="s">
        <v>3577</v>
      </c>
      <c r="AD134" t="s">
        <v>4</v>
      </c>
      <c r="AE134" t="s">
        <v>3578</v>
      </c>
      <c r="AF134" t="s">
        <v>3579</v>
      </c>
      <c r="AG134" t="s">
        <v>3580</v>
      </c>
      <c r="AH134" t="s">
        <v>112</v>
      </c>
      <c r="AU134" t="s">
        <v>112</v>
      </c>
      <c r="AV134" t="s">
        <v>3581</v>
      </c>
      <c r="AW134" t="s">
        <v>114</v>
      </c>
      <c r="AX134" t="s">
        <v>144</v>
      </c>
      <c r="AY134" t="s">
        <v>3582</v>
      </c>
      <c r="AZ134" t="s">
        <v>4</v>
      </c>
      <c r="BA134" s="3" t="s">
        <v>115</v>
      </c>
      <c r="BB134" s="6" t="s">
        <v>95</v>
      </c>
      <c r="BC134" s="3" t="s">
        <v>95</v>
      </c>
      <c r="BD134" t="s">
        <v>4</v>
      </c>
      <c r="BE134">
        <v>6056</v>
      </c>
      <c r="BF134" t="s">
        <v>213</v>
      </c>
      <c r="BG134">
        <v>93.237399999999994</v>
      </c>
      <c r="BH134" t="s">
        <v>3583</v>
      </c>
      <c r="BI134">
        <v>32.086300000000001</v>
      </c>
      <c r="BJ134">
        <v>31.0791</v>
      </c>
      <c r="BK134">
        <v>65.036000000000001</v>
      </c>
      <c r="BL134">
        <v>65.036000000000001</v>
      </c>
      <c r="BM134">
        <v>60.431699999999999</v>
      </c>
      <c r="BN134">
        <v>64.460400000000007</v>
      </c>
      <c r="BO134">
        <v>62.5899</v>
      </c>
      <c r="BP134">
        <v>30.935300000000002</v>
      </c>
      <c r="BR134" t="s">
        <v>3584</v>
      </c>
      <c r="BT134">
        <v>17.122299999999999</v>
      </c>
      <c r="BU134">
        <v>25.611499999999999</v>
      </c>
      <c r="BV134" t="s">
        <v>3585</v>
      </c>
      <c r="BW134" t="s">
        <v>3586</v>
      </c>
      <c r="BX134">
        <v>27.194199999999999</v>
      </c>
      <c r="BZ134">
        <v>26.6187</v>
      </c>
      <c r="CA134">
        <v>25.8993</v>
      </c>
      <c r="CB134">
        <v>23.884899999999998</v>
      </c>
      <c r="CC134" t="s">
        <v>3587</v>
      </c>
      <c r="CD134">
        <v>24.892099999999999</v>
      </c>
      <c r="CF134">
        <v>12.3741</v>
      </c>
      <c r="CG134">
        <v>24.604299999999999</v>
      </c>
      <c r="CH134">
        <v>25.1799</v>
      </c>
      <c r="CI134">
        <v>21.438800000000001</v>
      </c>
      <c r="CK134">
        <v>8</v>
      </c>
      <c r="CL134" t="s">
        <v>4</v>
      </c>
      <c r="CM134" t="s">
        <v>3588</v>
      </c>
      <c r="CN134" t="s">
        <v>3589</v>
      </c>
      <c r="CO134" t="s">
        <v>219</v>
      </c>
      <c r="CP134" t="s">
        <v>100</v>
      </c>
      <c r="CQ134">
        <v>133</v>
      </c>
      <c r="CR134" t="s">
        <v>100</v>
      </c>
      <c r="CS134" t="s">
        <v>100</v>
      </c>
      <c r="CT134" t="s">
        <v>152</v>
      </c>
      <c r="CU134" t="s">
        <v>102</v>
      </c>
      <c r="CV134" t="s">
        <v>100</v>
      </c>
    </row>
    <row r="135" spans="1:100">
      <c r="A135" s="3" t="s">
        <v>3590</v>
      </c>
      <c r="B135" s="4" t="s">
        <v>3591</v>
      </c>
      <c r="C135">
        <v>1072.9166392265599</v>
      </c>
      <c r="D135">
        <v>27657.560493783702</v>
      </c>
      <c r="E135">
        <f>-4.68786171001726</f>
        <v>-4.6878617100172599</v>
      </c>
      <c r="F135" s="5">
        <v>3.63619262793989E-19</v>
      </c>
      <c r="G135" t="s">
        <v>4</v>
      </c>
      <c r="H135">
        <v>1072.9166392265599</v>
      </c>
      <c r="I135">
        <v>3384.6377871035802</v>
      </c>
      <c r="J135">
        <f>-1.65769737718343</f>
        <v>-1.65769737718343</v>
      </c>
      <c r="K135">
        <v>2.3514595270915598E-3</v>
      </c>
      <c r="L135" t="s">
        <v>4</v>
      </c>
      <c r="M135">
        <v>27657.560493783702</v>
      </c>
      <c r="N135">
        <v>3384.6377871035802</v>
      </c>
      <c r="O135">
        <v>3.0301643328338299</v>
      </c>
      <c r="P135" s="5">
        <v>5.9853764899725804E-9</v>
      </c>
      <c r="Q135" t="s">
        <v>4</v>
      </c>
      <c r="R135" s="4" t="s">
        <v>87</v>
      </c>
      <c r="S135" t="s">
        <v>4</v>
      </c>
      <c r="T135" t="s">
        <v>92</v>
      </c>
      <c r="U135" t="s">
        <v>92</v>
      </c>
      <c r="V135" t="s">
        <v>92</v>
      </c>
      <c r="W135" t="s">
        <v>92</v>
      </c>
      <c r="X135" t="s">
        <v>4</v>
      </c>
      <c r="Y135" t="s">
        <v>92</v>
      </c>
      <c r="Z135" t="s">
        <v>92</v>
      </c>
      <c r="AA135" t="s">
        <v>92</v>
      </c>
      <c r="AB135" t="s">
        <v>4</v>
      </c>
      <c r="AC135" s="3" t="s">
        <v>93</v>
      </c>
      <c r="AD135" t="s">
        <v>4</v>
      </c>
      <c r="AE135" t="s">
        <v>3592</v>
      </c>
      <c r="AF135" t="s">
        <v>3593</v>
      </c>
      <c r="AG135" t="s">
        <v>3594</v>
      </c>
      <c r="AH135" t="s">
        <v>112</v>
      </c>
      <c r="AU135" t="s">
        <v>112</v>
      </c>
      <c r="AV135" t="s">
        <v>3595</v>
      </c>
      <c r="AW135" t="s">
        <v>114</v>
      </c>
      <c r="AZ135" t="s">
        <v>4</v>
      </c>
      <c r="BA135" s="3" t="s">
        <v>115</v>
      </c>
      <c r="BB135" s="6" t="s">
        <v>95</v>
      </c>
      <c r="BC135" s="3" t="s">
        <v>95</v>
      </c>
      <c r="BD135" t="s">
        <v>4</v>
      </c>
      <c r="BE135">
        <v>4777</v>
      </c>
      <c r="BF135" t="s">
        <v>282</v>
      </c>
      <c r="BG135">
        <v>94.155799999999999</v>
      </c>
      <c r="BH135">
        <v>60.649299999999997</v>
      </c>
      <c r="BI135">
        <v>95.064899999999994</v>
      </c>
      <c r="BJ135">
        <v>82.0779</v>
      </c>
      <c r="BK135">
        <v>45.064900000000002</v>
      </c>
      <c r="BL135">
        <v>83.636399999999995</v>
      </c>
      <c r="BM135">
        <v>84.025999999999996</v>
      </c>
      <c r="BN135">
        <v>84.025999999999996</v>
      </c>
      <c r="BO135">
        <v>81.428600000000003</v>
      </c>
      <c r="BP135">
        <v>51.688299999999998</v>
      </c>
      <c r="BQ135">
        <v>24.6753</v>
      </c>
      <c r="BR135">
        <v>33.506500000000003</v>
      </c>
      <c r="BW135">
        <v>32.467500000000001</v>
      </c>
      <c r="CA135">
        <v>29.220800000000001</v>
      </c>
      <c r="CC135">
        <v>17.013000000000002</v>
      </c>
      <c r="CD135">
        <v>15.0649</v>
      </c>
      <c r="CK135">
        <v>6</v>
      </c>
      <c r="CL135" t="s">
        <v>4</v>
      </c>
      <c r="CM135" t="s">
        <v>3596</v>
      </c>
      <c r="CN135" t="s">
        <v>3597</v>
      </c>
      <c r="CO135" t="s">
        <v>1218</v>
      </c>
      <c r="CP135" t="s">
        <v>100</v>
      </c>
      <c r="CQ135">
        <v>134</v>
      </c>
      <c r="CR135" t="s">
        <v>100</v>
      </c>
      <c r="CS135" t="s">
        <v>100</v>
      </c>
      <c r="CT135" t="s">
        <v>152</v>
      </c>
      <c r="CU135" t="s">
        <v>102</v>
      </c>
      <c r="CV135" t="s">
        <v>100</v>
      </c>
    </row>
    <row r="136" spans="1:100">
      <c r="A136" s="3" t="s">
        <v>3598</v>
      </c>
      <c r="B136" s="4" t="s">
        <v>3599</v>
      </c>
      <c r="C136">
        <v>274.87580399350901</v>
      </c>
      <c r="D136">
        <v>3638.9266732501501</v>
      </c>
      <c r="E136">
        <f>-3.726168341382</f>
        <v>-3.7261683413819999</v>
      </c>
      <c r="F136" s="5">
        <v>1.79314785844163E-12</v>
      </c>
      <c r="G136" t="s">
        <v>4</v>
      </c>
      <c r="H136">
        <v>274.87580399350901</v>
      </c>
      <c r="I136">
        <v>70.762164504709204</v>
      </c>
      <c r="J136">
        <v>1.9705337587696099</v>
      </c>
      <c r="K136">
        <v>3.7602492721357299E-4</v>
      </c>
      <c r="L136" t="s">
        <v>4</v>
      </c>
      <c r="M136">
        <v>3638.9266732501501</v>
      </c>
      <c r="N136">
        <v>70.762164504709204</v>
      </c>
      <c r="O136">
        <v>5.6967021001516196</v>
      </c>
      <c r="P136" s="5">
        <v>1.28591299327872E-27</v>
      </c>
      <c r="Q136" t="s">
        <v>4</v>
      </c>
      <c r="R136" s="4" t="s">
        <v>87</v>
      </c>
      <c r="S136" t="s">
        <v>4</v>
      </c>
      <c r="T136" t="s">
        <v>3600</v>
      </c>
      <c r="U136" t="s">
        <v>3601</v>
      </c>
      <c r="V136" t="s">
        <v>3602</v>
      </c>
      <c r="W136" t="s">
        <v>507</v>
      </c>
      <c r="X136" t="s">
        <v>4</v>
      </c>
      <c r="Y136" t="s">
        <v>3603</v>
      </c>
      <c r="Z136" t="s">
        <v>3604</v>
      </c>
      <c r="AA136" t="s">
        <v>3605</v>
      </c>
      <c r="AB136" t="s">
        <v>4</v>
      </c>
      <c r="AC136" s="3" t="s">
        <v>93</v>
      </c>
      <c r="AD136" t="s">
        <v>4</v>
      </c>
      <c r="AE136" t="s">
        <v>3606</v>
      </c>
      <c r="AF136" t="s">
        <v>3607</v>
      </c>
      <c r="AG136" t="s">
        <v>3608</v>
      </c>
      <c r="AH136" t="s">
        <v>282</v>
      </c>
      <c r="AU136" t="s">
        <v>112</v>
      </c>
      <c r="AV136" t="s">
        <v>3609</v>
      </c>
      <c r="AW136" t="s">
        <v>114</v>
      </c>
      <c r="AX136" t="s">
        <v>2157</v>
      </c>
      <c r="AY136" t="s">
        <v>3610</v>
      </c>
      <c r="AZ136" t="s">
        <v>4</v>
      </c>
      <c r="BA136" s="3" t="s">
        <v>95</v>
      </c>
      <c r="BB136" t="s">
        <v>96</v>
      </c>
      <c r="BC136" s="3" t="s">
        <v>95</v>
      </c>
      <c r="BD136" t="s">
        <v>4</v>
      </c>
      <c r="BE136">
        <v>6085</v>
      </c>
      <c r="BF136" t="s">
        <v>213</v>
      </c>
      <c r="BG136">
        <v>89.523799999999994</v>
      </c>
      <c r="BH136">
        <v>86.031700000000001</v>
      </c>
      <c r="BN136">
        <v>52.698399999999999</v>
      </c>
      <c r="BP136">
        <v>26.984100000000002</v>
      </c>
      <c r="BS136">
        <v>19.365100000000002</v>
      </c>
      <c r="BT136">
        <v>20.317499999999999</v>
      </c>
      <c r="BU136">
        <v>19.047599999999999</v>
      </c>
      <c r="BV136" t="s">
        <v>3611</v>
      </c>
      <c r="BX136">
        <v>22.857099999999999</v>
      </c>
      <c r="CA136">
        <v>22.857099999999999</v>
      </c>
      <c r="CC136">
        <v>20.634899999999998</v>
      </c>
      <c r="CD136">
        <v>20.317499999999999</v>
      </c>
      <c r="CE136">
        <v>19.682500000000001</v>
      </c>
      <c r="CG136">
        <v>19.047599999999999</v>
      </c>
      <c r="CH136">
        <v>17.142900000000001</v>
      </c>
      <c r="CI136">
        <v>17.777799999999999</v>
      </c>
      <c r="CK136">
        <v>8</v>
      </c>
      <c r="CL136" t="s">
        <v>4</v>
      </c>
      <c r="CM136" t="s">
        <v>3612</v>
      </c>
      <c r="CN136" t="s">
        <v>3613</v>
      </c>
      <c r="CO136" t="s">
        <v>1218</v>
      </c>
      <c r="CP136" t="s">
        <v>100</v>
      </c>
      <c r="CQ136">
        <v>135</v>
      </c>
      <c r="CR136" t="s">
        <v>100</v>
      </c>
      <c r="CS136" s="7" t="s">
        <v>101</v>
      </c>
      <c r="CT136" t="s">
        <v>152</v>
      </c>
      <c r="CU136" t="s">
        <v>102</v>
      </c>
      <c r="CV136" t="s">
        <v>100</v>
      </c>
    </row>
    <row r="137" spans="1:100">
      <c r="A137" s="3" t="s">
        <v>3614</v>
      </c>
      <c r="B137" s="4" t="s">
        <v>3615</v>
      </c>
      <c r="C137">
        <v>27.119040433149301</v>
      </c>
      <c r="D137">
        <v>331.05621864987103</v>
      </c>
      <c r="E137">
        <f>-3.60693179231855</f>
        <v>-3.6069317923185502</v>
      </c>
      <c r="F137" s="5">
        <v>2.0107826487924601E-13</v>
      </c>
      <c r="G137" t="s">
        <v>4</v>
      </c>
      <c r="H137">
        <v>27.119040433149301</v>
      </c>
      <c r="I137">
        <v>67.495063058684394</v>
      </c>
      <c r="J137">
        <f>-1.31451367913567</f>
        <v>-1.31451367913567</v>
      </c>
      <c r="K137">
        <v>1.2457343898984501E-2</v>
      </c>
      <c r="L137" t="s">
        <v>4</v>
      </c>
      <c r="M137">
        <v>331.05621864987103</v>
      </c>
      <c r="N137">
        <v>67.495063058684394</v>
      </c>
      <c r="O137">
        <v>2.2924181131828698</v>
      </c>
      <c r="P137" s="5">
        <v>2.0486859289221399E-6</v>
      </c>
      <c r="Q137" t="s">
        <v>4</v>
      </c>
      <c r="R137" s="4" t="s">
        <v>87</v>
      </c>
      <c r="S137" t="s">
        <v>4</v>
      </c>
      <c r="T137" t="s">
        <v>88</v>
      </c>
      <c r="U137" t="s">
        <v>89</v>
      </c>
      <c r="V137" t="s">
        <v>90</v>
      </c>
      <c r="W137" t="s">
        <v>91</v>
      </c>
      <c r="X137" t="s">
        <v>4</v>
      </c>
      <c r="Y137" t="s">
        <v>92</v>
      </c>
      <c r="Z137" t="s">
        <v>92</v>
      </c>
      <c r="AA137" t="s">
        <v>92</v>
      </c>
      <c r="AB137" t="s">
        <v>4</v>
      </c>
      <c r="AC137" s="3" t="s">
        <v>3616</v>
      </c>
      <c r="AD137" t="s">
        <v>4</v>
      </c>
      <c r="AE137" s="4" t="s">
        <v>94</v>
      </c>
      <c r="AZ137" t="s">
        <v>4</v>
      </c>
      <c r="BA137" s="3" t="s">
        <v>95</v>
      </c>
      <c r="BB137" t="s">
        <v>96</v>
      </c>
      <c r="BC137" s="3" t="s">
        <v>95</v>
      </c>
      <c r="BD137" t="s">
        <v>4</v>
      </c>
      <c r="BE137">
        <v>2496</v>
      </c>
      <c r="BF137" t="s">
        <v>97</v>
      </c>
      <c r="BI137">
        <v>90.575900000000004</v>
      </c>
      <c r="BJ137">
        <v>56.544499999999999</v>
      </c>
      <c r="BM137">
        <v>67.015699999999995</v>
      </c>
      <c r="BO137">
        <v>82.198999999999998</v>
      </c>
      <c r="BP137">
        <v>18.3246</v>
      </c>
      <c r="CK137">
        <v>4</v>
      </c>
      <c r="CL137" t="s">
        <v>4</v>
      </c>
      <c r="CM137" t="s">
        <v>98</v>
      </c>
      <c r="CN137" t="s">
        <v>98</v>
      </c>
      <c r="CO137" t="s">
        <v>99</v>
      </c>
      <c r="CP137" t="s">
        <v>100</v>
      </c>
      <c r="CQ137">
        <v>136</v>
      </c>
      <c r="CR137" t="s">
        <v>100</v>
      </c>
      <c r="CS137" t="s">
        <v>100</v>
      </c>
      <c r="CT137" t="s">
        <v>152</v>
      </c>
      <c r="CU137" t="s">
        <v>102</v>
      </c>
      <c r="CV137" t="s">
        <v>100</v>
      </c>
    </row>
    <row r="138" spans="1:100">
      <c r="A138" s="3" t="s">
        <v>3617</v>
      </c>
      <c r="B138" s="4" t="s">
        <v>3618</v>
      </c>
      <c r="C138">
        <v>67.545876576059001</v>
      </c>
      <c r="D138">
        <v>291.92381173152597</v>
      </c>
      <c r="E138">
        <f>-2.1122299514821</f>
        <v>-2.1122299514820999</v>
      </c>
      <c r="F138">
        <v>4.2246546323049797E-4</v>
      </c>
      <c r="G138" t="s">
        <v>4</v>
      </c>
      <c r="H138">
        <v>67.545876576059001</v>
      </c>
      <c r="I138">
        <v>44.068958679165597</v>
      </c>
      <c r="J138">
        <v>0.62742963433458698</v>
      </c>
      <c r="K138">
        <v>0.33326443767271902</v>
      </c>
      <c r="L138" t="s">
        <v>4</v>
      </c>
      <c r="M138">
        <v>291.92381173152597</v>
      </c>
      <c r="N138">
        <v>44.068958679165597</v>
      </c>
      <c r="O138">
        <v>2.7396595858166899</v>
      </c>
      <c r="P138" s="5">
        <v>2.5636889317022698E-6</v>
      </c>
      <c r="Q138" t="s">
        <v>4</v>
      </c>
      <c r="R138" s="4" t="s">
        <v>87</v>
      </c>
      <c r="S138" t="s">
        <v>4</v>
      </c>
      <c r="T138" t="s">
        <v>360</v>
      </c>
      <c r="U138" t="s">
        <v>361</v>
      </c>
      <c r="V138" t="s">
        <v>362</v>
      </c>
      <c r="W138" t="s">
        <v>328</v>
      </c>
      <c r="X138" t="s">
        <v>4</v>
      </c>
      <c r="Y138" t="s">
        <v>994</v>
      </c>
      <c r="Z138" t="s">
        <v>995</v>
      </c>
      <c r="AA138" t="s">
        <v>996</v>
      </c>
      <c r="AB138" t="s">
        <v>4</v>
      </c>
      <c r="AC138" s="3" t="s">
        <v>3619</v>
      </c>
      <c r="AD138" t="s">
        <v>4</v>
      </c>
      <c r="AE138" t="s">
        <v>3620</v>
      </c>
      <c r="AF138" t="s">
        <v>3621</v>
      </c>
      <c r="AG138" t="s">
        <v>3622</v>
      </c>
      <c r="AH138" t="s">
        <v>112</v>
      </c>
      <c r="AJ138" t="s">
        <v>3623</v>
      </c>
      <c r="AL138" t="s">
        <v>3624</v>
      </c>
      <c r="AM138" t="s">
        <v>3625</v>
      </c>
      <c r="AQ138" t="s">
        <v>1584</v>
      </c>
      <c r="AU138" t="s">
        <v>112</v>
      </c>
      <c r="AV138" t="s">
        <v>3626</v>
      </c>
      <c r="AW138" t="s">
        <v>114</v>
      </c>
      <c r="AX138" t="s">
        <v>371</v>
      </c>
      <c r="AY138" t="s">
        <v>1005</v>
      </c>
      <c r="AZ138" t="s">
        <v>4</v>
      </c>
      <c r="BA138" s="3" t="s">
        <v>95</v>
      </c>
      <c r="BB138" s="6" t="s">
        <v>95</v>
      </c>
      <c r="BC138" s="3" t="s">
        <v>95</v>
      </c>
      <c r="BD138" t="s">
        <v>4</v>
      </c>
      <c r="BE138">
        <v>6142</v>
      </c>
      <c r="BF138" t="s">
        <v>213</v>
      </c>
      <c r="BG138">
        <v>55.769199999999998</v>
      </c>
      <c r="BH138">
        <v>65.598299999999995</v>
      </c>
      <c r="BI138">
        <v>40.384599999999999</v>
      </c>
      <c r="BJ138">
        <v>51.2821</v>
      </c>
      <c r="BK138">
        <v>14.743600000000001</v>
      </c>
      <c r="BM138">
        <v>25.854700000000001</v>
      </c>
      <c r="BN138">
        <v>68.589699999999993</v>
      </c>
      <c r="BP138">
        <v>21.3675</v>
      </c>
      <c r="BQ138">
        <v>22.863199999999999</v>
      </c>
      <c r="BU138">
        <v>16.025600000000001</v>
      </c>
      <c r="BV138" t="s">
        <v>3627</v>
      </c>
      <c r="BX138">
        <v>20.726500000000001</v>
      </c>
      <c r="BZ138">
        <v>21.3675</v>
      </c>
      <c r="CB138">
        <v>13.2479</v>
      </c>
      <c r="CC138">
        <v>19.8718</v>
      </c>
      <c r="CD138" t="s">
        <v>3628</v>
      </c>
      <c r="CG138">
        <v>19.8718</v>
      </c>
      <c r="CH138">
        <v>19.658100000000001</v>
      </c>
      <c r="CI138">
        <v>15.384600000000001</v>
      </c>
      <c r="CK138">
        <v>8</v>
      </c>
      <c r="CL138" t="s">
        <v>4</v>
      </c>
      <c r="CM138" t="s">
        <v>98</v>
      </c>
      <c r="CN138" t="s">
        <v>98</v>
      </c>
      <c r="CO138" t="s">
        <v>99</v>
      </c>
      <c r="CP138" t="s">
        <v>100</v>
      </c>
      <c r="CQ138">
        <v>137</v>
      </c>
      <c r="CR138" t="s">
        <v>100</v>
      </c>
      <c r="CS138" t="s">
        <v>100</v>
      </c>
      <c r="CT138" t="s">
        <v>152</v>
      </c>
      <c r="CU138" t="s">
        <v>102</v>
      </c>
      <c r="CV138" t="s">
        <v>100</v>
      </c>
    </row>
    <row r="139" spans="1:100">
      <c r="A139" s="3" t="s">
        <v>3629</v>
      </c>
      <c r="B139" s="4" t="s">
        <v>3630</v>
      </c>
      <c r="C139">
        <v>40.152340835355098</v>
      </c>
      <c r="D139">
        <v>181.132394996009</v>
      </c>
      <c r="E139">
        <f>-2.17366999252696</f>
        <v>-2.17366999252696</v>
      </c>
      <c r="F139">
        <v>2.6537927140882699E-4</v>
      </c>
      <c r="G139" t="s">
        <v>4</v>
      </c>
      <c r="H139">
        <v>40.152340835355098</v>
      </c>
      <c r="I139">
        <v>6.8231018311045704</v>
      </c>
      <c r="J139">
        <v>2.5431074142267498</v>
      </c>
      <c r="K139">
        <v>3.2091306937116998E-4</v>
      </c>
      <c r="L139" t="s">
        <v>4</v>
      </c>
      <c r="M139">
        <v>181.132394996009</v>
      </c>
      <c r="N139">
        <v>6.8231018311045704</v>
      </c>
      <c r="O139">
        <v>4.7167774067537103</v>
      </c>
      <c r="P139" s="5">
        <v>1.9318351884814401E-12</v>
      </c>
      <c r="Q139" t="s">
        <v>4</v>
      </c>
      <c r="R139" s="4" t="s">
        <v>87</v>
      </c>
      <c r="S139" t="s">
        <v>4</v>
      </c>
      <c r="T139" t="s">
        <v>92</v>
      </c>
      <c r="U139" t="s">
        <v>92</v>
      </c>
      <c r="V139" t="s">
        <v>92</v>
      </c>
      <c r="W139" t="s">
        <v>92</v>
      </c>
      <c r="X139" t="s">
        <v>4</v>
      </c>
      <c r="Y139" t="s">
        <v>3631</v>
      </c>
      <c r="Z139" t="s">
        <v>3632</v>
      </c>
      <c r="AA139" t="s">
        <v>3633</v>
      </c>
      <c r="AB139" t="s">
        <v>4</v>
      </c>
      <c r="AC139" s="3" t="s">
        <v>3634</v>
      </c>
      <c r="AD139" t="s">
        <v>4</v>
      </c>
      <c r="AE139" t="s">
        <v>3635</v>
      </c>
      <c r="AF139" t="s">
        <v>3636</v>
      </c>
      <c r="AG139" t="s">
        <v>2197</v>
      </c>
      <c r="AH139" t="s">
        <v>112</v>
      </c>
      <c r="AU139" t="s">
        <v>112</v>
      </c>
      <c r="AV139" t="s">
        <v>3637</v>
      </c>
      <c r="AW139" t="s">
        <v>114</v>
      </c>
      <c r="AX139" t="s">
        <v>144</v>
      </c>
      <c r="AY139" t="s">
        <v>3638</v>
      </c>
      <c r="AZ139" t="s">
        <v>4</v>
      </c>
      <c r="BA139" s="3" t="s">
        <v>95</v>
      </c>
      <c r="BB139" s="6" t="s">
        <v>95</v>
      </c>
      <c r="BC139" s="3" t="s">
        <v>95</v>
      </c>
      <c r="BD139" t="s">
        <v>4</v>
      </c>
      <c r="BE139">
        <v>4795</v>
      </c>
      <c r="BF139" t="s">
        <v>282</v>
      </c>
      <c r="BG139">
        <v>93.132999999999996</v>
      </c>
      <c r="BH139">
        <v>93.991399999999999</v>
      </c>
      <c r="BJ139">
        <v>60.085799999999999</v>
      </c>
      <c r="BP139">
        <v>54.935600000000001</v>
      </c>
      <c r="BQ139">
        <v>42.918500000000002</v>
      </c>
      <c r="BR139">
        <v>49.356200000000001</v>
      </c>
      <c r="BS139">
        <v>42.4893</v>
      </c>
      <c r="BT139" t="s">
        <v>3639</v>
      </c>
      <c r="BU139">
        <v>32.618000000000002</v>
      </c>
      <c r="BV139" t="s">
        <v>3640</v>
      </c>
      <c r="BX139">
        <v>34.764000000000003</v>
      </c>
      <c r="BZ139">
        <v>24.4635</v>
      </c>
      <c r="CA139">
        <v>48.497900000000001</v>
      </c>
      <c r="CB139" t="s">
        <v>3641</v>
      </c>
      <c r="CC139">
        <v>41.630899999999997</v>
      </c>
      <c r="CD139" t="s">
        <v>3642</v>
      </c>
      <c r="CK139">
        <v>6</v>
      </c>
      <c r="CL139" t="s">
        <v>4</v>
      </c>
      <c r="CM139" t="s">
        <v>3643</v>
      </c>
      <c r="CN139" t="s">
        <v>3644</v>
      </c>
      <c r="CO139" t="s">
        <v>99</v>
      </c>
      <c r="CP139" t="s">
        <v>100</v>
      </c>
      <c r="CQ139">
        <v>138</v>
      </c>
      <c r="CR139" t="s">
        <v>100</v>
      </c>
      <c r="CS139" t="s">
        <v>101</v>
      </c>
      <c r="CT139" t="s">
        <v>152</v>
      </c>
      <c r="CU139" t="s">
        <v>102</v>
      </c>
      <c r="CV139" t="s">
        <v>100</v>
      </c>
    </row>
    <row r="140" spans="1:100">
      <c r="A140" s="3" t="s">
        <v>3645</v>
      </c>
      <c r="B140" s="4" t="s">
        <v>3646</v>
      </c>
      <c r="C140">
        <v>0.48851973162071799</v>
      </c>
      <c r="D140">
        <v>16.541208231943902</v>
      </c>
      <c r="E140">
        <f>-5.05497013707861</f>
        <v>-5.0549701370786098</v>
      </c>
      <c r="F140">
        <v>4.5603086735827598E-3</v>
      </c>
      <c r="G140" t="s">
        <v>4</v>
      </c>
      <c r="H140">
        <v>0.48851973162071799</v>
      </c>
      <c r="I140">
        <v>0</v>
      </c>
      <c r="J140">
        <v>0.93936175677246003</v>
      </c>
      <c r="K140">
        <v>0.69425718774106904</v>
      </c>
      <c r="L140" t="s">
        <v>4</v>
      </c>
      <c r="M140">
        <v>16.541208231943902</v>
      </c>
      <c r="N140">
        <v>0</v>
      </c>
      <c r="O140">
        <v>5.9943318938510703</v>
      </c>
      <c r="P140">
        <v>8.9706377824336897E-4</v>
      </c>
      <c r="Q140" t="s">
        <v>4</v>
      </c>
      <c r="R140" s="4" t="s">
        <v>87</v>
      </c>
      <c r="S140" t="s">
        <v>4</v>
      </c>
      <c r="T140" t="s">
        <v>88</v>
      </c>
      <c r="U140" t="s">
        <v>89</v>
      </c>
      <c r="V140" t="s">
        <v>90</v>
      </c>
      <c r="W140" t="s">
        <v>91</v>
      </c>
      <c r="X140" t="s">
        <v>4</v>
      </c>
      <c r="Y140" t="s">
        <v>1355</v>
      </c>
      <c r="Z140" t="s">
        <v>1356</v>
      </c>
      <c r="AA140" t="s">
        <v>1357</v>
      </c>
      <c r="AB140" t="s">
        <v>4</v>
      </c>
      <c r="AC140" s="3" t="s">
        <v>3647</v>
      </c>
      <c r="AD140" t="s">
        <v>4</v>
      </c>
      <c r="AE140" s="4" t="s">
        <v>94</v>
      </c>
      <c r="AZ140" t="s">
        <v>4</v>
      </c>
      <c r="BA140" s="3" t="s">
        <v>95</v>
      </c>
      <c r="BB140" t="s">
        <v>96</v>
      </c>
      <c r="BC140" s="3" t="s">
        <v>95</v>
      </c>
      <c r="BD140" t="s">
        <v>4</v>
      </c>
      <c r="BE140">
        <v>1126</v>
      </c>
      <c r="BF140" t="s">
        <v>151</v>
      </c>
      <c r="BL140">
        <v>54.216900000000003</v>
      </c>
      <c r="CK140">
        <v>2</v>
      </c>
      <c r="CL140" t="s">
        <v>4</v>
      </c>
      <c r="CM140" t="s">
        <v>98</v>
      </c>
      <c r="CN140" t="s">
        <v>98</v>
      </c>
      <c r="CO140" t="s">
        <v>99</v>
      </c>
      <c r="CP140" t="s">
        <v>100</v>
      </c>
      <c r="CQ140">
        <v>139</v>
      </c>
      <c r="CR140" t="s">
        <v>100</v>
      </c>
      <c r="CS140" t="s">
        <v>100</v>
      </c>
      <c r="CT140" t="s">
        <v>152</v>
      </c>
      <c r="CU140" t="s">
        <v>102</v>
      </c>
      <c r="CV140" t="s">
        <v>100</v>
      </c>
    </row>
    <row r="141" spans="1:100">
      <c r="A141" s="3" t="s">
        <v>3648</v>
      </c>
      <c r="B141" s="4" t="s">
        <v>3649</v>
      </c>
      <c r="C141">
        <v>341.77224516852601</v>
      </c>
      <c r="D141">
        <v>3638.37348521787</v>
      </c>
      <c r="E141">
        <f>-3.41190174844235</f>
        <v>-3.4119017484423502</v>
      </c>
      <c r="F141" s="5">
        <v>8.88784090681213E-12</v>
      </c>
      <c r="G141" t="s">
        <v>4</v>
      </c>
      <c r="H141">
        <v>341.77224516852601</v>
      </c>
      <c r="I141">
        <v>144.61753505102101</v>
      </c>
      <c r="J141">
        <v>1.2478291724507999</v>
      </c>
      <c r="K141">
        <v>1.8187838161879698E-2</v>
      </c>
      <c r="L141" t="s">
        <v>4</v>
      </c>
      <c r="M141">
        <v>3638.37348521787</v>
      </c>
      <c r="N141">
        <v>144.61753505102101</v>
      </c>
      <c r="O141">
        <v>4.6597309208931499</v>
      </c>
      <c r="P141" s="5">
        <v>1.7585810957423499E-21</v>
      </c>
      <c r="Q141" t="s">
        <v>4</v>
      </c>
      <c r="R141" s="4" t="s">
        <v>87</v>
      </c>
      <c r="S141" t="s">
        <v>4</v>
      </c>
      <c r="T141" t="s">
        <v>3650</v>
      </c>
      <c r="U141" t="s">
        <v>3651</v>
      </c>
      <c r="V141" t="s">
        <v>3652</v>
      </c>
      <c r="W141" t="s">
        <v>203</v>
      </c>
      <c r="X141" t="s">
        <v>4</v>
      </c>
      <c r="Y141" t="s">
        <v>3653</v>
      </c>
      <c r="Z141" t="s">
        <v>3654</v>
      </c>
      <c r="AA141" t="s">
        <v>3655</v>
      </c>
      <c r="AB141" t="s">
        <v>4</v>
      </c>
      <c r="AC141" s="3" t="s">
        <v>3656</v>
      </c>
      <c r="AD141" t="s">
        <v>4</v>
      </c>
      <c r="AE141" t="s">
        <v>3657</v>
      </c>
      <c r="AF141" t="s">
        <v>3658</v>
      </c>
      <c r="AG141" t="s">
        <v>3659</v>
      </c>
      <c r="AH141" t="s">
        <v>112</v>
      </c>
      <c r="AJ141" t="s">
        <v>3660</v>
      </c>
      <c r="AK141" t="s">
        <v>3661</v>
      </c>
      <c r="AL141" t="s">
        <v>3662</v>
      </c>
      <c r="AM141" t="s">
        <v>3663</v>
      </c>
      <c r="AO141" t="s">
        <v>3664</v>
      </c>
      <c r="AP141" t="s">
        <v>3665</v>
      </c>
      <c r="AQ141" t="s">
        <v>342</v>
      </c>
      <c r="AU141" t="s">
        <v>112</v>
      </c>
      <c r="AV141" t="s">
        <v>3666</v>
      </c>
      <c r="AW141" t="s">
        <v>114</v>
      </c>
      <c r="AX141" t="s">
        <v>132</v>
      </c>
      <c r="AY141" t="s">
        <v>3667</v>
      </c>
      <c r="AZ141" t="s">
        <v>4</v>
      </c>
      <c r="BA141" s="3" t="s">
        <v>95</v>
      </c>
      <c r="BB141" s="6" t="s">
        <v>95</v>
      </c>
      <c r="BC141" s="3" t="s">
        <v>95</v>
      </c>
      <c r="BD141" t="s">
        <v>4</v>
      </c>
      <c r="BE141">
        <v>6172</v>
      </c>
      <c r="BF141" t="s">
        <v>213</v>
      </c>
      <c r="BG141">
        <v>99.411799999999999</v>
      </c>
      <c r="BH141">
        <v>88.382400000000004</v>
      </c>
      <c r="BI141">
        <v>88.235299999999995</v>
      </c>
      <c r="BJ141" t="s">
        <v>3668</v>
      </c>
      <c r="BK141">
        <v>63.235300000000002</v>
      </c>
      <c r="BL141">
        <v>83.235299999999995</v>
      </c>
      <c r="BM141">
        <v>83.088200000000001</v>
      </c>
      <c r="BN141">
        <v>83.088200000000001</v>
      </c>
      <c r="BO141">
        <v>82.647099999999995</v>
      </c>
      <c r="BP141" t="s">
        <v>3669</v>
      </c>
      <c r="BQ141">
        <v>52.5</v>
      </c>
      <c r="BR141">
        <v>50.147100000000002</v>
      </c>
      <c r="BS141" t="s">
        <v>3670</v>
      </c>
      <c r="BT141">
        <v>52.7941</v>
      </c>
      <c r="BU141" t="s">
        <v>3671</v>
      </c>
      <c r="BV141" t="s">
        <v>3672</v>
      </c>
      <c r="BW141">
        <v>55.2941</v>
      </c>
      <c r="BX141">
        <v>58.529400000000003</v>
      </c>
      <c r="BY141">
        <v>37.2059</v>
      </c>
      <c r="BZ141">
        <v>55.2941</v>
      </c>
      <c r="CA141">
        <v>54.264699999999998</v>
      </c>
      <c r="CB141">
        <v>23.529399999999999</v>
      </c>
      <c r="CE141">
        <v>27.941199999999998</v>
      </c>
      <c r="CG141">
        <v>37.941200000000002</v>
      </c>
      <c r="CH141">
        <v>37.7941</v>
      </c>
      <c r="CI141">
        <v>37.7941</v>
      </c>
      <c r="CK141">
        <v>8</v>
      </c>
      <c r="CL141" t="s">
        <v>4</v>
      </c>
      <c r="CM141" t="s">
        <v>3673</v>
      </c>
      <c r="CN141" t="s">
        <v>3674</v>
      </c>
      <c r="CO141" t="s">
        <v>99</v>
      </c>
      <c r="CP141" t="s">
        <v>100</v>
      </c>
      <c r="CQ141">
        <v>140</v>
      </c>
      <c r="CR141" t="s">
        <v>100</v>
      </c>
      <c r="CS141" s="7" t="s">
        <v>101</v>
      </c>
      <c r="CT141" t="s">
        <v>152</v>
      </c>
      <c r="CU141" t="s">
        <v>102</v>
      </c>
      <c r="CV141" t="s">
        <v>100</v>
      </c>
    </row>
    <row r="142" spans="1:100">
      <c r="A142" s="3" t="s">
        <v>3675</v>
      </c>
      <c r="B142" s="4" t="s">
        <v>3676</v>
      </c>
      <c r="C142">
        <v>1309.3780496783199</v>
      </c>
      <c r="D142">
        <v>7213.7832134406799</v>
      </c>
      <c r="E142">
        <f>-2.46189240500826</f>
        <v>-2.46189240500826</v>
      </c>
      <c r="F142" s="5">
        <v>1.68104533667415E-44</v>
      </c>
      <c r="G142" t="s">
        <v>4</v>
      </c>
      <c r="H142">
        <v>1309.3780496783199</v>
      </c>
      <c r="I142">
        <v>964.68430527802798</v>
      </c>
      <c r="J142">
        <v>0.44122524412978398</v>
      </c>
      <c r="K142">
        <v>2.1045482991923301E-2</v>
      </c>
      <c r="L142" t="s">
        <v>4</v>
      </c>
      <c r="M142">
        <v>7213.7832134406799</v>
      </c>
      <c r="N142">
        <v>964.68430527802798</v>
      </c>
      <c r="O142">
        <v>2.9031176491380499</v>
      </c>
      <c r="P142" s="5">
        <v>6.1026337035963103E-62</v>
      </c>
      <c r="Q142" t="s">
        <v>4</v>
      </c>
      <c r="R142" s="4" t="s">
        <v>87</v>
      </c>
      <c r="S142" t="s">
        <v>4</v>
      </c>
      <c r="T142" t="s">
        <v>1570</v>
      </c>
      <c r="U142" t="s">
        <v>1571</v>
      </c>
      <c r="V142" t="s">
        <v>1572</v>
      </c>
      <c r="W142" t="s">
        <v>328</v>
      </c>
      <c r="X142" t="s">
        <v>4</v>
      </c>
      <c r="Y142" t="s">
        <v>3677</v>
      </c>
      <c r="Z142" t="s">
        <v>3678</v>
      </c>
      <c r="AA142" t="s">
        <v>3679</v>
      </c>
      <c r="AB142" t="s">
        <v>4</v>
      </c>
      <c r="AC142" s="3" t="s">
        <v>3680</v>
      </c>
      <c r="AD142" t="s">
        <v>4</v>
      </c>
      <c r="AE142" t="s">
        <v>3681</v>
      </c>
      <c r="AF142" t="s">
        <v>3682</v>
      </c>
      <c r="AG142" t="s">
        <v>3683</v>
      </c>
      <c r="AH142" t="s">
        <v>112</v>
      </c>
      <c r="AL142" t="s">
        <v>3684</v>
      </c>
      <c r="AQ142" t="s">
        <v>1003</v>
      </c>
      <c r="AU142" t="s">
        <v>112</v>
      </c>
      <c r="AV142" t="s">
        <v>3685</v>
      </c>
      <c r="AW142" t="s">
        <v>114</v>
      </c>
      <c r="AX142" t="s">
        <v>371</v>
      </c>
      <c r="AY142" t="s">
        <v>3686</v>
      </c>
      <c r="AZ142" t="s">
        <v>4</v>
      </c>
      <c r="BA142" s="3" t="s">
        <v>95</v>
      </c>
      <c r="BB142" s="6" t="s">
        <v>95</v>
      </c>
      <c r="BC142" s="3" t="s">
        <v>95</v>
      </c>
      <c r="BD142" t="s">
        <v>4</v>
      </c>
      <c r="BE142">
        <v>6176</v>
      </c>
      <c r="BF142" t="s">
        <v>213</v>
      </c>
      <c r="BG142">
        <v>99.369100000000003</v>
      </c>
      <c r="BH142">
        <v>60.883299999999998</v>
      </c>
      <c r="BI142">
        <v>96.845399999999998</v>
      </c>
      <c r="BJ142">
        <v>92.113600000000005</v>
      </c>
      <c r="BK142">
        <v>89.9054</v>
      </c>
      <c r="BL142">
        <v>87.381699999999995</v>
      </c>
      <c r="BM142">
        <v>87.066199999999995</v>
      </c>
      <c r="BN142">
        <v>87.381699999999995</v>
      </c>
      <c r="BO142">
        <v>88.643500000000003</v>
      </c>
      <c r="BP142">
        <v>62.145099999999999</v>
      </c>
      <c r="BQ142">
        <v>48.580399999999997</v>
      </c>
      <c r="BR142">
        <v>54.889600000000002</v>
      </c>
      <c r="BS142">
        <v>53.627800000000001</v>
      </c>
      <c r="BT142">
        <v>49.842300000000002</v>
      </c>
      <c r="BU142">
        <v>44.479500000000002</v>
      </c>
      <c r="BV142" t="s">
        <v>3687</v>
      </c>
      <c r="BW142">
        <v>42.586799999999997</v>
      </c>
      <c r="BX142">
        <v>51.734999999999999</v>
      </c>
      <c r="BZ142">
        <v>52.681399999999996</v>
      </c>
      <c r="CA142">
        <v>51.104100000000003</v>
      </c>
      <c r="CB142">
        <v>42.902200000000001</v>
      </c>
      <c r="CC142">
        <v>35.9621</v>
      </c>
      <c r="CD142">
        <v>34.384900000000002</v>
      </c>
      <c r="CG142" t="s">
        <v>3688</v>
      </c>
      <c r="CH142" t="s">
        <v>3689</v>
      </c>
      <c r="CI142" t="s">
        <v>3690</v>
      </c>
      <c r="CK142">
        <v>8</v>
      </c>
      <c r="CL142" t="s">
        <v>4</v>
      </c>
      <c r="CM142" t="s">
        <v>3691</v>
      </c>
      <c r="CN142" t="s">
        <v>3692</v>
      </c>
      <c r="CO142" t="s">
        <v>219</v>
      </c>
      <c r="CP142" t="s">
        <v>100</v>
      </c>
      <c r="CQ142">
        <v>141</v>
      </c>
      <c r="CR142" t="s">
        <v>100</v>
      </c>
      <c r="CS142" t="s">
        <v>100</v>
      </c>
      <c r="CT142" t="s">
        <v>152</v>
      </c>
      <c r="CU142" t="s">
        <v>102</v>
      </c>
      <c r="CV142" t="s">
        <v>100</v>
      </c>
    </row>
    <row r="143" spans="1:100">
      <c r="A143" s="3" t="s">
        <v>3693</v>
      </c>
      <c r="B143" s="4" t="s">
        <v>3694</v>
      </c>
      <c r="C143">
        <v>1621.40358658946</v>
      </c>
      <c r="D143">
        <v>8669.0302585742502</v>
      </c>
      <c r="E143">
        <f>-2.41842623275144</f>
        <v>-2.4184262327514401</v>
      </c>
      <c r="F143" s="5">
        <v>1.7747441506563799E-17</v>
      </c>
      <c r="G143" t="s">
        <v>4</v>
      </c>
      <c r="H143">
        <v>1621.40358658946</v>
      </c>
      <c r="I143">
        <v>1071.08683073975</v>
      </c>
      <c r="J143">
        <v>0.59775241448337202</v>
      </c>
      <c r="K143">
        <v>4.9192804172052199E-2</v>
      </c>
      <c r="L143" t="s">
        <v>4</v>
      </c>
      <c r="M143">
        <v>8669.0302585742502</v>
      </c>
      <c r="N143">
        <v>1071.08683073975</v>
      </c>
      <c r="O143">
        <v>3.0161786472348102</v>
      </c>
      <c r="P143" s="5">
        <v>2.0861331920061001E-27</v>
      </c>
      <c r="Q143" t="s">
        <v>4</v>
      </c>
      <c r="R143" s="4" t="s">
        <v>87</v>
      </c>
      <c r="S143" t="s">
        <v>4</v>
      </c>
      <c r="T143" t="s">
        <v>3695</v>
      </c>
      <c r="U143" t="s">
        <v>3696</v>
      </c>
      <c r="V143" t="s">
        <v>3697</v>
      </c>
      <c r="W143" t="s">
        <v>203</v>
      </c>
      <c r="X143" t="s">
        <v>4</v>
      </c>
      <c r="Y143" t="s">
        <v>3698</v>
      </c>
      <c r="Z143" t="s">
        <v>3699</v>
      </c>
      <c r="AA143" t="s">
        <v>3700</v>
      </c>
      <c r="AB143" t="s">
        <v>4</v>
      </c>
      <c r="AC143" s="3" t="s">
        <v>3701</v>
      </c>
      <c r="AD143" t="s">
        <v>4</v>
      </c>
      <c r="AE143" t="s">
        <v>3702</v>
      </c>
      <c r="AF143" t="s">
        <v>834</v>
      </c>
      <c r="AG143" t="s">
        <v>3703</v>
      </c>
      <c r="AH143" t="s">
        <v>112</v>
      </c>
      <c r="AK143" t="s">
        <v>3704</v>
      </c>
      <c r="AL143" t="s">
        <v>3705</v>
      </c>
      <c r="AM143" t="s">
        <v>3706</v>
      </c>
      <c r="AQ143" t="s">
        <v>342</v>
      </c>
      <c r="AU143" t="s">
        <v>112</v>
      </c>
      <c r="AV143" t="s">
        <v>3707</v>
      </c>
      <c r="AW143" t="s">
        <v>114</v>
      </c>
      <c r="AX143" t="s">
        <v>345</v>
      </c>
      <c r="AY143" t="s">
        <v>3708</v>
      </c>
      <c r="AZ143" t="s">
        <v>4</v>
      </c>
      <c r="BA143" s="3" t="s">
        <v>95</v>
      </c>
      <c r="BB143" s="6" t="s">
        <v>95</v>
      </c>
      <c r="BC143" s="3" t="s">
        <v>197</v>
      </c>
      <c r="BD143" t="s">
        <v>4</v>
      </c>
      <c r="BE143">
        <v>6183</v>
      </c>
      <c r="BF143" t="s">
        <v>213</v>
      </c>
      <c r="BG143">
        <v>90.888900000000007</v>
      </c>
      <c r="BH143" t="s">
        <v>3709</v>
      </c>
      <c r="BI143">
        <v>92</v>
      </c>
      <c r="BJ143">
        <v>81.666700000000006</v>
      </c>
      <c r="BK143">
        <v>72.888900000000007</v>
      </c>
      <c r="BL143">
        <v>79</v>
      </c>
      <c r="BM143">
        <v>80.666700000000006</v>
      </c>
      <c r="BN143">
        <v>80.777799999999999</v>
      </c>
      <c r="BO143">
        <v>43.555599999999998</v>
      </c>
      <c r="BP143">
        <v>49.666699999999999</v>
      </c>
      <c r="BQ143">
        <v>34.777799999999999</v>
      </c>
      <c r="BR143">
        <v>39.222200000000001</v>
      </c>
      <c r="BS143">
        <v>2.88889</v>
      </c>
      <c r="BT143">
        <v>26.333300000000001</v>
      </c>
      <c r="BU143">
        <v>32.777799999999999</v>
      </c>
      <c r="BV143" t="s">
        <v>3710</v>
      </c>
      <c r="BW143">
        <v>41.1111</v>
      </c>
      <c r="BX143">
        <v>42.8889</v>
      </c>
      <c r="BY143" t="s">
        <v>3711</v>
      </c>
      <c r="BZ143" t="s">
        <v>3712</v>
      </c>
      <c r="CA143">
        <v>41</v>
      </c>
      <c r="CB143">
        <v>25</v>
      </c>
      <c r="CC143" t="s">
        <v>3713</v>
      </c>
      <c r="CD143" t="s">
        <v>3714</v>
      </c>
      <c r="CE143">
        <v>21.777799999999999</v>
      </c>
      <c r="CF143">
        <v>22.8889</v>
      </c>
      <c r="CG143">
        <v>25.222200000000001</v>
      </c>
      <c r="CH143">
        <v>25.666699999999999</v>
      </c>
      <c r="CI143">
        <v>32.222200000000001</v>
      </c>
      <c r="CK143">
        <v>8</v>
      </c>
      <c r="CL143" t="s">
        <v>4</v>
      </c>
      <c r="CM143" t="s">
        <v>3715</v>
      </c>
      <c r="CN143">
        <v>41</v>
      </c>
      <c r="CO143" t="s">
        <v>1218</v>
      </c>
      <c r="CP143" t="s">
        <v>100</v>
      </c>
      <c r="CQ143">
        <v>142</v>
      </c>
      <c r="CR143" t="s">
        <v>100</v>
      </c>
      <c r="CS143" t="s">
        <v>100</v>
      </c>
      <c r="CT143" t="s">
        <v>152</v>
      </c>
      <c r="CU143" t="s">
        <v>102</v>
      </c>
      <c r="CV143" t="s">
        <v>100</v>
      </c>
    </row>
    <row r="144" spans="1:100">
      <c r="A144" s="3" t="s">
        <v>3716</v>
      </c>
      <c r="B144" s="4" t="s">
        <v>3717</v>
      </c>
      <c r="C144">
        <v>123.86663636936299</v>
      </c>
      <c r="D144">
        <v>1799.7513420226301</v>
      </c>
      <c r="E144">
        <f>-3.85974310778007</f>
        <v>-3.8597431077800701</v>
      </c>
      <c r="F144" s="5">
        <v>6.6184161119643096E-13</v>
      </c>
      <c r="G144" t="s">
        <v>4</v>
      </c>
      <c r="H144">
        <v>123.86663636936299</v>
      </c>
      <c r="I144">
        <v>56.341060703605599</v>
      </c>
      <c r="J144">
        <v>1.15142661833097</v>
      </c>
      <c r="K144">
        <v>4.9282042583165597E-2</v>
      </c>
      <c r="L144" t="s">
        <v>4</v>
      </c>
      <c r="M144">
        <v>1799.7513420226301</v>
      </c>
      <c r="N144">
        <v>56.341060703605599</v>
      </c>
      <c r="O144">
        <v>5.0111697261110404</v>
      </c>
      <c r="P144" s="5">
        <v>7.2793400012907797E-21</v>
      </c>
      <c r="Q144" t="s">
        <v>4</v>
      </c>
      <c r="R144" s="4" t="s">
        <v>87</v>
      </c>
      <c r="S144" t="s">
        <v>4</v>
      </c>
      <c r="T144" t="s">
        <v>3718</v>
      </c>
      <c r="U144" t="s">
        <v>3719</v>
      </c>
      <c r="V144" t="s">
        <v>3720</v>
      </c>
      <c r="W144" t="s">
        <v>328</v>
      </c>
      <c r="X144" t="s">
        <v>4</v>
      </c>
      <c r="Y144" t="s">
        <v>3721</v>
      </c>
      <c r="Z144" t="s">
        <v>3722</v>
      </c>
      <c r="AA144" t="s">
        <v>3723</v>
      </c>
      <c r="AB144" t="s">
        <v>4</v>
      </c>
      <c r="AC144" s="3" t="s">
        <v>1771</v>
      </c>
      <c r="AD144" t="s">
        <v>4</v>
      </c>
      <c r="AE144" t="s">
        <v>3724</v>
      </c>
      <c r="AF144" t="s">
        <v>3725</v>
      </c>
      <c r="AG144" t="s">
        <v>3726</v>
      </c>
      <c r="AH144" t="s">
        <v>386</v>
      </c>
      <c r="AU144" t="s">
        <v>112</v>
      </c>
      <c r="AV144" t="s">
        <v>3727</v>
      </c>
      <c r="AW144" t="s">
        <v>114</v>
      </c>
      <c r="AX144" t="s">
        <v>371</v>
      </c>
      <c r="AY144" t="s">
        <v>3728</v>
      </c>
      <c r="AZ144" t="s">
        <v>4</v>
      </c>
      <c r="BA144" s="3" t="s">
        <v>115</v>
      </c>
      <c r="BB144" s="6" t="s">
        <v>95</v>
      </c>
      <c r="BC144" s="3" t="s">
        <v>95</v>
      </c>
      <c r="BD144" t="s">
        <v>4</v>
      </c>
      <c r="BE144">
        <v>5367</v>
      </c>
      <c r="BF144" t="s">
        <v>386</v>
      </c>
      <c r="BG144">
        <v>92.156899999999993</v>
      </c>
      <c r="BH144">
        <v>29.803899999999999</v>
      </c>
      <c r="BI144">
        <v>77.647099999999995</v>
      </c>
      <c r="BJ144">
        <v>26.2745</v>
      </c>
      <c r="BK144">
        <v>52.1569</v>
      </c>
      <c r="BL144">
        <v>24.7059</v>
      </c>
      <c r="BM144">
        <v>46.666699999999999</v>
      </c>
      <c r="BN144">
        <v>45.490200000000002</v>
      </c>
      <c r="BO144">
        <v>20</v>
      </c>
      <c r="BP144">
        <v>20.784300000000002</v>
      </c>
      <c r="BQ144">
        <v>30.588200000000001</v>
      </c>
      <c r="BS144">
        <v>27.058800000000002</v>
      </c>
      <c r="BV144">
        <v>23.1373</v>
      </c>
      <c r="BW144">
        <v>28.627500000000001</v>
      </c>
      <c r="BX144" t="s">
        <v>3729</v>
      </c>
      <c r="BZ144" t="s">
        <v>3730</v>
      </c>
      <c r="CA144">
        <v>30.980399999999999</v>
      </c>
      <c r="CD144" t="s">
        <v>3731</v>
      </c>
      <c r="CE144">
        <v>24.7059</v>
      </c>
      <c r="CG144" t="s">
        <v>3732</v>
      </c>
      <c r="CH144" t="s">
        <v>3733</v>
      </c>
      <c r="CI144" t="s">
        <v>3734</v>
      </c>
      <c r="CK144">
        <v>7</v>
      </c>
      <c r="CL144" t="s">
        <v>4</v>
      </c>
      <c r="CM144" t="s">
        <v>3735</v>
      </c>
      <c r="CN144" t="s">
        <v>3736</v>
      </c>
      <c r="CO144" t="s">
        <v>99</v>
      </c>
      <c r="CP144" t="s">
        <v>100</v>
      </c>
      <c r="CQ144">
        <v>143</v>
      </c>
      <c r="CR144" t="s">
        <v>100</v>
      </c>
      <c r="CS144" s="7" t="s">
        <v>101</v>
      </c>
      <c r="CT144" t="s">
        <v>152</v>
      </c>
      <c r="CU144" t="s">
        <v>102</v>
      </c>
      <c r="CV144" t="s">
        <v>100</v>
      </c>
    </row>
    <row r="145" spans="1:100">
      <c r="A145" s="3" t="s">
        <v>3737</v>
      </c>
      <c r="B145" s="4" t="s">
        <v>3738</v>
      </c>
      <c r="C145">
        <v>569.253811857904</v>
      </c>
      <c r="D145">
        <v>4348.9099955714701</v>
      </c>
      <c r="E145">
        <f>-2.93303189785972</f>
        <v>-2.9330318978597201</v>
      </c>
      <c r="F145" s="5">
        <v>1.7797963392069E-33</v>
      </c>
      <c r="G145" t="s">
        <v>4</v>
      </c>
      <c r="H145">
        <v>569.253811857904</v>
      </c>
      <c r="I145">
        <v>177.00511247353199</v>
      </c>
      <c r="J145">
        <v>1.68463312586942</v>
      </c>
      <c r="K145" s="5">
        <v>5.3466996228871998E-11</v>
      </c>
      <c r="L145" t="s">
        <v>4</v>
      </c>
      <c r="M145">
        <v>4348.9099955714701</v>
      </c>
      <c r="N145">
        <v>177.00511247353199</v>
      </c>
      <c r="O145">
        <v>4.6176650237291401</v>
      </c>
      <c r="P145" s="5">
        <v>1.5868763133374699E-77</v>
      </c>
      <c r="Q145" t="s">
        <v>4</v>
      </c>
      <c r="R145" s="4" t="s">
        <v>87</v>
      </c>
      <c r="S145" t="s">
        <v>4</v>
      </c>
      <c r="T145" t="s">
        <v>3739</v>
      </c>
      <c r="U145" t="s">
        <v>3740</v>
      </c>
      <c r="V145" t="s">
        <v>3741</v>
      </c>
      <c r="W145" t="s">
        <v>976</v>
      </c>
      <c r="X145" t="s">
        <v>4</v>
      </c>
      <c r="Y145" t="s">
        <v>3742</v>
      </c>
      <c r="Z145" t="s">
        <v>3743</v>
      </c>
      <c r="AA145" t="s">
        <v>3744</v>
      </c>
      <c r="AB145" t="s">
        <v>4</v>
      </c>
      <c r="AC145" s="3" t="s">
        <v>3745</v>
      </c>
      <c r="AD145" t="s">
        <v>4</v>
      </c>
      <c r="AE145" t="s">
        <v>3746</v>
      </c>
      <c r="AF145" t="s">
        <v>834</v>
      </c>
      <c r="AG145" t="s">
        <v>3747</v>
      </c>
      <c r="AH145" t="s">
        <v>112</v>
      </c>
      <c r="AJ145" t="s">
        <v>3748</v>
      </c>
      <c r="AU145" t="s">
        <v>112</v>
      </c>
      <c r="AV145" t="s">
        <v>3749</v>
      </c>
      <c r="AW145" t="s">
        <v>114</v>
      </c>
      <c r="AX145" t="s">
        <v>596</v>
      </c>
      <c r="AY145" t="s">
        <v>3750</v>
      </c>
      <c r="AZ145" t="s">
        <v>4</v>
      </c>
      <c r="BA145" s="3" t="s">
        <v>95</v>
      </c>
      <c r="BB145" t="s">
        <v>96</v>
      </c>
      <c r="BC145" s="3" t="s">
        <v>95</v>
      </c>
      <c r="BD145" t="s">
        <v>4</v>
      </c>
      <c r="BE145">
        <v>4807</v>
      </c>
      <c r="BF145" t="s">
        <v>282</v>
      </c>
      <c r="BG145">
        <v>95.871600000000001</v>
      </c>
      <c r="BH145">
        <v>17.247699999999998</v>
      </c>
      <c r="BI145" t="s">
        <v>3751</v>
      </c>
      <c r="BJ145">
        <v>76.789000000000001</v>
      </c>
      <c r="BK145">
        <v>77.706400000000002</v>
      </c>
      <c r="BL145">
        <v>80.733900000000006</v>
      </c>
      <c r="BM145">
        <v>83.578000000000003</v>
      </c>
      <c r="BN145">
        <v>83.486199999999997</v>
      </c>
      <c r="BO145">
        <v>85.321100000000001</v>
      </c>
      <c r="BP145" t="s">
        <v>3752</v>
      </c>
      <c r="BQ145">
        <v>52.568800000000003</v>
      </c>
      <c r="BR145">
        <v>55.045900000000003</v>
      </c>
      <c r="BS145">
        <v>53.853200000000001</v>
      </c>
      <c r="BU145" t="s">
        <v>3753</v>
      </c>
      <c r="BV145" t="s">
        <v>3754</v>
      </c>
      <c r="BW145">
        <v>9.1743100000000002</v>
      </c>
      <c r="BX145">
        <v>55.137599999999999</v>
      </c>
      <c r="BY145" t="s">
        <v>3755</v>
      </c>
      <c r="BZ145">
        <v>47.706400000000002</v>
      </c>
      <c r="CA145">
        <v>52.110100000000003</v>
      </c>
      <c r="CB145">
        <v>12.660600000000001</v>
      </c>
      <c r="CC145">
        <v>22.293600000000001</v>
      </c>
      <c r="CD145">
        <v>29.724799999999998</v>
      </c>
      <c r="CF145" t="s">
        <v>3756</v>
      </c>
      <c r="CK145">
        <v>6</v>
      </c>
      <c r="CL145" t="s">
        <v>4</v>
      </c>
      <c r="CM145" t="s">
        <v>3757</v>
      </c>
      <c r="CN145" t="s">
        <v>3758</v>
      </c>
      <c r="CO145" t="s">
        <v>99</v>
      </c>
      <c r="CP145" t="s">
        <v>100</v>
      </c>
      <c r="CQ145">
        <v>144</v>
      </c>
      <c r="CR145" t="s">
        <v>100</v>
      </c>
      <c r="CS145" s="7" t="s">
        <v>101</v>
      </c>
      <c r="CT145" t="s">
        <v>152</v>
      </c>
      <c r="CU145" t="s">
        <v>102</v>
      </c>
      <c r="CV145" t="s">
        <v>100</v>
      </c>
    </row>
    <row r="146" spans="1:100">
      <c r="A146" s="3" t="s">
        <v>3759</v>
      </c>
      <c r="B146" s="4" t="s">
        <v>3760</v>
      </c>
      <c r="C146">
        <v>46.7690993311762</v>
      </c>
      <c r="D146">
        <v>236.49469124214301</v>
      </c>
      <c r="E146">
        <f>-2.33697652544915</f>
        <v>-2.3369765254491499</v>
      </c>
      <c r="F146" s="5">
        <v>1.37779214068708E-5</v>
      </c>
      <c r="G146" t="s">
        <v>4</v>
      </c>
      <c r="H146">
        <v>46.7690993311762</v>
      </c>
      <c r="I146">
        <v>29.348182883018701</v>
      </c>
      <c r="J146">
        <v>0.68336388647198998</v>
      </c>
      <c r="K146">
        <v>0.25643444263227799</v>
      </c>
      <c r="L146" t="s">
        <v>4</v>
      </c>
      <c r="M146">
        <v>236.49469124214301</v>
      </c>
      <c r="N146">
        <v>29.348182883018701</v>
      </c>
      <c r="O146">
        <v>3.0203404119211399</v>
      </c>
      <c r="P146" s="5">
        <v>1.89322329096175E-8</v>
      </c>
      <c r="Q146" t="s">
        <v>4</v>
      </c>
      <c r="R146" s="4" t="s">
        <v>87</v>
      </c>
      <c r="S146" t="s">
        <v>4</v>
      </c>
      <c r="T146" t="s">
        <v>360</v>
      </c>
      <c r="U146" t="s">
        <v>361</v>
      </c>
      <c r="V146" t="s">
        <v>362</v>
      </c>
      <c r="W146" t="s">
        <v>328</v>
      </c>
      <c r="X146" t="s">
        <v>4</v>
      </c>
      <c r="Y146" t="s">
        <v>363</v>
      </c>
      <c r="Z146" t="s">
        <v>364</v>
      </c>
      <c r="AA146" t="s">
        <v>365</v>
      </c>
      <c r="AB146" t="s">
        <v>4</v>
      </c>
      <c r="AC146" s="3" t="s">
        <v>3761</v>
      </c>
      <c r="AD146" t="s">
        <v>4</v>
      </c>
      <c r="AE146" t="s">
        <v>3762</v>
      </c>
      <c r="AF146" t="s">
        <v>3763</v>
      </c>
      <c r="AG146" t="s">
        <v>3764</v>
      </c>
      <c r="AH146" t="s">
        <v>638</v>
      </c>
      <c r="AJ146" t="s">
        <v>3765</v>
      </c>
      <c r="AL146" t="s">
        <v>3766</v>
      </c>
      <c r="AQ146" t="s">
        <v>1003</v>
      </c>
      <c r="AU146" t="s">
        <v>112</v>
      </c>
      <c r="AV146" t="s">
        <v>3767</v>
      </c>
      <c r="AW146" t="s">
        <v>114</v>
      </c>
      <c r="AX146" t="s">
        <v>371</v>
      </c>
      <c r="AY146" t="s">
        <v>3768</v>
      </c>
      <c r="AZ146" t="s">
        <v>4</v>
      </c>
      <c r="BA146" s="3" t="s">
        <v>95</v>
      </c>
      <c r="BB146" s="6" t="s">
        <v>95</v>
      </c>
      <c r="BC146" s="3" t="s">
        <v>95</v>
      </c>
      <c r="BD146" t="s">
        <v>4</v>
      </c>
      <c r="BE146">
        <v>5372</v>
      </c>
      <c r="BF146" t="s">
        <v>386</v>
      </c>
      <c r="BK146">
        <v>80.575500000000005</v>
      </c>
      <c r="BQ146">
        <v>37.769799999999996</v>
      </c>
      <c r="CA146">
        <v>32.374099999999999</v>
      </c>
      <c r="CC146">
        <v>21.942399999999999</v>
      </c>
      <c r="CD146">
        <v>17.985600000000002</v>
      </c>
      <c r="CG146" t="s">
        <v>3769</v>
      </c>
      <c r="CH146" t="s">
        <v>3770</v>
      </c>
      <c r="CK146">
        <v>7</v>
      </c>
      <c r="CL146" t="s">
        <v>4</v>
      </c>
      <c r="CM146" t="s">
        <v>3771</v>
      </c>
      <c r="CN146" t="s">
        <v>3772</v>
      </c>
      <c r="CO146" t="s">
        <v>1218</v>
      </c>
      <c r="CP146" t="s">
        <v>100</v>
      </c>
      <c r="CQ146">
        <v>145</v>
      </c>
      <c r="CR146" t="s">
        <v>100</v>
      </c>
      <c r="CS146" t="s">
        <v>100</v>
      </c>
      <c r="CT146" t="s">
        <v>152</v>
      </c>
      <c r="CU146" t="s">
        <v>102</v>
      </c>
      <c r="CV146" t="s">
        <v>100</v>
      </c>
    </row>
    <row r="147" spans="1:100">
      <c r="A147" s="3" t="s">
        <v>3773</v>
      </c>
      <c r="B147" s="4" t="s">
        <v>3774</v>
      </c>
      <c r="C147">
        <v>137.001216833684</v>
      </c>
      <c r="D147">
        <v>1429.1963628640201</v>
      </c>
      <c r="E147">
        <f>-3.3819973951984</f>
        <v>-3.3819973951983999</v>
      </c>
      <c r="F147" s="5">
        <v>1.3664889710108E-8</v>
      </c>
      <c r="G147" t="s">
        <v>4</v>
      </c>
      <c r="H147">
        <v>137.001216833684</v>
      </c>
      <c r="I147">
        <v>126.878102237685</v>
      </c>
      <c r="J147">
        <v>0.114108122236913</v>
      </c>
      <c r="K147">
        <v>0.87056885140423301</v>
      </c>
      <c r="L147" t="s">
        <v>4</v>
      </c>
      <c r="M147">
        <v>1429.1963628640201</v>
      </c>
      <c r="N147">
        <v>126.878102237685</v>
      </c>
      <c r="O147">
        <v>3.4961055174353102</v>
      </c>
      <c r="P147" s="5">
        <v>1.94568563561784E-9</v>
      </c>
      <c r="Q147" t="s">
        <v>4</v>
      </c>
      <c r="R147" s="4" t="s">
        <v>87</v>
      </c>
      <c r="S147" t="s">
        <v>4</v>
      </c>
      <c r="T147" t="s">
        <v>3775</v>
      </c>
      <c r="U147" t="s">
        <v>3776</v>
      </c>
      <c r="V147" t="s">
        <v>3777</v>
      </c>
      <c r="W147" t="s">
        <v>328</v>
      </c>
      <c r="X147" t="s">
        <v>4</v>
      </c>
      <c r="Y147" t="s">
        <v>3778</v>
      </c>
      <c r="Z147" t="s">
        <v>3779</v>
      </c>
      <c r="AA147" t="s">
        <v>3780</v>
      </c>
      <c r="AB147" t="s">
        <v>4</v>
      </c>
      <c r="AC147" s="3" t="s">
        <v>3781</v>
      </c>
      <c r="AD147" t="s">
        <v>4</v>
      </c>
      <c r="AE147" t="s">
        <v>3782</v>
      </c>
      <c r="AF147" t="s">
        <v>3783</v>
      </c>
      <c r="AG147" t="s">
        <v>3784</v>
      </c>
      <c r="AH147" t="s">
        <v>638</v>
      </c>
      <c r="AJ147" t="s">
        <v>3785</v>
      </c>
      <c r="AL147" t="s">
        <v>3491</v>
      </c>
      <c r="AQ147" t="s">
        <v>641</v>
      </c>
      <c r="AR147" t="s">
        <v>3492</v>
      </c>
      <c r="AU147" t="s">
        <v>112</v>
      </c>
      <c r="AV147" t="s">
        <v>3786</v>
      </c>
      <c r="AW147" t="s">
        <v>114</v>
      </c>
      <c r="AX147" t="s">
        <v>132</v>
      </c>
      <c r="AY147" t="s">
        <v>3494</v>
      </c>
      <c r="AZ147" t="s">
        <v>4</v>
      </c>
      <c r="BA147" s="3" t="s">
        <v>95</v>
      </c>
      <c r="BB147" t="s">
        <v>96</v>
      </c>
      <c r="BC147" s="3" t="s">
        <v>95</v>
      </c>
      <c r="BD147" t="s">
        <v>4</v>
      </c>
      <c r="BE147">
        <v>4813</v>
      </c>
      <c r="BF147" t="s">
        <v>282</v>
      </c>
      <c r="BG147">
        <v>99.163200000000003</v>
      </c>
      <c r="BH147">
        <v>52.5105</v>
      </c>
      <c r="BI147" t="s">
        <v>3787</v>
      </c>
      <c r="BJ147" t="s">
        <v>3788</v>
      </c>
      <c r="BK147">
        <v>40.376600000000003</v>
      </c>
      <c r="BL147">
        <v>18.828499999999998</v>
      </c>
      <c r="BM147">
        <v>44.351500000000001</v>
      </c>
      <c r="BN147" t="s">
        <v>3789</v>
      </c>
      <c r="BO147">
        <v>80.962299999999999</v>
      </c>
      <c r="BP147">
        <v>47.698700000000002</v>
      </c>
      <c r="BQ147">
        <v>49.163200000000003</v>
      </c>
      <c r="BR147">
        <v>59.204999999999998</v>
      </c>
      <c r="BW147" t="s">
        <v>3790</v>
      </c>
      <c r="BX147">
        <v>44.351500000000001</v>
      </c>
      <c r="BY147" t="s">
        <v>3791</v>
      </c>
      <c r="BZ147">
        <v>47.280299999999997</v>
      </c>
      <c r="CA147">
        <v>56.903799999999997</v>
      </c>
      <c r="CB147">
        <v>34.728000000000002</v>
      </c>
      <c r="CD147">
        <v>46.4435</v>
      </c>
      <c r="CK147">
        <v>6</v>
      </c>
      <c r="CL147" t="s">
        <v>4</v>
      </c>
      <c r="CM147" t="s">
        <v>3792</v>
      </c>
      <c r="CN147" t="s">
        <v>3793</v>
      </c>
      <c r="CO147" t="s">
        <v>219</v>
      </c>
      <c r="CP147" t="s">
        <v>100</v>
      </c>
      <c r="CQ147">
        <v>146</v>
      </c>
      <c r="CR147" t="s">
        <v>100</v>
      </c>
      <c r="CS147" t="s">
        <v>100</v>
      </c>
      <c r="CT147" t="s">
        <v>152</v>
      </c>
      <c r="CU147" t="s">
        <v>102</v>
      </c>
      <c r="CV147" t="s">
        <v>100</v>
      </c>
    </row>
    <row r="148" spans="1:100">
      <c r="A148" s="3" t="s">
        <v>3794</v>
      </c>
      <c r="B148" s="4" t="s">
        <v>3795</v>
      </c>
      <c r="C148">
        <v>2580.9676520766202</v>
      </c>
      <c r="D148">
        <v>13452.8778885103</v>
      </c>
      <c r="E148">
        <f>-2.38186536240092</f>
        <v>-2.3818653624009198</v>
      </c>
      <c r="F148" s="5">
        <v>4.6095232180500099E-24</v>
      </c>
      <c r="G148" t="s">
        <v>4</v>
      </c>
      <c r="H148">
        <v>2580.9676520766202</v>
      </c>
      <c r="I148">
        <v>2672.9431667141398</v>
      </c>
      <c r="J148">
        <f>0.0514228408889124</f>
        <v>5.1422840888912399E-2</v>
      </c>
      <c r="K148">
        <v>0.855121093606097</v>
      </c>
      <c r="L148" t="s">
        <v>4</v>
      </c>
      <c r="M148">
        <v>13452.8778885103</v>
      </c>
      <c r="N148">
        <v>2672.9431667141398</v>
      </c>
      <c r="O148">
        <v>2.3304425215120101</v>
      </c>
      <c r="P148" s="5">
        <v>9.2278925356968904E-24</v>
      </c>
      <c r="Q148" t="s">
        <v>4</v>
      </c>
      <c r="R148" s="4" t="s">
        <v>87</v>
      </c>
      <c r="S148" t="s">
        <v>4</v>
      </c>
      <c r="T148" t="s">
        <v>3796</v>
      </c>
      <c r="U148" t="s">
        <v>3797</v>
      </c>
      <c r="V148" t="s">
        <v>3798</v>
      </c>
      <c r="W148" t="s">
        <v>328</v>
      </c>
      <c r="X148" t="s">
        <v>4</v>
      </c>
      <c r="Y148" t="s">
        <v>3799</v>
      </c>
      <c r="Z148" t="s">
        <v>3800</v>
      </c>
      <c r="AA148" t="s">
        <v>3801</v>
      </c>
      <c r="AB148" t="s">
        <v>4</v>
      </c>
      <c r="AC148" s="3" t="s">
        <v>3802</v>
      </c>
      <c r="AD148" t="s">
        <v>4</v>
      </c>
      <c r="AE148" t="s">
        <v>3803</v>
      </c>
      <c r="AF148" t="s">
        <v>3804</v>
      </c>
      <c r="AG148" t="s">
        <v>3805</v>
      </c>
      <c r="AH148" t="s">
        <v>112</v>
      </c>
      <c r="AJ148" t="s">
        <v>3806</v>
      </c>
      <c r="AK148" t="s">
        <v>163</v>
      </c>
      <c r="AL148" t="s">
        <v>3807</v>
      </c>
      <c r="AM148" t="s">
        <v>3808</v>
      </c>
      <c r="AQ148" t="s">
        <v>3809</v>
      </c>
      <c r="AU148" t="s">
        <v>112</v>
      </c>
      <c r="AV148" t="s">
        <v>3810</v>
      </c>
      <c r="AW148" t="s">
        <v>114</v>
      </c>
      <c r="AX148" t="s">
        <v>132</v>
      </c>
      <c r="AY148" t="s">
        <v>3811</v>
      </c>
      <c r="AZ148" t="s">
        <v>4</v>
      </c>
      <c r="BA148" s="3" t="s">
        <v>115</v>
      </c>
      <c r="BB148" t="s">
        <v>96</v>
      </c>
      <c r="BC148" s="3" t="s">
        <v>197</v>
      </c>
      <c r="BD148" t="s">
        <v>4</v>
      </c>
      <c r="BE148">
        <v>8795</v>
      </c>
      <c r="BF148" t="s">
        <v>169</v>
      </c>
      <c r="BG148">
        <v>72.851200000000006</v>
      </c>
      <c r="BH148">
        <v>63.312399999999997</v>
      </c>
      <c r="BI148">
        <v>71.383600000000001</v>
      </c>
      <c r="BJ148" t="s">
        <v>3812</v>
      </c>
      <c r="BK148">
        <v>57.127899999999997</v>
      </c>
      <c r="BL148" t="s">
        <v>3813</v>
      </c>
      <c r="BM148">
        <v>29.2453</v>
      </c>
      <c r="BN148">
        <v>75.786199999999994</v>
      </c>
      <c r="BO148">
        <v>59.958100000000002</v>
      </c>
      <c r="BP148">
        <v>53.668799999999997</v>
      </c>
      <c r="BQ148" t="s">
        <v>3814</v>
      </c>
      <c r="BR148" t="s">
        <v>3815</v>
      </c>
      <c r="BV148" t="s">
        <v>3816</v>
      </c>
      <c r="BW148">
        <v>44.2348</v>
      </c>
      <c r="BX148" t="s">
        <v>3817</v>
      </c>
      <c r="BY148">
        <v>20.859500000000001</v>
      </c>
      <c r="BZ148">
        <v>26.624700000000001</v>
      </c>
      <c r="CA148">
        <v>43.8155</v>
      </c>
      <c r="CC148">
        <v>29.140499999999999</v>
      </c>
      <c r="CD148" t="s">
        <v>3818</v>
      </c>
      <c r="CE148" t="s">
        <v>3819</v>
      </c>
      <c r="CF148">
        <v>34.591200000000001</v>
      </c>
      <c r="CI148" t="s">
        <v>3820</v>
      </c>
      <c r="CK148">
        <v>9</v>
      </c>
      <c r="CL148" t="s">
        <v>4</v>
      </c>
      <c r="CM148" t="s">
        <v>3821</v>
      </c>
      <c r="CN148" t="s">
        <v>3822</v>
      </c>
      <c r="CO148" t="s">
        <v>219</v>
      </c>
      <c r="CP148" t="s">
        <v>100</v>
      </c>
      <c r="CQ148">
        <v>147</v>
      </c>
      <c r="CR148" t="s">
        <v>100</v>
      </c>
      <c r="CS148" t="s">
        <v>100</v>
      </c>
      <c r="CT148" t="s">
        <v>152</v>
      </c>
      <c r="CU148" t="s">
        <v>102</v>
      </c>
      <c r="CV148" t="s">
        <v>100</v>
      </c>
    </row>
    <row r="149" spans="1:100">
      <c r="A149" s="3" t="s">
        <v>3823</v>
      </c>
      <c r="B149" s="4" t="s">
        <v>3824</v>
      </c>
      <c r="C149">
        <v>1052.5378281313999</v>
      </c>
      <c r="D149">
        <v>5133.5553847451902</v>
      </c>
      <c r="E149">
        <f>-2.28555603564568</f>
        <v>-2.2855560356456799</v>
      </c>
      <c r="F149" s="5">
        <v>2.2386899929725299E-29</v>
      </c>
      <c r="G149" t="s">
        <v>4</v>
      </c>
      <c r="H149">
        <v>1052.5378281313999</v>
      </c>
      <c r="I149">
        <v>146.14850701446099</v>
      </c>
      <c r="J149">
        <v>2.8470334691724002</v>
      </c>
      <c r="K149" s="5">
        <v>1.54878772975488E-39</v>
      </c>
      <c r="L149" t="s">
        <v>4</v>
      </c>
      <c r="M149">
        <v>5133.5553847451902</v>
      </c>
      <c r="N149">
        <v>146.14850701446099</v>
      </c>
      <c r="O149">
        <v>5.1325895048180898</v>
      </c>
      <c r="P149" s="5">
        <v>1.34248802138776E-127</v>
      </c>
      <c r="Q149" t="s">
        <v>4</v>
      </c>
      <c r="R149" s="4" t="s">
        <v>87</v>
      </c>
      <c r="S149" t="s">
        <v>4</v>
      </c>
      <c r="T149" t="s">
        <v>88</v>
      </c>
      <c r="U149" t="s">
        <v>89</v>
      </c>
      <c r="V149" t="s">
        <v>90</v>
      </c>
      <c r="W149" t="s">
        <v>91</v>
      </c>
      <c r="X149" t="s">
        <v>4</v>
      </c>
      <c r="Y149" t="s">
        <v>3825</v>
      </c>
      <c r="Z149" t="s">
        <v>3826</v>
      </c>
      <c r="AA149" t="s">
        <v>3827</v>
      </c>
      <c r="AB149" t="s">
        <v>4</v>
      </c>
      <c r="AC149" s="3" t="s">
        <v>3828</v>
      </c>
      <c r="AD149" t="s">
        <v>4</v>
      </c>
      <c r="AE149" t="s">
        <v>3829</v>
      </c>
      <c r="AF149" t="s">
        <v>3830</v>
      </c>
      <c r="AG149" t="s">
        <v>3831</v>
      </c>
      <c r="AH149" t="s">
        <v>112</v>
      </c>
      <c r="AU149" t="s">
        <v>112</v>
      </c>
      <c r="AV149" t="s">
        <v>3832</v>
      </c>
      <c r="AW149" t="s">
        <v>114</v>
      </c>
      <c r="AZ149" t="s">
        <v>4</v>
      </c>
      <c r="BA149" s="3" t="s">
        <v>95</v>
      </c>
      <c r="BB149" t="s">
        <v>96</v>
      </c>
      <c r="BC149" s="3" t="s">
        <v>95</v>
      </c>
      <c r="BD149" t="s">
        <v>4</v>
      </c>
      <c r="BE149">
        <v>989</v>
      </c>
      <c r="BF149" t="s">
        <v>151</v>
      </c>
      <c r="BG149">
        <v>89.710599999999999</v>
      </c>
      <c r="CK149">
        <v>2</v>
      </c>
      <c r="CL149" t="s">
        <v>4</v>
      </c>
      <c r="CM149" t="s">
        <v>98</v>
      </c>
      <c r="CN149" t="s">
        <v>98</v>
      </c>
      <c r="CO149" t="s">
        <v>99</v>
      </c>
      <c r="CP149" t="s">
        <v>100</v>
      </c>
      <c r="CQ149">
        <v>148</v>
      </c>
      <c r="CR149" t="s">
        <v>100</v>
      </c>
      <c r="CS149" t="s">
        <v>101</v>
      </c>
      <c r="CT149" t="s">
        <v>152</v>
      </c>
      <c r="CU149" t="s">
        <v>102</v>
      </c>
      <c r="CV149" t="s">
        <v>100</v>
      </c>
    </row>
    <row r="150" spans="1:100">
      <c r="A150" s="3" t="s">
        <v>3833</v>
      </c>
      <c r="B150" s="4" t="s">
        <v>3834</v>
      </c>
      <c r="C150">
        <v>183.917992971648</v>
      </c>
      <c r="D150">
        <v>1187.40027682037</v>
      </c>
      <c r="E150">
        <f>-2.68911885433036</f>
        <v>-2.6891188543303599</v>
      </c>
      <c r="F150" s="5">
        <v>5.8147523985981104E-17</v>
      </c>
      <c r="G150" t="s">
        <v>4</v>
      </c>
      <c r="H150">
        <v>183.917992971648</v>
      </c>
      <c r="I150">
        <v>207.18276180939901</v>
      </c>
      <c r="J150">
        <f>0.166441977771975</f>
        <v>0.166441977771975</v>
      </c>
      <c r="K150">
        <v>0.66151160862917702</v>
      </c>
      <c r="L150" t="s">
        <v>4</v>
      </c>
      <c r="M150">
        <v>1187.40027682037</v>
      </c>
      <c r="N150">
        <v>207.18276180939901</v>
      </c>
      <c r="O150">
        <v>2.52267687655839</v>
      </c>
      <c r="P150" s="5">
        <v>2.3906424854215401E-15</v>
      </c>
      <c r="Q150" t="s">
        <v>4</v>
      </c>
      <c r="R150" s="4" t="s">
        <v>87</v>
      </c>
      <c r="S150" t="s">
        <v>4</v>
      </c>
      <c r="T150" t="s">
        <v>92</v>
      </c>
      <c r="U150" t="s">
        <v>92</v>
      </c>
      <c r="V150" t="s">
        <v>92</v>
      </c>
      <c r="W150" t="s">
        <v>92</v>
      </c>
      <c r="X150" t="s">
        <v>4</v>
      </c>
      <c r="Y150" t="s">
        <v>92</v>
      </c>
      <c r="Z150" t="s">
        <v>92</v>
      </c>
      <c r="AA150" t="s">
        <v>92</v>
      </c>
      <c r="AB150" t="s">
        <v>4</v>
      </c>
      <c r="AC150" s="3" t="s">
        <v>93</v>
      </c>
      <c r="AD150" t="s">
        <v>4</v>
      </c>
      <c r="AE150" t="s">
        <v>3064</v>
      </c>
      <c r="AF150" t="s">
        <v>3835</v>
      </c>
      <c r="AG150" t="s">
        <v>3836</v>
      </c>
      <c r="AH150" t="s">
        <v>112</v>
      </c>
      <c r="AL150" t="s">
        <v>3066</v>
      </c>
      <c r="AM150" t="s">
        <v>302</v>
      </c>
      <c r="AQ150" t="s">
        <v>303</v>
      </c>
      <c r="AU150" t="s">
        <v>112</v>
      </c>
      <c r="AV150" t="s">
        <v>3067</v>
      </c>
      <c r="AW150" t="s">
        <v>114</v>
      </c>
      <c r="AX150" t="s">
        <v>144</v>
      </c>
      <c r="AY150" t="s">
        <v>3068</v>
      </c>
      <c r="AZ150" t="s">
        <v>4</v>
      </c>
      <c r="BA150" s="3" t="s">
        <v>115</v>
      </c>
      <c r="BB150" s="6" t="s">
        <v>95</v>
      </c>
      <c r="BC150" s="3" t="s">
        <v>95</v>
      </c>
      <c r="BD150" t="s">
        <v>4</v>
      </c>
      <c r="BE150">
        <v>990</v>
      </c>
      <c r="BF150" t="s">
        <v>151</v>
      </c>
      <c r="BG150">
        <v>80</v>
      </c>
      <c r="BL150">
        <v>54.285699999999999</v>
      </c>
      <c r="CK150">
        <v>2</v>
      </c>
      <c r="CL150" t="s">
        <v>4</v>
      </c>
      <c r="CM150" t="s">
        <v>98</v>
      </c>
      <c r="CN150" t="s">
        <v>98</v>
      </c>
      <c r="CO150" t="s">
        <v>99</v>
      </c>
      <c r="CP150" t="s">
        <v>100</v>
      </c>
      <c r="CQ150">
        <v>149</v>
      </c>
      <c r="CR150" t="s">
        <v>100</v>
      </c>
      <c r="CS150" t="s">
        <v>100</v>
      </c>
      <c r="CT150" t="s">
        <v>152</v>
      </c>
      <c r="CU150" t="s">
        <v>102</v>
      </c>
      <c r="CV150" t="s">
        <v>100</v>
      </c>
    </row>
    <row r="151" spans="1:100">
      <c r="A151" s="3" t="s">
        <v>3837</v>
      </c>
      <c r="B151" s="4" t="s">
        <v>3838</v>
      </c>
      <c r="C151">
        <v>35.981587509566502</v>
      </c>
      <c r="D151">
        <v>228.17156506917399</v>
      </c>
      <c r="E151">
        <f>-2.66026859068163</f>
        <v>-2.6602685906816301</v>
      </c>
      <c r="F151" s="5">
        <v>2.1831125728735301E-12</v>
      </c>
      <c r="G151" t="s">
        <v>4</v>
      </c>
      <c r="H151">
        <v>35.981587509566502</v>
      </c>
      <c r="I151">
        <v>9.8804187524032496</v>
      </c>
      <c r="J151">
        <v>1.7863404778017899</v>
      </c>
      <c r="K151">
        <v>3.8934350566364502E-4</v>
      </c>
      <c r="L151" t="s">
        <v>4</v>
      </c>
      <c r="M151">
        <v>228.17156506917399</v>
      </c>
      <c r="N151">
        <v>9.8804187524032496</v>
      </c>
      <c r="O151">
        <v>4.4466090684834203</v>
      </c>
      <c r="P151" s="5">
        <v>1.2334636813441501E-21</v>
      </c>
      <c r="Q151" t="s">
        <v>4</v>
      </c>
      <c r="R151" s="4" t="s">
        <v>87</v>
      </c>
      <c r="S151" t="s">
        <v>4</v>
      </c>
      <c r="T151" t="s">
        <v>88</v>
      </c>
      <c r="U151" t="s">
        <v>89</v>
      </c>
      <c r="V151" t="s">
        <v>90</v>
      </c>
      <c r="W151" t="s">
        <v>91</v>
      </c>
      <c r="X151" t="s">
        <v>4</v>
      </c>
      <c r="Y151" t="s">
        <v>1801</v>
      </c>
      <c r="Z151" t="s">
        <v>1802</v>
      </c>
      <c r="AA151" t="s">
        <v>1803</v>
      </c>
      <c r="AB151" t="s">
        <v>4</v>
      </c>
      <c r="AC151" s="3" t="s">
        <v>3839</v>
      </c>
      <c r="AD151" t="s">
        <v>4</v>
      </c>
      <c r="AE151" t="s">
        <v>3840</v>
      </c>
      <c r="AF151" t="s">
        <v>3841</v>
      </c>
      <c r="AG151" t="s">
        <v>3842</v>
      </c>
      <c r="AH151" t="s">
        <v>112</v>
      </c>
      <c r="AJ151" t="s">
        <v>3843</v>
      </c>
      <c r="AU151" t="s">
        <v>112</v>
      </c>
      <c r="AV151" t="s">
        <v>3844</v>
      </c>
      <c r="AW151" t="s">
        <v>114</v>
      </c>
      <c r="AX151" t="s">
        <v>144</v>
      </c>
      <c r="AY151" t="s">
        <v>3750</v>
      </c>
      <c r="AZ151" t="s">
        <v>4</v>
      </c>
      <c r="BA151" s="3" t="s">
        <v>95</v>
      </c>
      <c r="BB151" t="s">
        <v>96</v>
      </c>
      <c r="BC151" s="3" t="s">
        <v>197</v>
      </c>
      <c r="BD151" t="s">
        <v>4</v>
      </c>
      <c r="BE151">
        <v>188</v>
      </c>
      <c r="BF151" t="s">
        <v>322</v>
      </c>
      <c r="CK151">
        <v>1</v>
      </c>
      <c r="CL151" t="s">
        <v>4</v>
      </c>
      <c r="CM151" t="s">
        <v>98</v>
      </c>
      <c r="CN151" t="s">
        <v>98</v>
      </c>
      <c r="CO151" t="s">
        <v>99</v>
      </c>
      <c r="CP151" t="s">
        <v>100</v>
      </c>
      <c r="CQ151">
        <v>150</v>
      </c>
      <c r="CR151" t="s">
        <v>100</v>
      </c>
      <c r="CS151" s="7" t="s">
        <v>101</v>
      </c>
      <c r="CT151" t="s">
        <v>152</v>
      </c>
      <c r="CU151" t="s">
        <v>102</v>
      </c>
      <c r="CV151" t="s">
        <v>100</v>
      </c>
    </row>
    <row r="152" spans="1:100">
      <c r="A152" s="3" t="s">
        <v>3845</v>
      </c>
      <c r="B152" s="4" t="s">
        <v>3846</v>
      </c>
      <c r="C152">
        <v>36.036617194161401</v>
      </c>
      <c r="D152">
        <v>518.24969076315699</v>
      </c>
      <c r="E152">
        <f>-3.84561299383708</f>
        <v>-3.8456129938370802</v>
      </c>
      <c r="F152" s="5">
        <v>9.7223900312594504E-20</v>
      </c>
      <c r="G152" t="s">
        <v>4</v>
      </c>
      <c r="H152">
        <v>36.036617194161401</v>
      </c>
      <c r="I152">
        <v>41.967018663061197</v>
      </c>
      <c r="J152">
        <f>0.22151293036978</f>
        <v>0.22151293036978001</v>
      </c>
      <c r="K152">
        <v>0.67312076515960995</v>
      </c>
      <c r="L152" t="s">
        <v>4</v>
      </c>
      <c r="M152">
        <v>518.24969076315699</v>
      </c>
      <c r="N152">
        <v>41.967018663061197</v>
      </c>
      <c r="O152">
        <v>3.6241000634673002</v>
      </c>
      <c r="P152" s="5">
        <v>2.1989206195389201E-17</v>
      </c>
      <c r="Q152" t="s">
        <v>4</v>
      </c>
      <c r="R152" s="4" t="s">
        <v>87</v>
      </c>
      <c r="S152" t="s">
        <v>4</v>
      </c>
      <c r="T152" t="s">
        <v>3847</v>
      </c>
      <c r="U152" t="s">
        <v>3848</v>
      </c>
      <c r="V152" t="s">
        <v>3849</v>
      </c>
      <c r="W152" t="s">
        <v>1845</v>
      </c>
      <c r="X152" t="s">
        <v>4</v>
      </c>
      <c r="Y152" t="s">
        <v>3850</v>
      </c>
      <c r="Z152" t="s">
        <v>3851</v>
      </c>
      <c r="AA152" t="s">
        <v>3852</v>
      </c>
      <c r="AB152" t="s">
        <v>4</v>
      </c>
      <c r="AC152" s="3" t="s">
        <v>3110</v>
      </c>
      <c r="AD152" t="s">
        <v>4</v>
      </c>
      <c r="AE152" s="4" t="s">
        <v>94</v>
      </c>
      <c r="AZ152" t="s">
        <v>4</v>
      </c>
      <c r="BA152" s="3" t="s">
        <v>95</v>
      </c>
      <c r="BB152" s="6" t="s">
        <v>95</v>
      </c>
      <c r="BC152" s="3" t="s">
        <v>95</v>
      </c>
      <c r="BD152" t="s">
        <v>4</v>
      </c>
      <c r="BE152">
        <v>992</v>
      </c>
      <c r="BF152" t="s">
        <v>151</v>
      </c>
      <c r="BI152">
        <v>65.833299999999994</v>
      </c>
      <c r="BJ152">
        <v>65.833299999999994</v>
      </c>
      <c r="BN152">
        <v>43.333300000000001</v>
      </c>
      <c r="BO152">
        <v>42.5</v>
      </c>
      <c r="CK152">
        <v>2</v>
      </c>
      <c r="CL152" t="s">
        <v>4</v>
      </c>
      <c r="CM152" t="s">
        <v>98</v>
      </c>
      <c r="CN152" t="s">
        <v>98</v>
      </c>
      <c r="CO152" t="s">
        <v>99</v>
      </c>
      <c r="CP152" t="s">
        <v>100</v>
      </c>
      <c r="CQ152">
        <v>151</v>
      </c>
      <c r="CR152" t="s">
        <v>100</v>
      </c>
      <c r="CS152" t="s">
        <v>100</v>
      </c>
      <c r="CT152" t="s">
        <v>152</v>
      </c>
      <c r="CU152" t="s">
        <v>102</v>
      </c>
      <c r="CV152" t="s">
        <v>100</v>
      </c>
    </row>
    <row r="153" spans="1:100">
      <c r="A153" s="3" t="s">
        <v>3853</v>
      </c>
      <c r="B153" s="4" t="s">
        <v>3854</v>
      </c>
      <c r="C153">
        <v>334.18611518958897</v>
      </c>
      <c r="D153">
        <v>2238.2981771653299</v>
      </c>
      <c r="E153">
        <f>-2.74322340255228</f>
        <v>-2.7432234025522799</v>
      </c>
      <c r="F153" s="5">
        <v>4.4865842068662604E-28</v>
      </c>
      <c r="G153" t="s">
        <v>4</v>
      </c>
      <c r="H153">
        <v>334.18611518958897</v>
      </c>
      <c r="I153">
        <v>292.08537328241999</v>
      </c>
      <c r="J153">
        <v>0.19973366854541599</v>
      </c>
      <c r="K153">
        <v>0.49521511919428701</v>
      </c>
      <c r="L153" t="s">
        <v>4</v>
      </c>
      <c r="M153">
        <v>2238.2981771653299</v>
      </c>
      <c r="N153">
        <v>292.08537328241999</v>
      </c>
      <c r="O153">
        <v>2.9429570710976898</v>
      </c>
      <c r="P153" s="5">
        <v>3.85167060351789E-32</v>
      </c>
      <c r="Q153" t="s">
        <v>4</v>
      </c>
      <c r="R153" s="4" t="s">
        <v>87</v>
      </c>
      <c r="S153" t="s">
        <v>4</v>
      </c>
      <c r="T153" t="s">
        <v>3855</v>
      </c>
      <c r="U153" t="s">
        <v>3856</v>
      </c>
      <c r="V153" t="s">
        <v>3857</v>
      </c>
      <c r="W153" t="s">
        <v>328</v>
      </c>
      <c r="X153" t="s">
        <v>4</v>
      </c>
      <c r="Y153" t="s">
        <v>3858</v>
      </c>
      <c r="Z153" t="s">
        <v>3859</v>
      </c>
      <c r="AA153" t="s">
        <v>3860</v>
      </c>
      <c r="AB153" t="s">
        <v>4</v>
      </c>
      <c r="AC153" s="3" t="s">
        <v>3861</v>
      </c>
      <c r="AD153" t="s">
        <v>4</v>
      </c>
      <c r="AE153" t="s">
        <v>3862</v>
      </c>
      <c r="AF153" t="s">
        <v>3863</v>
      </c>
      <c r="AG153" t="s">
        <v>3864</v>
      </c>
      <c r="AH153" t="s">
        <v>112</v>
      </c>
      <c r="AJ153" t="s">
        <v>3865</v>
      </c>
      <c r="AL153" t="s">
        <v>3866</v>
      </c>
      <c r="AM153" t="s">
        <v>3867</v>
      </c>
      <c r="AQ153" t="s">
        <v>3868</v>
      </c>
      <c r="AR153" t="s">
        <v>3869</v>
      </c>
      <c r="AU153" t="s">
        <v>112</v>
      </c>
      <c r="AV153" t="s">
        <v>3870</v>
      </c>
      <c r="AW153" t="s">
        <v>114</v>
      </c>
      <c r="AX153" t="s">
        <v>1096</v>
      </c>
      <c r="AY153" t="s">
        <v>3871</v>
      </c>
      <c r="AZ153" t="s">
        <v>4</v>
      </c>
      <c r="BA153" s="3" t="s">
        <v>95</v>
      </c>
      <c r="BB153" t="s">
        <v>96</v>
      </c>
      <c r="BC153" s="3" t="s">
        <v>95</v>
      </c>
      <c r="BD153" t="s">
        <v>4</v>
      </c>
      <c r="BE153">
        <v>6266</v>
      </c>
      <c r="BF153" t="s">
        <v>213</v>
      </c>
      <c r="BG153">
        <v>91.216200000000001</v>
      </c>
      <c r="BH153">
        <v>80.236500000000007</v>
      </c>
      <c r="BI153">
        <v>80.574299999999994</v>
      </c>
      <c r="BJ153">
        <v>92.0608</v>
      </c>
      <c r="BK153">
        <v>82.770300000000006</v>
      </c>
      <c r="BL153">
        <v>83.445899999999995</v>
      </c>
      <c r="BM153">
        <v>84.797300000000007</v>
      </c>
      <c r="BN153">
        <v>93.918899999999994</v>
      </c>
      <c r="BO153">
        <v>93.074299999999994</v>
      </c>
      <c r="BP153">
        <v>30.236499999999999</v>
      </c>
      <c r="BQ153">
        <v>73.3108</v>
      </c>
      <c r="BR153">
        <v>74.493200000000002</v>
      </c>
      <c r="BS153" t="s">
        <v>3872</v>
      </c>
      <c r="BT153" t="s">
        <v>3873</v>
      </c>
      <c r="BU153">
        <v>70.608099999999993</v>
      </c>
      <c r="BV153" t="s">
        <v>3874</v>
      </c>
      <c r="BW153">
        <v>69.932400000000001</v>
      </c>
      <c r="BX153">
        <v>72.635099999999994</v>
      </c>
      <c r="BZ153">
        <v>46.621600000000001</v>
      </c>
      <c r="CA153">
        <v>71.959500000000006</v>
      </c>
      <c r="CB153">
        <v>0.33783800000000003</v>
      </c>
      <c r="CC153">
        <v>18.412199999999999</v>
      </c>
      <c r="CD153" t="s">
        <v>3875</v>
      </c>
      <c r="CE153">
        <v>14.526999999999999</v>
      </c>
      <c r="CF153">
        <v>17.567599999999999</v>
      </c>
      <c r="CG153" t="s">
        <v>3876</v>
      </c>
      <c r="CH153" t="s">
        <v>3877</v>
      </c>
      <c r="CI153" t="s">
        <v>3878</v>
      </c>
      <c r="CK153">
        <v>8</v>
      </c>
      <c r="CL153" t="s">
        <v>4</v>
      </c>
      <c r="CM153" t="s">
        <v>3879</v>
      </c>
      <c r="CN153" t="s">
        <v>3880</v>
      </c>
      <c r="CO153" t="s">
        <v>99</v>
      </c>
      <c r="CP153" t="s">
        <v>100</v>
      </c>
      <c r="CQ153">
        <v>152</v>
      </c>
      <c r="CR153" t="s">
        <v>100</v>
      </c>
      <c r="CS153" t="s">
        <v>100</v>
      </c>
      <c r="CT153" t="s">
        <v>152</v>
      </c>
      <c r="CU153" t="s">
        <v>102</v>
      </c>
      <c r="CV153" t="s">
        <v>100</v>
      </c>
    </row>
    <row r="154" spans="1:100">
      <c r="A154" s="3" t="s">
        <v>3881</v>
      </c>
      <c r="B154" s="4" t="s">
        <v>3882</v>
      </c>
      <c r="C154">
        <v>49.175975808451398</v>
      </c>
      <c r="D154">
        <v>1342.09641343671</v>
      </c>
      <c r="E154">
        <f>-4.76715111272539</f>
        <v>-4.76715111272539</v>
      </c>
      <c r="F154" s="5">
        <v>4.6282880660281502E-22</v>
      </c>
      <c r="G154" t="s">
        <v>4</v>
      </c>
      <c r="H154">
        <v>49.175975808451398</v>
      </c>
      <c r="I154">
        <v>83.1657358080802</v>
      </c>
      <c r="J154">
        <f>0.752823098350401</f>
        <v>0.75282309835040095</v>
      </c>
      <c r="K154">
        <v>0.17293792033052399</v>
      </c>
      <c r="L154" t="s">
        <v>4</v>
      </c>
      <c r="M154">
        <v>1342.09641343671</v>
      </c>
      <c r="N154">
        <v>83.1657358080802</v>
      </c>
      <c r="O154">
        <v>4.01432801437499</v>
      </c>
      <c r="P154" s="5">
        <v>2.11694891224376E-16</v>
      </c>
      <c r="Q154" t="s">
        <v>4</v>
      </c>
      <c r="R154" s="4" t="s">
        <v>87</v>
      </c>
      <c r="S154" t="s">
        <v>4</v>
      </c>
      <c r="T154" t="s">
        <v>92</v>
      </c>
      <c r="U154" t="s">
        <v>92</v>
      </c>
      <c r="V154" t="s">
        <v>92</v>
      </c>
      <c r="W154" t="s">
        <v>92</v>
      </c>
      <c r="X154" t="s">
        <v>4</v>
      </c>
      <c r="Y154" t="s">
        <v>3883</v>
      </c>
      <c r="Z154" t="s">
        <v>3884</v>
      </c>
      <c r="AA154" t="s">
        <v>3885</v>
      </c>
      <c r="AB154" t="s">
        <v>4</v>
      </c>
      <c r="AC154" s="3" t="s">
        <v>3886</v>
      </c>
      <c r="AD154" t="s">
        <v>4</v>
      </c>
      <c r="AE154" s="4" t="s">
        <v>94</v>
      </c>
      <c r="AZ154" t="s">
        <v>4</v>
      </c>
      <c r="BA154" s="3" t="s">
        <v>115</v>
      </c>
      <c r="BB154" s="6" t="s">
        <v>95</v>
      </c>
      <c r="BC154" s="3" t="s">
        <v>95</v>
      </c>
      <c r="BD154" t="s">
        <v>4</v>
      </c>
      <c r="BE154">
        <v>995</v>
      </c>
      <c r="BF154" t="s">
        <v>151</v>
      </c>
      <c r="BH154">
        <v>50</v>
      </c>
      <c r="BI154">
        <v>66.216200000000001</v>
      </c>
      <c r="BK154">
        <v>29.279299999999999</v>
      </c>
      <c r="CK154">
        <v>2</v>
      </c>
      <c r="CL154" t="s">
        <v>4</v>
      </c>
      <c r="CM154" t="s">
        <v>98</v>
      </c>
      <c r="CN154" t="s">
        <v>98</v>
      </c>
      <c r="CO154" t="s">
        <v>99</v>
      </c>
      <c r="CP154" t="s">
        <v>100</v>
      </c>
      <c r="CQ154">
        <v>153</v>
      </c>
      <c r="CR154" t="s">
        <v>100</v>
      </c>
      <c r="CS154" t="s">
        <v>100</v>
      </c>
      <c r="CT154" t="s">
        <v>152</v>
      </c>
      <c r="CU154" t="s">
        <v>102</v>
      </c>
      <c r="CV154" t="s">
        <v>100</v>
      </c>
    </row>
    <row r="155" spans="1:100">
      <c r="A155" s="3" t="s">
        <v>3887</v>
      </c>
      <c r="B155" s="4" t="s">
        <v>3888</v>
      </c>
      <c r="C155">
        <v>225.44535890389</v>
      </c>
      <c r="D155">
        <v>2098.3996020345198</v>
      </c>
      <c r="E155">
        <f>-3.21694269540305</f>
        <v>-3.2169426954030498</v>
      </c>
      <c r="F155" s="5">
        <v>1.69627684597058E-22</v>
      </c>
      <c r="G155" t="s">
        <v>4</v>
      </c>
      <c r="H155">
        <v>225.44535890389</v>
      </c>
      <c r="I155">
        <v>338.93451764574098</v>
      </c>
      <c r="J155">
        <f>0.588716377904416</f>
        <v>0.588716377904416</v>
      </c>
      <c r="K155">
        <v>0.103116142546936</v>
      </c>
      <c r="L155" t="s">
        <v>4</v>
      </c>
      <c r="M155">
        <v>2098.3996020345198</v>
      </c>
      <c r="N155">
        <v>338.93451764574098</v>
      </c>
      <c r="O155">
        <v>2.6282263174986298</v>
      </c>
      <c r="P155" s="5">
        <v>8.4073714908277402E-16</v>
      </c>
      <c r="Q155" t="s">
        <v>4</v>
      </c>
      <c r="R155" s="4" t="s">
        <v>87</v>
      </c>
      <c r="S155" t="s">
        <v>4</v>
      </c>
      <c r="T155" t="s">
        <v>3889</v>
      </c>
      <c r="U155" t="s">
        <v>3890</v>
      </c>
      <c r="V155" t="s">
        <v>3891</v>
      </c>
      <c r="W155" t="s">
        <v>328</v>
      </c>
      <c r="X155" t="s">
        <v>4</v>
      </c>
      <c r="Y155" t="s">
        <v>3892</v>
      </c>
      <c r="Z155" t="s">
        <v>3893</v>
      </c>
      <c r="AA155" t="s">
        <v>3894</v>
      </c>
      <c r="AB155" t="s">
        <v>4</v>
      </c>
      <c r="AC155" s="3" t="s">
        <v>3895</v>
      </c>
      <c r="AD155" t="s">
        <v>4</v>
      </c>
      <c r="AE155" t="s">
        <v>3896</v>
      </c>
      <c r="AF155" t="s">
        <v>3897</v>
      </c>
      <c r="AG155" t="s">
        <v>3898</v>
      </c>
      <c r="AH155" t="s">
        <v>282</v>
      </c>
      <c r="AU155" t="s">
        <v>112</v>
      </c>
      <c r="AV155" t="s">
        <v>3899</v>
      </c>
      <c r="AW155" t="s">
        <v>114</v>
      </c>
      <c r="AX155" t="s">
        <v>132</v>
      </c>
      <c r="AY155" t="s">
        <v>1275</v>
      </c>
      <c r="AZ155" t="s">
        <v>4</v>
      </c>
      <c r="BA155" s="3" t="s">
        <v>95</v>
      </c>
      <c r="BB155" s="6" t="s">
        <v>95</v>
      </c>
      <c r="BC155" s="3" t="s">
        <v>95</v>
      </c>
      <c r="BD155" t="s">
        <v>4</v>
      </c>
      <c r="BE155">
        <v>5400</v>
      </c>
      <c r="BF155" t="s">
        <v>386</v>
      </c>
      <c r="BG155">
        <v>98.378399999999999</v>
      </c>
      <c r="BH155" t="s">
        <v>3900</v>
      </c>
      <c r="BI155">
        <v>94.5946</v>
      </c>
      <c r="BJ155">
        <v>83.423400000000001</v>
      </c>
      <c r="BK155">
        <v>72.072100000000006</v>
      </c>
      <c r="BL155">
        <v>78.558599999999998</v>
      </c>
      <c r="BM155">
        <v>73.873900000000006</v>
      </c>
      <c r="BN155">
        <v>75.495500000000007</v>
      </c>
      <c r="BO155">
        <v>60.720700000000001</v>
      </c>
      <c r="BP155">
        <v>22.7027</v>
      </c>
      <c r="CB155">
        <v>8.1081099999999999</v>
      </c>
      <c r="CC155">
        <v>26.666699999999999</v>
      </c>
      <c r="CD155">
        <v>27.3874</v>
      </c>
      <c r="CF155">
        <v>26.486499999999999</v>
      </c>
      <c r="CK155">
        <v>7</v>
      </c>
      <c r="CL155" t="s">
        <v>4</v>
      </c>
      <c r="CM155" t="s">
        <v>98</v>
      </c>
      <c r="CN155" t="s">
        <v>98</v>
      </c>
      <c r="CO155" t="s">
        <v>99</v>
      </c>
      <c r="CP155" t="s">
        <v>100</v>
      </c>
      <c r="CQ155">
        <v>154</v>
      </c>
      <c r="CR155" t="s">
        <v>100</v>
      </c>
      <c r="CS155" t="s">
        <v>100</v>
      </c>
      <c r="CT155" t="s">
        <v>152</v>
      </c>
      <c r="CU155" t="s">
        <v>102</v>
      </c>
      <c r="CV155" t="s">
        <v>100</v>
      </c>
    </row>
    <row r="156" spans="1:100">
      <c r="A156" s="3" t="s">
        <v>3901</v>
      </c>
      <c r="B156" s="4" t="s">
        <v>3902</v>
      </c>
      <c r="C156">
        <v>358.97628615339198</v>
      </c>
      <c r="D156">
        <v>6887.6242181212801</v>
      </c>
      <c r="E156">
        <f>-4.26149904264752</f>
        <v>-4.2614990426475199</v>
      </c>
      <c r="F156" s="5">
        <v>5.21574872427299E-31</v>
      </c>
      <c r="G156" t="s">
        <v>4</v>
      </c>
      <c r="H156">
        <v>358.97628615339198</v>
      </c>
      <c r="I156">
        <v>305.51594861089399</v>
      </c>
      <c r="J156">
        <v>0.2306976536101</v>
      </c>
      <c r="K156">
        <v>0.59261928514269802</v>
      </c>
      <c r="L156" t="s">
        <v>4</v>
      </c>
      <c r="M156">
        <v>6887.6242181212801</v>
      </c>
      <c r="N156">
        <v>305.51594861089399</v>
      </c>
      <c r="O156">
        <v>4.4921966962576203</v>
      </c>
      <c r="P156" s="5">
        <v>6.4120951977526796E-35</v>
      </c>
      <c r="Q156" t="s">
        <v>4</v>
      </c>
      <c r="R156" s="4" t="s">
        <v>87</v>
      </c>
      <c r="S156" t="s">
        <v>4</v>
      </c>
      <c r="T156" t="s">
        <v>3903</v>
      </c>
      <c r="U156" t="s">
        <v>3904</v>
      </c>
      <c r="V156" t="s">
        <v>3905</v>
      </c>
      <c r="W156" t="s">
        <v>328</v>
      </c>
      <c r="X156" t="s">
        <v>4</v>
      </c>
      <c r="Y156" t="s">
        <v>3906</v>
      </c>
      <c r="Z156" t="s">
        <v>3907</v>
      </c>
      <c r="AA156" t="s">
        <v>3908</v>
      </c>
      <c r="AB156" t="s">
        <v>4</v>
      </c>
      <c r="AC156" s="3" t="s">
        <v>3909</v>
      </c>
      <c r="AD156" t="s">
        <v>4</v>
      </c>
      <c r="AE156" t="s">
        <v>3910</v>
      </c>
      <c r="AF156" t="s">
        <v>834</v>
      </c>
      <c r="AG156" t="s">
        <v>3911</v>
      </c>
      <c r="AH156" t="s">
        <v>112</v>
      </c>
      <c r="AJ156" t="s">
        <v>3912</v>
      </c>
      <c r="AU156" t="s">
        <v>112</v>
      </c>
      <c r="AV156" t="s">
        <v>3913</v>
      </c>
      <c r="AW156" t="s">
        <v>114</v>
      </c>
      <c r="AX156" t="s">
        <v>1907</v>
      </c>
      <c r="AY156" t="s">
        <v>3914</v>
      </c>
      <c r="AZ156" t="s">
        <v>4</v>
      </c>
      <c r="BA156" s="3" t="s">
        <v>115</v>
      </c>
      <c r="BB156" t="s">
        <v>96</v>
      </c>
      <c r="BC156" s="3" t="s">
        <v>95</v>
      </c>
      <c r="BD156" t="s">
        <v>4</v>
      </c>
      <c r="BE156">
        <v>4834</v>
      </c>
      <c r="BF156" t="s">
        <v>282</v>
      </c>
      <c r="BG156">
        <v>98.215900000000005</v>
      </c>
      <c r="BH156">
        <v>43.6218</v>
      </c>
      <c r="BI156" t="s">
        <v>3915</v>
      </c>
      <c r="BJ156">
        <v>79.750200000000007</v>
      </c>
      <c r="BK156">
        <v>73.773399999999995</v>
      </c>
      <c r="BL156">
        <v>20.785</v>
      </c>
      <c r="BM156">
        <v>19.536100000000001</v>
      </c>
      <c r="BN156" t="s">
        <v>3916</v>
      </c>
      <c r="BO156">
        <v>73.505799999999994</v>
      </c>
      <c r="BP156">
        <v>49.955399999999997</v>
      </c>
      <c r="BQ156">
        <v>37.555799999999998</v>
      </c>
      <c r="BR156">
        <v>40.410299999999999</v>
      </c>
      <c r="BS156">
        <v>39.429099999999998</v>
      </c>
      <c r="BT156">
        <v>35.147199999999998</v>
      </c>
      <c r="BU156">
        <v>38.180199999999999</v>
      </c>
      <c r="BV156" t="s">
        <v>3917</v>
      </c>
      <c r="BW156">
        <v>36.663699999999999</v>
      </c>
      <c r="BX156">
        <v>43.443399999999997</v>
      </c>
      <c r="BY156">
        <v>20.695799999999998</v>
      </c>
      <c r="CA156">
        <v>40.588799999999999</v>
      </c>
      <c r="CB156">
        <v>29.259599999999999</v>
      </c>
      <c r="CC156" t="s">
        <v>3918</v>
      </c>
      <c r="CK156">
        <v>6</v>
      </c>
      <c r="CL156" t="s">
        <v>4</v>
      </c>
      <c r="CM156" t="s">
        <v>3919</v>
      </c>
      <c r="CN156" t="s">
        <v>3920</v>
      </c>
      <c r="CO156" t="s">
        <v>1218</v>
      </c>
      <c r="CP156" t="s">
        <v>100</v>
      </c>
      <c r="CQ156">
        <v>155</v>
      </c>
      <c r="CR156" t="s">
        <v>100</v>
      </c>
      <c r="CS156" t="s">
        <v>100</v>
      </c>
      <c r="CT156" t="s">
        <v>152</v>
      </c>
      <c r="CU156" t="s">
        <v>102</v>
      </c>
      <c r="CV156" t="s">
        <v>100</v>
      </c>
    </row>
    <row r="157" spans="1:100">
      <c r="A157" s="3" t="s">
        <v>3921</v>
      </c>
      <c r="B157" s="4" t="s">
        <v>3922</v>
      </c>
      <c r="C157">
        <v>63.018037875632999</v>
      </c>
      <c r="D157">
        <v>349.28739461020501</v>
      </c>
      <c r="E157">
        <f>-2.46415127843285</f>
        <v>-2.4641512784328499</v>
      </c>
      <c r="F157" s="5">
        <v>1.2048732719287501E-20</v>
      </c>
      <c r="G157" t="s">
        <v>4</v>
      </c>
      <c r="H157">
        <v>63.018037875632999</v>
      </c>
      <c r="I157">
        <v>85.7291560213651</v>
      </c>
      <c r="J157">
        <f>0.422941351148124</f>
        <v>0.42294135114812398</v>
      </c>
      <c r="K157">
        <v>0.17161088074442099</v>
      </c>
      <c r="L157" t="s">
        <v>4</v>
      </c>
      <c r="M157">
        <v>349.28739461020501</v>
      </c>
      <c r="N157">
        <v>85.7291560213651</v>
      </c>
      <c r="O157">
        <v>2.0412099272847199</v>
      </c>
      <c r="P157" s="5">
        <v>2.5455915001820501E-14</v>
      </c>
      <c r="Q157" t="s">
        <v>4</v>
      </c>
      <c r="R157" s="4" t="s">
        <v>87</v>
      </c>
      <c r="S157" t="s">
        <v>4</v>
      </c>
      <c r="T157" t="s">
        <v>88</v>
      </c>
      <c r="U157" t="s">
        <v>89</v>
      </c>
      <c r="V157" t="s">
        <v>90</v>
      </c>
      <c r="W157" t="s">
        <v>91</v>
      </c>
      <c r="X157" t="s">
        <v>4</v>
      </c>
      <c r="Y157" t="s">
        <v>92</v>
      </c>
      <c r="Z157" t="s">
        <v>92</v>
      </c>
      <c r="AA157" t="s">
        <v>92</v>
      </c>
      <c r="AB157" t="s">
        <v>4</v>
      </c>
      <c r="AC157" s="3" t="s">
        <v>3923</v>
      </c>
      <c r="AD157" t="s">
        <v>4</v>
      </c>
      <c r="AE157" s="4" t="s">
        <v>94</v>
      </c>
      <c r="AZ157" t="s">
        <v>4</v>
      </c>
      <c r="BA157" s="3" t="s">
        <v>95</v>
      </c>
      <c r="BB157" t="s">
        <v>96</v>
      </c>
      <c r="BC157" s="3" t="s">
        <v>197</v>
      </c>
      <c r="BD157" t="s">
        <v>4</v>
      </c>
      <c r="BE157">
        <v>2509</v>
      </c>
      <c r="BF157" t="s">
        <v>97</v>
      </c>
      <c r="BG157">
        <v>82.8125</v>
      </c>
      <c r="BH157">
        <v>96.093800000000002</v>
      </c>
      <c r="BI157" t="s">
        <v>3924</v>
      </c>
      <c r="BJ157">
        <v>75.781199999999998</v>
      </c>
      <c r="BK157">
        <v>72.656199999999998</v>
      </c>
      <c r="BM157">
        <v>51.5625</v>
      </c>
      <c r="BN157">
        <v>52.343800000000002</v>
      </c>
      <c r="BP157">
        <v>16.406199999999998</v>
      </c>
      <c r="CK157">
        <v>4</v>
      </c>
      <c r="CL157" t="s">
        <v>4</v>
      </c>
      <c r="CM157" t="s">
        <v>98</v>
      </c>
      <c r="CN157" t="s">
        <v>98</v>
      </c>
      <c r="CO157" t="s">
        <v>99</v>
      </c>
      <c r="CP157" t="s">
        <v>100</v>
      </c>
      <c r="CQ157">
        <v>156</v>
      </c>
      <c r="CR157" t="s">
        <v>100</v>
      </c>
      <c r="CS157" t="s">
        <v>100</v>
      </c>
      <c r="CT157" t="s">
        <v>152</v>
      </c>
      <c r="CU157" t="s">
        <v>102</v>
      </c>
      <c r="CV157" t="s">
        <v>100</v>
      </c>
    </row>
    <row r="158" spans="1:100">
      <c r="A158" s="3" t="s">
        <v>3925</v>
      </c>
      <c r="B158" s="4" t="s">
        <v>3926</v>
      </c>
      <c r="C158">
        <v>1490.77923985751</v>
      </c>
      <c r="D158">
        <v>12932.5463218886</v>
      </c>
      <c r="E158">
        <f>-3.11671005297255</f>
        <v>-3.1167100529725502</v>
      </c>
      <c r="F158" s="5">
        <v>3.6285129879104398E-19</v>
      </c>
      <c r="G158" t="s">
        <v>4</v>
      </c>
      <c r="H158">
        <v>1490.77923985751</v>
      </c>
      <c r="I158">
        <v>1108.10864093031</v>
      </c>
      <c r="J158">
        <v>0.42851378799701201</v>
      </c>
      <c r="K158">
        <v>0.26496440566171803</v>
      </c>
      <c r="L158" t="s">
        <v>4</v>
      </c>
      <c r="M158">
        <v>12932.5463218886</v>
      </c>
      <c r="N158">
        <v>1108.10864093031</v>
      </c>
      <c r="O158">
        <v>3.54522384096957</v>
      </c>
      <c r="P158" s="5">
        <v>2.92859591335063E-25</v>
      </c>
      <c r="Q158" t="s">
        <v>4</v>
      </c>
      <c r="R158" s="4" t="s">
        <v>87</v>
      </c>
      <c r="S158" t="s">
        <v>4</v>
      </c>
      <c r="T158" t="s">
        <v>92</v>
      </c>
      <c r="U158" t="s">
        <v>92</v>
      </c>
      <c r="V158" t="s">
        <v>92</v>
      </c>
      <c r="W158" t="s">
        <v>92</v>
      </c>
      <c r="X158" t="s">
        <v>4</v>
      </c>
      <c r="Y158" t="s">
        <v>3927</v>
      </c>
      <c r="Z158" t="s">
        <v>3928</v>
      </c>
      <c r="AA158" t="s">
        <v>3929</v>
      </c>
      <c r="AB158" t="s">
        <v>4</v>
      </c>
      <c r="AC158" s="3" t="s">
        <v>3930</v>
      </c>
      <c r="AD158" t="s">
        <v>4</v>
      </c>
      <c r="AE158" t="s">
        <v>3931</v>
      </c>
      <c r="AF158" t="s">
        <v>3932</v>
      </c>
      <c r="AG158" t="s">
        <v>3933</v>
      </c>
      <c r="AH158" t="s">
        <v>112</v>
      </c>
      <c r="AL158" t="s">
        <v>3934</v>
      </c>
      <c r="AM158" t="s">
        <v>3935</v>
      </c>
      <c r="AQ158" t="s">
        <v>879</v>
      </c>
      <c r="AU158" t="s">
        <v>112</v>
      </c>
      <c r="AV158" t="s">
        <v>3936</v>
      </c>
      <c r="AW158" t="s">
        <v>114</v>
      </c>
      <c r="AX158" t="s">
        <v>132</v>
      </c>
      <c r="AY158" t="s">
        <v>3937</v>
      </c>
      <c r="AZ158" t="s">
        <v>4</v>
      </c>
      <c r="BA158" s="3" t="s">
        <v>95</v>
      </c>
      <c r="BB158" s="6" t="s">
        <v>95</v>
      </c>
      <c r="BC158" s="3" t="s">
        <v>95</v>
      </c>
      <c r="BD158" t="s">
        <v>4</v>
      </c>
      <c r="BE158">
        <v>8871</v>
      </c>
      <c r="BF158" t="s">
        <v>169</v>
      </c>
      <c r="BG158">
        <v>75</v>
      </c>
      <c r="BH158">
        <v>100</v>
      </c>
      <c r="BI158">
        <v>84.693899999999999</v>
      </c>
      <c r="BJ158">
        <v>84.183700000000002</v>
      </c>
      <c r="BK158">
        <v>77.551000000000002</v>
      </c>
      <c r="BL158">
        <v>80.102000000000004</v>
      </c>
      <c r="BM158">
        <v>80.612200000000001</v>
      </c>
      <c r="BN158">
        <v>79.591800000000006</v>
      </c>
      <c r="BO158">
        <v>79.081599999999995</v>
      </c>
      <c r="BQ158">
        <v>35.204099999999997</v>
      </c>
      <c r="BR158">
        <v>35.714300000000001</v>
      </c>
      <c r="BS158">
        <v>34.693899999999999</v>
      </c>
      <c r="BX158">
        <v>38.775500000000001</v>
      </c>
      <c r="BY158">
        <v>40.816299999999998</v>
      </c>
      <c r="CA158">
        <v>37.755099999999999</v>
      </c>
      <c r="CE158">
        <v>34.183700000000002</v>
      </c>
      <c r="CF158">
        <v>31.6327</v>
      </c>
      <c r="CK158">
        <v>9</v>
      </c>
      <c r="CL158" t="s">
        <v>4</v>
      </c>
      <c r="CM158" t="s">
        <v>3938</v>
      </c>
      <c r="CN158" t="s">
        <v>3939</v>
      </c>
      <c r="CO158" t="s">
        <v>219</v>
      </c>
      <c r="CP158" t="s">
        <v>100</v>
      </c>
      <c r="CQ158">
        <v>157</v>
      </c>
      <c r="CR158" t="s">
        <v>100</v>
      </c>
      <c r="CS158" t="s">
        <v>100</v>
      </c>
      <c r="CT158" t="s">
        <v>152</v>
      </c>
      <c r="CU158" t="s">
        <v>102</v>
      </c>
      <c r="CV158" t="s">
        <v>100</v>
      </c>
    </row>
    <row r="159" spans="1:100">
      <c r="A159" s="3" t="s">
        <v>3940</v>
      </c>
      <c r="B159" s="4" t="s">
        <v>3941</v>
      </c>
      <c r="C159">
        <v>188.665469522291</v>
      </c>
      <c r="D159">
        <v>2201.59619720418</v>
      </c>
      <c r="E159">
        <f>-3.54414354996355</f>
        <v>-3.5441435499635499</v>
      </c>
      <c r="F159" s="5">
        <v>1.26119772644878E-15</v>
      </c>
      <c r="G159" t="s">
        <v>4</v>
      </c>
      <c r="H159">
        <v>188.665469522291</v>
      </c>
      <c r="I159">
        <v>489.65704941125301</v>
      </c>
      <c r="J159">
        <f>-1.37467941326056</f>
        <v>-1.37467941326056</v>
      </c>
      <c r="K159">
        <v>2.8668934366312799E-3</v>
      </c>
      <c r="L159" t="s">
        <v>4</v>
      </c>
      <c r="M159">
        <v>2201.59619720418</v>
      </c>
      <c r="N159">
        <v>489.65704941125301</v>
      </c>
      <c r="O159">
        <v>2.1694641367030001</v>
      </c>
      <c r="P159" s="5">
        <v>8.4006171718975301E-7</v>
      </c>
      <c r="Q159" t="s">
        <v>4</v>
      </c>
      <c r="R159" s="4" t="s">
        <v>87</v>
      </c>
      <c r="S159" t="s">
        <v>4</v>
      </c>
      <c r="T159" t="s">
        <v>3942</v>
      </c>
      <c r="U159" t="s">
        <v>3943</v>
      </c>
      <c r="V159" t="s">
        <v>3944</v>
      </c>
      <c r="W159" t="s">
        <v>203</v>
      </c>
      <c r="X159" t="s">
        <v>4</v>
      </c>
      <c r="Y159" t="s">
        <v>3945</v>
      </c>
      <c r="Z159" t="s">
        <v>3946</v>
      </c>
      <c r="AA159" t="s">
        <v>3947</v>
      </c>
      <c r="AB159" t="s">
        <v>4</v>
      </c>
      <c r="AC159" s="3" t="s">
        <v>3948</v>
      </c>
      <c r="AD159" t="s">
        <v>4</v>
      </c>
      <c r="AE159" t="s">
        <v>3949</v>
      </c>
      <c r="AF159" t="s">
        <v>3950</v>
      </c>
      <c r="AG159" t="s">
        <v>3951</v>
      </c>
      <c r="AH159" t="s">
        <v>112</v>
      </c>
      <c r="AJ159" t="s">
        <v>3952</v>
      </c>
      <c r="AK159" t="s">
        <v>3953</v>
      </c>
      <c r="AL159" t="s">
        <v>3954</v>
      </c>
      <c r="AM159" t="s">
        <v>3955</v>
      </c>
      <c r="AO159" t="s">
        <v>3664</v>
      </c>
      <c r="AP159" t="s">
        <v>3665</v>
      </c>
      <c r="AQ159" t="s">
        <v>342</v>
      </c>
      <c r="AU159" t="s">
        <v>112</v>
      </c>
      <c r="AV159" t="s">
        <v>3956</v>
      </c>
      <c r="AW159" t="s">
        <v>114</v>
      </c>
      <c r="AX159" t="s">
        <v>132</v>
      </c>
      <c r="AY159" t="s">
        <v>3957</v>
      </c>
      <c r="AZ159" t="s">
        <v>4</v>
      </c>
      <c r="BA159" s="3" t="s">
        <v>95</v>
      </c>
      <c r="BB159" s="6" t="s">
        <v>95</v>
      </c>
      <c r="BC159" s="3" t="s">
        <v>95</v>
      </c>
      <c r="BD159" t="s">
        <v>4</v>
      </c>
      <c r="BE159">
        <v>6337</v>
      </c>
      <c r="BF159" t="s">
        <v>213</v>
      </c>
      <c r="BG159">
        <v>19.937200000000001</v>
      </c>
      <c r="BH159">
        <v>36.1068</v>
      </c>
      <c r="BI159">
        <v>77.394000000000005</v>
      </c>
      <c r="BJ159">
        <v>73.7834</v>
      </c>
      <c r="BL159">
        <v>30.612200000000001</v>
      </c>
      <c r="BM159">
        <v>62.480400000000003</v>
      </c>
      <c r="BN159">
        <v>67.19</v>
      </c>
      <c r="BO159" t="s">
        <v>3958</v>
      </c>
      <c r="BP159">
        <v>56.985900000000001</v>
      </c>
      <c r="BQ159">
        <v>35.1648</v>
      </c>
      <c r="BR159">
        <v>46.781799999999997</v>
      </c>
      <c r="BS159">
        <v>48.194699999999997</v>
      </c>
      <c r="BU159">
        <v>41.601300000000002</v>
      </c>
      <c r="BV159" t="s">
        <v>3959</v>
      </c>
      <c r="BW159">
        <v>37.048699999999997</v>
      </c>
      <c r="BX159">
        <v>47.566699999999997</v>
      </c>
      <c r="BY159">
        <v>36.734699999999997</v>
      </c>
      <c r="BZ159">
        <v>42.229199999999999</v>
      </c>
      <c r="CA159">
        <v>43.171100000000003</v>
      </c>
      <c r="CB159" t="s">
        <v>3960</v>
      </c>
      <c r="CC159">
        <v>26.5306</v>
      </c>
      <c r="CD159">
        <v>28.414400000000001</v>
      </c>
      <c r="CG159" t="s">
        <v>3961</v>
      </c>
      <c r="CH159" t="s">
        <v>3962</v>
      </c>
      <c r="CI159" t="s">
        <v>3963</v>
      </c>
      <c r="CK159">
        <v>8</v>
      </c>
      <c r="CL159" t="s">
        <v>4</v>
      </c>
      <c r="CM159" t="s">
        <v>3964</v>
      </c>
      <c r="CN159" t="s">
        <v>3965</v>
      </c>
      <c r="CO159" t="s">
        <v>1218</v>
      </c>
      <c r="CP159" t="s">
        <v>100</v>
      </c>
      <c r="CQ159">
        <v>158</v>
      </c>
      <c r="CR159" t="s">
        <v>100</v>
      </c>
      <c r="CS159" t="s">
        <v>100</v>
      </c>
      <c r="CT159" t="s">
        <v>152</v>
      </c>
      <c r="CU159" t="s">
        <v>102</v>
      </c>
      <c r="CV159" t="s">
        <v>100</v>
      </c>
    </row>
    <row r="160" spans="1:100">
      <c r="A160" s="9" t="s">
        <v>3966</v>
      </c>
      <c r="B160" s="4" t="s">
        <v>3967</v>
      </c>
      <c r="C160">
        <v>1924.4403032841601</v>
      </c>
      <c r="D160">
        <v>8378.3347119217506</v>
      </c>
      <c r="E160">
        <f>-2.1222713440452</f>
        <v>-2.1222713440451999</v>
      </c>
      <c r="F160" s="5">
        <v>4.9533357482846102E-23</v>
      </c>
      <c r="G160" t="s">
        <v>4</v>
      </c>
      <c r="H160">
        <v>1924.4403032841601</v>
      </c>
      <c r="I160">
        <v>526.36796118867801</v>
      </c>
      <c r="J160">
        <v>1.86942986111075</v>
      </c>
      <c r="K160" s="5">
        <v>7.5380129010597395E-18</v>
      </c>
      <c r="L160" t="s">
        <v>4</v>
      </c>
      <c r="M160">
        <v>8378.3347119217506</v>
      </c>
      <c r="N160">
        <v>526.36796118867801</v>
      </c>
      <c r="O160">
        <v>3.9917012051559499</v>
      </c>
      <c r="P160" s="5">
        <v>1.47330658272547E-78</v>
      </c>
      <c r="Q160" t="s">
        <v>4</v>
      </c>
      <c r="R160" s="4" t="s">
        <v>87</v>
      </c>
      <c r="S160" t="s">
        <v>4</v>
      </c>
      <c r="T160" t="s">
        <v>3968</v>
      </c>
      <c r="U160" t="s">
        <v>3969</v>
      </c>
      <c r="V160" t="s">
        <v>3970</v>
      </c>
      <c r="W160" t="s">
        <v>328</v>
      </c>
      <c r="X160" t="s">
        <v>4</v>
      </c>
      <c r="Y160" t="s">
        <v>3971</v>
      </c>
      <c r="Z160" t="s">
        <v>3972</v>
      </c>
      <c r="AA160" t="s">
        <v>3973</v>
      </c>
      <c r="AB160" t="s">
        <v>4</v>
      </c>
      <c r="AC160" s="3" t="s">
        <v>3974</v>
      </c>
      <c r="AD160" t="s">
        <v>4</v>
      </c>
      <c r="AE160" s="4" t="s">
        <v>94</v>
      </c>
      <c r="AZ160" t="s">
        <v>4</v>
      </c>
      <c r="BA160" s="3" t="s">
        <v>115</v>
      </c>
      <c r="BB160" s="6" t="s">
        <v>95</v>
      </c>
      <c r="BC160" s="3" t="s">
        <v>197</v>
      </c>
      <c r="BD160" t="s">
        <v>4</v>
      </c>
      <c r="BE160">
        <v>6361</v>
      </c>
      <c r="BF160" t="s">
        <v>213</v>
      </c>
      <c r="BG160">
        <v>50.798299999999998</v>
      </c>
      <c r="BH160">
        <v>21.703099999999999</v>
      </c>
      <c r="BI160">
        <v>44.293300000000002</v>
      </c>
      <c r="BJ160">
        <v>76.404499999999999</v>
      </c>
      <c r="BK160">
        <v>44.766399999999997</v>
      </c>
      <c r="BM160">
        <v>14.251899999999999</v>
      </c>
      <c r="BN160">
        <v>71.318700000000007</v>
      </c>
      <c r="BO160">
        <v>82.1999</v>
      </c>
      <c r="BP160" t="s">
        <v>3975</v>
      </c>
      <c r="BQ160">
        <v>20.283899999999999</v>
      </c>
      <c r="BR160" t="s">
        <v>3976</v>
      </c>
      <c r="BT160" t="s">
        <v>3977</v>
      </c>
      <c r="BV160">
        <v>12.0639</v>
      </c>
      <c r="BW160" t="s">
        <v>3978</v>
      </c>
      <c r="BX160" t="s">
        <v>3979</v>
      </c>
      <c r="BZ160" t="s">
        <v>3980</v>
      </c>
      <c r="CA160">
        <v>23.2407</v>
      </c>
      <c r="CB160">
        <v>21.289200000000001</v>
      </c>
      <c r="CC160">
        <v>31.578900000000001</v>
      </c>
      <c r="CD160" t="s">
        <v>3981</v>
      </c>
      <c r="CE160">
        <v>22.826699999999999</v>
      </c>
      <c r="CF160">
        <v>33.589599999999997</v>
      </c>
      <c r="CG160" t="s">
        <v>3982</v>
      </c>
      <c r="CI160">
        <v>7.2146699999999999</v>
      </c>
      <c r="CK160">
        <v>8</v>
      </c>
      <c r="CL160" t="s">
        <v>4</v>
      </c>
      <c r="CM160" t="s">
        <v>3983</v>
      </c>
      <c r="CN160" t="s">
        <v>3984</v>
      </c>
      <c r="CO160" t="s">
        <v>219</v>
      </c>
      <c r="CP160" t="s">
        <v>100</v>
      </c>
      <c r="CQ160">
        <v>159</v>
      </c>
      <c r="CR160" t="s">
        <v>100</v>
      </c>
      <c r="CS160" s="7" t="s">
        <v>101</v>
      </c>
      <c r="CT160" t="s">
        <v>152</v>
      </c>
      <c r="CU160" t="s">
        <v>102</v>
      </c>
      <c r="CV160" t="s">
        <v>100</v>
      </c>
    </row>
    <row r="161" spans="1:100">
      <c r="A161" s="3" t="s">
        <v>3985</v>
      </c>
      <c r="B161" s="4" t="s">
        <v>3986</v>
      </c>
      <c r="C161">
        <v>339.82455347758503</v>
      </c>
      <c r="D161">
        <v>1757.6957428922101</v>
      </c>
      <c r="E161">
        <f>-2.37105750855394</f>
        <v>-2.3710575085539398</v>
      </c>
      <c r="F161" s="5">
        <v>1.5992874126394999E-21</v>
      </c>
      <c r="G161" t="s">
        <v>4</v>
      </c>
      <c r="H161">
        <v>339.82455347758503</v>
      </c>
      <c r="I161">
        <v>224.597042706313</v>
      </c>
      <c r="J161">
        <v>0.60637302951586802</v>
      </c>
      <c r="K161">
        <v>2.65439273129277E-2</v>
      </c>
      <c r="L161" t="s">
        <v>4</v>
      </c>
      <c r="M161">
        <v>1757.6957428922101</v>
      </c>
      <c r="N161">
        <v>224.597042706313</v>
      </c>
      <c r="O161">
        <v>2.9774305380698101</v>
      </c>
      <c r="P161" s="5">
        <v>7.4867841102923604E-33</v>
      </c>
      <c r="Q161" t="s">
        <v>4</v>
      </c>
      <c r="R161" s="4" t="s">
        <v>87</v>
      </c>
      <c r="S161" t="s">
        <v>4</v>
      </c>
      <c r="T161" t="s">
        <v>3987</v>
      </c>
      <c r="U161" t="s">
        <v>3988</v>
      </c>
      <c r="V161" t="s">
        <v>3989</v>
      </c>
      <c r="W161" t="s">
        <v>328</v>
      </c>
      <c r="X161" t="s">
        <v>4</v>
      </c>
      <c r="Y161" t="s">
        <v>3990</v>
      </c>
      <c r="Z161" t="s">
        <v>3991</v>
      </c>
      <c r="AA161" t="s">
        <v>3992</v>
      </c>
      <c r="AB161" t="s">
        <v>4</v>
      </c>
      <c r="AC161" s="3" t="s">
        <v>3993</v>
      </c>
      <c r="AD161" t="s">
        <v>4</v>
      </c>
      <c r="AE161" t="s">
        <v>3994</v>
      </c>
      <c r="AF161" t="s">
        <v>3995</v>
      </c>
      <c r="AG161" t="s">
        <v>3996</v>
      </c>
      <c r="AH161" t="s">
        <v>112</v>
      </c>
      <c r="AJ161" t="s">
        <v>3997</v>
      </c>
      <c r="AL161" t="s">
        <v>3998</v>
      </c>
      <c r="AQ161" t="s">
        <v>3999</v>
      </c>
      <c r="AU161" t="s">
        <v>112</v>
      </c>
      <c r="AV161" t="s">
        <v>4000</v>
      </c>
      <c r="AW161" t="s">
        <v>114</v>
      </c>
      <c r="AX161" t="s">
        <v>371</v>
      </c>
      <c r="AY161" t="s">
        <v>4001</v>
      </c>
      <c r="AZ161" t="s">
        <v>4</v>
      </c>
      <c r="BA161" s="3" t="s">
        <v>115</v>
      </c>
      <c r="BB161" s="6" t="s">
        <v>95</v>
      </c>
      <c r="BC161" s="3" t="s">
        <v>95</v>
      </c>
      <c r="BD161" t="s">
        <v>4</v>
      </c>
      <c r="BE161">
        <v>4840</v>
      </c>
      <c r="BF161" t="s">
        <v>282</v>
      </c>
      <c r="BG161">
        <v>97.969499999999996</v>
      </c>
      <c r="BH161">
        <v>99.492400000000004</v>
      </c>
      <c r="BI161">
        <v>93.400999999999996</v>
      </c>
      <c r="BJ161">
        <v>80.710700000000003</v>
      </c>
      <c r="BK161">
        <v>70.050799999999995</v>
      </c>
      <c r="BL161">
        <v>80.710700000000003</v>
      </c>
      <c r="BM161">
        <v>80.203000000000003</v>
      </c>
      <c r="BN161">
        <v>82.741100000000003</v>
      </c>
      <c r="BO161">
        <v>73.096400000000003</v>
      </c>
      <c r="BR161">
        <v>30.964500000000001</v>
      </c>
      <c r="BT161" t="s">
        <v>4002</v>
      </c>
      <c r="BU161">
        <v>37.563499999999998</v>
      </c>
      <c r="BV161" t="s">
        <v>4003</v>
      </c>
      <c r="BW161">
        <v>37.055799999999998</v>
      </c>
      <c r="BX161">
        <v>40.101500000000001</v>
      </c>
      <c r="BY161">
        <v>32.994900000000001</v>
      </c>
      <c r="BZ161">
        <v>27.918800000000001</v>
      </c>
      <c r="CA161">
        <v>35.025399999999998</v>
      </c>
      <c r="CF161">
        <v>33.502499999999998</v>
      </c>
      <c r="CG161" t="s">
        <v>4004</v>
      </c>
      <c r="CH161" t="s">
        <v>4005</v>
      </c>
      <c r="CI161" t="s">
        <v>4006</v>
      </c>
      <c r="CK161">
        <v>6</v>
      </c>
      <c r="CL161" t="s">
        <v>4</v>
      </c>
      <c r="CM161" t="s">
        <v>4007</v>
      </c>
      <c r="CN161" t="s">
        <v>4008</v>
      </c>
      <c r="CO161" t="s">
        <v>219</v>
      </c>
      <c r="CP161" t="s">
        <v>100</v>
      </c>
      <c r="CQ161">
        <v>160</v>
      </c>
      <c r="CR161" t="s">
        <v>100</v>
      </c>
      <c r="CS161" t="s">
        <v>100</v>
      </c>
      <c r="CT161" t="s">
        <v>152</v>
      </c>
      <c r="CU161" t="s">
        <v>102</v>
      </c>
      <c r="CV161" t="s">
        <v>100</v>
      </c>
    </row>
    <row r="162" spans="1:100">
      <c r="A162" s="3" t="s">
        <v>4009</v>
      </c>
      <c r="B162" s="4" t="s">
        <v>4010</v>
      </c>
      <c r="C162">
        <v>37.881894632480197</v>
      </c>
      <c r="D162">
        <v>246.82488110489899</v>
      </c>
      <c r="E162">
        <f>-2.69651598006277</f>
        <v>-2.6965159800627698</v>
      </c>
      <c r="F162" s="5">
        <v>3.4302193343929798E-8</v>
      </c>
      <c r="G162" t="s">
        <v>4</v>
      </c>
      <c r="H162">
        <v>37.881894632480197</v>
      </c>
      <c r="I162">
        <v>56.426578261396998</v>
      </c>
      <c r="J162">
        <f>0.567311955954896</f>
        <v>0.56731195595489603</v>
      </c>
      <c r="K162">
        <v>0.29808183920193698</v>
      </c>
      <c r="L162" t="s">
        <v>4</v>
      </c>
      <c r="M162">
        <v>246.82488110489899</v>
      </c>
      <c r="N162">
        <v>56.426578261396998</v>
      </c>
      <c r="O162">
        <v>2.12920402410787</v>
      </c>
      <c r="P162" s="5">
        <v>1.1092222189938199E-5</v>
      </c>
      <c r="Q162" t="s">
        <v>4</v>
      </c>
      <c r="R162" s="4" t="s">
        <v>87</v>
      </c>
      <c r="S162" t="s">
        <v>4</v>
      </c>
      <c r="T162" t="s">
        <v>4011</v>
      </c>
      <c r="U162" t="s">
        <v>4012</v>
      </c>
      <c r="V162" t="s">
        <v>4013</v>
      </c>
      <c r="W162" t="s">
        <v>328</v>
      </c>
      <c r="X162" t="s">
        <v>4</v>
      </c>
      <c r="Y162" t="s">
        <v>4014</v>
      </c>
      <c r="Z162" t="s">
        <v>4015</v>
      </c>
      <c r="AA162" t="s">
        <v>4016</v>
      </c>
      <c r="AB162" t="s">
        <v>4</v>
      </c>
      <c r="AC162" s="3" t="s">
        <v>4017</v>
      </c>
      <c r="AD162" t="s">
        <v>4</v>
      </c>
      <c r="AE162" t="s">
        <v>4018</v>
      </c>
      <c r="AF162" t="s">
        <v>4019</v>
      </c>
      <c r="AG162" t="s">
        <v>4020</v>
      </c>
      <c r="AH162" t="s">
        <v>112</v>
      </c>
      <c r="AL162" t="s">
        <v>4021</v>
      </c>
      <c r="AQ162" t="s">
        <v>4022</v>
      </c>
      <c r="AR162" t="s">
        <v>4023</v>
      </c>
      <c r="AU162" t="s">
        <v>112</v>
      </c>
      <c r="AV162" t="s">
        <v>4024</v>
      </c>
      <c r="AW162" t="s">
        <v>114</v>
      </c>
      <c r="AX162" t="s">
        <v>909</v>
      </c>
      <c r="AY162" t="s">
        <v>4025</v>
      </c>
      <c r="AZ162" t="s">
        <v>4</v>
      </c>
      <c r="BA162" s="3" t="s">
        <v>95</v>
      </c>
      <c r="BB162" t="s">
        <v>96</v>
      </c>
      <c r="BC162" s="3" t="s">
        <v>95</v>
      </c>
      <c r="BD162" t="s">
        <v>4</v>
      </c>
      <c r="BE162">
        <v>6378</v>
      </c>
      <c r="BF162" t="s">
        <v>213</v>
      </c>
      <c r="BG162">
        <v>89.613</v>
      </c>
      <c r="BH162">
        <v>62.525500000000001</v>
      </c>
      <c r="BI162">
        <v>82.484700000000004</v>
      </c>
      <c r="BJ162">
        <v>81.873699999999999</v>
      </c>
      <c r="BK162">
        <v>84.5214</v>
      </c>
      <c r="BL162">
        <v>84.114099999999993</v>
      </c>
      <c r="BM162">
        <v>84.114099999999993</v>
      </c>
      <c r="BN162">
        <v>93.278999999999996</v>
      </c>
      <c r="BO162">
        <v>74.949100000000001</v>
      </c>
      <c r="BP162">
        <v>54.378799999999998</v>
      </c>
      <c r="BQ162" t="s">
        <v>4026</v>
      </c>
      <c r="BS162">
        <v>42.566200000000002</v>
      </c>
      <c r="BT162">
        <v>40.529499999999999</v>
      </c>
      <c r="BV162" t="s">
        <v>4027</v>
      </c>
      <c r="BW162" t="s">
        <v>4028</v>
      </c>
      <c r="BX162">
        <v>44.195500000000003</v>
      </c>
      <c r="BY162" t="s">
        <v>4029</v>
      </c>
      <c r="BZ162">
        <v>17.5153</v>
      </c>
      <c r="CA162">
        <v>43.380899999999997</v>
      </c>
      <c r="CF162">
        <v>35.234200000000001</v>
      </c>
      <c r="CG162" t="s">
        <v>4030</v>
      </c>
      <c r="CH162" t="s">
        <v>4031</v>
      </c>
      <c r="CI162" t="s">
        <v>4032</v>
      </c>
      <c r="CK162">
        <v>8</v>
      </c>
      <c r="CL162" t="s">
        <v>4</v>
      </c>
      <c r="CM162" t="s">
        <v>4033</v>
      </c>
      <c r="CN162" t="s">
        <v>4034</v>
      </c>
      <c r="CO162" t="s">
        <v>663</v>
      </c>
      <c r="CP162" t="s">
        <v>100</v>
      </c>
      <c r="CQ162">
        <v>161</v>
      </c>
      <c r="CR162" t="s">
        <v>100</v>
      </c>
      <c r="CS162" t="s">
        <v>100</v>
      </c>
      <c r="CT162" t="s">
        <v>152</v>
      </c>
      <c r="CU162" t="s">
        <v>102</v>
      </c>
      <c r="CV162" t="s">
        <v>100</v>
      </c>
    </row>
    <row r="163" spans="1:100">
      <c r="A163" s="3" t="s">
        <v>4035</v>
      </c>
      <c r="B163" s="4" t="s">
        <v>4036</v>
      </c>
      <c r="C163">
        <v>393.47355925278799</v>
      </c>
      <c r="D163">
        <v>5402.7636270721396</v>
      </c>
      <c r="E163">
        <f>-3.7790282197515</f>
        <v>-3.7790282197514999</v>
      </c>
      <c r="F163" s="5">
        <v>9.6109008941022702E-11</v>
      </c>
      <c r="G163" t="s">
        <v>4</v>
      </c>
      <c r="H163">
        <v>393.47355925278799</v>
      </c>
      <c r="I163">
        <v>447.32399884882102</v>
      </c>
      <c r="J163">
        <f>0.18396810196991</f>
        <v>0.18396810196991001</v>
      </c>
      <c r="K163">
        <v>0.78692795632207302</v>
      </c>
      <c r="L163" t="s">
        <v>4</v>
      </c>
      <c r="M163">
        <v>5402.7636270721396</v>
      </c>
      <c r="N163">
        <v>447.32399884882102</v>
      </c>
      <c r="O163">
        <v>3.59506011778159</v>
      </c>
      <c r="P163" s="5">
        <v>3.07980876419244E-10</v>
      </c>
      <c r="Q163" t="s">
        <v>4</v>
      </c>
      <c r="R163" s="4" t="s">
        <v>87</v>
      </c>
      <c r="S163" t="s">
        <v>4</v>
      </c>
      <c r="T163" t="s">
        <v>4037</v>
      </c>
      <c r="U163" t="s">
        <v>4038</v>
      </c>
      <c r="V163" t="s">
        <v>4039</v>
      </c>
      <c r="W163" t="s">
        <v>4040</v>
      </c>
      <c r="X163" t="s">
        <v>4</v>
      </c>
      <c r="Y163" t="s">
        <v>4041</v>
      </c>
      <c r="Z163" t="s">
        <v>4042</v>
      </c>
      <c r="AA163" t="s">
        <v>4042</v>
      </c>
      <c r="AB163" t="s">
        <v>4</v>
      </c>
      <c r="AC163" s="3" t="s">
        <v>4043</v>
      </c>
      <c r="AD163" t="s">
        <v>4</v>
      </c>
      <c r="AE163" t="s">
        <v>4044</v>
      </c>
      <c r="AF163" t="s">
        <v>4045</v>
      </c>
      <c r="AG163" t="s">
        <v>4046</v>
      </c>
      <c r="AH163" t="s">
        <v>112</v>
      </c>
      <c r="AJ163" t="s">
        <v>4047</v>
      </c>
      <c r="AL163" t="s">
        <v>4048</v>
      </c>
      <c r="AQ163" t="s">
        <v>1693</v>
      </c>
      <c r="AR163" t="s">
        <v>4049</v>
      </c>
      <c r="AU163" t="s">
        <v>112</v>
      </c>
      <c r="AV163" t="s">
        <v>4050</v>
      </c>
      <c r="AW163" t="s">
        <v>114</v>
      </c>
      <c r="AX163" t="s">
        <v>909</v>
      </c>
      <c r="AY163" t="s">
        <v>4051</v>
      </c>
      <c r="AZ163" t="s">
        <v>4</v>
      </c>
      <c r="BA163" s="3" t="s">
        <v>95</v>
      </c>
      <c r="BB163" t="s">
        <v>96</v>
      </c>
      <c r="BC163" s="3" t="s">
        <v>95</v>
      </c>
      <c r="BD163" t="s">
        <v>4</v>
      </c>
      <c r="BE163">
        <v>5411</v>
      </c>
      <c r="BF163" t="s">
        <v>386</v>
      </c>
      <c r="BG163">
        <v>98.973299999999995</v>
      </c>
      <c r="BH163">
        <v>99.384</v>
      </c>
      <c r="BI163">
        <v>91.991799999999998</v>
      </c>
      <c r="BJ163">
        <v>91.581100000000006</v>
      </c>
      <c r="BK163">
        <v>78.850099999999998</v>
      </c>
      <c r="BL163">
        <v>85.420900000000003</v>
      </c>
      <c r="BM163">
        <v>85.010300000000001</v>
      </c>
      <c r="BN163">
        <v>84.804900000000004</v>
      </c>
      <c r="BO163">
        <v>85.215599999999995</v>
      </c>
      <c r="BP163">
        <v>57.905500000000004</v>
      </c>
      <c r="BQ163">
        <v>47.433300000000003</v>
      </c>
      <c r="BR163">
        <v>44.147799999999997</v>
      </c>
      <c r="BS163">
        <v>47.022599999999997</v>
      </c>
      <c r="BT163" t="s">
        <v>4052</v>
      </c>
      <c r="BU163">
        <v>48.049300000000002</v>
      </c>
      <c r="BV163" t="s">
        <v>4053</v>
      </c>
      <c r="BX163">
        <v>47.227899999999998</v>
      </c>
      <c r="BZ163">
        <v>27.720700000000001</v>
      </c>
      <c r="CF163" t="s">
        <v>4054</v>
      </c>
      <c r="CK163">
        <v>7</v>
      </c>
      <c r="CL163" t="s">
        <v>4</v>
      </c>
      <c r="CM163" t="s">
        <v>98</v>
      </c>
      <c r="CN163" t="s">
        <v>98</v>
      </c>
      <c r="CO163" t="s">
        <v>99</v>
      </c>
      <c r="CP163" t="s">
        <v>100</v>
      </c>
      <c r="CQ163">
        <v>162</v>
      </c>
      <c r="CR163" t="s">
        <v>100</v>
      </c>
      <c r="CS163" t="s">
        <v>100</v>
      </c>
      <c r="CT163" t="s">
        <v>152</v>
      </c>
      <c r="CU163" t="s">
        <v>102</v>
      </c>
      <c r="CV163" t="s">
        <v>100</v>
      </c>
    </row>
    <row r="164" spans="1:100">
      <c r="A164" s="3" t="s">
        <v>4055</v>
      </c>
      <c r="B164" s="4" t="s">
        <v>4056</v>
      </c>
      <c r="C164">
        <v>360.18524017931099</v>
      </c>
      <c r="D164">
        <v>3982.2171411119698</v>
      </c>
      <c r="E164">
        <f>-3.46661338576922</f>
        <v>-3.4666133857692198</v>
      </c>
      <c r="F164" s="5">
        <v>1.56362743414127E-24</v>
      </c>
      <c r="G164" t="s">
        <v>4</v>
      </c>
      <c r="H164">
        <v>360.18524017931099</v>
      </c>
      <c r="I164">
        <v>188.04868531338099</v>
      </c>
      <c r="J164">
        <v>0.94283441373365495</v>
      </c>
      <c r="K164">
        <v>9.9941222409433705E-3</v>
      </c>
      <c r="L164" t="s">
        <v>4</v>
      </c>
      <c r="M164">
        <v>3982.2171411119698</v>
      </c>
      <c r="N164">
        <v>188.04868531338099</v>
      </c>
      <c r="O164">
        <v>4.40944779950288</v>
      </c>
      <c r="P164" s="5">
        <v>6.0809210112449699E-39</v>
      </c>
      <c r="Q164" t="s">
        <v>4</v>
      </c>
      <c r="R164" s="4" t="s">
        <v>87</v>
      </c>
      <c r="S164" t="s">
        <v>4</v>
      </c>
      <c r="T164" t="s">
        <v>4057</v>
      </c>
      <c r="U164" t="s">
        <v>4058</v>
      </c>
      <c r="V164" t="s">
        <v>4059</v>
      </c>
      <c r="W164" t="s">
        <v>203</v>
      </c>
      <c r="X164" t="s">
        <v>4</v>
      </c>
      <c r="Y164" t="s">
        <v>4060</v>
      </c>
      <c r="Z164" t="s">
        <v>4061</v>
      </c>
      <c r="AA164" t="s">
        <v>4062</v>
      </c>
      <c r="AB164" t="s">
        <v>4</v>
      </c>
      <c r="AC164" s="3" t="s">
        <v>4063</v>
      </c>
      <c r="AD164" t="s">
        <v>4</v>
      </c>
      <c r="AE164" t="s">
        <v>4064</v>
      </c>
      <c r="AF164" t="s">
        <v>4065</v>
      </c>
      <c r="AG164" t="s">
        <v>774</v>
      </c>
      <c r="AH164" t="s">
        <v>112</v>
      </c>
      <c r="AU164" t="s">
        <v>112</v>
      </c>
      <c r="AV164" t="s">
        <v>4066</v>
      </c>
      <c r="AW164" t="s">
        <v>114</v>
      </c>
      <c r="AX164" t="s">
        <v>536</v>
      </c>
      <c r="AY164" t="s">
        <v>4067</v>
      </c>
      <c r="AZ164" t="s">
        <v>4</v>
      </c>
      <c r="BA164" s="3" t="s">
        <v>115</v>
      </c>
      <c r="BB164" s="6" t="s">
        <v>95</v>
      </c>
      <c r="BC164" s="3" t="s">
        <v>95</v>
      </c>
      <c r="BD164" t="s">
        <v>4</v>
      </c>
      <c r="BE164">
        <v>6388</v>
      </c>
      <c r="BF164" t="s">
        <v>213</v>
      </c>
      <c r="BG164">
        <v>98.956199999999995</v>
      </c>
      <c r="BH164">
        <v>74.530299999999997</v>
      </c>
      <c r="BI164">
        <v>94.363299999999995</v>
      </c>
      <c r="BJ164" t="s">
        <v>4068</v>
      </c>
      <c r="BK164">
        <v>57.411299999999997</v>
      </c>
      <c r="BL164">
        <v>58.037599999999998</v>
      </c>
      <c r="BM164">
        <v>65.970799999999997</v>
      </c>
      <c r="BN164">
        <v>68.893500000000003</v>
      </c>
      <c r="BO164">
        <v>66.597099999999998</v>
      </c>
      <c r="BQ164">
        <v>48.225499999999997</v>
      </c>
      <c r="BR164">
        <v>46.972900000000003</v>
      </c>
      <c r="BS164">
        <v>43.632599999999996</v>
      </c>
      <c r="BT164">
        <v>38.622100000000003</v>
      </c>
      <c r="BU164">
        <v>28.601299999999998</v>
      </c>
      <c r="BV164" t="s">
        <v>4069</v>
      </c>
      <c r="BW164">
        <v>49.269300000000001</v>
      </c>
      <c r="BX164">
        <v>48.643000000000001</v>
      </c>
      <c r="BY164">
        <v>47.807899999999997</v>
      </c>
      <c r="BZ164">
        <v>49.060499999999998</v>
      </c>
      <c r="CA164">
        <v>49.895600000000002</v>
      </c>
      <c r="CB164">
        <v>18.371600000000001</v>
      </c>
      <c r="CC164">
        <v>39.039700000000003</v>
      </c>
      <c r="CD164">
        <v>40.918599999999998</v>
      </c>
      <c r="CF164" t="s">
        <v>4070</v>
      </c>
      <c r="CG164">
        <v>20.668099999999999</v>
      </c>
      <c r="CH164">
        <v>20.250499999999999</v>
      </c>
      <c r="CI164" t="s">
        <v>4071</v>
      </c>
      <c r="CK164">
        <v>8</v>
      </c>
      <c r="CL164" t="s">
        <v>4</v>
      </c>
      <c r="CM164" t="s">
        <v>4072</v>
      </c>
      <c r="CN164" t="s">
        <v>4073</v>
      </c>
      <c r="CO164" t="s">
        <v>99</v>
      </c>
      <c r="CP164" t="s">
        <v>100</v>
      </c>
      <c r="CQ164">
        <v>163</v>
      </c>
      <c r="CR164" t="s">
        <v>100</v>
      </c>
      <c r="CS164" t="s">
        <v>100</v>
      </c>
      <c r="CT164" t="s">
        <v>152</v>
      </c>
      <c r="CU164" t="s">
        <v>102</v>
      </c>
      <c r="CV164" t="s">
        <v>100</v>
      </c>
    </row>
    <row r="165" spans="1:100">
      <c r="A165" s="3" t="s">
        <v>4074</v>
      </c>
      <c r="B165" s="4" t="s">
        <v>4075</v>
      </c>
      <c r="C165">
        <v>357.88451299450099</v>
      </c>
      <c r="D165">
        <v>2795.2152819989901</v>
      </c>
      <c r="E165">
        <f>-2.96501370408674</f>
        <v>-2.9650137040867399</v>
      </c>
      <c r="F165" s="5">
        <v>2.19181619041951E-17</v>
      </c>
      <c r="G165" t="s">
        <v>4</v>
      </c>
      <c r="H165">
        <v>357.88451299450099</v>
      </c>
      <c r="I165">
        <v>130.22849253317401</v>
      </c>
      <c r="J165">
        <v>1.45964034997329</v>
      </c>
      <c r="K165" s="5">
        <v>7.6631112443185194E-5</v>
      </c>
      <c r="L165" t="s">
        <v>4</v>
      </c>
      <c r="M165">
        <v>2795.2152819989901</v>
      </c>
      <c r="N165">
        <v>130.22849253317401</v>
      </c>
      <c r="O165">
        <v>4.4246540540600199</v>
      </c>
      <c r="P165" s="5">
        <v>6.9780616443944803E-37</v>
      </c>
      <c r="Q165" t="s">
        <v>4</v>
      </c>
      <c r="R165" s="4" t="s">
        <v>87</v>
      </c>
      <c r="S165" t="s">
        <v>4</v>
      </c>
      <c r="T165" t="s">
        <v>4076</v>
      </c>
      <c r="U165" t="s">
        <v>4077</v>
      </c>
      <c r="V165" t="s">
        <v>4078</v>
      </c>
      <c r="W165" t="s">
        <v>976</v>
      </c>
      <c r="X165" t="s">
        <v>4</v>
      </c>
      <c r="Y165" t="s">
        <v>951</v>
      </c>
      <c r="Z165" t="s">
        <v>952</v>
      </c>
      <c r="AA165" t="s">
        <v>953</v>
      </c>
      <c r="AB165" t="s">
        <v>4</v>
      </c>
      <c r="AC165" s="3" t="s">
        <v>4079</v>
      </c>
      <c r="AD165" t="s">
        <v>4</v>
      </c>
      <c r="AE165" t="s">
        <v>4080</v>
      </c>
      <c r="AF165" t="s">
        <v>4081</v>
      </c>
      <c r="AG165" t="s">
        <v>4082</v>
      </c>
      <c r="AH165" t="s">
        <v>112</v>
      </c>
      <c r="AJ165" t="s">
        <v>4083</v>
      </c>
      <c r="AL165" t="s">
        <v>4084</v>
      </c>
      <c r="AM165" t="s">
        <v>4085</v>
      </c>
      <c r="AQ165" t="s">
        <v>3133</v>
      </c>
      <c r="AR165" t="s">
        <v>4086</v>
      </c>
      <c r="AU165" t="s">
        <v>112</v>
      </c>
      <c r="AV165" t="s">
        <v>4087</v>
      </c>
      <c r="AW165" t="s">
        <v>114</v>
      </c>
      <c r="AZ165" t="s">
        <v>4</v>
      </c>
      <c r="BA165" s="3" t="s">
        <v>95</v>
      </c>
      <c r="BB165" t="s">
        <v>96</v>
      </c>
      <c r="BC165" s="3" t="s">
        <v>95</v>
      </c>
      <c r="BD165" t="s">
        <v>4</v>
      </c>
      <c r="BE165">
        <v>3453</v>
      </c>
      <c r="BF165" t="s">
        <v>112</v>
      </c>
      <c r="BG165">
        <v>99.431799999999996</v>
      </c>
      <c r="BH165">
        <v>86.079499999999996</v>
      </c>
      <c r="BI165">
        <v>94.6023</v>
      </c>
      <c r="BJ165">
        <v>85.795500000000004</v>
      </c>
      <c r="BK165">
        <v>88.636399999999995</v>
      </c>
      <c r="BL165">
        <v>91.4773</v>
      </c>
      <c r="BM165">
        <v>92.329499999999996</v>
      </c>
      <c r="BN165">
        <v>90.056799999999996</v>
      </c>
      <c r="BO165">
        <v>91.193200000000004</v>
      </c>
      <c r="BY165">
        <v>19.886399999999998</v>
      </c>
      <c r="CK165">
        <v>5</v>
      </c>
      <c r="CL165" t="s">
        <v>4</v>
      </c>
      <c r="CM165" t="s">
        <v>98</v>
      </c>
      <c r="CN165" t="s">
        <v>98</v>
      </c>
      <c r="CO165" t="s">
        <v>99</v>
      </c>
      <c r="CP165" t="s">
        <v>100</v>
      </c>
      <c r="CQ165">
        <v>164</v>
      </c>
      <c r="CR165" t="s">
        <v>100</v>
      </c>
      <c r="CS165" s="7" t="s">
        <v>101</v>
      </c>
      <c r="CT165" t="s">
        <v>152</v>
      </c>
      <c r="CU165" t="s">
        <v>102</v>
      </c>
      <c r="CV165" t="s">
        <v>100</v>
      </c>
    </row>
    <row r="166" spans="1:100">
      <c r="A166" s="3" t="s">
        <v>4088</v>
      </c>
      <c r="B166" s="4" t="s">
        <v>4089</v>
      </c>
      <c r="C166">
        <v>23.5126067457639</v>
      </c>
      <c r="D166">
        <v>291.18119045155697</v>
      </c>
      <c r="E166">
        <f>-3.62822128930188</f>
        <v>-3.6282212893018801</v>
      </c>
      <c r="F166" s="5">
        <v>2.3199770152303599E-6</v>
      </c>
      <c r="G166" t="s">
        <v>4</v>
      </c>
      <c r="H166">
        <v>23.5126067457639</v>
      </c>
      <c r="I166">
        <v>5.6086585617858704</v>
      </c>
      <c r="J166">
        <v>2.1992864575301998</v>
      </c>
      <c r="K166">
        <v>1.63908309986136E-2</v>
      </c>
      <c r="L166" t="s">
        <v>4</v>
      </c>
      <c r="M166">
        <v>291.18119045155697</v>
      </c>
      <c r="N166">
        <v>5.6086585617858704</v>
      </c>
      <c r="O166">
        <v>5.8275077468320697</v>
      </c>
      <c r="P166" s="5">
        <v>6.1429036714648903E-12</v>
      </c>
      <c r="Q166" t="s">
        <v>4</v>
      </c>
      <c r="R166" s="4" t="s">
        <v>87</v>
      </c>
      <c r="S166" t="s">
        <v>4</v>
      </c>
      <c r="T166" t="s">
        <v>92</v>
      </c>
      <c r="U166" t="s">
        <v>92</v>
      </c>
      <c r="V166" t="s">
        <v>92</v>
      </c>
      <c r="W166" t="s">
        <v>92</v>
      </c>
      <c r="X166" t="s">
        <v>4</v>
      </c>
      <c r="Y166" t="s">
        <v>4090</v>
      </c>
      <c r="Z166" t="s">
        <v>4091</v>
      </c>
      <c r="AA166" t="s">
        <v>4092</v>
      </c>
      <c r="AB166" t="s">
        <v>4</v>
      </c>
      <c r="AC166" s="3" t="s">
        <v>4093</v>
      </c>
      <c r="AD166" t="s">
        <v>4</v>
      </c>
      <c r="AE166" t="s">
        <v>4094</v>
      </c>
      <c r="AF166" t="s">
        <v>4095</v>
      </c>
      <c r="AG166" t="s">
        <v>4096</v>
      </c>
      <c r="AH166" t="s">
        <v>638</v>
      </c>
      <c r="AU166" t="s">
        <v>112</v>
      </c>
      <c r="AV166" t="s">
        <v>4097</v>
      </c>
      <c r="AW166" t="s">
        <v>114</v>
      </c>
      <c r="AX166" t="s">
        <v>4098</v>
      </c>
      <c r="AY166" t="s">
        <v>4099</v>
      </c>
      <c r="AZ166" t="s">
        <v>4</v>
      </c>
      <c r="BA166" s="3" t="s">
        <v>95</v>
      </c>
      <c r="BB166" s="6" t="s">
        <v>95</v>
      </c>
      <c r="BC166" s="3" t="s">
        <v>95</v>
      </c>
      <c r="BD166" t="s">
        <v>4</v>
      </c>
      <c r="BE166">
        <v>3459</v>
      </c>
      <c r="BF166" t="s">
        <v>112</v>
      </c>
      <c r="BG166">
        <v>99.450500000000005</v>
      </c>
      <c r="BI166">
        <v>94.505499999999998</v>
      </c>
      <c r="BL166">
        <v>82.417599999999993</v>
      </c>
      <c r="BM166">
        <v>82.417599999999993</v>
      </c>
      <c r="BN166">
        <v>82.417599999999993</v>
      </c>
      <c r="BO166">
        <v>85.1648</v>
      </c>
      <c r="BP166">
        <v>62.087899999999998</v>
      </c>
      <c r="BR166">
        <v>60.439599999999999</v>
      </c>
      <c r="BS166">
        <v>15.384600000000001</v>
      </c>
      <c r="BV166">
        <v>9.89011</v>
      </c>
      <c r="BX166">
        <v>56.043999999999997</v>
      </c>
      <c r="BY166">
        <v>56.043999999999997</v>
      </c>
      <c r="BZ166">
        <v>56.593400000000003</v>
      </c>
      <c r="CF166">
        <v>11.538500000000001</v>
      </c>
      <c r="CG166" t="s">
        <v>4100</v>
      </c>
      <c r="CH166" t="s">
        <v>4101</v>
      </c>
      <c r="CI166" t="s">
        <v>4102</v>
      </c>
      <c r="CJ166" t="s">
        <v>4103</v>
      </c>
      <c r="CK166">
        <v>5</v>
      </c>
      <c r="CL166" t="s">
        <v>4</v>
      </c>
      <c r="CM166" t="s">
        <v>98</v>
      </c>
      <c r="CN166" t="s">
        <v>98</v>
      </c>
      <c r="CO166" t="s">
        <v>99</v>
      </c>
      <c r="CP166" t="s">
        <v>100</v>
      </c>
      <c r="CQ166">
        <v>165</v>
      </c>
      <c r="CR166" t="s">
        <v>100</v>
      </c>
      <c r="CS166" s="7" t="s">
        <v>101</v>
      </c>
      <c r="CT166" t="s">
        <v>152</v>
      </c>
      <c r="CU166" t="s">
        <v>102</v>
      </c>
      <c r="CV166" t="s">
        <v>100</v>
      </c>
    </row>
    <row r="167" spans="1:100">
      <c r="A167" s="3" t="s">
        <v>4104</v>
      </c>
      <c r="B167" s="4" t="s">
        <v>4105</v>
      </c>
      <c r="C167">
        <v>445.28737388452299</v>
      </c>
      <c r="D167">
        <v>2037.3319323390999</v>
      </c>
      <c r="E167">
        <f>-2.1939398457101</f>
        <v>-2.1939398457101</v>
      </c>
      <c r="F167" s="5">
        <v>1.5970949980045899E-10</v>
      </c>
      <c r="G167" t="s">
        <v>4</v>
      </c>
      <c r="H167">
        <v>445.28737388452299</v>
      </c>
      <c r="I167">
        <v>118.99375937607201</v>
      </c>
      <c r="J167">
        <v>1.9145730764401301</v>
      </c>
      <c r="K167" s="5">
        <v>5.8295224429057497E-8</v>
      </c>
      <c r="L167" t="s">
        <v>4</v>
      </c>
      <c r="M167">
        <v>2037.3319323390999</v>
      </c>
      <c r="N167">
        <v>118.99375937607201</v>
      </c>
      <c r="O167">
        <v>4.1085129221502203</v>
      </c>
      <c r="P167" s="5">
        <v>1.5900762014562599E-33</v>
      </c>
      <c r="Q167" t="s">
        <v>4</v>
      </c>
      <c r="R167" s="4" t="s">
        <v>87</v>
      </c>
      <c r="S167" t="s">
        <v>4</v>
      </c>
      <c r="T167" t="s">
        <v>4106</v>
      </c>
      <c r="U167" t="s">
        <v>4107</v>
      </c>
      <c r="V167" t="s">
        <v>4108</v>
      </c>
      <c r="W167" t="s">
        <v>203</v>
      </c>
      <c r="X167" t="s">
        <v>4</v>
      </c>
      <c r="Y167" t="s">
        <v>4109</v>
      </c>
      <c r="Z167" t="s">
        <v>4110</v>
      </c>
      <c r="AA167" t="s">
        <v>4111</v>
      </c>
      <c r="AB167" t="s">
        <v>4</v>
      </c>
      <c r="AC167" s="3" t="s">
        <v>4112</v>
      </c>
      <c r="AD167" t="s">
        <v>4</v>
      </c>
      <c r="AE167" t="s">
        <v>4113</v>
      </c>
      <c r="AF167" t="s">
        <v>4114</v>
      </c>
      <c r="AG167" t="s">
        <v>4115</v>
      </c>
      <c r="AH167" t="s">
        <v>112</v>
      </c>
      <c r="AU167" t="s">
        <v>112</v>
      </c>
      <c r="AV167" t="s">
        <v>4116</v>
      </c>
      <c r="AW167" t="s">
        <v>114</v>
      </c>
      <c r="AX167" t="s">
        <v>700</v>
      </c>
      <c r="AY167" t="s">
        <v>4117</v>
      </c>
      <c r="AZ167" t="s">
        <v>4</v>
      </c>
      <c r="BA167" s="3" t="s">
        <v>95</v>
      </c>
      <c r="BB167" s="6" t="s">
        <v>95</v>
      </c>
      <c r="BC167" s="3" t="s">
        <v>95</v>
      </c>
      <c r="BD167" t="s">
        <v>4</v>
      </c>
      <c r="BE167">
        <v>5423</v>
      </c>
      <c r="BF167" t="s">
        <v>386</v>
      </c>
      <c r="BG167">
        <v>31.296800000000001</v>
      </c>
      <c r="BH167">
        <v>23.441400000000002</v>
      </c>
      <c r="BI167">
        <v>79.551100000000005</v>
      </c>
      <c r="BJ167">
        <v>64.588499999999996</v>
      </c>
      <c r="BK167">
        <v>56.733199999999997</v>
      </c>
      <c r="BL167">
        <v>22.194500000000001</v>
      </c>
      <c r="BM167">
        <v>13.9651</v>
      </c>
      <c r="BN167">
        <v>60.847900000000003</v>
      </c>
      <c r="BO167">
        <v>58.229399999999998</v>
      </c>
      <c r="BP167">
        <v>8.8528699999999994</v>
      </c>
      <c r="BQ167">
        <v>33.5411</v>
      </c>
      <c r="BR167">
        <v>36.284300000000002</v>
      </c>
      <c r="BS167">
        <v>30.299299999999999</v>
      </c>
      <c r="BT167">
        <v>31.795500000000001</v>
      </c>
      <c r="BU167">
        <v>32.044899999999998</v>
      </c>
      <c r="BV167" t="s">
        <v>4118</v>
      </c>
      <c r="BW167">
        <v>30.299299999999999</v>
      </c>
      <c r="BX167">
        <v>26.558599999999998</v>
      </c>
      <c r="BY167">
        <v>22.443899999999999</v>
      </c>
      <c r="BZ167">
        <v>7.9800500000000003</v>
      </c>
      <c r="CA167">
        <v>33.665799999999997</v>
      </c>
      <c r="CB167">
        <v>14.214499999999999</v>
      </c>
      <c r="CF167">
        <v>12.4688</v>
      </c>
      <c r="CG167" t="s">
        <v>4119</v>
      </c>
      <c r="CH167" t="s">
        <v>4120</v>
      </c>
      <c r="CI167">
        <v>5.61097</v>
      </c>
      <c r="CK167">
        <v>7</v>
      </c>
      <c r="CL167" t="s">
        <v>4</v>
      </c>
      <c r="CM167" t="s">
        <v>4121</v>
      </c>
      <c r="CN167" t="s">
        <v>4122</v>
      </c>
      <c r="CO167" t="s">
        <v>99</v>
      </c>
      <c r="CP167" t="s">
        <v>100</v>
      </c>
      <c r="CQ167">
        <v>166</v>
      </c>
      <c r="CR167" t="s">
        <v>100</v>
      </c>
      <c r="CS167" s="7" t="s">
        <v>101</v>
      </c>
      <c r="CT167" t="s">
        <v>152</v>
      </c>
      <c r="CU167" t="s">
        <v>102</v>
      </c>
      <c r="CV167" t="s">
        <v>100</v>
      </c>
    </row>
    <row r="168" spans="1:100">
      <c r="A168" s="3" t="s">
        <v>4123</v>
      </c>
      <c r="B168" s="4" t="s">
        <v>4124</v>
      </c>
      <c r="C168">
        <v>60.242965924980098</v>
      </c>
      <c r="D168">
        <v>251.88676727542199</v>
      </c>
      <c r="E168">
        <f>-2.06470330690617</f>
        <v>-2.06470330690617</v>
      </c>
      <c r="F168" s="5">
        <v>6.2445146707839707E-8</v>
      </c>
      <c r="G168" t="s">
        <v>4</v>
      </c>
      <c r="H168">
        <v>60.242965924980098</v>
      </c>
      <c r="I168">
        <v>31.257346194173898</v>
      </c>
      <c r="J168">
        <v>0.91272043772034395</v>
      </c>
      <c r="K168">
        <v>3.6671904375708303E-2</v>
      </c>
      <c r="L168" t="s">
        <v>4</v>
      </c>
      <c r="M168">
        <v>251.88676727542199</v>
      </c>
      <c r="N168">
        <v>31.257346194173898</v>
      </c>
      <c r="O168">
        <v>2.9774237446265102</v>
      </c>
      <c r="P168" s="5">
        <v>6.7731768465525995E-14</v>
      </c>
      <c r="Q168" t="s">
        <v>4</v>
      </c>
      <c r="R168" s="4" t="s">
        <v>87</v>
      </c>
      <c r="S168" t="s">
        <v>4</v>
      </c>
      <c r="T168" t="s">
        <v>4125</v>
      </c>
      <c r="U168" t="s">
        <v>4126</v>
      </c>
      <c r="V168" t="s">
        <v>4127</v>
      </c>
      <c r="W168" t="s">
        <v>328</v>
      </c>
      <c r="X168" t="s">
        <v>4</v>
      </c>
      <c r="Y168" t="s">
        <v>4128</v>
      </c>
      <c r="Z168" t="s">
        <v>4129</v>
      </c>
      <c r="AA168" t="s">
        <v>4130</v>
      </c>
      <c r="AB168" t="s">
        <v>4</v>
      </c>
      <c r="AC168" s="3" t="s">
        <v>4131</v>
      </c>
      <c r="AD168" t="s">
        <v>4</v>
      </c>
      <c r="AE168" t="s">
        <v>4132</v>
      </c>
      <c r="AF168" t="s">
        <v>4133</v>
      </c>
      <c r="AG168" t="s">
        <v>4134</v>
      </c>
      <c r="AH168" t="s">
        <v>112</v>
      </c>
      <c r="AL168" t="s">
        <v>4135</v>
      </c>
      <c r="AQ168" t="s">
        <v>641</v>
      </c>
      <c r="AR168" t="s">
        <v>4136</v>
      </c>
      <c r="AU168" t="s">
        <v>112</v>
      </c>
      <c r="AV168" t="s">
        <v>4137</v>
      </c>
      <c r="AW168" t="s">
        <v>114</v>
      </c>
      <c r="AX168" t="s">
        <v>909</v>
      </c>
      <c r="AY168" t="s">
        <v>4138</v>
      </c>
      <c r="AZ168" t="s">
        <v>4</v>
      </c>
      <c r="BA168" s="3" t="s">
        <v>95</v>
      </c>
      <c r="BB168" t="s">
        <v>96</v>
      </c>
      <c r="BC168" s="3" t="s">
        <v>95</v>
      </c>
      <c r="BD168" t="s">
        <v>4</v>
      </c>
      <c r="BE168">
        <v>6430</v>
      </c>
      <c r="BF168" t="s">
        <v>213</v>
      </c>
      <c r="BG168">
        <v>28.767099999999999</v>
      </c>
      <c r="BI168">
        <v>93.379000000000005</v>
      </c>
      <c r="BJ168">
        <v>85.616399999999999</v>
      </c>
      <c r="BL168">
        <v>73.287700000000001</v>
      </c>
      <c r="BM168">
        <v>70.091300000000004</v>
      </c>
      <c r="BN168">
        <v>65.296800000000005</v>
      </c>
      <c r="BP168">
        <v>17.808199999999999</v>
      </c>
      <c r="BR168">
        <v>78.538799999999995</v>
      </c>
      <c r="BS168">
        <v>61.415500000000002</v>
      </c>
      <c r="BT168">
        <v>58.675800000000002</v>
      </c>
      <c r="BU168">
        <v>49.543399999999998</v>
      </c>
      <c r="BV168" t="s">
        <v>4139</v>
      </c>
      <c r="BW168">
        <v>75.570800000000006</v>
      </c>
      <c r="BY168" t="s">
        <v>4140</v>
      </c>
      <c r="BZ168">
        <v>55.251100000000001</v>
      </c>
      <c r="CB168">
        <v>12.1005</v>
      </c>
      <c r="CC168" t="s">
        <v>4141</v>
      </c>
      <c r="CE168" t="s">
        <v>4142</v>
      </c>
      <c r="CF168">
        <v>59.360700000000001</v>
      </c>
      <c r="CG168" t="s">
        <v>4143</v>
      </c>
      <c r="CH168" t="s">
        <v>4144</v>
      </c>
      <c r="CI168" t="s">
        <v>4145</v>
      </c>
      <c r="CK168">
        <v>8</v>
      </c>
      <c r="CL168" t="s">
        <v>4</v>
      </c>
      <c r="CM168" t="s">
        <v>98</v>
      </c>
      <c r="CN168" t="s">
        <v>98</v>
      </c>
      <c r="CO168" t="s">
        <v>99</v>
      </c>
      <c r="CP168" t="s">
        <v>100</v>
      </c>
      <c r="CQ168">
        <v>167</v>
      </c>
      <c r="CR168" t="s">
        <v>100</v>
      </c>
      <c r="CS168" t="s">
        <v>100</v>
      </c>
      <c r="CT168" t="s">
        <v>152</v>
      </c>
      <c r="CU168" t="s">
        <v>102</v>
      </c>
      <c r="CV168" t="s">
        <v>100</v>
      </c>
    </row>
    <row r="169" spans="1:100">
      <c r="A169" s="3" t="s">
        <v>4146</v>
      </c>
      <c r="B169" s="4" t="s">
        <v>4147</v>
      </c>
      <c r="C169">
        <v>37.756369619424802</v>
      </c>
      <c r="D169">
        <v>192.659696345106</v>
      </c>
      <c r="E169">
        <f>-2.34798870813878</f>
        <v>-2.34798870813878</v>
      </c>
      <c r="F169" s="5">
        <v>6.7855259639557094E-5</v>
      </c>
      <c r="G169" t="s">
        <v>4</v>
      </c>
      <c r="H169">
        <v>37.756369619424802</v>
      </c>
      <c r="I169">
        <v>37.536016947234899</v>
      </c>
      <c r="J169">
        <v>2.0685494045401501E-2</v>
      </c>
      <c r="K169">
        <v>0.975962658604558</v>
      </c>
      <c r="L169" t="s">
        <v>4</v>
      </c>
      <c r="M169">
        <v>192.659696345106</v>
      </c>
      <c r="N169">
        <v>37.536016947234899</v>
      </c>
      <c r="O169">
        <v>2.36867420218418</v>
      </c>
      <c r="P169" s="5">
        <v>4.4805667744647697E-5</v>
      </c>
      <c r="Q169" t="s">
        <v>4</v>
      </c>
      <c r="R169" s="4" t="s">
        <v>87</v>
      </c>
      <c r="S169" t="s">
        <v>4</v>
      </c>
      <c r="T169" t="s">
        <v>88</v>
      </c>
      <c r="U169" t="s">
        <v>89</v>
      </c>
      <c r="V169" t="s">
        <v>90</v>
      </c>
      <c r="W169" t="s">
        <v>91</v>
      </c>
      <c r="X169" t="s">
        <v>4</v>
      </c>
      <c r="Y169" t="s">
        <v>650</v>
      </c>
      <c r="Z169" t="s">
        <v>651</v>
      </c>
      <c r="AA169" t="s">
        <v>652</v>
      </c>
      <c r="AB169" t="s">
        <v>4</v>
      </c>
      <c r="AC169" s="3" t="s">
        <v>653</v>
      </c>
      <c r="AD169" t="s">
        <v>4</v>
      </c>
      <c r="AE169" t="s">
        <v>4148</v>
      </c>
      <c r="AF169" t="s">
        <v>4149</v>
      </c>
      <c r="AG169" t="s">
        <v>4150</v>
      </c>
      <c r="AH169" t="s">
        <v>112</v>
      </c>
      <c r="AU169" t="s">
        <v>112</v>
      </c>
      <c r="AV169" t="s">
        <v>4151</v>
      </c>
      <c r="AW169" t="s">
        <v>114</v>
      </c>
      <c r="AX169" t="s">
        <v>144</v>
      </c>
      <c r="AY169" t="s">
        <v>658</v>
      </c>
      <c r="AZ169" t="s">
        <v>4</v>
      </c>
      <c r="BA169" s="3" t="s">
        <v>95</v>
      </c>
      <c r="BB169" t="s">
        <v>96</v>
      </c>
      <c r="BC169" s="3" t="s">
        <v>95</v>
      </c>
      <c r="BD169" t="s">
        <v>4</v>
      </c>
      <c r="BE169">
        <v>3474</v>
      </c>
      <c r="BF169" t="s">
        <v>112</v>
      </c>
      <c r="BG169">
        <v>37.996200000000002</v>
      </c>
      <c r="BI169">
        <v>57.466900000000003</v>
      </c>
      <c r="BJ169">
        <v>42.155000000000001</v>
      </c>
      <c r="BL169">
        <v>48.960299999999997</v>
      </c>
      <c r="BM169">
        <v>72.211699999999993</v>
      </c>
      <c r="BN169">
        <v>72.400800000000004</v>
      </c>
      <c r="BO169">
        <v>68.62</v>
      </c>
      <c r="BP169">
        <v>31.190899999999999</v>
      </c>
      <c r="BQ169" t="s">
        <v>4152</v>
      </c>
      <c r="BR169" t="s">
        <v>4153</v>
      </c>
      <c r="BS169">
        <v>20.983000000000001</v>
      </c>
      <c r="BW169" t="s">
        <v>4154</v>
      </c>
      <c r="BX169">
        <v>20.794</v>
      </c>
      <c r="BZ169">
        <v>12.2873</v>
      </c>
      <c r="CA169" t="s">
        <v>4155</v>
      </c>
      <c r="CK169">
        <v>5</v>
      </c>
      <c r="CL169" t="s">
        <v>4</v>
      </c>
      <c r="CM169" t="s">
        <v>4156</v>
      </c>
      <c r="CN169" t="s">
        <v>4157</v>
      </c>
      <c r="CO169" t="s">
        <v>99</v>
      </c>
      <c r="CP169" t="s">
        <v>100</v>
      </c>
      <c r="CQ169">
        <v>168</v>
      </c>
      <c r="CR169" t="s">
        <v>100</v>
      </c>
      <c r="CS169" t="s">
        <v>100</v>
      </c>
      <c r="CT169" t="s">
        <v>152</v>
      </c>
      <c r="CU169" t="s">
        <v>102</v>
      </c>
      <c r="CV169" t="s">
        <v>100</v>
      </c>
    </row>
    <row r="170" spans="1:100">
      <c r="A170" s="3" t="s">
        <v>4158</v>
      </c>
      <c r="B170" s="4" t="s">
        <v>4159</v>
      </c>
      <c r="C170">
        <v>147.70949656340099</v>
      </c>
      <c r="D170">
        <v>842.58096751913604</v>
      </c>
      <c r="E170">
        <f>-2.50917259303917</f>
        <v>-2.5091725930391702</v>
      </c>
      <c r="F170" s="5">
        <v>1.22336006508054E-18</v>
      </c>
      <c r="G170" t="s">
        <v>4</v>
      </c>
      <c r="H170">
        <v>147.70949656340099</v>
      </c>
      <c r="I170">
        <v>38.816892366940799</v>
      </c>
      <c r="J170">
        <v>1.9467029478300999</v>
      </c>
      <c r="K170" s="5">
        <v>3.40757909061E-9</v>
      </c>
      <c r="L170" t="s">
        <v>4</v>
      </c>
      <c r="M170">
        <v>842.58096751913604</v>
      </c>
      <c r="N170">
        <v>38.816892366940799</v>
      </c>
      <c r="O170">
        <v>4.4558755408692701</v>
      </c>
      <c r="P170" s="5">
        <v>1.98116475717236E-45</v>
      </c>
      <c r="Q170" t="s">
        <v>4</v>
      </c>
      <c r="R170" s="4" t="s">
        <v>87</v>
      </c>
      <c r="S170" t="s">
        <v>4</v>
      </c>
      <c r="T170" t="s">
        <v>4160</v>
      </c>
      <c r="U170" t="s">
        <v>4161</v>
      </c>
      <c r="V170" t="s">
        <v>4162</v>
      </c>
      <c r="W170" t="s">
        <v>203</v>
      </c>
      <c r="X170" t="s">
        <v>4</v>
      </c>
      <c r="Y170" t="s">
        <v>4163</v>
      </c>
      <c r="Z170" t="s">
        <v>4164</v>
      </c>
      <c r="AA170" t="s">
        <v>4165</v>
      </c>
      <c r="AB170" t="s">
        <v>4</v>
      </c>
      <c r="AC170" s="3" t="s">
        <v>4166</v>
      </c>
      <c r="AD170" t="s">
        <v>4</v>
      </c>
      <c r="AE170" t="s">
        <v>4167</v>
      </c>
      <c r="AF170" t="s">
        <v>4168</v>
      </c>
      <c r="AG170" t="s">
        <v>4169</v>
      </c>
      <c r="AH170" t="s">
        <v>112</v>
      </c>
      <c r="AU170" t="s">
        <v>112</v>
      </c>
      <c r="AV170" t="s">
        <v>4170</v>
      </c>
      <c r="AW170" t="s">
        <v>114</v>
      </c>
      <c r="AX170" t="s">
        <v>536</v>
      </c>
      <c r="AY170" t="s">
        <v>4171</v>
      </c>
      <c r="AZ170" t="s">
        <v>4</v>
      </c>
      <c r="BA170" s="3" t="s">
        <v>95</v>
      </c>
      <c r="BB170" s="6" t="s">
        <v>95</v>
      </c>
      <c r="BC170" s="3" t="s">
        <v>197</v>
      </c>
      <c r="BD170" t="s">
        <v>4</v>
      </c>
      <c r="BE170">
        <v>6453</v>
      </c>
      <c r="BF170" t="s">
        <v>213</v>
      </c>
      <c r="BG170">
        <v>98.630099999999999</v>
      </c>
      <c r="BH170">
        <v>62.230899999999998</v>
      </c>
      <c r="BI170">
        <v>86.105699999999999</v>
      </c>
      <c r="BJ170">
        <v>86.301400000000001</v>
      </c>
      <c r="BK170" t="s">
        <v>4172</v>
      </c>
      <c r="BM170">
        <v>71.232900000000001</v>
      </c>
      <c r="BN170">
        <v>73.9726</v>
      </c>
      <c r="BO170">
        <v>68.297499999999999</v>
      </c>
      <c r="BP170">
        <v>25.440300000000001</v>
      </c>
      <c r="BQ170" t="s">
        <v>4173</v>
      </c>
      <c r="BR170" t="s">
        <v>4174</v>
      </c>
      <c r="BS170" t="s">
        <v>4175</v>
      </c>
      <c r="BW170" t="s">
        <v>4176</v>
      </c>
      <c r="BY170">
        <v>10.3718</v>
      </c>
      <c r="BZ170">
        <v>10.9589</v>
      </c>
      <c r="CA170">
        <v>27.0059</v>
      </c>
      <c r="CC170">
        <v>27.788699999999999</v>
      </c>
      <c r="CF170">
        <v>27.593</v>
      </c>
      <c r="CI170">
        <v>27.0059</v>
      </c>
      <c r="CK170">
        <v>8</v>
      </c>
      <c r="CL170" t="s">
        <v>4</v>
      </c>
      <c r="CM170" t="s">
        <v>4177</v>
      </c>
      <c r="CN170" t="s">
        <v>4178</v>
      </c>
      <c r="CO170" t="s">
        <v>219</v>
      </c>
      <c r="CP170" t="s">
        <v>100</v>
      </c>
      <c r="CQ170">
        <v>169</v>
      </c>
      <c r="CR170" t="s">
        <v>100</v>
      </c>
      <c r="CS170" s="7" t="s">
        <v>101</v>
      </c>
      <c r="CT170" t="s">
        <v>152</v>
      </c>
      <c r="CU170" t="s">
        <v>102</v>
      </c>
      <c r="CV170" t="s">
        <v>100</v>
      </c>
    </row>
    <row r="171" spans="1:100">
      <c r="A171" s="3" t="s">
        <v>4179</v>
      </c>
      <c r="B171" s="4" t="s">
        <v>4180</v>
      </c>
      <c r="C171">
        <v>40.728274324218297</v>
      </c>
      <c r="D171">
        <v>332.31804576802602</v>
      </c>
      <c r="E171">
        <f>-3.02842259487597</f>
        <v>-3.0284225948759702</v>
      </c>
      <c r="F171" s="5">
        <v>5.2770949202261902E-8</v>
      </c>
      <c r="G171" t="s">
        <v>4</v>
      </c>
      <c r="H171">
        <v>40.728274324218297</v>
      </c>
      <c r="I171">
        <v>14.766727517286499</v>
      </c>
      <c r="J171">
        <v>1.4608322851551401</v>
      </c>
      <c r="K171">
        <v>2.2077939206430398E-2</v>
      </c>
      <c r="L171" t="s">
        <v>4</v>
      </c>
      <c r="M171">
        <v>332.31804576802602</v>
      </c>
      <c r="N171">
        <v>14.766727517286499</v>
      </c>
      <c r="O171">
        <v>4.4892548800311101</v>
      </c>
      <c r="P171" s="5">
        <v>1.7817812509322799E-14</v>
      </c>
      <c r="Q171" t="s">
        <v>4</v>
      </c>
      <c r="R171" s="4" t="s">
        <v>87</v>
      </c>
      <c r="S171" t="s">
        <v>4</v>
      </c>
      <c r="T171" t="s">
        <v>88</v>
      </c>
      <c r="U171" t="s">
        <v>89</v>
      </c>
      <c r="V171" t="s">
        <v>90</v>
      </c>
      <c r="W171" t="s">
        <v>91</v>
      </c>
      <c r="X171" t="s">
        <v>4</v>
      </c>
      <c r="Y171" t="s">
        <v>1801</v>
      </c>
      <c r="Z171" t="s">
        <v>1802</v>
      </c>
      <c r="AA171" t="s">
        <v>1803</v>
      </c>
      <c r="AB171" t="s">
        <v>4</v>
      </c>
      <c r="AC171" s="3" t="s">
        <v>3839</v>
      </c>
      <c r="AD171" t="s">
        <v>4</v>
      </c>
      <c r="AE171" t="s">
        <v>4181</v>
      </c>
      <c r="AF171" t="s">
        <v>4182</v>
      </c>
      <c r="AG171" t="s">
        <v>130</v>
      </c>
      <c r="AH171" t="s">
        <v>112</v>
      </c>
      <c r="AJ171" t="s">
        <v>3843</v>
      </c>
      <c r="AU171" t="s">
        <v>112</v>
      </c>
      <c r="AV171" t="s">
        <v>3844</v>
      </c>
      <c r="AW171" t="s">
        <v>114</v>
      </c>
      <c r="AX171" t="s">
        <v>144</v>
      </c>
      <c r="AY171" t="s">
        <v>3750</v>
      </c>
      <c r="AZ171" t="s">
        <v>4</v>
      </c>
      <c r="BA171" s="3" t="s">
        <v>95</v>
      </c>
      <c r="BB171" t="s">
        <v>96</v>
      </c>
      <c r="BC171" s="3" t="s">
        <v>197</v>
      </c>
      <c r="BD171" t="s">
        <v>4</v>
      </c>
      <c r="BE171">
        <v>194</v>
      </c>
      <c r="BF171" t="s">
        <v>322</v>
      </c>
      <c r="CK171">
        <v>1</v>
      </c>
      <c r="CL171" t="s">
        <v>4</v>
      </c>
      <c r="CM171" t="s">
        <v>98</v>
      </c>
      <c r="CN171" t="s">
        <v>98</v>
      </c>
      <c r="CO171" t="s">
        <v>99</v>
      </c>
      <c r="CP171" t="s">
        <v>100</v>
      </c>
      <c r="CQ171">
        <v>170</v>
      </c>
      <c r="CR171" t="s">
        <v>100</v>
      </c>
      <c r="CS171" s="7" t="s">
        <v>101</v>
      </c>
      <c r="CT171" t="s">
        <v>152</v>
      </c>
      <c r="CU171" t="s">
        <v>102</v>
      </c>
      <c r="CV171" t="s">
        <v>100</v>
      </c>
    </row>
    <row r="172" spans="1:100">
      <c r="A172" s="3" t="s">
        <v>4183</v>
      </c>
      <c r="B172" s="4" t="s">
        <v>4184</v>
      </c>
      <c r="C172">
        <v>410.10026925064602</v>
      </c>
      <c r="D172">
        <v>5623.0222845756398</v>
      </c>
      <c r="E172">
        <f>-3.77642322431873</f>
        <v>-3.7764232243187301</v>
      </c>
      <c r="F172" s="5">
        <v>4.04046630157873E-46</v>
      </c>
      <c r="G172" t="s">
        <v>4</v>
      </c>
      <c r="H172">
        <v>410.10026925064602</v>
      </c>
      <c r="I172">
        <v>648.75208491064495</v>
      </c>
      <c r="J172">
        <f>0.66210168109895</f>
        <v>0.66210168109894996</v>
      </c>
      <c r="K172">
        <v>2.0837725892403999E-2</v>
      </c>
      <c r="L172" t="s">
        <v>4</v>
      </c>
      <c r="M172">
        <v>5623.0222845756398</v>
      </c>
      <c r="N172">
        <v>648.75208491064495</v>
      </c>
      <c r="O172">
        <v>3.1143215432197802</v>
      </c>
      <c r="P172" s="5">
        <v>1.6863584247067499E-32</v>
      </c>
      <c r="Q172" t="s">
        <v>4</v>
      </c>
      <c r="R172" s="4" t="s">
        <v>87</v>
      </c>
      <c r="S172" t="s">
        <v>4</v>
      </c>
      <c r="T172" t="s">
        <v>4185</v>
      </c>
      <c r="U172" t="s">
        <v>4186</v>
      </c>
      <c r="V172" t="s">
        <v>4187</v>
      </c>
      <c r="W172" t="s">
        <v>123</v>
      </c>
      <c r="X172" t="s">
        <v>4</v>
      </c>
      <c r="Y172" t="s">
        <v>4188</v>
      </c>
      <c r="Z172" t="s">
        <v>4189</v>
      </c>
      <c r="AA172" t="s">
        <v>4190</v>
      </c>
      <c r="AB172" t="s">
        <v>4</v>
      </c>
      <c r="AC172" s="3" t="s">
        <v>4191</v>
      </c>
      <c r="AD172" t="s">
        <v>4</v>
      </c>
      <c r="AE172" t="s">
        <v>4192</v>
      </c>
      <c r="AF172" t="s">
        <v>834</v>
      </c>
      <c r="AG172" t="s">
        <v>4193</v>
      </c>
      <c r="AH172" t="s">
        <v>314</v>
      </c>
      <c r="AU172" t="s">
        <v>112</v>
      </c>
      <c r="AV172" t="s">
        <v>4194</v>
      </c>
      <c r="AW172" t="s">
        <v>114</v>
      </c>
      <c r="AX172" t="s">
        <v>144</v>
      </c>
      <c r="AY172" t="s">
        <v>4195</v>
      </c>
      <c r="AZ172" t="s">
        <v>4</v>
      </c>
      <c r="BA172" s="3" t="s">
        <v>95</v>
      </c>
      <c r="BB172" s="6" t="s">
        <v>95</v>
      </c>
      <c r="BC172" s="3" t="s">
        <v>95</v>
      </c>
      <c r="BD172" t="s">
        <v>4</v>
      </c>
      <c r="BE172">
        <v>6533</v>
      </c>
      <c r="BF172" t="s">
        <v>213</v>
      </c>
      <c r="BG172">
        <v>38.494599999999998</v>
      </c>
      <c r="BH172">
        <v>4.1577099999999998</v>
      </c>
      <c r="BK172">
        <v>26.81</v>
      </c>
      <c r="BN172">
        <v>31.2545</v>
      </c>
      <c r="BO172">
        <v>2.7240099999999998</v>
      </c>
      <c r="BP172">
        <v>3.8709699999999998</v>
      </c>
      <c r="BQ172">
        <v>9.7491000000000003</v>
      </c>
      <c r="BR172">
        <v>8.8171999999999997</v>
      </c>
      <c r="BX172">
        <v>9.1039399999999997</v>
      </c>
      <c r="BY172">
        <v>5.3046600000000002</v>
      </c>
      <c r="CA172">
        <v>11.3262</v>
      </c>
      <c r="CB172">
        <v>4.6595000000000004</v>
      </c>
      <c r="CC172">
        <v>10.394299999999999</v>
      </c>
      <c r="CD172">
        <v>13.333299999999999</v>
      </c>
      <c r="CG172" t="s">
        <v>4196</v>
      </c>
      <c r="CH172" t="s">
        <v>4197</v>
      </c>
      <c r="CI172" t="s">
        <v>4198</v>
      </c>
      <c r="CK172">
        <v>8</v>
      </c>
      <c r="CL172" t="s">
        <v>4</v>
      </c>
      <c r="CM172" t="s">
        <v>4199</v>
      </c>
      <c r="CN172" t="s">
        <v>4200</v>
      </c>
      <c r="CO172" t="s">
        <v>219</v>
      </c>
      <c r="CP172" t="s">
        <v>100</v>
      </c>
      <c r="CQ172">
        <v>171</v>
      </c>
      <c r="CR172" t="s">
        <v>100</v>
      </c>
      <c r="CS172" t="s">
        <v>100</v>
      </c>
      <c r="CT172" t="s">
        <v>152</v>
      </c>
      <c r="CU172" t="s">
        <v>102</v>
      </c>
      <c r="CV172" t="s">
        <v>100</v>
      </c>
    </row>
    <row r="173" spans="1:100">
      <c r="A173" s="3" t="s">
        <v>4201</v>
      </c>
      <c r="B173" s="4" t="s">
        <v>4202</v>
      </c>
      <c r="C173">
        <v>239.62892994137701</v>
      </c>
      <c r="D173">
        <v>3307.1483490287801</v>
      </c>
      <c r="E173">
        <f>-3.78654650997667</f>
        <v>-3.7865465099766702</v>
      </c>
      <c r="F173">
        <v>2.3267818457879601E-3</v>
      </c>
      <c r="G173" t="s">
        <v>4</v>
      </c>
      <c r="H173">
        <v>239.62892994137701</v>
      </c>
      <c r="I173">
        <v>327.09857564728901</v>
      </c>
      <c r="J173">
        <f>0.448607844254766</f>
        <v>0.44860784425476602</v>
      </c>
      <c r="K173">
        <v>0.74264263895702098</v>
      </c>
      <c r="L173" t="s">
        <v>4</v>
      </c>
      <c r="M173">
        <v>3307.1483490287801</v>
      </c>
      <c r="N173">
        <v>327.09857564728901</v>
      </c>
      <c r="O173">
        <v>3.3379386657219001</v>
      </c>
      <c r="P173">
        <v>5.5310976182289598E-3</v>
      </c>
      <c r="Q173" t="s">
        <v>4</v>
      </c>
      <c r="R173" s="4" t="s">
        <v>87</v>
      </c>
      <c r="S173" t="s">
        <v>4</v>
      </c>
      <c r="T173" t="s">
        <v>92</v>
      </c>
      <c r="U173" t="s">
        <v>92</v>
      </c>
      <c r="V173" t="s">
        <v>92</v>
      </c>
      <c r="W173" t="s">
        <v>92</v>
      </c>
      <c r="X173" t="s">
        <v>4</v>
      </c>
      <c r="Y173" t="s">
        <v>4203</v>
      </c>
      <c r="Z173" t="s">
        <v>4204</v>
      </c>
      <c r="AA173" t="s">
        <v>4205</v>
      </c>
      <c r="AB173" t="s">
        <v>4</v>
      </c>
      <c r="AC173" s="3" t="s">
        <v>4206</v>
      </c>
      <c r="AD173" t="s">
        <v>4</v>
      </c>
      <c r="AE173" t="s">
        <v>4207</v>
      </c>
      <c r="AF173" t="s">
        <v>4208</v>
      </c>
      <c r="AG173" t="s">
        <v>4209</v>
      </c>
      <c r="AH173" t="s">
        <v>112</v>
      </c>
      <c r="AU173" t="s">
        <v>112</v>
      </c>
      <c r="AV173" t="s">
        <v>4210</v>
      </c>
      <c r="AW173" t="s">
        <v>114</v>
      </c>
      <c r="AX173" t="s">
        <v>144</v>
      </c>
      <c r="AY173" t="s">
        <v>4211</v>
      </c>
      <c r="AZ173" t="s">
        <v>4</v>
      </c>
      <c r="BA173" s="3" t="s">
        <v>95</v>
      </c>
      <c r="BB173" s="6" t="s">
        <v>95</v>
      </c>
      <c r="BC173" s="3" t="s">
        <v>95</v>
      </c>
      <c r="BD173" t="s">
        <v>4</v>
      </c>
      <c r="BE173">
        <v>6535</v>
      </c>
      <c r="BF173" t="s">
        <v>213</v>
      </c>
      <c r="BG173">
        <v>99.453599999999994</v>
      </c>
      <c r="BI173">
        <v>95.081999999999994</v>
      </c>
      <c r="BJ173">
        <v>85.792400000000001</v>
      </c>
      <c r="BK173">
        <v>82.5137</v>
      </c>
      <c r="BL173">
        <v>79.781400000000005</v>
      </c>
      <c r="BO173">
        <v>84.6995</v>
      </c>
      <c r="BP173">
        <v>42.622999999999998</v>
      </c>
      <c r="BR173">
        <v>42.076500000000003</v>
      </c>
      <c r="BS173">
        <v>39.344299999999997</v>
      </c>
      <c r="BT173" t="s">
        <v>4212</v>
      </c>
      <c r="BV173" t="s">
        <v>4213</v>
      </c>
      <c r="BW173">
        <v>38.797800000000002</v>
      </c>
      <c r="BX173">
        <v>43.715800000000002</v>
      </c>
      <c r="CA173">
        <v>29.508199999999999</v>
      </c>
      <c r="CG173">
        <v>20.218599999999999</v>
      </c>
      <c r="CH173">
        <v>20.765000000000001</v>
      </c>
      <c r="CI173" t="s">
        <v>4214</v>
      </c>
      <c r="CK173">
        <v>8</v>
      </c>
      <c r="CL173" t="s">
        <v>4</v>
      </c>
      <c r="CM173" t="s">
        <v>4215</v>
      </c>
      <c r="CN173" t="s">
        <v>4216</v>
      </c>
      <c r="CO173" t="s">
        <v>99</v>
      </c>
      <c r="CP173" t="s">
        <v>100</v>
      </c>
      <c r="CQ173">
        <v>172</v>
      </c>
      <c r="CR173" t="s">
        <v>100</v>
      </c>
      <c r="CS173" t="s">
        <v>100</v>
      </c>
      <c r="CT173" t="s">
        <v>152</v>
      </c>
      <c r="CU173" t="s">
        <v>102</v>
      </c>
      <c r="CV173" t="s">
        <v>100</v>
      </c>
    </row>
    <row r="174" spans="1:100">
      <c r="A174" s="3" t="s">
        <v>4217</v>
      </c>
      <c r="B174" s="4" t="s">
        <v>4218</v>
      </c>
      <c r="C174">
        <v>79.506162218154401</v>
      </c>
      <c r="D174">
        <v>892.52729916578403</v>
      </c>
      <c r="E174">
        <f>-3.486948000916</f>
        <v>-3.4869480009160001</v>
      </c>
      <c r="F174" s="5">
        <v>6.57317269466616E-13</v>
      </c>
      <c r="G174" t="s">
        <v>4</v>
      </c>
      <c r="H174">
        <v>79.506162218154401</v>
      </c>
      <c r="I174">
        <v>43.982535188831797</v>
      </c>
      <c r="J174">
        <v>0.87672441737665596</v>
      </c>
      <c r="K174">
        <v>0.107429754065823</v>
      </c>
      <c r="L174" t="s">
        <v>4</v>
      </c>
      <c r="M174">
        <v>892.52729916578403</v>
      </c>
      <c r="N174">
        <v>43.982535188831797</v>
      </c>
      <c r="O174">
        <v>4.3636724182926603</v>
      </c>
      <c r="P174" s="5">
        <v>4.81648287691878E-19</v>
      </c>
      <c r="Q174" t="s">
        <v>4</v>
      </c>
      <c r="R174" s="4" t="s">
        <v>87</v>
      </c>
      <c r="S174" t="s">
        <v>4</v>
      </c>
      <c r="T174" t="s">
        <v>1261</v>
      </c>
      <c r="U174" t="s">
        <v>1262</v>
      </c>
      <c r="V174" t="s">
        <v>1263</v>
      </c>
      <c r="W174" t="s">
        <v>328</v>
      </c>
      <c r="X174" t="s">
        <v>4</v>
      </c>
      <c r="Y174" t="s">
        <v>1264</v>
      </c>
      <c r="Z174" t="s">
        <v>1265</v>
      </c>
      <c r="AA174" t="s">
        <v>1266</v>
      </c>
      <c r="AB174" t="s">
        <v>4</v>
      </c>
      <c r="AC174" s="3" t="s">
        <v>1267</v>
      </c>
      <c r="AD174" t="s">
        <v>4</v>
      </c>
      <c r="AE174" t="s">
        <v>4219</v>
      </c>
      <c r="AF174" t="s">
        <v>3607</v>
      </c>
      <c r="AG174" t="s">
        <v>4220</v>
      </c>
      <c r="AH174" t="s">
        <v>314</v>
      </c>
      <c r="AU174" t="s">
        <v>112</v>
      </c>
      <c r="AV174" t="s">
        <v>4221</v>
      </c>
      <c r="AW174" t="s">
        <v>114</v>
      </c>
      <c r="AX174" t="s">
        <v>371</v>
      </c>
      <c r="AY174" t="s">
        <v>4222</v>
      </c>
      <c r="AZ174" t="s">
        <v>4</v>
      </c>
      <c r="BA174" s="3" t="s">
        <v>95</v>
      </c>
      <c r="BB174" s="6" t="s">
        <v>95</v>
      </c>
      <c r="BC174" s="3" t="s">
        <v>95</v>
      </c>
      <c r="BD174" t="s">
        <v>4</v>
      </c>
      <c r="BE174">
        <v>5453</v>
      </c>
      <c r="BF174" t="s">
        <v>386</v>
      </c>
      <c r="BI174">
        <v>9.5427400000000002</v>
      </c>
      <c r="BJ174">
        <v>9.9403600000000001</v>
      </c>
      <c r="BK174">
        <v>12.723699999999999</v>
      </c>
      <c r="BL174">
        <v>16.302199999999999</v>
      </c>
      <c r="BM174">
        <v>17.296199999999999</v>
      </c>
      <c r="BN174">
        <v>18.489100000000001</v>
      </c>
      <c r="BO174">
        <v>2.7833000000000001</v>
      </c>
      <c r="BP174">
        <v>2.7833000000000001</v>
      </c>
      <c r="BR174">
        <v>10.536799999999999</v>
      </c>
      <c r="BT174">
        <v>14.7117</v>
      </c>
      <c r="BV174" t="s">
        <v>4223</v>
      </c>
      <c r="BW174">
        <v>11.7296</v>
      </c>
      <c r="BX174">
        <v>9.3439399999999999</v>
      </c>
      <c r="BY174">
        <v>6.3618300000000003</v>
      </c>
      <c r="BZ174">
        <v>9.3439399999999999</v>
      </c>
      <c r="CB174">
        <v>7.7534799999999997</v>
      </c>
      <c r="CC174">
        <v>10.139200000000001</v>
      </c>
      <c r="CD174" t="s">
        <v>4224</v>
      </c>
      <c r="CF174">
        <v>12.1272</v>
      </c>
      <c r="CK174">
        <v>7</v>
      </c>
      <c r="CL174" t="s">
        <v>4</v>
      </c>
      <c r="CM174" t="s">
        <v>98</v>
      </c>
      <c r="CN174" t="s">
        <v>98</v>
      </c>
      <c r="CO174" t="s">
        <v>99</v>
      </c>
      <c r="CP174" t="s">
        <v>100</v>
      </c>
      <c r="CQ174">
        <v>173</v>
      </c>
      <c r="CR174" t="s">
        <v>100</v>
      </c>
      <c r="CS174" t="s">
        <v>100</v>
      </c>
      <c r="CT174" t="s">
        <v>152</v>
      </c>
      <c r="CU174" t="s">
        <v>102</v>
      </c>
      <c r="CV174" t="s">
        <v>100</v>
      </c>
    </row>
    <row r="175" spans="1:100">
      <c r="A175" s="3" t="s">
        <v>4225</v>
      </c>
      <c r="B175" s="4" t="s">
        <v>4226</v>
      </c>
      <c r="C175">
        <v>300.66054717459701</v>
      </c>
      <c r="D175">
        <v>1250.1051416929299</v>
      </c>
      <c r="E175">
        <f>-2.0561924820781</f>
        <v>-2.0561924820780999</v>
      </c>
      <c r="F175" s="5">
        <v>5.0020406163280898E-11</v>
      </c>
      <c r="G175" t="s">
        <v>4</v>
      </c>
      <c r="H175">
        <v>300.66054717459701</v>
      </c>
      <c r="I175">
        <v>179.138154854173</v>
      </c>
      <c r="J175">
        <v>0.75248767735751898</v>
      </c>
      <c r="K175">
        <v>2.4934999358057101E-2</v>
      </c>
      <c r="L175" t="s">
        <v>4</v>
      </c>
      <c r="M175">
        <v>1250.1051416929299</v>
      </c>
      <c r="N175">
        <v>179.138154854173</v>
      </c>
      <c r="O175">
        <v>2.8086801594356201</v>
      </c>
      <c r="P175" s="5">
        <v>1.0677958693063E-19</v>
      </c>
      <c r="Q175" t="s">
        <v>4</v>
      </c>
      <c r="R175" s="4" t="s">
        <v>87</v>
      </c>
      <c r="S175" t="s">
        <v>4</v>
      </c>
      <c r="T175" t="s">
        <v>4227</v>
      </c>
      <c r="U175" t="s">
        <v>4228</v>
      </c>
      <c r="V175" t="s">
        <v>4229</v>
      </c>
      <c r="W175" t="s">
        <v>328</v>
      </c>
      <c r="X175" t="s">
        <v>4</v>
      </c>
      <c r="Y175" t="s">
        <v>4230</v>
      </c>
      <c r="Z175" t="s">
        <v>4231</v>
      </c>
      <c r="AA175" t="s">
        <v>4232</v>
      </c>
      <c r="AB175" t="s">
        <v>4</v>
      </c>
      <c r="AC175" s="3" t="s">
        <v>4233</v>
      </c>
      <c r="AD175" t="s">
        <v>4</v>
      </c>
      <c r="AE175" t="s">
        <v>4234</v>
      </c>
      <c r="AF175" t="s">
        <v>834</v>
      </c>
      <c r="AG175" t="s">
        <v>4235</v>
      </c>
      <c r="AH175" t="s">
        <v>112</v>
      </c>
      <c r="AI175" t="s">
        <v>4236</v>
      </c>
      <c r="AJ175" t="s">
        <v>4237</v>
      </c>
      <c r="AL175" t="s">
        <v>4238</v>
      </c>
      <c r="AQ175" t="s">
        <v>1028</v>
      </c>
      <c r="AU175" t="s">
        <v>112</v>
      </c>
      <c r="AV175" t="s">
        <v>4239</v>
      </c>
      <c r="AW175" t="s">
        <v>114</v>
      </c>
      <c r="AX175" t="s">
        <v>132</v>
      </c>
      <c r="AY175" t="s">
        <v>4240</v>
      </c>
      <c r="AZ175" t="s">
        <v>4</v>
      </c>
      <c r="BA175" s="3" t="s">
        <v>115</v>
      </c>
      <c r="BB175" s="6" t="s">
        <v>95</v>
      </c>
      <c r="BC175" s="3" t="s">
        <v>95</v>
      </c>
      <c r="BD175" t="s">
        <v>4</v>
      </c>
      <c r="BE175">
        <v>9080</v>
      </c>
      <c r="BF175" t="s">
        <v>169</v>
      </c>
      <c r="BG175">
        <v>89.462999999999994</v>
      </c>
      <c r="BH175">
        <v>37.588700000000003</v>
      </c>
      <c r="BI175">
        <v>93.819699999999997</v>
      </c>
      <c r="BJ175">
        <v>65.754800000000003</v>
      </c>
      <c r="BK175">
        <v>81.762900000000002</v>
      </c>
      <c r="BN175">
        <v>83.789299999999997</v>
      </c>
      <c r="BO175">
        <v>33.738599999999998</v>
      </c>
      <c r="BP175">
        <v>63.728499999999997</v>
      </c>
      <c r="BQ175">
        <v>40.830800000000004</v>
      </c>
      <c r="BR175">
        <v>41.844000000000001</v>
      </c>
      <c r="BS175">
        <v>40.121600000000001</v>
      </c>
      <c r="BT175" t="s">
        <v>4241</v>
      </c>
      <c r="BU175">
        <v>36.980800000000002</v>
      </c>
      <c r="BV175" t="s">
        <v>4242</v>
      </c>
      <c r="BW175">
        <v>42.857100000000003</v>
      </c>
      <c r="BX175">
        <v>48.834899999999998</v>
      </c>
      <c r="BY175">
        <v>12.3607</v>
      </c>
      <c r="BZ175">
        <v>36.6768</v>
      </c>
      <c r="CA175">
        <v>49.645400000000002</v>
      </c>
      <c r="CB175">
        <v>25.1266</v>
      </c>
      <c r="CC175">
        <v>31.509599999999999</v>
      </c>
      <c r="CD175">
        <v>34.9544</v>
      </c>
      <c r="CE175">
        <v>9.7264400000000002</v>
      </c>
      <c r="CF175">
        <v>25.1266</v>
      </c>
      <c r="CG175" t="s">
        <v>4243</v>
      </c>
      <c r="CH175" t="s">
        <v>4244</v>
      </c>
      <c r="CI175" t="s">
        <v>4245</v>
      </c>
      <c r="CJ175">
        <v>18.642399999999999</v>
      </c>
      <c r="CK175">
        <v>9</v>
      </c>
      <c r="CL175" t="s">
        <v>4</v>
      </c>
      <c r="CM175" t="s">
        <v>4246</v>
      </c>
      <c r="CN175" t="s">
        <v>4247</v>
      </c>
      <c r="CO175" t="s">
        <v>99</v>
      </c>
      <c r="CP175" t="s">
        <v>100</v>
      </c>
      <c r="CQ175">
        <v>174</v>
      </c>
      <c r="CR175" t="s">
        <v>100</v>
      </c>
      <c r="CS175" t="s">
        <v>100</v>
      </c>
      <c r="CT175" t="s">
        <v>152</v>
      </c>
      <c r="CU175" t="s">
        <v>102</v>
      </c>
      <c r="CV175" t="s">
        <v>100</v>
      </c>
    </row>
    <row r="176" spans="1:100">
      <c r="A176" s="3" t="s">
        <v>4248</v>
      </c>
      <c r="B176" s="4" t="s">
        <v>4249</v>
      </c>
      <c r="C176">
        <v>84.042185580478503</v>
      </c>
      <c r="D176">
        <v>1548.7650490953999</v>
      </c>
      <c r="E176">
        <f>-4.20269251756034</f>
        <v>-4.2026925175603402</v>
      </c>
      <c r="F176" s="5">
        <v>5.6367431973238303E-9</v>
      </c>
      <c r="G176" t="s">
        <v>4</v>
      </c>
      <c r="H176">
        <v>84.042185580478503</v>
      </c>
      <c r="I176">
        <v>38.679587908488102</v>
      </c>
      <c r="J176">
        <v>1.1312805655098901</v>
      </c>
      <c r="K176">
        <v>0.150498278213092</v>
      </c>
      <c r="L176" t="s">
        <v>4</v>
      </c>
      <c r="M176">
        <v>1548.7650490953999</v>
      </c>
      <c r="N176">
        <v>38.679587908488102</v>
      </c>
      <c r="O176">
        <v>5.3339730830702301</v>
      </c>
      <c r="P176" s="5">
        <v>6.5537647625279797E-14</v>
      </c>
      <c r="Q176" t="s">
        <v>4</v>
      </c>
      <c r="R176" s="4" t="s">
        <v>87</v>
      </c>
      <c r="S176" t="s">
        <v>4</v>
      </c>
      <c r="T176" t="s">
        <v>92</v>
      </c>
      <c r="U176" t="s">
        <v>92</v>
      </c>
      <c r="V176" t="s">
        <v>92</v>
      </c>
      <c r="W176" t="s">
        <v>92</v>
      </c>
      <c r="X176" t="s">
        <v>4</v>
      </c>
      <c r="Y176" t="s">
        <v>92</v>
      </c>
      <c r="Z176" t="s">
        <v>92</v>
      </c>
      <c r="AA176" t="s">
        <v>92</v>
      </c>
      <c r="AB176" t="s">
        <v>4</v>
      </c>
      <c r="AC176" s="3" t="s">
        <v>93</v>
      </c>
      <c r="AD176" t="s">
        <v>4</v>
      </c>
      <c r="AE176" s="4" t="s">
        <v>94</v>
      </c>
      <c r="AZ176" t="s">
        <v>4</v>
      </c>
      <c r="BA176" s="3" t="s">
        <v>95</v>
      </c>
      <c r="BB176" s="6" t="s">
        <v>95</v>
      </c>
      <c r="BC176" s="3" t="s">
        <v>197</v>
      </c>
      <c r="BD176" t="s">
        <v>4</v>
      </c>
      <c r="BE176">
        <v>1792</v>
      </c>
      <c r="BF176" t="s">
        <v>148</v>
      </c>
      <c r="BG176">
        <v>94.573599999999999</v>
      </c>
      <c r="BH176">
        <v>99.224800000000002</v>
      </c>
      <c r="BI176">
        <v>87.596900000000005</v>
      </c>
      <c r="BJ176">
        <v>15.5039</v>
      </c>
      <c r="BL176">
        <v>27.131799999999998</v>
      </c>
      <c r="BM176">
        <v>27.131799999999998</v>
      </c>
      <c r="BN176">
        <v>53.488399999999999</v>
      </c>
      <c r="BO176">
        <v>63.565899999999999</v>
      </c>
      <c r="CK176">
        <v>3</v>
      </c>
      <c r="CL176" t="s">
        <v>4</v>
      </c>
      <c r="CM176" t="s">
        <v>98</v>
      </c>
      <c r="CN176" t="s">
        <v>98</v>
      </c>
      <c r="CO176" t="s">
        <v>99</v>
      </c>
      <c r="CP176" t="s">
        <v>100</v>
      </c>
      <c r="CQ176">
        <v>175</v>
      </c>
      <c r="CR176" t="s">
        <v>100</v>
      </c>
      <c r="CS176" t="s">
        <v>100</v>
      </c>
      <c r="CT176" t="s">
        <v>152</v>
      </c>
      <c r="CU176" t="s">
        <v>102</v>
      </c>
      <c r="CV176" t="s">
        <v>100</v>
      </c>
    </row>
    <row r="177" spans="1:100">
      <c r="A177" s="3" t="s">
        <v>4250</v>
      </c>
      <c r="B177" s="4" t="s">
        <v>4251</v>
      </c>
      <c r="C177">
        <v>78.613724832327506</v>
      </c>
      <c r="D177">
        <v>1559.01166473895</v>
      </c>
      <c r="E177">
        <f>-4.30850590830043</f>
        <v>-4.3085059083004298</v>
      </c>
      <c r="F177" s="5">
        <v>1.04112085413762E-12</v>
      </c>
      <c r="G177" t="s">
        <v>4</v>
      </c>
      <c r="H177">
        <v>78.613724832327506</v>
      </c>
      <c r="I177">
        <v>50.017548268824598</v>
      </c>
      <c r="J177">
        <v>0.66006467668922097</v>
      </c>
      <c r="K177">
        <v>0.33323450565567297</v>
      </c>
      <c r="L177" t="s">
        <v>4</v>
      </c>
      <c r="M177">
        <v>1559.01166473895</v>
      </c>
      <c r="N177">
        <v>50.017548268824598</v>
      </c>
      <c r="O177">
        <v>4.9685705849896502</v>
      </c>
      <c r="P177" s="5">
        <v>1.2859802915001901E-16</v>
      </c>
      <c r="Q177" t="s">
        <v>4</v>
      </c>
      <c r="R177" s="4" t="s">
        <v>87</v>
      </c>
      <c r="S177" t="s">
        <v>4</v>
      </c>
      <c r="T177" t="s">
        <v>4252</v>
      </c>
      <c r="U177" t="s">
        <v>4253</v>
      </c>
      <c r="V177" t="s">
        <v>4254</v>
      </c>
      <c r="W177" t="s">
        <v>328</v>
      </c>
      <c r="X177" t="s">
        <v>4</v>
      </c>
      <c r="Y177" t="s">
        <v>4255</v>
      </c>
      <c r="Z177" t="s">
        <v>4256</v>
      </c>
      <c r="AA177" t="s">
        <v>4257</v>
      </c>
      <c r="AB177" t="s">
        <v>4</v>
      </c>
      <c r="AC177" s="3" t="s">
        <v>4258</v>
      </c>
      <c r="AD177" t="s">
        <v>4</v>
      </c>
      <c r="AE177" t="s">
        <v>4259</v>
      </c>
      <c r="AF177" t="s">
        <v>4260</v>
      </c>
      <c r="AG177" t="s">
        <v>4261</v>
      </c>
      <c r="AH177" t="s">
        <v>112</v>
      </c>
      <c r="AJ177" t="s">
        <v>4262</v>
      </c>
      <c r="AL177" t="s">
        <v>4263</v>
      </c>
      <c r="AM177" t="s">
        <v>4264</v>
      </c>
      <c r="AN177" t="s">
        <v>4265</v>
      </c>
      <c r="AQ177" t="s">
        <v>4266</v>
      </c>
      <c r="AR177" t="s">
        <v>4267</v>
      </c>
      <c r="AU177" t="s">
        <v>112</v>
      </c>
      <c r="AV177" t="s">
        <v>4268</v>
      </c>
      <c r="AW177" t="s">
        <v>114</v>
      </c>
      <c r="AX177" t="s">
        <v>909</v>
      </c>
      <c r="AY177" t="s">
        <v>1181</v>
      </c>
      <c r="AZ177" t="s">
        <v>4</v>
      </c>
      <c r="BA177" s="3" t="s">
        <v>115</v>
      </c>
      <c r="BB177" t="s">
        <v>96</v>
      </c>
      <c r="BC177" s="3" t="s">
        <v>95</v>
      </c>
      <c r="BD177" t="s">
        <v>4</v>
      </c>
      <c r="BE177">
        <v>6595</v>
      </c>
      <c r="BF177" t="s">
        <v>213</v>
      </c>
      <c r="BG177">
        <v>13.1661</v>
      </c>
      <c r="BJ177">
        <v>73.510999999999996</v>
      </c>
      <c r="BK177">
        <v>62.382399999999997</v>
      </c>
      <c r="BL177">
        <v>13.793100000000001</v>
      </c>
      <c r="BM177">
        <v>71.630099999999999</v>
      </c>
      <c r="BN177">
        <v>66.927899999999994</v>
      </c>
      <c r="BO177">
        <v>65.830699999999993</v>
      </c>
      <c r="BP177">
        <v>58.934199999999997</v>
      </c>
      <c r="BQ177">
        <v>52.037599999999998</v>
      </c>
      <c r="BR177">
        <v>50.313499999999998</v>
      </c>
      <c r="BS177">
        <v>54.075200000000002</v>
      </c>
      <c r="BT177">
        <v>49.686500000000002</v>
      </c>
      <c r="BU177">
        <v>48.2759</v>
      </c>
      <c r="BV177" t="s">
        <v>4269</v>
      </c>
      <c r="BW177">
        <v>50</v>
      </c>
      <c r="BX177">
        <v>23.8245</v>
      </c>
      <c r="BY177">
        <v>11.128500000000001</v>
      </c>
      <c r="CA177">
        <v>50.313499999999998</v>
      </c>
      <c r="CB177">
        <v>34.1693</v>
      </c>
      <c r="CC177">
        <v>12.6959</v>
      </c>
      <c r="CE177" t="s">
        <v>4270</v>
      </c>
      <c r="CF177">
        <v>33.699100000000001</v>
      </c>
      <c r="CG177" t="s">
        <v>4271</v>
      </c>
      <c r="CH177" t="s">
        <v>4272</v>
      </c>
      <c r="CI177" t="s">
        <v>4273</v>
      </c>
      <c r="CK177">
        <v>8</v>
      </c>
      <c r="CL177" t="s">
        <v>4</v>
      </c>
      <c r="CM177" t="s">
        <v>4274</v>
      </c>
      <c r="CN177" t="s">
        <v>4275</v>
      </c>
      <c r="CO177" t="s">
        <v>99</v>
      </c>
      <c r="CP177" t="s">
        <v>100</v>
      </c>
      <c r="CQ177">
        <v>176</v>
      </c>
      <c r="CR177" t="s">
        <v>100</v>
      </c>
      <c r="CS177" t="s">
        <v>100</v>
      </c>
      <c r="CT177" t="s">
        <v>152</v>
      </c>
      <c r="CU177" t="s">
        <v>102</v>
      </c>
      <c r="CV177" t="s">
        <v>100</v>
      </c>
    </row>
    <row r="178" spans="1:100">
      <c r="A178" s="3" t="s">
        <v>4276</v>
      </c>
      <c r="B178" s="4" t="s">
        <v>4277</v>
      </c>
      <c r="C178">
        <v>988.32688545459496</v>
      </c>
      <c r="D178">
        <v>9927.6300183165495</v>
      </c>
      <c r="E178">
        <f>-3.32817916905942</f>
        <v>-3.3281791690594198</v>
      </c>
      <c r="F178" s="5">
        <v>1.7560538463184699E-24</v>
      </c>
      <c r="G178" t="s">
        <v>4</v>
      </c>
      <c r="H178">
        <v>988.32688545459496</v>
      </c>
      <c r="I178">
        <v>674.910522674714</v>
      </c>
      <c r="J178">
        <v>0.55103086745678997</v>
      </c>
      <c r="K178">
        <v>0.122313436672467</v>
      </c>
      <c r="L178" t="s">
        <v>4</v>
      </c>
      <c r="M178">
        <v>9927.6300183165495</v>
      </c>
      <c r="N178">
        <v>674.910522674714</v>
      </c>
      <c r="O178">
        <v>3.8792100365162101</v>
      </c>
      <c r="P178" s="5">
        <v>1.19925011169928E-33</v>
      </c>
      <c r="Q178" t="s">
        <v>4</v>
      </c>
      <c r="R178" s="4" t="s">
        <v>87</v>
      </c>
      <c r="S178" t="s">
        <v>4</v>
      </c>
      <c r="T178" t="s">
        <v>4278</v>
      </c>
      <c r="U178" t="s">
        <v>4279</v>
      </c>
      <c r="V178" t="s">
        <v>4280</v>
      </c>
      <c r="W178" t="s">
        <v>328</v>
      </c>
      <c r="X178" t="s">
        <v>4</v>
      </c>
      <c r="Y178" t="s">
        <v>4281</v>
      </c>
      <c r="Z178" t="s">
        <v>4282</v>
      </c>
      <c r="AA178" t="s">
        <v>4283</v>
      </c>
      <c r="AB178" t="s">
        <v>4</v>
      </c>
      <c r="AC178" s="3" t="s">
        <v>4284</v>
      </c>
      <c r="AD178" t="s">
        <v>4</v>
      </c>
      <c r="AE178" t="s">
        <v>4285</v>
      </c>
      <c r="AF178" t="s">
        <v>4286</v>
      </c>
      <c r="AG178" t="s">
        <v>4287</v>
      </c>
      <c r="AH178" t="s">
        <v>112</v>
      </c>
      <c r="AK178" t="s">
        <v>1322</v>
      </c>
      <c r="AL178" t="s">
        <v>4288</v>
      </c>
      <c r="AQ178" t="s">
        <v>4289</v>
      </c>
      <c r="AU178" t="s">
        <v>112</v>
      </c>
      <c r="AV178" t="s">
        <v>4290</v>
      </c>
      <c r="AW178" t="s">
        <v>114</v>
      </c>
      <c r="AX178" t="s">
        <v>733</v>
      </c>
      <c r="AY178" t="s">
        <v>4291</v>
      </c>
      <c r="AZ178" t="s">
        <v>4</v>
      </c>
      <c r="BA178" s="3" t="s">
        <v>95</v>
      </c>
      <c r="BB178" s="6" t="s">
        <v>95</v>
      </c>
      <c r="BC178" s="3" t="s">
        <v>95</v>
      </c>
      <c r="BD178" t="s">
        <v>4</v>
      </c>
      <c r="BE178">
        <v>9095</v>
      </c>
      <c r="BF178" t="s">
        <v>169</v>
      </c>
      <c r="BG178">
        <v>70.138900000000007</v>
      </c>
      <c r="BH178">
        <v>53.645800000000001</v>
      </c>
      <c r="BI178">
        <v>74.305599999999998</v>
      </c>
      <c r="BJ178">
        <v>77.951400000000007</v>
      </c>
      <c r="BK178">
        <v>84.722200000000001</v>
      </c>
      <c r="BL178">
        <v>34.2014</v>
      </c>
      <c r="BM178">
        <v>85.590299999999999</v>
      </c>
      <c r="BN178">
        <v>85.763900000000007</v>
      </c>
      <c r="BO178">
        <v>85.069400000000002</v>
      </c>
      <c r="BP178">
        <v>49.652799999999999</v>
      </c>
      <c r="BQ178">
        <v>28.645800000000001</v>
      </c>
      <c r="BR178">
        <v>37.152799999999999</v>
      </c>
      <c r="BS178">
        <v>30.729199999999999</v>
      </c>
      <c r="BT178">
        <v>32.118099999999998</v>
      </c>
      <c r="BU178">
        <v>38.541699999999999</v>
      </c>
      <c r="BV178" t="s">
        <v>4292</v>
      </c>
      <c r="BW178">
        <v>11.6319</v>
      </c>
      <c r="BX178">
        <v>45.833300000000001</v>
      </c>
      <c r="BY178">
        <v>32.118099999999998</v>
      </c>
      <c r="BZ178">
        <v>48.6111</v>
      </c>
      <c r="CA178">
        <v>43.229199999999999</v>
      </c>
      <c r="CB178">
        <v>15.277799999999999</v>
      </c>
      <c r="CC178">
        <v>31.0764</v>
      </c>
      <c r="CD178">
        <v>35.243099999999998</v>
      </c>
      <c r="CE178">
        <v>30.555599999999998</v>
      </c>
      <c r="CF178">
        <v>34.375</v>
      </c>
      <c r="CG178">
        <v>32.118099999999998</v>
      </c>
      <c r="CH178">
        <v>32.118099999999998</v>
      </c>
      <c r="CI178">
        <v>34.895800000000001</v>
      </c>
      <c r="CJ178">
        <v>27.777799999999999</v>
      </c>
      <c r="CK178">
        <v>9</v>
      </c>
      <c r="CL178" t="s">
        <v>4</v>
      </c>
      <c r="CM178" t="s">
        <v>4293</v>
      </c>
      <c r="CN178" t="s">
        <v>4294</v>
      </c>
      <c r="CO178" t="s">
        <v>219</v>
      </c>
      <c r="CP178" t="s">
        <v>100</v>
      </c>
      <c r="CQ178">
        <v>177</v>
      </c>
      <c r="CR178" t="s">
        <v>100</v>
      </c>
      <c r="CS178" t="s">
        <v>100</v>
      </c>
      <c r="CT178" t="s">
        <v>152</v>
      </c>
      <c r="CU178" t="s">
        <v>102</v>
      </c>
      <c r="CV178" t="s">
        <v>100</v>
      </c>
    </row>
    <row r="179" spans="1:100">
      <c r="A179" s="3" t="s">
        <v>4295</v>
      </c>
      <c r="B179" s="4" t="s">
        <v>4296</v>
      </c>
      <c r="C179">
        <v>813.32977868241198</v>
      </c>
      <c r="D179">
        <v>3351.72119068854</v>
      </c>
      <c r="E179">
        <f>-2.04251848035105</f>
        <v>-2.0425184803510499</v>
      </c>
      <c r="F179" s="5">
        <v>7.18140412064821E-27</v>
      </c>
      <c r="G179" t="s">
        <v>4</v>
      </c>
      <c r="H179">
        <v>813.32977868241198</v>
      </c>
      <c r="I179">
        <v>88.379897028038997</v>
      </c>
      <c r="J179">
        <v>3.2002715235049899</v>
      </c>
      <c r="K179" s="5">
        <v>3.0873074072651002E-50</v>
      </c>
      <c r="L179" t="s">
        <v>4</v>
      </c>
      <c r="M179">
        <v>3351.72119068854</v>
      </c>
      <c r="N179">
        <v>88.379897028038997</v>
      </c>
      <c r="O179">
        <v>5.2427900038560402</v>
      </c>
      <c r="P179" s="5">
        <v>8.9881964615702695E-135</v>
      </c>
      <c r="Q179" t="s">
        <v>4</v>
      </c>
      <c r="R179" s="4" t="s">
        <v>87</v>
      </c>
      <c r="S179" t="s">
        <v>4</v>
      </c>
      <c r="T179" t="s">
        <v>4297</v>
      </c>
      <c r="U179" t="s">
        <v>4298</v>
      </c>
      <c r="V179" t="s">
        <v>4299</v>
      </c>
      <c r="W179" t="s">
        <v>328</v>
      </c>
      <c r="X179" t="s">
        <v>4</v>
      </c>
      <c r="Y179" t="s">
        <v>4300</v>
      </c>
      <c r="Z179" t="s">
        <v>4301</v>
      </c>
      <c r="AA179" t="s">
        <v>4302</v>
      </c>
      <c r="AB179" t="s">
        <v>4</v>
      </c>
      <c r="AC179" s="3" t="s">
        <v>4303</v>
      </c>
      <c r="AD179" t="s">
        <v>4</v>
      </c>
      <c r="AE179" t="s">
        <v>4304</v>
      </c>
      <c r="AF179" t="s">
        <v>4305</v>
      </c>
      <c r="AG179" t="s">
        <v>4306</v>
      </c>
      <c r="AH179" t="s">
        <v>112</v>
      </c>
      <c r="AJ179" t="s">
        <v>4307</v>
      </c>
      <c r="AL179" t="s">
        <v>4308</v>
      </c>
      <c r="AM179" t="s">
        <v>4309</v>
      </c>
      <c r="AN179" t="s">
        <v>4310</v>
      </c>
      <c r="AQ179" t="s">
        <v>4311</v>
      </c>
      <c r="AU179" t="s">
        <v>112</v>
      </c>
      <c r="AV179" t="s">
        <v>4312</v>
      </c>
      <c r="AW179" t="s">
        <v>114</v>
      </c>
      <c r="AX179" t="s">
        <v>132</v>
      </c>
      <c r="AY179" t="s">
        <v>4313</v>
      </c>
      <c r="AZ179" t="s">
        <v>4</v>
      </c>
      <c r="BA179" s="3" t="s">
        <v>95</v>
      </c>
      <c r="BB179" t="s">
        <v>96</v>
      </c>
      <c r="BC179" s="3" t="s">
        <v>197</v>
      </c>
      <c r="BD179" t="s">
        <v>4</v>
      </c>
      <c r="BE179">
        <v>6607</v>
      </c>
      <c r="BF179" t="s">
        <v>213</v>
      </c>
      <c r="BG179">
        <v>91.453000000000003</v>
      </c>
      <c r="BH179">
        <v>92.307699999999997</v>
      </c>
      <c r="BI179">
        <v>89.743600000000001</v>
      </c>
      <c r="BJ179">
        <v>39.886000000000003</v>
      </c>
      <c r="BL179">
        <v>78.632499999999993</v>
      </c>
      <c r="BM179">
        <v>80.341899999999995</v>
      </c>
      <c r="BN179">
        <v>76.638199999999998</v>
      </c>
      <c r="BO179">
        <v>79.772099999999995</v>
      </c>
      <c r="BQ179">
        <v>28.205100000000002</v>
      </c>
      <c r="BT179">
        <v>35.612499999999997</v>
      </c>
      <c r="BU179">
        <v>30.769200000000001</v>
      </c>
      <c r="CB179">
        <v>12.535600000000001</v>
      </c>
      <c r="CC179">
        <v>23.646699999999999</v>
      </c>
      <c r="CE179">
        <v>29.6296</v>
      </c>
      <c r="CG179" t="s">
        <v>4314</v>
      </c>
      <c r="CH179" t="s">
        <v>4315</v>
      </c>
      <c r="CI179" t="s">
        <v>4316</v>
      </c>
      <c r="CK179">
        <v>8</v>
      </c>
      <c r="CL179" t="s">
        <v>4</v>
      </c>
      <c r="CM179" t="s">
        <v>98</v>
      </c>
      <c r="CN179" t="s">
        <v>98</v>
      </c>
      <c r="CO179" t="s">
        <v>99</v>
      </c>
      <c r="CP179" t="s">
        <v>100</v>
      </c>
      <c r="CQ179">
        <v>178</v>
      </c>
      <c r="CR179" t="s">
        <v>100</v>
      </c>
      <c r="CS179" t="s">
        <v>101</v>
      </c>
      <c r="CT179" t="s">
        <v>152</v>
      </c>
      <c r="CU179" t="s">
        <v>102</v>
      </c>
      <c r="CV179" t="s">
        <v>100</v>
      </c>
    </row>
    <row r="180" spans="1:100">
      <c r="A180" s="3" t="s">
        <v>4317</v>
      </c>
      <c r="B180" s="4" t="s">
        <v>4318</v>
      </c>
      <c r="C180">
        <v>318.818936470567</v>
      </c>
      <c r="D180">
        <v>2194.6742332568201</v>
      </c>
      <c r="E180">
        <f>-2.78265806508024</f>
        <v>-2.7826580650802399</v>
      </c>
      <c r="F180" s="5">
        <v>1.9951959093464699E-51</v>
      </c>
      <c r="G180" t="s">
        <v>4</v>
      </c>
      <c r="H180">
        <v>318.818936470567</v>
      </c>
      <c r="I180">
        <v>92.6717910498149</v>
      </c>
      <c r="J180">
        <v>1.7877894406963</v>
      </c>
      <c r="K180" s="5">
        <v>3.9245214756671702E-17</v>
      </c>
      <c r="L180" t="s">
        <v>4</v>
      </c>
      <c r="M180">
        <v>2194.6742332568201</v>
      </c>
      <c r="N180">
        <v>92.6717910498149</v>
      </c>
      <c r="O180">
        <v>4.5704475057765297</v>
      </c>
      <c r="P180" s="5">
        <v>1.8897226468865399E-110</v>
      </c>
      <c r="Q180" t="s">
        <v>4</v>
      </c>
      <c r="R180" s="4" t="s">
        <v>87</v>
      </c>
      <c r="S180" t="s">
        <v>4</v>
      </c>
      <c r="T180" t="s">
        <v>92</v>
      </c>
      <c r="U180" t="s">
        <v>92</v>
      </c>
      <c r="V180" t="s">
        <v>92</v>
      </c>
      <c r="W180" t="s">
        <v>92</v>
      </c>
      <c r="X180" t="s">
        <v>4</v>
      </c>
      <c r="Y180" t="s">
        <v>4319</v>
      </c>
      <c r="Z180" t="s">
        <v>4320</v>
      </c>
      <c r="AA180" t="s">
        <v>4320</v>
      </c>
      <c r="AB180" t="s">
        <v>4</v>
      </c>
      <c r="AC180" s="3" t="s">
        <v>4321</v>
      </c>
      <c r="AD180" t="s">
        <v>4</v>
      </c>
      <c r="AE180" t="s">
        <v>4322</v>
      </c>
      <c r="AF180" t="s">
        <v>4323</v>
      </c>
      <c r="AG180" t="s">
        <v>4324</v>
      </c>
      <c r="AH180" t="s">
        <v>112</v>
      </c>
      <c r="AU180" t="s">
        <v>112</v>
      </c>
      <c r="AV180" t="s">
        <v>4325</v>
      </c>
      <c r="AW180" t="s">
        <v>114</v>
      </c>
      <c r="AZ180" t="s">
        <v>4</v>
      </c>
      <c r="BA180" s="3" t="s">
        <v>115</v>
      </c>
      <c r="BB180" s="6" t="s">
        <v>95</v>
      </c>
      <c r="BC180" s="3" t="s">
        <v>95</v>
      </c>
      <c r="BD180" t="s">
        <v>4</v>
      </c>
      <c r="BE180">
        <v>4894</v>
      </c>
      <c r="BF180" t="s">
        <v>282</v>
      </c>
      <c r="BG180">
        <v>96.109800000000007</v>
      </c>
      <c r="BH180">
        <v>93.363799999999998</v>
      </c>
      <c r="BI180">
        <v>84.897000000000006</v>
      </c>
      <c r="BJ180">
        <v>84.668199999999999</v>
      </c>
      <c r="BK180">
        <v>76.659000000000006</v>
      </c>
      <c r="BL180">
        <v>78.260900000000007</v>
      </c>
      <c r="BM180">
        <v>85.354699999999994</v>
      </c>
      <c r="BN180">
        <v>76.430199999999999</v>
      </c>
      <c r="BO180">
        <v>83.752899999999997</v>
      </c>
      <c r="BP180">
        <v>47.597299999999997</v>
      </c>
      <c r="BQ180">
        <v>42.1053</v>
      </c>
      <c r="BR180">
        <v>47.597299999999997</v>
      </c>
      <c r="BS180">
        <v>44.622399999999999</v>
      </c>
      <c r="BT180">
        <v>35.697899999999997</v>
      </c>
      <c r="BU180">
        <v>29.519500000000001</v>
      </c>
      <c r="BV180" t="s">
        <v>4326</v>
      </c>
      <c r="BW180">
        <v>43.020600000000002</v>
      </c>
      <c r="BZ180">
        <v>39.130400000000002</v>
      </c>
      <c r="CA180">
        <v>42.334099999999999</v>
      </c>
      <c r="CK180">
        <v>6</v>
      </c>
      <c r="CL180" t="s">
        <v>4</v>
      </c>
      <c r="CM180" t="s">
        <v>4327</v>
      </c>
      <c r="CN180" t="s">
        <v>4328</v>
      </c>
      <c r="CO180" t="s">
        <v>99</v>
      </c>
      <c r="CP180" t="s">
        <v>100</v>
      </c>
      <c r="CQ180">
        <v>179</v>
      </c>
      <c r="CR180" t="s">
        <v>100</v>
      </c>
      <c r="CS180" s="7" t="s">
        <v>101</v>
      </c>
      <c r="CT180" t="s">
        <v>152</v>
      </c>
      <c r="CU180" t="s">
        <v>102</v>
      </c>
      <c r="CV180" t="s">
        <v>100</v>
      </c>
    </row>
    <row r="181" spans="1:100">
      <c r="A181" s="3" t="s">
        <v>4329</v>
      </c>
      <c r="B181" s="4" t="s">
        <v>4330</v>
      </c>
      <c r="C181">
        <v>87.960218327791793</v>
      </c>
      <c r="D181">
        <v>435.27186590789898</v>
      </c>
      <c r="E181">
        <f>-2.30703379690916</f>
        <v>-2.3070337969091601</v>
      </c>
      <c r="F181" s="5">
        <v>1.2075111463398701E-21</v>
      </c>
      <c r="G181" t="s">
        <v>4</v>
      </c>
      <c r="H181">
        <v>87.960218327791793</v>
      </c>
      <c r="I181">
        <v>26.9663581049405</v>
      </c>
      <c r="J181">
        <v>1.7231716388398299</v>
      </c>
      <c r="K181" s="5">
        <v>3.6133684029214401E-8</v>
      </c>
      <c r="L181" t="s">
        <v>4</v>
      </c>
      <c r="M181">
        <v>435.27186590789898</v>
      </c>
      <c r="N181">
        <v>26.9663581049405</v>
      </c>
      <c r="O181">
        <v>4.0302054357489903</v>
      </c>
      <c r="P181" s="5">
        <v>1.46080464313013E-42</v>
      </c>
      <c r="Q181" t="s">
        <v>4</v>
      </c>
      <c r="R181" s="4" t="s">
        <v>87</v>
      </c>
      <c r="S181" t="s">
        <v>4</v>
      </c>
      <c r="T181" t="s">
        <v>2243</v>
      </c>
      <c r="U181" t="s">
        <v>2244</v>
      </c>
      <c r="V181" t="s">
        <v>2245</v>
      </c>
      <c r="W181" t="s">
        <v>123</v>
      </c>
      <c r="X181" t="s">
        <v>4</v>
      </c>
      <c r="Y181" t="s">
        <v>3541</v>
      </c>
      <c r="Z181" t="s">
        <v>3542</v>
      </c>
      <c r="AA181" t="s">
        <v>3543</v>
      </c>
      <c r="AB181" t="s">
        <v>4</v>
      </c>
      <c r="AC181" s="3" t="s">
        <v>4331</v>
      </c>
      <c r="AD181" t="s">
        <v>4</v>
      </c>
      <c r="AE181" t="s">
        <v>4332</v>
      </c>
      <c r="AF181" t="s">
        <v>4333</v>
      </c>
      <c r="AG181" t="s">
        <v>4334</v>
      </c>
      <c r="AH181" t="s">
        <v>112</v>
      </c>
      <c r="AU181" t="s">
        <v>112</v>
      </c>
      <c r="AV181" t="s">
        <v>4335</v>
      </c>
      <c r="AW181" t="s">
        <v>114</v>
      </c>
      <c r="AX181" t="s">
        <v>144</v>
      </c>
      <c r="AY181" t="s">
        <v>2455</v>
      </c>
      <c r="AZ181" t="s">
        <v>4</v>
      </c>
      <c r="BA181" s="3" t="s">
        <v>95</v>
      </c>
      <c r="BB181" s="6" t="s">
        <v>95</v>
      </c>
      <c r="BC181" s="3" t="s">
        <v>95</v>
      </c>
      <c r="BD181" t="s">
        <v>4</v>
      </c>
      <c r="BE181">
        <v>3556</v>
      </c>
      <c r="BF181" t="s">
        <v>112</v>
      </c>
      <c r="BG181">
        <v>99.267399999999995</v>
      </c>
      <c r="BH181">
        <v>80.586100000000002</v>
      </c>
      <c r="BI181" t="s">
        <v>4336</v>
      </c>
      <c r="BJ181">
        <v>87.912099999999995</v>
      </c>
      <c r="BN181">
        <v>79.120900000000006</v>
      </c>
      <c r="BO181">
        <v>45.421199999999999</v>
      </c>
      <c r="BP181">
        <v>43.589700000000001</v>
      </c>
      <c r="BQ181">
        <v>31.1355</v>
      </c>
      <c r="BR181">
        <v>46.153799999999997</v>
      </c>
      <c r="BW181">
        <v>40.659300000000002</v>
      </c>
      <c r="BX181">
        <v>43.223399999999998</v>
      </c>
      <c r="BY181">
        <v>30.769200000000001</v>
      </c>
      <c r="BZ181">
        <v>40.292999999999999</v>
      </c>
      <c r="CA181">
        <v>41.025599999999997</v>
      </c>
      <c r="CK181">
        <v>5</v>
      </c>
      <c r="CL181" t="s">
        <v>4</v>
      </c>
      <c r="CM181" t="s">
        <v>4337</v>
      </c>
      <c r="CN181" t="s">
        <v>4338</v>
      </c>
      <c r="CO181" t="s">
        <v>1218</v>
      </c>
      <c r="CP181" t="s">
        <v>100</v>
      </c>
      <c r="CQ181">
        <v>180</v>
      </c>
      <c r="CR181" t="s">
        <v>100</v>
      </c>
      <c r="CS181" s="7" t="s">
        <v>101</v>
      </c>
      <c r="CT181" t="s">
        <v>152</v>
      </c>
      <c r="CU181" t="s">
        <v>102</v>
      </c>
      <c r="CV181" t="s">
        <v>100</v>
      </c>
    </row>
    <row r="182" spans="1:100">
      <c r="A182" s="3" t="s">
        <v>4339</v>
      </c>
      <c r="B182" s="4" t="s">
        <v>4340</v>
      </c>
      <c r="C182">
        <v>271.93003930950101</v>
      </c>
      <c r="D182">
        <v>1425.9176853470501</v>
      </c>
      <c r="E182">
        <f>-2.39095475864948</f>
        <v>-2.3909547586494799</v>
      </c>
      <c r="F182" s="5">
        <v>7.2265290766508001E-14</v>
      </c>
      <c r="G182" t="s">
        <v>4</v>
      </c>
      <c r="H182">
        <v>271.93003930950101</v>
      </c>
      <c r="I182">
        <v>200.676730747894</v>
      </c>
      <c r="J182">
        <v>0.42612972844361502</v>
      </c>
      <c r="K182">
        <v>0.230795518747102</v>
      </c>
      <c r="L182" t="s">
        <v>4</v>
      </c>
      <c r="M182">
        <v>1425.9176853470501</v>
      </c>
      <c r="N182">
        <v>200.676730747894</v>
      </c>
      <c r="O182">
        <v>2.8170844870931</v>
      </c>
      <c r="P182" s="5">
        <v>4.9888767896224696E-19</v>
      </c>
      <c r="Q182" t="s">
        <v>4</v>
      </c>
      <c r="R182" s="4" t="s">
        <v>87</v>
      </c>
      <c r="S182" t="s">
        <v>4</v>
      </c>
      <c r="T182" t="s">
        <v>3889</v>
      </c>
      <c r="U182" t="s">
        <v>3890</v>
      </c>
      <c r="V182" t="s">
        <v>3891</v>
      </c>
      <c r="W182" t="s">
        <v>328</v>
      </c>
      <c r="X182" t="s">
        <v>4</v>
      </c>
      <c r="Y182" t="s">
        <v>4341</v>
      </c>
      <c r="Z182" t="s">
        <v>4342</v>
      </c>
      <c r="AA182" t="s">
        <v>4343</v>
      </c>
      <c r="AB182" t="s">
        <v>4</v>
      </c>
      <c r="AC182" s="3" t="s">
        <v>1267</v>
      </c>
      <c r="AD182" t="s">
        <v>4</v>
      </c>
      <c r="AE182" t="s">
        <v>4344</v>
      </c>
      <c r="AF182" t="s">
        <v>4345</v>
      </c>
      <c r="AG182" t="s">
        <v>4346</v>
      </c>
      <c r="AH182" t="s">
        <v>282</v>
      </c>
      <c r="AU182" t="s">
        <v>112</v>
      </c>
      <c r="AV182" t="s">
        <v>4347</v>
      </c>
      <c r="AW182" t="s">
        <v>114</v>
      </c>
      <c r="AX182" t="s">
        <v>371</v>
      </c>
      <c r="AY182" t="s">
        <v>4348</v>
      </c>
      <c r="AZ182" t="s">
        <v>4</v>
      </c>
      <c r="BA182" s="3" t="s">
        <v>95</v>
      </c>
      <c r="BB182" s="6" t="s">
        <v>95</v>
      </c>
      <c r="BC182" s="3" t="s">
        <v>95</v>
      </c>
      <c r="BD182" t="s">
        <v>4</v>
      </c>
      <c r="BE182">
        <v>6629</v>
      </c>
      <c r="BF182" t="s">
        <v>213</v>
      </c>
      <c r="BG182">
        <v>45.5914</v>
      </c>
      <c r="BJ182">
        <v>38.064500000000002</v>
      </c>
      <c r="BK182">
        <v>89.892499999999998</v>
      </c>
      <c r="BL182">
        <v>58.494599999999998</v>
      </c>
      <c r="BM182">
        <v>88.171999999999997</v>
      </c>
      <c r="BN182">
        <v>84.731200000000001</v>
      </c>
      <c r="BO182">
        <v>81.935500000000005</v>
      </c>
      <c r="BP182">
        <v>51.1828</v>
      </c>
      <c r="BR182">
        <v>17.849499999999999</v>
      </c>
      <c r="CA182" t="s">
        <v>4349</v>
      </c>
      <c r="CB182">
        <v>18.064499999999999</v>
      </c>
      <c r="CC182">
        <v>36.989199999999997</v>
      </c>
      <c r="CD182" t="s">
        <v>4350</v>
      </c>
      <c r="CE182">
        <v>20.2151</v>
      </c>
      <c r="CF182">
        <v>34.4086</v>
      </c>
      <c r="CG182" t="s">
        <v>4351</v>
      </c>
      <c r="CH182" t="s">
        <v>4352</v>
      </c>
      <c r="CI182" t="s">
        <v>4353</v>
      </c>
      <c r="CK182">
        <v>8</v>
      </c>
      <c r="CL182" t="s">
        <v>4</v>
      </c>
      <c r="CM182" t="s">
        <v>4354</v>
      </c>
      <c r="CN182" t="s">
        <v>4355</v>
      </c>
      <c r="CO182" t="s">
        <v>4356</v>
      </c>
      <c r="CP182" t="s">
        <v>100</v>
      </c>
      <c r="CQ182">
        <v>181</v>
      </c>
      <c r="CR182" t="s">
        <v>100</v>
      </c>
      <c r="CS182" t="s">
        <v>100</v>
      </c>
      <c r="CT182" t="s">
        <v>152</v>
      </c>
      <c r="CU182" t="s">
        <v>102</v>
      </c>
      <c r="CV182" t="s">
        <v>100</v>
      </c>
    </row>
    <row r="183" spans="1:100">
      <c r="A183" s="3" t="s">
        <v>4357</v>
      </c>
      <c r="B183" s="4" t="s">
        <v>4358</v>
      </c>
      <c r="C183">
        <v>242.96464871431701</v>
      </c>
      <c r="D183">
        <v>2071.5492058462801</v>
      </c>
      <c r="E183">
        <f>-3.09166239327424</f>
        <v>-3.0916623932742402</v>
      </c>
      <c r="F183" s="5">
        <v>3.7137674988411602E-20</v>
      </c>
      <c r="G183" t="s">
        <v>4</v>
      </c>
      <c r="H183">
        <v>242.96464871431701</v>
      </c>
      <c r="I183">
        <v>231.892503762942</v>
      </c>
      <c r="J183">
        <v>6.1901084714239697E-2</v>
      </c>
      <c r="K183">
        <v>0.87942476388371105</v>
      </c>
      <c r="L183" t="s">
        <v>4</v>
      </c>
      <c r="M183">
        <v>2071.5492058462801</v>
      </c>
      <c r="N183">
        <v>231.892503762942</v>
      </c>
      <c r="O183">
        <v>3.15356347798848</v>
      </c>
      <c r="P183" s="5">
        <v>2.97955495973978E-21</v>
      </c>
      <c r="Q183" t="s">
        <v>4</v>
      </c>
      <c r="R183" s="4" t="s">
        <v>87</v>
      </c>
      <c r="S183" t="s">
        <v>4</v>
      </c>
      <c r="T183" t="s">
        <v>4359</v>
      </c>
      <c r="U183" t="s">
        <v>4360</v>
      </c>
      <c r="V183" t="s">
        <v>4361</v>
      </c>
      <c r="W183" t="s">
        <v>976</v>
      </c>
      <c r="X183" t="s">
        <v>4</v>
      </c>
      <c r="Y183" t="s">
        <v>4362</v>
      </c>
      <c r="Z183" t="s">
        <v>4363</v>
      </c>
      <c r="AA183" t="s">
        <v>4364</v>
      </c>
      <c r="AB183" t="s">
        <v>4</v>
      </c>
      <c r="AC183" s="3" t="s">
        <v>93</v>
      </c>
      <c r="AD183" t="s">
        <v>4</v>
      </c>
      <c r="AE183" t="s">
        <v>4365</v>
      </c>
      <c r="AF183" t="s">
        <v>4366</v>
      </c>
      <c r="AG183" t="s">
        <v>4367</v>
      </c>
      <c r="AH183" t="s">
        <v>112</v>
      </c>
      <c r="AU183" t="s">
        <v>112</v>
      </c>
      <c r="AV183" t="s">
        <v>4368</v>
      </c>
      <c r="AW183" t="s">
        <v>114</v>
      </c>
      <c r="AZ183" t="s">
        <v>4</v>
      </c>
      <c r="BA183" s="3" t="s">
        <v>115</v>
      </c>
      <c r="BB183" s="6" t="s">
        <v>95</v>
      </c>
      <c r="BC183" s="3" t="s">
        <v>95</v>
      </c>
      <c r="BD183" t="s">
        <v>4</v>
      </c>
      <c r="BE183">
        <v>1891</v>
      </c>
      <c r="BF183" t="s">
        <v>148</v>
      </c>
      <c r="BG183">
        <v>96.613200000000006</v>
      </c>
      <c r="BH183">
        <v>60.962600000000002</v>
      </c>
      <c r="BI183">
        <v>88.948300000000003</v>
      </c>
      <c r="BJ183">
        <v>66.844899999999996</v>
      </c>
      <c r="BK183">
        <v>56.149700000000003</v>
      </c>
      <c r="BL183">
        <v>63.279899999999998</v>
      </c>
      <c r="BM183">
        <v>65.418899999999994</v>
      </c>
      <c r="BN183">
        <v>65.418899999999994</v>
      </c>
      <c r="BO183">
        <v>39.037399999999998</v>
      </c>
      <c r="CK183">
        <v>3</v>
      </c>
      <c r="CL183" t="s">
        <v>4</v>
      </c>
      <c r="CM183" t="s">
        <v>98</v>
      </c>
      <c r="CN183" t="s">
        <v>98</v>
      </c>
      <c r="CO183" t="s">
        <v>99</v>
      </c>
      <c r="CP183" t="s">
        <v>100</v>
      </c>
      <c r="CQ183">
        <v>182</v>
      </c>
      <c r="CR183" t="s">
        <v>100</v>
      </c>
      <c r="CS183" t="s">
        <v>100</v>
      </c>
      <c r="CT183" t="s">
        <v>152</v>
      </c>
      <c r="CU183" t="s">
        <v>102</v>
      </c>
      <c r="CV183" t="s">
        <v>100</v>
      </c>
    </row>
    <row r="184" spans="1:100">
      <c r="A184" s="3" t="s">
        <v>4369</v>
      </c>
      <c r="B184" s="4" t="s">
        <v>4370</v>
      </c>
      <c r="C184">
        <v>207.19643251339701</v>
      </c>
      <c r="D184">
        <v>1050.96973508464</v>
      </c>
      <c r="E184">
        <f>-2.34081784149806</f>
        <v>-2.34081784149806</v>
      </c>
      <c r="F184" s="5">
        <v>1.1114437769613401E-28</v>
      </c>
      <c r="G184" t="s">
        <v>4</v>
      </c>
      <c r="H184">
        <v>207.19643251339701</v>
      </c>
      <c r="I184">
        <v>179.20826372090801</v>
      </c>
      <c r="J184">
        <v>0.21948938043694399</v>
      </c>
      <c r="K184">
        <v>0.38108606562054598</v>
      </c>
      <c r="L184" t="s">
        <v>4</v>
      </c>
      <c r="M184">
        <v>1050.96973508464</v>
      </c>
      <c r="N184">
        <v>179.20826372090801</v>
      </c>
      <c r="O184">
        <v>2.5603072219350098</v>
      </c>
      <c r="P184" s="5">
        <v>8.1855506097360802E-33</v>
      </c>
      <c r="Q184" t="s">
        <v>4</v>
      </c>
      <c r="R184" s="4" t="s">
        <v>87</v>
      </c>
      <c r="S184" t="s">
        <v>4</v>
      </c>
      <c r="T184" t="s">
        <v>4371</v>
      </c>
      <c r="U184" t="s">
        <v>4372</v>
      </c>
      <c r="V184" t="s">
        <v>4373</v>
      </c>
      <c r="W184" t="s">
        <v>328</v>
      </c>
      <c r="X184" t="s">
        <v>4</v>
      </c>
      <c r="Y184" t="s">
        <v>4374</v>
      </c>
      <c r="Z184" t="s">
        <v>4375</v>
      </c>
      <c r="AA184" t="s">
        <v>4376</v>
      </c>
      <c r="AB184" t="s">
        <v>4</v>
      </c>
      <c r="AC184" s="3" t="s">
        <v>4377</v>
      </c>
      <c r="AD184" t="s">
        <v>4</v>
      </c>
      <c r="AE184" t="s">
        <v>4378</v>
      </c>
      <c r="AF184" t="s">
        <v>4379</v>
      </c>
      <c r="AG184" t="s">
        <v>4380</v>
      </c>
      <c r="AH184" t="s">
        <v>112</v>
      </c>
      <c r="AJ184" t="s">
        <v>4381</v>
      </c>
      <c r="AU184" t="s">
        <v>112</v>
      </c>
      <c r="AV184" t="s">
        <v>4382</v>
      </c>
      <c r="AW184" t="s">
        <v>114</v>
      </c>
      <c r="AX184" t="s">
        <v>132</v>
      </c>
      <c r="AY184" t="s">
        <v>4383</v>
      </c>
      <c r="AZ184" t="s">
        <v>4</v>
      </c>
      <c r="BA184" s="3" t="s">
        <v>95</v>
      </c>
      <c r="BB184" t="s">
        <v>96</v>
      </c>
      <c r="BC184" s="3" t="s">
        <v>95</v>
      </c>
      <c r="BD184" t="s">
        <v>4</v>
      </c>
      <c r="BE184">
        <v>4907</v>
      </c>
      <c r="BF184" t="s">
        <v>282</v>
      </c>
      <c r="BG184">
        <v>80.869600000000005</v>
      </c>
      <c r="BH184">
        <v>80.652199999999993</v>
      </c>
      <c r="BI184">
        <v>72.826099999999997</v>
      </c>
      <c r="BJ184">
        <v>70.869600000000005</v>
      </c>
      <c r="BK184">
        <v>59.347799999999999</v>
      </c>
      <c r="BL184">
        <v>64.130399999999995</v>
      </c>
      <c r="BM184">
        <v>65.434799999999996</v>
      </c>
      <c r="BN184">
        <v>65</v>
      </c>
      <c r="BO184">
        <v>65.217399999999998</v>
      </c>
      <c r="BP184">
        <v>42.173900000000003</v>
      </c>
      <c r="BR184">
        <v>28.695699999999999</v>
      </c>
      <c r="BT184">
        <v>27.1739</v>
      </c>
      <c r="BU184">
        <v>27.391300000000001</v>
      </c>
      <c r="BV184" t="s">
        <v>4384</v>
      </c>
      <c r="BX184">
        <v>32.173900000000003</v>
      </c>
      <c r="BY184">
        <v>25.869599999999998</v>
      </c>
      <c r="BZ184">
        <v>33.695700000000002</v>
      </c>
      <c r="CA184">
        <v>28.695699999999999</v>
      </c>
      <c r="CG184" t="s">
        <v>4385</v>
      </c>
      <c r="CH184">
        <v>6.7391300000000003</v>
      </c>
      <c r="CI184">
        <v>10.434799999999999</v>
      </c>
      <c r="CK184">
        <v>6</v>
      </c>
      <c r="CL184" t="s">
        <v>4</v>
      </c>
      <c r="CM184" t="s">
        <v>4386</v>
      </c>
      <c r="CN184" t="s">
        <v>4387</v>
      </c>
      <c r="CO184" t="s">
        <v>663</v>
      </c>
      <c r="CP184" t="s">
        <v>100</v>
      </c>
      <c r="CQ184">
        <v>183</v>
      </c>
      <c r="CR184" t="s">
        <v>100</v>
      </c>
      <c r="CS184" t="s">
        <v>100</v>
      </c>
      <c r="CT184" t="s">
        <v>152</v>
      </c>
      <c r="CU184" t="s">
        <v>102</v>
      </c>
      <c r="CV184" t="s">
        <v>100</v>
      </c>
    </row>
    <row r="185" spans="1:100">
      <c r="A185" s="3" t="s">
        <v>4388</v>
      </c>
      <c r="B185" s="8" t="s">
        <v>811</v>
      </c>
      <c r="C185">
        <v>28.741159752307599</v>
      </c>
      <c r="D185">
        <v>223.67073724398199</v>
      </c>
      <c r="E185">
        <f>-2.95525179289316</f>
        <v>-2.9552517928931601</v>
      </c>
      <c r="F185" s="5">
        <v>1.02739799602666E-9</v>
      </c>
      <c r="G185" t="s">
        <v>4</v>
      </c>
      <c r="H185">
        <v>28.741159752307599</v>
      </c>
      <c r="I185">
        <v>21.484177959441201</v>
      </c>
      <c r="J185">
        <v>0.44559862348920898</v>
      </c>
      <c r="K185">
        <v>0.44787765166099103</v>
      </c>
      <c r="L185" t="s">
        <v>4</v>
      </c>
      <c r="M185">
        <v>223.67073724398199</v>
      </c>
      <c r="N185">
        <v>21.484177959441201</v>
      </c>
      <c r="O185">
        <v>3.4008504163823599</v>
      </c>
      <c r="P185" s="5">
        <v>1.18178954992703E-11</v>
      </c>
      <c r="Q185" t="s">
        <v>4</v>
      </c>
      <c r="R185" s="4" t="s">
        <v>95</v>
      </c>
      <c r="S185" t="s">
        <v>4</v>
      </c>
      <c r="T185" t="s">
        <v>92</v>
      </c>
      <c r="U185" t="s">
        <v>92</v>
      </c>
      <c r="V185" t="s">
        <v>92</v>
      </c>
      <c r="W185" t="s">
        <v>92</v>
      </c>
      <c r="X185" t="s">
        <v>4</v>
      </c>
      <c r="Y185" t="s">
        <v>92</v>
      </c>
      <c r="Z185" t="s">
        <v>92</v>
      </c>
      <c r="AA185" t="s">
        <v>92</v>
      </c>
      <c r="AB185" t="s">
        <v>4</v>
      </c>
      <c r="AC185" s="3" t="s">
        <v>93</v>
      </c>
      <c r="AD185" t="s">
        <v>4</v>
      </c>
      <c r="AE185" s="4" t="s">
        <v>94</v>
      </c>
      <c r="AZ185" t="s">
        <v>4</v>
      </c>
      <c r="BA185" s="3" t="s">
        <v>812</v>
      </c>
      <c r="BB185" s="3" t="s">
        <v>812</v>
      </c>
      <c r="BC185" s="3" t="s">
        <v>812</v>
      </c>
      <c r="BD185" t="s">
        <v>4</v>
      </c>
      <c r="BE185" s="3" t="s">
        <v>812</v>
      </c>
      <c r="BF185" s="3" t="s">
        <v>812</v>
      </c>
      <c r="BG185" s="3" t="s">
        <v>812</v>
      </c>
      <c r="BH185" s="3" t="s">
        <v>812</v>
      </c>
      <c r="BI185" s="3" t="s">
        <v>812</v>
      </c>
      <c r="BJ185" s="3" t="s">
        <v>812</v>
      </c>
      <c r="BK185" s="3" t="s">
        <v>812</v>
      </c>
      <c r="BL185" s="3" t="s">
        <v>812</v>
      </c>
      <c r="BM185" s="3" t="s">
        <v>812</v>
      </c>
      <c r="BN185" s="3" t="s">
        <v>812</v>
      </c>
      <c r="BO185" s="3" t="s">
        <v>812</v>
      </c>
      <c r="BP185" s="3" t="s">
        <v>812</v>
      </c>
      <c r="BQ185" s="3" t="s">
        <v>812</v>
      </c>
      <c r="BR185" s="3" t="s">
        <v>812</v>
      </c>
      <c r="BS185" s="3" t="s">
        <v>812</v>
      </c>
      <c r="BT185" s="3" t="s">
        <v>812</v>
      </c>
      <c r="BU185" s="3" t="s">
        <v>812</v>
      </c>
      <c r="BV185" s="3" t="s">
        <v>812</v>
      </c>
      <c r="BW185" s="3" t="s">
        <v>812</v>
      </c>
      <c r="BX185" s="3" t="s">
        <v>812</v>
      </c>
      <c r="BY185" s="3" t="s">
        <v>812</v>
      </c>
      <c r="BZ185" s="3" t="s">
        <v>812</v>
      </c>
      <c r="CA185" s="3" t="s">
        <v>812</v>
      </c>
      <c r="CB185" s="3" t="s">
        <v>812</v>
      </c>
      <c r="CC185" s="3" t="s">
        <v>812</v>
      </c>
      <c r="CD185" s="3" t="s">
        <v>812</v>
      </c>
      <c r="CE185" s="3" t="s">
        <v>812</v>
      </c>
      <c r="CF185" s="3" t="s">
        <v>812</v>
      </c>
      <c r="CG185" s="3" t="s">
        <v>812</v>
      </c>
      <c r="CH185" s="3" t="s">
        <v>812</v>
      </c>
      <c r="CI185" s="3" t="s">
        <v>812</v>
      </c>
      <c r="CJ185" s="3" t="s">
        <v>812</v>
      </c>
      <c r="CK185" s="3" t="s">
        <v>812</v>
      </c>
      <c r="CL185" t="s">
        <v>4</v>
      </c>
      <c r="CM185" s="3" t="s">
        <v>812</v>
      </c>
      <c r="CN185" s="3" t="s">
        <v>812</v>
      </c>
      <c r="CO185" s="3" t="s">
        <v>812</v>
      </c>
      <c r="CP185" t="s">
        <v>100</v>
      </c>
      <c r="CQ185">
        <v>184</v>
      </c>
      <c r="CR185" t="s">
        <v>100</v>
      </c>
      <c r="CS185" t="s">
        <v>100</v>
      </c>
      <c r="CT185" t="s">
        <v>152</v>
      </c>
      <c r="CU185" t="s">
        <v>102</v>
      </c>
      <c r="CV185" t="s">
        <v>100</v>
      </c>
    </row>
    <row r="186" spans="1:100">
      <c r="A186" s="3" t="s">
        <v>4389</v>
      </c>
      <c r="B186" s="4" t="s">
        <v>4390</v>
      </c>
      <c r="C186">
        <v>2976.93267471443</v>
      </c>
      <c r="D186">
        <v>14188.864729843999</v>
      </c>
      <c r="E186">
        <f>-2.25284678950098</f>
        <v>-2.2528467895009801</v>
      </c>
      <c r="F186" s="5">
        <v>1.7740469803944999E-12</v>
      </c>
      <c r="G186" t="s">
        <v>4</v>
      </c>
      <c r="H186">
        <v>2976.93267471443</v>
      </c>
      <c r="I186">
        <v>615.09183965674299</v>
      </c>
      <c r="J186">
        <v>2.2710930605394299</v>
      </c>
      <c r="K186" s="5">
        <v>7.3337426334409003E-13</v>
      </c>
      <c r="L186" t="s">
        <v>4</v>
      </c>
      <c r="M186">
        <v>14188.864729843999</v>
      </c>
      <c r="N186">
        <v>615.09183965674299</v>
      </c>
      <c r="O186">
        <v>4.52393985004041</v>
      </c>
      <c r="P186" s="5">
        <v>2.0374498677863001E-48</v>
      </c>
      <c r="Q186" t="s">
        <v>4</v>
      </c>
      <c r="R186" s="4" t="s">
        <v>87</v>
      </c>
      <c r="S186" t="s">
        <v>4</v>
      </c>
      <c r="T186" t="s">
        <v>460</v>
      </c>
      <c r="U186" t="s">
        <v>461</v>
      </c>
      <c r="V186" t="s">
        <v>462</v>
      </c>
      <c r="W186" t="s">
        <v>123</v>
      </c>
      <c r="X186" t="s">
        <v>4</v>
      </c>
      <c r="Y186" t="s">
        <v>4391</v>
      </c>
      <c r="Z186" t="s">
        <v>4392</v>
      </c>
      <c r="AA186" t="s">
        <v>4393</v>
      </c>
      <c r="AB186" t="s">
        <v>4</v>
      </c>
      <c r="AC186" s="3" t="s">
        <v>4394</v>
      </c>
      <c r="AD186" t="s">
        <v>4</v>
      </c>
      <c r="AE186" t="s">
        <v>4395</v>
      </c>
      <c r="AF186" t="s">
        <v>4396</v>
      </c>
      <c r="AG186" t="s">
        <v>4397</v>
      </c>
      <c r="AH186" t="s">
        <v>386</v>
      </c>
      <c r="AU186" t="s">
        <v>112</v>
      </c>
      <c r="AV186" t="s">
        <v>4398</v>
      </c>
      <c r="AW186" t="s">
        <v>114</v>
      </c>
      <c r="AX186" t="s">
        <v>1879</v>
      </c>
      <c r="AY186" t="s">
        <v>4399</v>
      </c>
      <c r="AZ186" t="s">
        <v>4</v>
      </c>
      <c r="BA186" s="3" t="s">
        <v>95</v>
      </c>
      <c r="BB186" s="6" t="s">
        <v>95</v>
      </c>
      <c r="BC186" s="3" t="s">
        <v>95</v>
      </c>
      <c r="BD186" t="s">
        <v>4</v>
      </c>
      <c r="BE186">
        <v>3590</v>
      </c>
      <c r="BF186" t="s">
        <v>112</v>
      </c>
      <c r="BG186">
        <v>79.878100000000003</v>
      </c>
      <c r="BI186" t="s">
        <v>4400</v>
      </c>
      <c r="BJ186">
        <v>68.292699999999996</v>
      </c>
      <c r="BK186">
        <v>58.841500000000003</v>
      </c>
      <c r="BL186">
        <v>35.365900000000003</v>
      </c>
      <c r="BM186">
        <v>61.5854</v>
      </c>
      <c r="BN186">
        <v>65.853700000000003</v>
      </c>
      <c r="BO186">
        <v>66.768299999999996</v>
      </c>
      <c r="BP186" t="s">
        <v>4401</v>
      </c>
      <c r="BR186" t="s">
        <v>4402</v>
      </c>
      <c r="BW186">
        <v>28.0488</v>
      </c>
      <c r="BX186">
        <v>28.0488</v>
      </c>
      <c r="BZ186">
        <v>28.3537</v>
      </c>
      <c r="CA186" t="s">
        <v>4403</v>
      </c>
      <c r="CG186" t="s">
        <v>4404</v>
      </c>
      <c r="CH186" t="s">
        <v>4405</v>
      </c>
      <c r="CI186" t="s">
        <v>4406</v>
      </c>
      <c r="CK186">
        <v>5</v>
      </c>
      <c r="CL186" t="s">
        <v>4</v>
      </c>
      <c r="CM186" t="s">
        <v>4407</v>
      </c>
      <c r="CN186" t="s">
        <v>4408</v>
      </c>
      <c r="CO186" t="s">
        <v>3021</v>
      </c>
      <c r="CP186" t="s">
        <v>100</v>
      </c>
      <c r="CQ186">
        <v>185</v>
      </c>
      <c r="CR186" t="s">
        <v>100</v>
      </c>
      <c r="CS186" t="s">
        <v>101</v>
      </c>
      <c r="CT186" t="s">
        <v>152</v>
      </c>
      <c r="CU186" t="s">
        <v>102</v>
      </c>
      <c r="CV186" t="s">
        <v>100</v>
      </c>
    </row>
    <row r="187" spans="1:100">
      <c r="A187" s="3" t="s">
        <v>4409</v>
      </c>
      <c r="B187" s="4" t="s">
        <v>4410</v>
      </c>
      <c r="C187">
        <v>11.0880236463549</v>
      </c>
      <c r="D187">
        <v>61.589412353915897</v>
      </c>
      <c r="E187">
        <f>-2.46606611059978</f>
        <v>-2.4660661105997801</v>
      </c>
      <c r="F187" s="5">
        <v>3.7350714470459002E-6</v>
      </c>
      <c r="G187" t="s">
        <v>4</v>
      </c>
      <c r="H187">
        <v>11.0880236463549</v>
      </c>
      <c r="I187">
        <v>3.2521009687225799</v>
      </c>
      <c r="J187">
        <v>1.8035794838450401</v>
      </c>
      <c r="K187">
        <v>2.5244551085210998E-2</v>
      </c>
      <c r="L187" t="s">
        <v>4</v>
      </c>
      <c r="M187">
        <v>61.589412353915897</v>
      </c>
      <c r="N187">
        <v>3.2521009687225799</v>
      </c>
      <c r="O187">
        <v>4.2696455944448299</v>
      </c>
      <c r="P187" s="5">
        <v>5.3663335160939704E-9</v>
      </c>
      <c r="Q187" t="s">
        <v>4</v>
      </c>
      <c r="R187" s="4" t="s">
        <v>87</v>
      </c>
      <c r="S187" t="s">
        <v>4</v>
      </c>
      <c r="T187" t="s">
        <v>92</v>
      </c>
      <c r="U187" t="s">
        <v>92</v>
      </c>
      <c r="V187" t="s">
        <v>92</v>
      </c>
      <c r="W187" t="s">
        <v>92</v>
      </c>
      <c r="X187" t="s">
        <v>4</v>
      </c>
      <c r="Y187" t="s">
        <v>92</v>
      </c>
      <c r="Z187" t="s">
        <v>92</v>
      </c>
      <c r="AA187" t="s">
        <v>92</v>
      </c>
      <c r="AB187" t="s">
        <v>4</v>
      </c>
      <c r="AC187" s="3" t="s">
        <v>93</v>
      </c>
      <c r="AD187" t="s">
        <v>4</v>
      </c>
      <c r="AE187" s="4" t="s">
        <v>94</v>
      </c>
      <c r="AZ187" t="s">
        <v>4</v>
      </c>
      <c r="BA187" s="3" t="s">
        <v>95</v>
      </c>
      <c r="BB187" s="6" t="s">
        <v>95</v>
      </c>
      <c r="BC187" s="3" t="s">
        <v>95</v>
      </c>
      <c r="BD187" t="s">
        <v>4</v>
      </c>
      <c r="BE187">
        <v>965</v>
      </c>
      <c r="BF187" t="s">
        <v>151</v>
      </c>
      <c r="BG187" t="s">
        <v>4411</v>
      </c>
      <c r="BH187">
        <v>97.530900000000003</v>
      </c>
      <c r="BI187">
        <v>56.790100000000002</v>
      </c>
      <c r="CK187">
        <v>2</v>
      </c>
      <c r="CL187" t="s">
        <v>4</v>
      </c>
      <c r="CM187" t="s">
        <v>98</v>
      </c>
      <c r="CN187" t="s">
        <v>98</v>
      </c>
      <c r="CO187" t="s">
        <v>99</v>
      </c>
      <c r="CP187" t="s">
        <v>100</v>
      </c>
      <c r="CQ187">
        <v>186</v>
      </c>
      <c r="CR187" t="s">
        <v>100</v>
      </c>
      <c r="CS187" s="7" t="s">
        <v>101</v>
      </c>
      <c r="CT187" t="s">
        <v>152</v>
      </c>
      <c r="CU187" t="s">
        <v>102</v>
      </c>
      <c r="CV187" t="s">
        <v>100</v>
      </c>
    </row>
    <row r="188" spans="1:100">
      <c r="A188" s="3" t="s">
        <v>4412</v>
      </c>
      <c r="B188" s="4" t="s">
        <v>4413</v>
      </c>
      <c r="C188">
        <v>23.817474115634599</v>
      </c>
      <c r="D188">
        <v>438.63324530558702</v>
      </c>
      <c r="E188">
        <f>-4.1959355145677</f>
        <v>-4.1959355145677</v>
      </c>
      <c r="F188" s="5">
        <v>3.6093841293533701E-12</v>
      </c>
      <c r="G188" t="s">
        <v>4</v>
      </c>
      <c r="H188">
        <v>23.817474115634599</v>
      </c>
      <c r="I188">
        <v>10.974218784957101</v>
      </c>
      <c r="J188">
        <v>1.1670998415045</v>
      </c>
      <c r="K188">
        <v>0.108752023722018</v>
      </c>
      <c r="L188" t="s">
        <v>4</v>
      </c>
      <c r="M188">
        <v>438.63324530558702</v>
      </c>
      <c r="N188">
        <v>10.974218784957101</v>
      </c>
      <c r="O188">
        <v>5.3630353560721904</v>
      </c>
      <c r="P188" s="5">
        <v>1.1272711015013301E-16</v>
      </c>
      <c r="Q188" t="s">
        <v>4</v>
      </c>
      <c r="R188" s="4" t="s">
        <v>87</v>
      </c>
      <c r="S188" t="s">
        <v>4</v>
      </c>
      <c r="T188" t="s">
        <v>92</v>
      </c>
      <c r="U188" t="s">
        <v>92</v>
      </c>
      <c r="V188" t="s">
        <v>92</v>
      </c>
      <c r="W188" t="s">
        <v>92</v>
      </c>
      <c r="X188" t="s">
        <v>4</v>
      </c>
      <c r="Y188" t="s">
        <v>92</v>
      </c>
      <c r="Z188" t="s">
        <v>92</v>
      </c>
      <c r="AA188" t="s">
        <v>92</v>
      </c>
      <c r="AB188" t="s">
        <v>4</v>
      </c>
      <c r="AC188" s="3" t="s">
        <v>93</v>
      </c>
      <c r="AD188" t="s">
        <v>4</v>
      </c>
      <c r="AE188" s="4" t="s">
        <v>94</v>
      </c>
      <c r="AZ188" t="s">
        <v>4</v>
      </c>
      <c r="BA188" s="3" t="s">
        <v>95</v>
      </c>
      <c r="BB188" s="6" t="s">
        <v>95</v>
      </c>
      <c r="BC188" s="3" t="s">
        <v>95</v>
      </c>
      <c r="BD188" t="s">
        <v>4</v>
      </c>
      <c r="BE188">
        <v>42</v>
      </c>
      <c r="BF188" t="s">
        <v>322</v>
      </c>
      <c r="CK188">
        <v>1</v>
      </c>
      <c r="CL188" t="s">
        <v>4</v>
      </c>
      <c r="CM188" t="s">
        <v>98</v>
      </c>
      <c r="CN188" t="s">
        <v>98</v>
      </c>
      <c r="CO188" t="s">
        <v>99</v>
      </c>
      <c r="CP188" t="s">
        <v>100</v>
      </c>
      <c r="CQ188">
        <v>187</v>
      </c>
      <c r="CR188" t="s">
        <v>100</v>
      </c>
      <c r="CS188" t="s">
        <v>100</v>
      </c>
      <c r="CT188" t="s">
        <v>152</v>
      </c>
      <c r="CU188" t="s">
        <v>102</v>
      </c>
      <c r="CV188" t="s">
        <v>100</v>
      </c>
    </row>
    <row r="189" spans="1:100">
      <c r="A189" s="3" t="s">
        <v>4414</v>
      </c>
      <c r="B189" s="4" t="s">
        <v>4415</v>
      </c>
      <c r="C189">
        <v>1466.6644943910601</v>
      </c>
      <c r="D189">
        <v>8342.5917951458505</v>
      </c>
      <c r="E189">
        <f>-2.50808789311315</f>
        <v>-2.5080878931131498</v>
      </c>
      <c r="F189" s="5">
        <v>7.4437242075421503E-27</v>
      </c>
      <c r="G189" t="s">
        <v>4</v>
      </c>
      <c r="H189">
        <v>1466.6644943910601</v>
      </c>
      <c r="I189">
        <v>327.474795379733</v>
      </c>
      <c r="J189">
        <v>2.1575365465135401</v>
      </c>
      <c r="K189" s="5">
        <v>1.53477225543251E-19</v>
      </c>
      <c r="L189" t="s">
        <v>4</v>
      </c>
      <c r="M189">
        <v>8342.5917951458505</v>
      </c>
      <c r="N189">
        <v>327.474795379733</v>
      </c>
      <c r="O189">
        <v>4.6656244396266899</v>
      </c>
      <c r="P189" s="5">
        <v>1.46885609894572E-88</v>
      </c>
      <c r="Q189" t="s">
        <v>4</v>
      </c>
      <c r="R189" s="4" t="s">
        <v>87</v>
      </c>
      <c r="S189" t="s">
        <v>4</v>
      </c>
      <c r="T189" t="s">
        <v>4416</v>
      </c>
      <c r="U189" t="s">
        <v>4417</v>
      </c>
      <c r="V189" t="s">
        <v>4418</v>
      </c>
      <c r="W189" t="s">
        <v>328</v>
      </c>
      <c r="X189" t="s">
        <v>4</v>
      </c>
      <c r="Y189" t="s">
        <v>4419</v>
      </c>
      <c r="Z189" t="s">
        <v>4420</v>
      </c>
      <c r="AA189" t="s">
        <v>4421</v>
      </c>
      <c r="AB189" t="s">
        <v>4</v>
      </c>
      <c r="AC189" s="3" t="s">
        <v>4422</v>
      </c>
      <c r="AD189" t="s">
        <v>4</v>
      </c>
      <c r="AE189" t="s">
        <v>4423</v>
      </c>
      <c r="AF189" t="s">
        <v>4424</v>
      </c>
      <c r="AG189" t="s">
        <v>4425</v>
      </c>
      <c r="AH189" t="s">
        <v>112</v>
      </c>
      <c r="AL189" t="s">
        <v>4426</v>
      </c>
      <c r="AQ189" t="s">
        <v>1003</v>
      </c>
      <c r="AU189" t="s">
        <v>112</v>
      </c>
      <c r="AV189" t="s">
        <v>4427</v>
      </c>
      <c r="AW189" t="s">
        <v>114</v>
      </c>
      <c r="AX189" t="s">
        <v>371</v>
      </c>
      <c r="AY189" t="s">
        <v>4428</v>
      </c>
      <c r="AZ189" t="s">
        <v>4</v>
      </c>
      <c r="BA189" s="3" t="s">
        <v>95</v>
      </c>
      <c r="BB189" s="6" t="s">
        <v>95</v>
      </c>
      <c r="BC189" s="3" t="s">
        <v>95</v>
      </c>
      <c r="BD189" t="s">
        <v>4</v>
      </c>
      <c r="BE189">
        <v>6711</v>
      </c>
      <c r="BF189" t="s">
        <v>213</v>
      </c>
      <c r="BG189">
        <v>83.881600000000006</v>
      </c>
      <c r="BI189">
        <v>77.850899999999996</v>
      </c>
      <c r="BJ189">
        <v>41.008800000000001</v>
      </c>
      <c r="BK189">
        <v>39.473700000000001</v>
      </c>
      <c r="BL189">
        <v>48.136000000000003</v>
      </c>
      <c r="BM189">
        <v>48.026299999999999</v>
      </c>
      <c r="BN189">
        <v>48.245600000000003</v>
      </c>
      <c r="BO189">
        <v>45.3947</v>
      </c>
      <c r="BP189">
        <v>15.6798</v>
      </c>
      <c r="BR189">
        <v>15.350899999999999</v>
      </c>
      <c r="BS189">
        <v>14.1447</v>
      </c>
      <c r="BU189">
        <v>14.8026</v>
      </c>
      <c r="BV189" t="s">
        <v>4429</v>
      </c>
      <c r="BW189">
        <v>6.7982500000000003</v>
      </c>
      <c r="BX189">
        <v>15.241199999999999</v>
      </c>
      <c r="BZ189">
        <v>9.2105300000000003</v>
      </c>
      <c r="CA189">
        <v>16.337700000000002</v>
      </c>
      <c r="CB189">
        <v>10.8553</v>
      </c>
      <c r="CG189" t="s">
        <v>4430</v>
      </c>
      <c r="CH189" t="s">
        <v>4431</v>
      </c>
      <c r="CI189" t="s">
        <v>4432</v>
      </c>
      <c r="CK189">
        <v>8</v>
      </c>
      <c r="CL189" t="s">
        <v>4</v>
      </c>
      <c r="CM189" t="s">
        <v>4433</v>
      </c>
      <c r="CN189" t="s">
        <v>4434</v>
      </c>
      <c r="CO189" t="s">
        <v>1218</v>
      </c>
      <c r="CP189" t="s">
        <v>100</v>
      </c>
      <c r="CQ189">
        <v>188</v>
      </c>
      <c r="CR189" t="s">
        <v>100</v>
      </c>
      <c r="CS189" t="s">
        <v>101</v>
      </c>
      <c r="CT189" t="s">
        <v>152</v>
      </c>
      <c r="CU189" t="s">
        <v>102</v>
      </c>
      <c r="CV189" t="s">
        <v>100</v>
      </c>
    </row>
    <row r="190" spans="1:100">
      <c r="A190" s="3" t="s">
        <v>4435</v>
      </c>
      <c r="B190" s="4" t="s">
        <v>4436</v>
      </c>
      <c r="C190">
        <v>242.36913167092101</v>
      </c>
      <c r="D190">
        <v>1170.80976089617</v>
      </c>
      <c r="E190">
        <f>-2.27070502193718</f>
        <v>-2.27070502193718</v>
      </c>
      <c r="F190" s="5">
        <v>5.4457106430117197E-34</v>
      </c>
      <c r="G190" t="s">
        <v>4</v>
      </c>
      <c r="H190">
        <v>242.36913167092101</v>
      </c>
      <c r="I190">
        <v>272.21324468653199</v>
      </c>
      <c r="J190">
        <f>0.171279627236958</f>
        <v>0.171279627236958</v>
      </c>
      <c r="K190">
        <v>0.43862035886377099</v>
      </c>
      <c r="L190" t="s">
        <v>4</v>
      </c>
      <c r="M190">
        <v>1170.80976089617</v>
      </c>
      <c r="N190">
        <v>272.21324468653199</v>
      </c>
      <c r="O190">
        <v>2.0994253947002299</v>
      </c>
      <c r="P190" s="5">
        <v>7.0704812456981203E-29</v>
      </c>
      <c r="Q190" t="s">
        <v>4</v>
      </c>
      <c r="R190" s="4" t="s">
        <v>87</v>
      </c>
      <c r="S190" t="s">
        <v>4</v>
      </c>
      <c r="T190" t="s">
        <v>4437</v>
      </c>
      <c r="U190" t="s">
        <v>4438</v>
      </c>
      <c r="V190" t="s">
        <v>4439</v>
      </c>
      <c r="W190" t="s">
        <v>328</v>
      </c>
      <c r="X190" t="s">
        <v>4</v>
      </c>
      <c r="Y190" t="s">
        <v>4440</v>
      </c>
      <c r="Z190" t="s">
        <v>4441</v>
      </c>
      <c r="AA190" t="s">
        <v>4442</v>
      </c>
      <c r="AB190" t="s">
        <v>4</v>
      </c>
      <c r="AC190" s="3" t="s">
        <v>4443</v>
      </c>
      <c r="AD190" t="s">
        <v>4</v>
      </c>
      <c r="AE190" t="s">
        <v>4444</v>
      </c>
      <c r="AF190" t="s">
        <v>4445</v>
      </c>
      <c r="AG190" t="s">
        <v>4446</v>
      </c>
      <c r="AH190" t="s">
        <v>112</v>
      </c>
      <c r="AJ190" t="s">
        <v>4447</v>
      </c>
      <c r="AL190" t="s">
        <v>4448</v>
      </c>
      <c r="AQ190" t="s">
        <v>1693</v>
      </c>
      <c r="AR190" t="s">
        <v>4449</v>
      </c>
      <c r="AU190" t="s">
        <v>112</v>
      </c>
      <c r="AV190" t="s">
        <v>4450</v>
      </c>
      <c r="AW190" t="s">
        <v>114</v>
      </c>
      <c r="AX190" t="s">
        <v>909</v>
      </c>
      <c r="AY190" t="s">
        <v>4451</v>
      </c>
      <c r="AZ190" t="s">
        <v>4</v>
      </c>
      <c r="BA190" s="3" t="s">
        <v>95</v>
      </c>
      <c r="BB190" t="s">
        <v>96</v>
      </c>
      <c r="BC190" s="3" t="s">
        <v>95</v>
      </c>
      <c r="BD190" t="s">
        <v>4</v>
      </c>
      <c r="BE190">
        <v>6751</v>
      </c>
      <c r="BF190" t="s">
        <v>213</v>
      </c>
      <c r="BG190">
        <v>98.102999999999994</v>
      </c>
      <c r="BI190">
        <v>78.0488</v>
      </c>
      <c r="BJ190">
        <v>73.170699999999997</v>
      </c>
      <c r="BK190">
        <v>30.3523</v>
      </c>
      <c r="BL190">
        <v>23.577200000000001</v>
      </c>
      <c r="BM190">
        <v>82.9268</v>
      </c>
      <c r="BN190">
        <v>82.9268</v>
      </c>
      <c r="BP190">
        <v>49.322499999999998</v>
      </c>
      <c r="BQ190">
        <v>47.4255</v>
      </c>
      <c r="BR190">
        <v>51.490499999999997</v>
      </c>
      <c r="BS190">
        <v>40.108400000000003</v>
      </c>
      <c r="BT190">
        <v>42.547400000000003</v>
      </c>
      <c r="BU190">
        <v>37.669400000000003</v>
      </c>
      <c r="BV190" t="s">
        <v>4452</v>
      </c>
      <c r="BW190">
        <v>51.761499999999998</v>
      </c>
      <c r="BX190">
        <v>51.761499999999998</v>
      </c>
      <c r="BY190">
        <v>22.222200000000001</v>
      </c>
      <c r="BZ190">
        <v>33.604300000000002</v>
      </c>
      <c r="CA190">
        <v>47.967500000000001</v>
      </c>
      <c r="CB190">
        <v>42.005400000000002</v>
      </c>
      <c r="CC190">
        <v>38.482399999999998</v>
      </c>
      <c r="CE190">
        <v>36.856400000000001</v>
      </c>
      <c r="CF190">
        <v>43.9024</v>
      </c>
      <c r="CG190">
        <v>46.341500000000003</v>
      </c>
      <c r="CH190">
        <v>46.612499999999997</v>
      </c>
      <c r="CI190">
        <v>46.612499999999997</v>
      </c>
      <c r="CK190">
        <v>8</v>
      </c>
      <c r="CL190" t="s">
        <v>4</v>
      </c>
      <c r="CM190" t="s">
        <v>4453</v>
      </c>
      <c r="CN190" t="s">
        <v>4454</v>
      </c>
      <c r="CO190" t="s">
        <v>219</v>
      </c>
      <c r="CP190" t="s">
        <v>100</v>
      </c>
      <c r="CQ190">
        <v>189</v>
      </c>
      <c r="CR190" t="s">
        <v>100</v>
      </c>
      <c r="CS190" t="s">
        <v>100</v>
      </c>
      <c r="CT190" t="s">
        <v>152</v>
      </c>
      <c r="CU190" t="s">
        <v>102</v>
      </c>
      <c r="CV190" t="s">
        <v>100</v>
      </c>
    </row>
    <row r="191" spans="1:100">
      <c r="A191" s="3" t="s">
        <v>4455</v>
      </c>
      <c r="B191" s="4" t="s">
        <v>4456</v>
      </c>
      <c r="C191">
        <v>1988.2106715146899</v>
      </c>
      <c r="D191">
        <v>14471.708562023599</v>
      </c>
      <c r="E191">
        <f>-2.86371721550576</f>
        <v>-2.8637172155057602</v>
      </c>
      <c r="F191" s="5">
        <v>4.4562872348744403E-21</v>
      </c>
      <c r="G191" t="s">
        <v>4</v>
      </c>
      <c r="H191">
        <v>1988.2106715146899</v>
      </c>
      <c r="I191">
        <v>3262.88891487314</v>
      </c>
      <c r="J191">
        <f>0.714043157010169</f>
        <v>0.71404315701016896</v>
      </c>
      <c r="K191">
        <v>2.7010114919876899E-2</v>
      </c>
      <c r="L191" t="s">
        <v>4</v>
      </c>
      <c r="M191">
        <v>14471.708562023599</v>
      </c>
      <c r="N191">
        <v>3262.88891487314</v>
      </c>
      <c r="O191">
        <v>2.1496740584955898</v>
      </c>
      <c r="P191" s="5">
        <v>9.1281230615957694E-13</v>
      </c>
      <c r="Q191" t="s">
        <v>4</v>
      </c>
      <c r="R191" s="4" t="s">
        <v>87</v>
      </c>
      <c r="S191" t="s">
        <v>4</v>
      </c>
      <c r="T191" t="s">
        <v>2243</v>
      </c>
      <c r="U191" t="s">
        <v>2244</v>
      </c>
      <c r="V191" t="s">
        <v>2245</v>
      </c>
      <c r="W191" t="s">
        <v>123</v>
      </c>
      <c r="X191" t="s">
        <v>4</v>
      </c>
      <c r="Y191" t="s">
        <v>4457</v>
      </c>
      <c r="Z191" t="s">
        <v>4458</v>
      </c>
      <c r="AA191" t="s">
        <v>4459</v>
      </c>
      <c r="AB191" t="s">
        <v>4</v>
      </c>
      <c r="AC191" s="3" t="s">
        <v>2265</v>
      </c>
      <c r="AD191" t="s">
        <v>4</v>
      </c>
      <c r="AE191" s="4" t="s">
        <v>94</v>
      </c>
      <c r="AZ191" t="s">
        <v>4</v>
      </c>
      <c r="BA191" s="3" t="s">
        <v>95</v>
      </c>
      <c r="BB191" s="6" t="s">
        <v>95</v>
      </c>
      <c r="BC191" s="3" t="s">
        <v>95</v>
      </c>
      <c r="BD191" t="s">
        <v>4</v>
      </c>
      <c r="BE191">
        <v>6752</v>
      </c>
      <c r="BF191" t="s">
        <v>213</v>
      </c>
      <c r="BG191">
        <v>75.202200000000005</v>
      </c>
      <c r="BH191">
        <v>53.9084</v>
      </c>
      <c r="BI191">
        <v>80.256100000000004</v>
      </c>
      <c r="BJ191">
        <v>42.115900000000003</v>
      </c>
      <c r="BK191">
        <v>53.503999999999998</v>
      </c>
      <c r="BL191">
        <v>35.040399999999998</v>
      </c>
      <c r="BM191">
        <v>36.455500000000001</v>
      </c>
      <c r="BN191">
        <v>51.684600000000003</v>
      </c>
      <c r="BO191">
        <v>47.372</v>
      </c>
      <c r="BP191">
        <v>20.3504</v>
      </c>
      <c r="BT191">
        <v>11.9946</v>
      </c>
      <c r="BV191" t="s">
        <v>4460</v>
      </c>
      <c r="BW191">
        <v>19.137499999999999</v>
      </c>
      <c r="BX191">
        <v>21.832899999999999</v>
      </c>
      <c r="BY191">
        <v>19.0701</v>
      </c>
      <c r="BZ191">
        <v>12.1968</v>
      </c>
      <c r="CA191">
        <v>17.587599999999998</v>
      </c>
      <c r="CB191">
        <v>7.1428599999999998</v>
      </c>
      <c r="CC191">
        <v>12.3315</v>
      </c>
      <c r="CD191">
        <v>13.6792</v>
      </c>
      <c r="CE191">
        <v>6.1994600000000002</v>
      </c>
      <c r="CF191">
        <v>11.3881</v>
      </c>
      <c r="CG191" t="s">
        <v>4461</v>
      </c>
      <c r="CH191" t="s">
        <v>4462</v>
      </c>
      <c r="CI191" t="s">
        <v>4463</v>
      </c>
      <c r="CK191">
        <v>8</v>
      </c>
      <c r="CL191" t="s">
        <v>4</v>
      </c>
      <c r="CM191" t="s">
        <v>4464</v>
      </c>
      <c r="CN191" t="s">
        <v>4465</v>
      </c>
      <c r="CO191" t="s">
        <v>1218</v>
      </c>
      <c r="CP191" t="s">
        <v>100</v>
      </c>
      <c r="CQ191">
        <v>190</v>
      </c>
      <c r="CR191" t="s">
        <v>100</v>
      </c>
      <c r="CS191" t="s">
        <v>100</v>
      </c>
      <c r="CT191" t="s">
        <v>152</v>
      </c>
      <c r="CU191" t="s">
        <v>102</v>
      </c>
      <c r="CV191" t="s">
        <v>100</v>
      </c>
    </row>
    <row r="192" spans="1:100">
      <c r="A192" s="3" t="s">
        <v>4466</v>
      </c>
      <c r="B192" s="4" t="s">
        <v>4467</v>
      </c>
      <c r="C192">
        <v>114.77482692596701</v>
      </c>
      <c r="D192">
        <v>1251.7281441703301</v>
      </c>
      <c r="E192">
        <f>-3.44589142695744</f>
        <v>-3.4458914269574401</v>
      </c>
      <c r="F192" s="5">
        <v>1.0196398866874E-7</v>
      </c>
      <c r="G192" t="s">
        <v>4</v>
      </c>
      <c r="H192">
        <v>114.77482692596701</v>
      </c>
      <c r="I192">
        <v>31.522035001455698</v>
      </c>
      <c r="J192">
        <v>1.8744325485229401</v>
      </c>
      <c r="K192">
        <v>6.3380073077422498E-3</v>
      </c>
      <c r="L192" t="s">
        <v>4</v>
      </c>
      <c r="M192">
        <v>1251.7281441703301</v>
      </c>
      <c r="N192">
        <v>31.522035001455698</v>
      </c>
      <c r="O192">
        <v>5.3203239754803704</v>
      </c>
      <c r="P192" s="5">
        <v>1.2500390316253501E-16</v>
      </c>
      <c r="Q192" t="s">
        <v>4</v>
      </c>
      <c r="R192" s="4" t="s">
        <v>87</v>
      </c>
      <c r="S192" t="s">
        <v>4</v>
      </c>
      <c r="T192" t="s">
        <v>4468</v>
      </c>
      <c r="U192" t="s">
        <v>4469</v>
      </c>
      <c r="V192" t="s">
        <v>4470</v>
      </c>
      <c r="W192" t="s">
        <v>203</v>
      </c>
      <c r="X192" t="s">
        <v>4</v>
      </c>
      <c r="Y192" t="s">
        <v>4471</v>
      </c>
      <c r="Z192" t="s">
        <v>4472</v>
      </c>
      <c r="AA192" t="s">
        <v>4473</v>
      </c>
      <c r="AB192" t="s">
        <v>4</v>
      </c>
      <c r="AC192" s="3" t="s">
        <v>4474</v>
      </c>
      <c r="AD192" t="s">
        <v>4</v>
      </c>
      <c r="AE192" t="s">
        <v>4475</v>
      </c>
      <c r="AF192" t="s">
        <v>4476</v>
      </c>
      <c r="AG192" t="s">
        <v>4477</v>
      </c>
      <c r="AH192" t="s">
        <v>638</v>
      </c>
      <c r="AU192" t="s">
        <v>112</v>
      </c>
      <c r="AV192" t="s">
        <v>4478</v>
      </c>
      <c r="AW192" t="s">
        <v>114</v>
      </c>
      <c r="AX192" t="s">
        <v>1308</v>
      </c>
      <c r="AY192" t="s">
        <v>4479</v>
      </c>
      <c r="AZ192" t="s">
        <v>4</v>
      </c>
      <c r="BA192" s="3" t="s">
        <v>95</v>
      </c>
      <c r="BB192" s="6" t="s">
        <v>95</v>
      </c>
      <c r="BC192" s="3" t="s">
        <v>95</v>
      </c>
      <c r="BD192" t="s">
        <v>4</v>
      </c>
      <c r="BE192">
        <v>3643</v>
      </c>
      <c r="BF192" t="s">
        <v>112</v>
      </c>
      <c r="BG192">
        <v>84.126999999999995</v>
      </c>
      <c r="BH192">
        <v>84.656099999999995</v>
      </c>
      <c r="BR192">
        <v>38.624299999999998</v>
      </c>
      <c r="BW192">
        <v>40.211599999999997</v>
      </c>
      <c r="BX192">
        <v>39.153399999999998</v>
      </c>
      <c r="BY192">
        <v>30.1587</v>
      </c>
      <c r="CA192">
        <v>39.153399999999998</v>
      </c>
      <c r="CK192">
        <v>5</v>
      </c>
      <c r="CL192" t="s">
        <v>4</v>
      </c>
      <c r="CM192" t="s">
        <v>4480</v>
      </c>
      <c r="CN192" t="s">
        <v>4481</v>
      </c>
      <c r="CO192" t="s">
        <v>99</v>
      </c>
      <c r="CP192" t="s">
        <v>100</v>
      </c>
      <c r="CQ192">
        <v>191</v>
      </c>
      <c r="CR192" t="s">
        <v>100</v>
      </c>
      <c r="CS192" s="7" t="s">
        <v>101</v>
      </c>
      <c r="CT192" t="s">
        <v>152</v>
      </c>
      <c r="CU192" t="s">
        <v>102</v>
      </c>
      <c r="CV192" t="s">
        <v>100</v>
      </c>
    </row>
    <row r="193" spans="1:100">
      <c r="A193" s="3" t="s">
        <v>4482</v>
      </c>
      <c r="B193" s="4" t="s">
        <v>4483</v>
      </c>
      <c r="C193">
        <v>843.29870914273795</v>
      </c>
      <c r="D193">
        <v>3569.5552773143399</v>
      </c>
      <c r="E193">
        <f>-2.08152046703171</f>
        <v>-2.08152046703171</v>
      </c>
      <c r="F193" s="5">
        <v>6.1188161938999398E-16</v>
      </c>
      <c r="G193" t="s">
        <v>4</v>
      </c>
      <c r="H193">
        <v>843.29870914273795</v>
      </c>
      <c r="I193">
        <v>483.03292453093701</v>
      </c>
      <c r="J193">
        <v>0.79902346932243595</v>
      </c>
      <c r="K193">
        <v>3.1707268824053099E-3</v>
      </c>
      <c r="L193" t="s">
        <v>4</v>
      </c>
      <c r="M193">
        <v>3569.5552773143399</v>
      </c>
      <c r="N193">
        <v>483.03292453093701</v>
      </c>
      <c r="O193">
        <v>2.8805439363541501</v>
      </c>
      <c r="P193" s="5">
        <v>4.8257092505369803E-30</v>
      </c>
      <c r="Q193" t="s">
        <v>4</v>
      </c>
      <c r="R193" s="4" t="s">
        <v>87</v>
      </c>
      <c r="S193" t="s">
        <v>4</v>
      </c>
      <c r="T193" t="s">
        <v>4484</v>
      </c>
      <c r="U193" t="s">
        <v>4485</v>
      </c>
      <c r="V193" t="s">
        <v>4486</v>
      </c>
      <c r="W193" t="s">
        <v>328</v>
      </c>
      <c r="X193" t="s">
        <v>4</v>
      </c>
      <c r="Y193" t="s">
        <v>4487</v>
      </c>
      <c r="Z193" t="s">
        <v>4488</v>
      </c>
      <c r="AA193" t="s">
        <v>4489</v>
      </c>
      <c r="AB193" t="s">
        <v>4</v>
      </c>
      <c r="AC193" s="3" t="s">
        <v>4490</v>
      </c>
      <c r="AD193" t="s">
        <v>4</v>
      </c>
      <c r="AE193" t="s">
        <v>4491</v>
      </c>
      <c r="AF193" t="s">
        <v>834</v>
      </c>
      <c r="AG193" t="s">
        <v>4492</v>
      </c>
      <c r="AH193" t="s">
        <v>112</v>
      </c>
      <c r="AJ193" t="s">
        <v>4493</v>
      </c>
      <c r="AK193" t="s">
        <v>4494</v>
      </c>
      <c r="AL193" t="s">
        <v>4495</v>
      </c>
      <c r="AM193" t="s">
        <v>4496</v>
      </c>
      <c r="AQ193" t="s">
        <v>4497</v>
      </c>
      <c r="AR193" t="s">
        <v>4498</v>
      </c>
      <c r="AU193" t="s">
        <v>112</v>
      </c>
      <c r="AV193" t="s">
        <v>4499</v>
      </c>
      <c r="AW193" t="s">
        <v>114</v>
      </c>
      <c r="AX193" t="s">
        <v>4500</v>
      </c>
      <c r="AY193" t="s">
        <v>4501</v>
      </c>
      <c r="AZ193" t="s">
        <v>4</v>
      </c>
      <c r="BA193" s="3" t="s">
        <v>95</v>
      </c>
      <c r="BB193" t="s">
        <v>96</v>
      </c>
      <c r="BC193" s="3" t="s">
        <v>95</v>
      </c>
      <c r="BD193" t="s">
        <v>4</v>
      </c>
      <c r="BE193">
        <v>6783</v>
      </c>
      <c r="BF193" t="s">
        <v>213</v>
      </c>
      <c r="BG193">
        <v>97.606399999999994</v>
      </c>
      <c r="BH193">
        <v>28.125</v>
      </c>
      <c r="BI193">
        <v>34.1755</v>
      </c>
      <c r="BJ193">
        <v>89.827100000000002</v>
      </c>
      <c r="BK193">
        <v>85.837800000000001</v>
      </c>
      <c r="BL193">
        <v>61.569099999999999</v>
      </c>
      <c r="BM193">
        <v>73.138300000000001</v>
      </c>
      <c r="BN193">
        <v>87.233999999999995</v>
      </c>
      <c r="BO193">
        <v>87.5</v>
      </c>
      <c r="BP193">
        <v>69.148899999999998</v>
      </c>
      <c r="BQ193">
        <v>60.039900000000003</v>
      </c>
      <c r="BR193">
        <v>58.311199999999999</v>
      </c>
      <c r="BS193">
        <v>61.9681</v>
      </c>
      <c r="BT193" t="s">
        <v>4502</v>
      </c>
      <c r="BU193">
        <v>63.962800000000001</v>
      </c>
      <c r="BV193" t="s">
        <v>4503</v>
      </c>
      <c r="BW193">
        <v>58.710099999999997</v>
      </c>
      <c r="BX193" t="s">
        <v>4504</v>
      </c>
      <c r="BY193">
        <v>18.484000000000002</v>
      </c>
      <c r="BZ193">
        <v>59.0426</v>
      </c>
      <c r="CA193" t="s">
        <v>4505</v>
      </c>
      <c r="CB193">
        <v>51.662199999999999</v>
      </c>
      <c r="CC193">
        <v>49.933500000000002</v>
      </c>
      <c r="CD193">
        <v>51.196800000000003</v>
      </c>
      <c r="CF193">
        <v>37.234000000000002</v>
      </c>
      <c r="CG193" t="s">
        <v>4506</v>
      </c>
      <c r="CH193" t="s">
        <v>4507</v>
      </c>
      <c r="CI193">
        <v>30.518599999999999</v>
      </c>
      <c r="CJ193" t="s">
        <v>4508</v>
      </c>
      <c r="CK193">
        <v>8</v>
      </c>
      <c r="CL193" t="s">
        <v>4</v>
      </c>
      <c r="CM193" t="s">
        <v>4509</v>
      </c>
      <c r="CN193" t="s">
        <v>4510</v>
      </c>
      <c r="CO193" t="s">
        <v>219</v>
      </c>
      <c r="CP193" t="s">
        <v>100</v>
      </c>
      <c r="CQ193">
        <v>192</v>
      </c>
      <c r="CR193" t="s">
        <v>100</v>
      </c>
      <c r="CS193" t="s">
        <v>100</v>
      </c>
      <c r="CT193" t="s">
        <v>152</v>
      </c>
      <c r="CU193" t="s">
        <v>102</v>
      </c>
      <c r="CV193" t="s">
        <v>100</v>
      </c>
    </row>
    <row r="194" spans="1:100">
      <c r="A194" s="3" t="s">
        <v>4511</v>
      </c>
      <c r="B194" s="4" t="s">
        <v>4512</v>
      </c>
      <c r="C194">
        <v>155.370841550525</v>
      </c>
      <c r="D194">
        <v>1137.11082148226</v>
      </c>
      <c r="E194">
        <f>-2.86916983613237</f>
        <v>-2.8691698361323699</v>
      </c>
      <c r="F194" s="5">
        <v>6.6558767090029095E-23</v>
      </c>
      <c r="G194" t="s">
        <v>4</v>
      </c>
      <c r="H194">
        <v>155.370841550525</v>
      </c>
      <c r="I194">
        <v>183.22907442142699</v>
      </c>
      <c r="J194">
        <f>0.241553734250284</f>
        <v>0.24155373425028401</v>
      </c>
      <c r="K194">
        <v>0.47784295654728098</v>
      </c>
      <c r="L194" t="s">
        <v>4</v>
      </c>
      <c r="M194">
        <v>1137.11082148226</v>
      </c>
      <c r="N194">
        <v>183.22907442142699</v>
      </c>
      <c r="O194">
        <v>2.62761610188209</v>
      </c>
      <c r="P194" s="5">
        <v>1.49174004393535E-19</v>
      </c>
      <c r="Q194" t="s">
        <v>4</v>
      </c>
      <c r="R194" s="4" t="s">
        <v>87</v>
      </c>
      <c r="S194" t="s">
        <v>4</v>
      </c>
      <c r="T194" t="s">
        <v>3739</v>
      </c>
      <c r="U194" t="s">
        <v>3740</v>
      </c>
      <c r="V194" t="s">
        <v>3741</v>
      </c>
      <c r="W194" t="s">
        <v>976</v>
      </c>
      <c r="X194" t="s">
        <v>4</v>
      </c>
      <c r="Y194" t="s">
        <v>977</v>
      </c>
      <c r="Z194" t="s">
        <v>978</v>
      </c>
      <c r="AA194" t="s">
        <v>979</v>
      </c>
      <c r="AB194" t="s">
        <v>4</v>
      </c>
      <c r="AC194" s="3" t="s">
        <v>4513</v>
      </c>
      <c r="AD194" t="s">
        <v>4</v>
      </c>
      <c r="AE194" t="s">
        <v>4514</v>
      </c>
      <c r="AF194" t="s">
        <v>4515</v>
      </c>
      <c r="AG194" t="s">
        <v>4516</v>
      </c>
      <c r="AH194" t="s">
        <v>112</v>
      </c>
      <c r="AI194" t="s">
        <v>4517</v>
      </c>
      <c r="AJ194" t="s">
        <v>3748</v>
      </c>
      <c r="AU194" t="s">
        <v>112</v>
      </c>
      <c r="AV194" t="s">
        <v>4518</v>
      </c>
      <c r="AW194" t="s">
        <v>114</v>
      </c>
      <c r="AX194" t="s">
        <v>144</v>
      </c>
      <c r="AY194" t="s">
        <v>4519</v>
      </c>
      <c r="AZ194" t="s">
        <v>4</v>
      </c>
      <c r="BA194" s="3" t="s">
        <v>95</v>
      </c>
      <c r="BB194" t="s">
        <v>96</v>
      </c>
      <c r="BC194" s="3" t="s">
        <v>95</v>
      </c>
      <c r="BD194" t="s">
        <v>4</v>
      </c>
      <c r="BE194">
        <v>3644</v>
      </c>
      <c r="BF194" t="s">
        <v>112</v>
      </c>
      <c r="BG194">
        <v>97.153000000000006</v>
      </c>
      <c r="BH194">
        <v>42.526699999999998</v>
      </c>
      <c r="BI194">
        <v>91.992900000000006</v>
      </c>
      <c r="BJ194">
        <v>88.434200000000004</v>
      </c>
      <c r="BK194">
        <v>81.494699999999995</v>
      </c>
      <c r="BL194">
        <v>17.6157</v>
      </c>
      <c r="BN194">
        <v>79.537400000000005</v>
      </c>
      <c r="BO194">
        <v>71.886099999999999</v>
      </c>
      <c r="BP194">
        <v>59.608499999999999</v>
      </c>
      <c r="BQ194">
        <v>44.484000000000002</v>
      </c>
      <c r="BR194">
        <v>51.957299999999996</v>
      </c>
      <c r="BS194">
        <v>48.042700000000004</v>
      </c>
      <c r="BT194" t="s">
        <v>4520</v>
      </c>
      <c r="BU194">
        <v>45.551600000000001</v>
      </c>
      <c r="BV194" t="s">
        <v>4521</v>
      </c>
      <c r="BW194">
        <v>45.551600000000001</v>
      </c>
      <c r="BX194">
        <v>46.441299999999998</v>
      </c>
      <c r="BY194">
        <v>43.238399999999999</v>
      </c>
      <c r="BZ194">
        <v>45.373699999999999</v>
      </c>
      <c r="CA194">
        <v>43.950200000000002</v>
      </c>
      <c r="CK194">
        <v>5</v>
      </c>
      <c r="CL194" t="s">
        <v>4</v>
      </c>
      <c r="CM194" t="s">
        <v>4522</v>
      </c>
      <c r="CN194" t="s">
        <v>4523</v>
      </c>
      <c r="CO194" t="s">
        <v>663</v>
      </c>
      <c r="CP194" t="s">
        <v>100</v>
      </c>
      <c r="CQ194">
        <v>193</v>
      </c>
      <c r="CR194" t="s">
        <v>100</v>
      </c>
      <c r="CS194" t="s">
        <v>100</v>
      </c>
      <c r="CT194" t="s">
        <v>152</v>
      </c>
      <c r="CU194" t="s">
        <v>102</v>
      </c>
      <c r="CV194" t="s">
        <v>100</v>
      </c>
    </row>
    <row r="195" spans="1:100">
      <c r="A195" s="3" t="s">
        <v>4524</v>
      </c>
      <c r="B195" s="4" t="s">
        <v>4525</v>
      </c>
      <c r="C195">
        <v>1181.0935815005701</v>
      </c>
      <c r="D195">
        <v>5084.3625568609496</v>
      </c>
      <c r="E195">
        <f>-2.10594145726165</f>
        <v>-2.1059414572616499</v>
      </c>
      <c r="F195" s="5">
        <v>2.7602379647764499E-8</v>
      </c>
      <c r="G195" t="s">
        <v>4</v>
      </c>
      <c r="H195">
        <v>1181.0935815005701</v>
      </c>
      <c r="I195">
        <v>263.75195610152002</v>
      </c>
      <c r="J195">
        <v>2.1544322619985299</v>
      </c>
      <c r="K195" s="5">
        <v>1.08585636024141E-8</v>
      </c>
      <c r="L195" t="s">
        <v>4</v>
      </c>
      <c r="M195">
        <v>5084.3625568609496</v>
      </c>
      <c r="N195">
        <v>263.75195610152002</v>
      </c>
      <c r="O195">
        <v>4.2603737192601798</v>
      </c>
      <c r="P195" s="5">
        <v>2.3503472026736599E-31</v>
      </c>
      <c r="Q195" t="s">
        <v>4</v>
      </c>
      <c r="R195" s="4" t="s">
        <v>87</v>
      </c>
      <c r="S195" t="s">
        <v>4</v>
      </c>
      <c r="T195" t="s">
        <v>4526</v>
      </c>
      <c r="U195" t="s">
        <v>4527</v>
      </c>
      <c r="V195" t="s">
        <v>4528</v>
      </c>
      <c r="W195" t="s">
        <v>203</v>
      </c>
      <c r="X195" t="s">
        <v>4</v>
      </c>
      <c r="Y195" t="s">
        <v>4529</v>
      </c>
      <c r="Z195" t="s">
        <v>4530</v>
      </c>
      <c r="AA195" t="s">
        <v>4531</v>
      </c>
      <c r="AB195" t="s">
        <v>4</v>
      </c>
      <c r="AC195" s="3" t="s">
        <v>2151</v>
      </c>
      <c r="AD195" t="s">
        <v>4</v>
      </c>
      <c r="AE195" t="s">
        <v>4532</v>
      </c>
      <c r="AF195" t="s">
        <v>4533</v>
      </c>
      <c r="AG195" t="s">
        <v>4534</v>
      </c>
      <c r="AH195" t="s">
        <v>112</v>
      </c>
      <c r="AJ195" t="s">
        <v>4535</v>
      </c>
      <c r="AU195" t="s">
        <v>112</v>
      </c>
      <c r="AV195" t="s">
        <v>4536</v>
      </c>
      <c r="AW195" t="s">
        <v>114</v>
      </c>
      <c r="AX195" t="s">
        <v>2157</v>
      </c>
      <c r="AY195" t="s">
        <v>4537</v>
      </c>
      <c r="AZ195" t="s">
        <v>4</v>
      </c>
      <c r="BA195" s="3" t="s">
        <v>95</v>
      </c>
      <c r="BB195" s="6" t="s">
        <v>95</v>
      </c>
      <c r="BC195" s="3" t="s">
        <v>95</v>
      </c>
      <c r="BD195" t="s">
        <v>4</v>
      </c>
      <c r="BE195">
        <v>6785</v>
      </c>
      <c r="BF195" t="s">
        <v>213</v>
      </c>
      <c r="BG195">
        <v>99.5381</v>
      </c>
      <c r="BH195">
        <v>28.868400000000001</v>
      </c>
      <c r="BI195">
        <v>77.598200000000006</v>
      </c>
      <c r="BJ195">
        <v>89.607399999999998</v>
      </c>
      <c r="BK195">
        <v>72.979200000000006</v>
      </c>
      <c r="BL195">
        <v>51.039299999999997</v>
      </c>
      <c r="BM195">
        <v>57.505800000000001</v>
      </c>
      <c r="BN195">
        <v>78.983800000000002</v>
      </c>
      <c r="BP195">
        <v>30.023099999999999</v>
      </c>
      <c r="BR195">
        <v>11.7783</v>
      </c>
      <c r="BW195">
        <v>15.7044</v>
      </c>
      <c r="BX195">
        <v>23.0947</v>
      </c>
      <c r="BZ195">
        <v>23.787500000000001</v>
      </c>
      <c r="CA195">
        <v>21.2471</v>
      </c>
      <c r="CB195">
        <v>17.321000000000002</v>
      </c>
      <c r="CD195">
        <v>18.9376</v>
      </c>
      <c r="CE195">
        <v>16.397200000000002</v>
      </c>
      <c r="CF195">
        <v>13.8568</v>
      </c>
      <c r="CG195">
        <v>13.6259</v>
      </c>
      <c r="CH195">
        <v>14.7806</v>
      </c>
      <c r="CI195">
        <v>5.0808299999999997</v>
      </c>
      <c r="CK195">
        <v>8</v>
      </c>
      <c r="CL195" t="s">
        <v>4</v>
      </c>
      <c r="CM195" t="s">
        <v>4538</v>
      </c>
      <c r="CN195" t="s">
        <v>4539</v>
      </c>
      <c r="CO195" t="s">
        <v>219</v>
      </c>
      <c r="CP195" t="s">
        <v>100</v>
      </c>
      <c r="CQ195">
        <v>194</v>
      </c>
      <c r="CR195" t="s">
        <v>100</v>
      </c>
      <c r="CS195" t="s">
        <v>101</v>
      </c>
      <c r="CT195" t="s">
        <v>152</v>
      </c>
      <c r="CU195" t="s">
        <v>102</v>
      </c>
      <c r="CV195" t="s">
        <v>4540</v>
      </c>
    </row>
    <row r="196" spans="1:100">
      <c r="A196" s="3" t="s">
        <v>4541</v>
      </c>
      <c r="B196" s="4" t="s">
        <v>4542</v>
      </c>
      <c r="C196">
        <v>73.537890090179204</v>
      </c>
      <c r="D196">
        <v>1395.70025211338</v>
      </c>
      <c r="E196">
        <f>-4.24116725652098</f>
        <v>-4.2411672565209804</v>
      </c>
      <c r="F196" s="5">
        <v>7.6940088142235401E-27</v>
      </c>
      <c r="G196" t="s">
        <v>4</v>
      </c>
      <c r="H196">
        <v>73.537890090179204</v>
      </c>
      <c r="I196">
        <v>51.505490415629197</v>
      </c>
      <c r="J196">
        <v>0.50704627061840302</v>
      </c>
      <c r="K196">
        <v>0.27627841695210997</v>
      </c>
      <c r="L196" t="s">
        <v>4</v>
      </c>
      <c r="M196">
        <v>1395.70025211338</v>
      </c>
      <c r="N196">
        <v>51.505490415629197</v>
      </c>
      <c r="O196">
        <v>4.7482135271393799</v>
      </c>
      <c r="P196" s="5">
        <v>7.29146021227579E-32</v>
      </c>
      <c r="Q196" t="s">
        <v>4</v>
      </c>
      <c r="R196" s="4" t="s">
        <v>87</v>
      </c>
      <c r="S196" t="s">
        <v>4</v>
      </c>
      <c r="T196" t="s">
        <v>92</v>
      </c>
      <c r="U196" t="s">
        <v>92</v>
      </c>
      <c r="V196" t="s">
        <v>92</v>
      </c>
      <c r="W196" t="s">
        <v>92</v>
      </c>
      <c r="X196" t="s">
        <v>4</v>
      </c>
      <c r="Y196" t="s">
        <v>92</v>
      </c>
      <c r="Z196" t="s">
        <v>92</v>
      </c>
      <c r="AA196" t="s">
        <v>92</v>
      </c>
      <c r="AB196" t="s">
        <v>4</v>
      </c>
      <c r="AC196" s="3" t="s">
        <v>4543</v>
      </c>
      <c r="AD196" t="s">
        <v>4</v>
      </c>
      <c r="AE196" t="s">
        <v>4544</v>
      </c>
      <c r="AF196" t="s">
        <v>4545</v>
      </c>
      <c r="AG196" t="s">
        <v>4546</v>
      </c>
      <c r="AH196" t="s">
        <v>112</v>
      </c>
      <c r="AU196" t="s">
        <v>112</v>
      </c>
      <c r="AV196" t="s">
        <v>4547</v>
      </c>
      <c r="AW196" t="s">
        <v>114</v>
      </c>
      <c r="AZ196" t="s">
        <v>4</v>
      </c>
      <c r="BA196" s="3" t="s">
        <v>95</v>
      </c>
      <c r="BB196" s="6" t="s">
        <v>95</v>
      </c>
      <c r="BC196" s="3" t="s">
        <v>95</v>
      </c>
      <c r="BD196" t="s">
        <v>4</v>
      </c>
      <c r="BE196">
        <v>3656</v>
      </c>
      <c r="BF196" t="s">
        <v>112</v>
      </c>
      <c r="BI196">
        <v>68.148099999999999</v>
      </c>
      <c r="BM196">
        <v>11.1111</v>
      </c>
      <c r="BN196">
        <v>50.740699999999997</v>
      </c>
      <c r="BO196">
        <v>50</v>
      </c>
      <c r="BR196">
        <v>28.5185</v>
      </c>
      <c r="BS196">
        <v>31.851900000000001</v>
      </c>
      <c r="BT196">
        <v>23.703700000000001</v>
      </c>
      <c r="BW196">
        <v>26.296299999999999</v>
      </c>
      <c r="BZ196">
        <v>27.407399999999999</v>
      </c>
      <c r="CA196">
        <v>28.148099999999999</v>
      </c>
      <c r="CK196">
        <v>5</v>
      </c>
      <c r="CL196" t="s">
        <v>4</v>
      </c>
      <c r="CM196" t="s">
        <v>4548</v>
      </c>
      <c r="CN196" t="s">
        <v>4549</v>
      </c>
      <c r="CO196" t="s">
        <v>99</v>
      </c>
      <c r="CP196" t="s">
        <v>100</v>
      </c>
      <c r="CQ196">
        <v>195</v>
      </c>
      <c r="CR196" t="s">
        <v>100</v>
      </c>
      <c r="CS196" t="s">
        <v>100</v>
      </c>
      <c r="CT196" t="s">
        <v>152</v>
      </c>
      <c r="CU196" t="s">
        <v>102</v>
      </c>
      <c r="CV196" t="s">
        <v>100</v>
      </c>
    </row>
    <row r="197" spans="1:100">
      <c r="A197" s="3" t="s">
        <v>4550</v>
      </c>
      <c r="B197" s="4" t="s">
        <v>4551</v>
      </c>
      <c r="C197">
        <v>29.592342678031301</v>
      </c>
      <c r="D197">
        <v>210.77985551381499</v>
      </c>
      <c r="E197">
        <f>-2.82324937958246</f>
        <v>-2.8232493795824598</v>
      </c>
      <c r="F197" s="5">
        <v>9.4016486350546904E-14</v>
      </c>
      <c r="G197" t="s">
        <v>4</v>
      </c>
      <c r="H197">
        <v>29.592342678031301</v>
      </c>
      <c r="I197">
        <v>5.23082244164668</v>
      </c>
      <c r="J197">
        <v>2.4623252584699902</v>
      </c>
      <c r="K197" s="5">
        <v>2.9130906364481702E-5</v>
      </c>
      <c r="L197" t="s">
        <v>4</v>
      </c>
      <c r="M197">
        <v>210.77985551381499</v>
      </c>
      <c r="N197">
        <v>5.23082244164668</v>
      </c>
      <c r="O197">
        <v>5.2855746380524504</v>
      </c>
      <c r="P197" s="5">
        <v>8.4095977668384597E-22</v>
      </c>
      <c r="Q197" t="s">
        <v>4</v>
      </c>
      <c r="R197" s="4" t="s">
        <v>87</v>
      </c>
      <c r="S197" t="s">
        <v>4</v>
      </c>
      <c r="T197" t="s">
        <v>1974</v>
      </c>
      <c r="U197" t="s">
        <v>1975</v>
      </c>
      <c r="V197" t="s">
        <v>1976</v>
      </c>
      <c r="W197" t="s">
        <v>123</v>
      </c>
      <c r="X197" t="s">
        <v>4</v>
      </c>
      <c r="Y197" t="s">
        <v>4552</v>
      </c>
      <c r="Z197" t="s">
        <v>4553</v>
      </c>
      <c r="AA197" t="s">
        <v>4554</v>
      </c>
      <c r="AB197" t="s">
        <v>4</v>
      </c>
      <c r="AC197" s="3" t="s">
        <v>4555</v>
      </c>
      <c r="AD197" t="s">
        <v>4</v>
      </c>
      <c r="AE197" t="s">
        <v>4556</v>
      </c>
      <c r="AF197" t="s">
        <v>4557</v>
      </c>
      <c r="AG197" t="s">
        <v>4558</v>
      </c>
      <c r="AH197" t="s">
        <v>112</v>
      </c>
      <c r="AU197" t="s">
        <v>112</v>
      </c>
      <c r="AV197" t="s">
        <v>4559</v>
      </c>
      <c r="AW197" t="s">
        <v>114</v>
      </c>
      <c r="AX197" t="s">
        <v>144</v>
      </c>
      <c r="AY197" t="s">
        <v>4560</v>
      </c>
      <c r="AZ197" t="s">
        <v>4</v>
      </c>
      <c r="BA197" s="3" t="s">
        <v>95</v>
      </c>
      <c r="BB197" s="6" t="s">
        <v>95</v>
      </c>
      <c r="BC197" s="3" t="s">
        <v>197</v>
      </c>
      <c r="BD197" t="s">
        <v>4</v>
      </c>
      <c r="BE197">
        <v>6814</v>
      </c>
      <c r="BF197" t="s">
        <v>213</v>
      </c>
      <c r="BG197">
        <v>99.328900000000004</v>
      </c>
      <c r="BH197">
        <v>99.664400000000001</v>
      </c>
      <c r="BI197">
        <v>92.953000000000003</v>
      </c>
      <c r="BJ197">
        <v>85.234899999999996</v>
      </c>
      <c r="BK197">
        <v>76.845600000000005</v>
      </c>
      <c r="BM197">
        <v>23.154399999999999</v>
      </c>
      <c r="BN197">
        <v>60.402700000000003</v>
      </c>
      <c r="BO197">
        <v>71.140900000000002</v>
      </c>
      <c r="BP197">
        <v>54.026800000000001</v>
      </c>
      <c r="BQ197">
        <v>55.704700000000003</v>
      </c>
      <c r="BR197">
        <v>57.7181</v>
      </c>
      <c r="BS197" t="s">
        <v>4561</v>
      </c>
      <c r="BT197">
        <v>8.3892600000000002</v>
      </c>
      <c r="BV197" t="s">
        <v>4562</v>
      </c>
      <c r="BW197">
        <v>51.677900000000001</v>
      </c>
      <c r="BX197">
        <v>58.053699999999999</v>
      </c>
      <c r="BZ197">
        <v>57.3825</v>
      </c>
      <c r="CA197">
        <v>52.348999999999997</v>
      </c>
      <c r="CK197">
        <v>8</v>
      </c>
      <c r="CL197" t="s">
        <v>4</v>
      </c>
      <c r="CM197" t="s">
        <v>4563</v>
      </c>
      <c r="CN197" t="s">
        <v>4564</v>
      </c>
      <c r="CO197" t="s">
        <v>99</v>
      </c>
      <c r="CP197" t="s">
        <v>100</v>
      </c>
      <c r="CQ197">
        <v>196</v>
      </c>
      <c r="CR197" t="s">
        <v>100</v>
      </c>
      <c r="CS197" t="s">
        <v>101</v>
      </c>
      <c r="CT197" t="s">
        <v>152</v>
      </c>
      <c r="CU197" t="s">
        <v>102</v>
      </c>
      <c r="CV197" t="s">
        <v>100</v>
      </c>
    </row>
    <row r="198" spans="1:100">
      <c r="A198" s="3" t="s">
        <v>4565</v>
      </c>
      <c r="B198" s="4" t="s">
        <v>4566</v>
      </c>
      <c r="C198">
        <v>324.22148171541397</v>
      </c>
      <c r="D198">
        <v>1331.7991611454399</v>
      </c>
      <c r="E198">
        <f>-2.036861829917</f>
        <v>-2.036861829917</v>
      </c>
      <c r="F198" s="5">
        <v>1.08148490242385E-23</v>
      </c>
      <c r="G198" t="s">
        <v>4</v>
      </c>
      <c r="H198">
        <v>324.22148171541397</v>
      </c>
      <c r="I198">
        <v>205.53556087841099</v>
      </c>
      <c r="J198">
        <v>0.64970228686619602</v>
      </c>
      <c r="K198">
        <v>3.7793986464213802E-3</v>
      </c>
      <c r="L198" t="s">
        <v>4</v>
      </c>
      <c r="M198">
        <v>1331.7991611454399</v>
      </c>
      <c r="N198">
        <v>205.53556087841099</v>
      </c>
      <c r="O198">
        <v>2.6865641167832002</v>
      </c>
      <c r="P198" s="5">
        <v>1.23574307249658E-38</v>
      </c>
      <c r="Q198" t="s">
        <v>4</v>
      </c>
      <c r="R198" s="4" t="s">
        <v>87</v>
      </c>
      <c r="S198" t="s">
        <v>4</v>
      </c>
      <c r="T198" t="s">
        <v>92</v>
      </c>
      <c r="U198" t="s">
        <v>92</v>
      </c>
      <c r="V198" t="s">
        <v>92</v>
      </c>
      <c r="W198" t="s">
        <v>92</v>
      </c>
      <c r="X198" t="s">
        <v>4</v>
      </c>
      <c r="Y198" t="s">
        <v>92</v>
      </c>
      <c r="Z198" t="s">
        <v>92</v>
      </c>
      <c r="AA198" t="s">
        <v>92</v>
      </c>
      <c r="AB198" t="s">
        <v>4</v>
      </c>
      <c r="AC198" s="3" t="s">
        <v>4567</v>
      </c>
      <c r="AD198" t="s">
        <v>4</v>
      </c>
      <c r="AE198" s="4" t="s">
        <v>94</v>
      </c>
      <c r="AZ198" t="s">
        <v>4</v>
      </c>
      <c r="BA198" s="3" t="s">
        <v>95</v>
      </c>
      <c r="BB198" s="6" t="s">
        <v>95</v>
      </c>
      <c r="BC198" s="3" t="s">
        <v>95</v>
      </c>
      <c r="BD198" t="s">
        <v>4</v>
      </c>
      <c r="BE198">
        <v>1895</v>
      </c>
      <c r="BF198" t="s">
        <v>148</v>
      </c>
      <c r="BG198">
        <v>61.363599999999998</v>
      </c>
      <c r="BH198">
        <v>61.931800000000003</v>
      </c>
      <c r="BI198">
        <v>95.454499999999996</v>
      </c>
      <c r="BJ198">
        <v>84.659099999999995</v>
      </c>
      <c r="BK198">
        <v>50.568199999999997</v>
      </c>
      <c r="BL198">
        <v>80.113600000000005</v>
      </c>
      <c r="BM198">
        <v>81.25</v>
      </c>
      <c r="BN198">
        <v>81.25</v>
      </c>
      <c r="BO198" t="s">
        <v>4568</v>
      </c>
      <c r="CK198">
        <v>3</v>
      </c>
      <c r="CL198" t="s">
        <v>4</v>
      </c>
      <c r="CM198" t="s">
        <v>98</v>
      </c>
      <c r="CN198" t="s">
        <v>98</v>
      </c>
      <c r="CO198" t="s">
        <v>99</v>
      </c>
      <c r="CP198" t="s">
        <v>100</v>
      </c>
      <c r="CQ198">
        <v>197</v>
      </c>
      <c r="CR198" t="s">
        <v>100</v>
      </c>
      <c r="CS198" t="s">
        <v>100</v>
      </c>
      <c r="CT198" t="s">
        <v>152</v>
      </c>
      <c r="CU198" t="s">
        <v>102</v>
      </c>
      <c r="CV198" t="s">
        <v>100</v>
      </c>
    </row>
    <row r="199" spans="1:100">
      <c r="A199" s="3" t="s">
        <v>4569</v>
      </c>
      <c r="B199" s="4" t="s">
        <v>4570</v>
      </c>
      <c r="C199">
        <v>438.21032902199897</v>
      </c>
      <c r="D199">
        <v>3162.34353375308</v>
      </c>
      <c r="E199">
        <f>-2.8513710404255</f>
        <v>-2.8513710404255002</v>
      </c>
      <c r="F199" s="5">
        <v>4.1626017776115199E-22</v>
      </c>
      <c r="G199" t="s">
        <v>4</v>
      </c>
      <c r="H199">
        <v>438.21032902199897</v>
      </c>
      <c r="I199">
        <v>620.81476420029298</v>
      </c>
      <c r="J199">
        <f>0.506545010510675</f>
        <v>0.50654501051067502</v>
      </c>
      <c r="K199">
        <v>0.11585555731753901</v>
      </c>
      <c r="L199" t="s">
        <v>4</v>
      </c>
      <c r="M199">
        <v>3162.34353375308</v>
      </c>
      <c r="N199">
        <v>620.81476420029298</v>
      </c>
      <c r="O199">
        <v>2.3448260299148198</v>
      </c>
      <c r="P199" s="5">
        <v>9.6132160636164405E-16</v>
      </c>
      <c r="Q199" t="s">
        <v>4</v>
      </c>
      <c r="R199" s="4" t="s">
        <v>87</v>
      </c>
      <c r="S199" t="s">
        <v>4</v>
      </c>
      <c r="T199" t="s">
        <v>4571</v>
      </c>
      <c r="U199" t="s">
        <v>4572</v>
      </c>
      <c r="V199" t="s">
        <v>4573</v>
      </c>
      <c r="W199" t="s">
        <v>507</v>
      </c>
      <c r="X199" t="s">
        <v>4</v>
      </c>
      <c r="Y199" t="s">
        <v>4574</v>
      </c>
      <c r="Z199" t="s">
        <v>4575</v>
      </c>
      <c r="AA199" t="s">
        <v>4576</v>
      </c>
      <c r="AB199" t="s">
        <v>4</v>
      </c>
      <c r="AC199" s="3" t="s">
        <v>4577</v>
      </c>
      <c r="AD199" t="s">
        <v>4</v>
      </c>
      <c r="AE199" t="s">
        <v>4578</v>
      </c>
      <c r="AF199" t="s">
        <v>4579</v>
      </c>
      <c r="AG199" t="s">
        <v>4580</v>
      </c>
      <c r="AH199" t="s">
        <v>112</v>
      </c>
      <c r="AJ199" t="s">
        <v>4581</v>
      </c>
      <c r="AL199" t="s">
        <v>4582</v>
      </c>
      <c r="AM199" t="s">
        <v>4583</v>
      </c>
      <c r="AQ199" t="s">
        <v>879</v>
      </c>
      <c r="AU199" t="s">
        <v>112</v>
      </c>
      <c r="AV199" t="s">
        <v>4584</v>
      </c>
      <c r="AW199" t="s">
        <v>114</v>
      </c>
      <c r="AX199" t="s">
        <v>596</v>
      </c>
      <c r="AY199" t="s">
        <v>4585</v>
      </c>
      <c r="AZ199" t="s">
        <v>4</v>
      </c>
      <c r="BA199" s="3" t="s">
        <v>95</v>
      </c>
      <c r="BB199" t="s">
        <v>96</v>
      </c>
      <c r="BC199" s="3" t="s">
        <v>197</v>
      </c>
      <c r="BD199" t="s">
        <v>4</v>
      </c>
      <c r="BE199">
        <v>6844</v>
      </c>
      <c r="BF199" t="s">
        <v>213</v>
      </c>
      <c r="BG199">
        <v>96.074399999999997</v>
      </c>
      <c r="BI199">
        <v>87.603300000000004</v>
      </c>
      <c r="BJ199">
        <v>88.016499999999994</v>
      </c>
      <c r="BK199">
        <v>75.619799999999998</v>
      </c>
      <c r="BL199">
        <v>88.016499999999994</v>
      </c>
      <c r="BM199">
        <v>82.438000000000002</v>
      </c>
      <c r="BN199">
        <v>87.396699999999996</v>
      </c>
      <c r="BO199">
        <v>82.231399999999994</v>
      </c>
      <c r="BP199">
        <v>37.603299999999997</v>
      </c>
      <c r="BQ199">
        <v>40.702500000000001</v>
      </c>
      <c r="BR199">
        <v>40.495899999999999</v>
      </c>
      <c r="BS199">
        <v>42.561999999999998</v>
      </c>
      <c r="BX199">
        <v>40.495899999999999</v>
      </c>
      <c r="BZ199">
        <v>31.405000000000001</v>
      </c>
      <c r="CA199">
        <v>33.884300000000003</v>
      </c>
      <c r="CD199">
        <v>23.760300000000001</v>
      </c>
      <c r="CF199">
        <v>17.768599999999999</v>
      </c>
      <c r="CG199" t="s">
        <v>4586</v>
      </c>
      <c r="CH199" t="s">
        <v>4587</v>
      </c>
      <c r="CI199" t="s">
        <v>4588</v>
      </c>
      <c r="CK199">
        <v>8</v>
      </c>
      <c r="CL199" t="s">
        <v>4</v>
      </c>
      <c r="CM199" t="s">
        <v>4589</v>
      </c>
      <c r="CN199" t="s">
        <v>4590</v>
      </c>
      <c r="CO199" t="s">
        <v>663</v>
      </c>
      <c r="CP199" t="s">
        <v>100</v>
      </c>
      <c r="CQ199">
        <v>198</v>
      </c>
      <c r="CR199" t="s">
        <v>100</v>
      </c>
      <c r="CS199" t="s">
        <v>100</v>
      </c>
      <c r="CT199" t="s">
        <v>152</v>
      </c>
      <c r="CU199" t="s">
        <v>102</v>
      </c>
      <c r="CV199" t="s">
        <v>100</v>
      </c>
    </row>
    <row r="200" spans="1:100">
      <c r="A200" s="3" t="s">
        <v>4591</v>
      </c>
      <c r="B200" s="4" t="s">
        <v>4592</v>
      </c>
      <c r="C200">
        <v>664.63001672318796</v>
      </c>
      <c r="D200">
        <v>2898.0289521311502</v>
      </c>
      <c r="E200">
        <f>-2.12424836380471</f>
        <v>-2.12424836380471</v>
      </c>
      <c r="F200" s="5">
        <v>3.7372682098353301E-8</v>
      </c>
      <c r="G200" t="s">
        <v>4</v>
      </c>
      <c r="H200">
        <v>664.63001672318796</v>
      </c>
      <c r="I200">
        <v>583.27405742255803</v>
      </c>
      <c r="J200">
        <v>0.19186987223846599</v>
      </c>
      <c r="K200">
        <v>0.662832626411755</v>
      </c>
      <c r="L200" t="s">
        <v>4</v>
      </c>
      <c r="M200">
        <v>2898.0289521311502</v>
      </c>
      <c r="N200">
        <v>583.27405742255803</v>
      </c>
      <c r="O200">
        <v>2.3161182360431698</v>
      </c>
      <c r="P200" s="5">
        <v>6.7271615585367703E-10</v>
      </c>
      <c r="Q200" t="s">
        <v>4</v>
      </c>
      <c r="R200" s="4" t="s">
        <v>87</v>
      </c>
      <c r="S200" t="s">
        <v>4</v>
      </c>
      <c r="T200" t="s">
        <v>92</v>
      </c>
      <c r="U200" t="s">
        <v>92</v>
      </c>
      <c r="V200" t="s">
        <v>92</v>
      </c>
      <c r="W200" t="s">
        <v>92</v>
      </c>
      <c r="X200" t="s">
        <v>4</v>
      </c>
      <c r="Y200" t="s">
        <v>92</v>
      </c>
      <c r="Z200" t="s">
        <v>92</v>
      </c>
      <c r="AA200" t="s">
        <v>92</v>
      </c>
      <c r="AB200" t="s">
        <v>4</v>
      </c>
      <c r="AC200" s="3" t="s">
        <v>93</v>
      </c>
      <c r="AD200" t="s">
        <v>4</v>
      </c>
      <c r="AE200" s="4" t="s">
        <v>94</v>
      </c>
      <c r="AZ200" t="s">
        <v>4</v>
      </c>
      <c r="BA200" s="3" t="s">
        <v>95</v>
      </c>
      <c r="BB200" s="6" t="s">
        <v>95</v>
      </c>
      <c r="BC200" s="3" t="s">
        <v>95</v>
      </c>
      <c r="BD200" t="s">
        <v>4</v>
      </c>
      <c r="BE200">
        <v>1021</v>
      </c>
      <c r="BF200" t="s">
        <v>151</v>
      </c>
      <c r="BG200">
        <v>93.877499999999998</v>
      </c>
      <c r="BH200">
        <v>99.183700000000002</v>
      </c>
      <c r="BI200">
        <v>71.020399999999995</v>
      </c>
      <c r="BJ200">
        <v>55.918399999999998</v>
      </c>
      <c r="BK200">
        <v>47.346899999999998</v>
      </c>
      <c r="BL200">
        <v>42.448999999999998</v>
      </c>
      <c r="BM200">
        <v>45.714300000000001</v>
      </c>
      <c r="BN200">
        <v>53.061199999999999</v>
      </c>
      <c r="BO200">
        <v>43.673499999999997</v>
      </c>
      <c r="CK200">
        <v>2</v>
      </c>
      <c r="CL200" t="s">
        <v>4</v>
      </c>
      <c r="CM200" t="s">
        <v>98</v>
      </c>
      <c r="CN200" t="s">
        <v>98</v>
      </c>
      <c r="CO200" t="s">
        <v>99</v>
      </c>
      <c r="CP200" t="s">
        <v>100</v>
      </c>
      <c r="CQ200">
        <v>199</v>
      </c>
      <c r="CR200" t="s">
        <v>100</v>
      </c>
      <c r="CS200" t="s">
        <v>100</v>
      </c>
      <c r="CT200" t="s">
        <v>152</v>
      </c>
      <c r="CU200" t="s">
        <v>102</v>
      </c>
      <c r="CV200" t="s">
        <v>100</v>
      </c>
    </row>
    <row r="201" spans="1:100">
      <c r="A201" s="3" t="s">
        <v>4593</v>
      </c>
      <c r="B201" s="4" t="s">
        <v>4594</v>
      </c>
      <c r="C201">
        <v>87.658711929659603</v>
      </c>
      <c r="D201">
        <v>508.62247040206501</v>
      </c>
      <c r="E201">
        <f>-2.53400593413133</f>
        <v>-2.5340059341313301</v>
      </c>
      <c r="F201" s="5">
        <v>9.1538544714673802E-13</v>
      </c>
      <c r="G201" t="s">
        <v>4</v>
      </c>
      <c r="H201">
        <v>87.658711929659603</v>
      </c>
      <c r="I201">
        <v>11.844494975601499</v>
      </c>
      <c r="J201">
        <v>2.92591169338534</v>
      </c>
      <c r="K201" s="5">
        <v>2.32506795247209E-10</v>
      </c>
      <c r="L201" t="s">
        <v>4</v>
      </c>
      <c r="M201">
        <v>508.62247040206501</v>
      </c>
      <c r="N201">
        <v>11.844494975601499</v>
      </c>
      <c r="O201">
        <v>5.4599176275166696</v>
      </c>
      <c r="P201" s="5">
        <v>1.27013927849678E-34</v>
      </c>
      <c r="Q201" t="s">
        <v>4</v>
      </c>
      <c r="R201" s="4" t="s">
        <v>87</v>
      </c>
      <c r="S201" t="s">
        <v>4</v>
      </c>
      <c r="T201" t="s">
        <v>2325</v>
      </c>
      <c r="U201" t="s">
        <v>2326</v>
      </c>
      <c r="V201" t="s">
        <v>2327</v>
      </c>
      <c r="W201" t="s">
        <v>203</v>
      </c>
      <c r="X201" t="s">
        <v>4</v>
      </c>
      <c r="Y201" t="s">
        <v>3403</v>
      </c>
      <c r="Z201" t="s">
        <v>3404</v>
      </c>
      <c r="AA201" t="s">
        <v>3405</v>
      </c>
      <c r="AB201" t="s">
        <v>4</v>
      </c>
      <c r="AC201" s="3" t="s">
        <v>207</v>
      </c>
      <c r="AD201" t="s">
        <v>4</v>
      </c>
      <c r="AE201" t="s">
        <v>4595</v>
      </c>
      <c r="AF201" t="s">
        <v>4596</v>
      </c>
      <c r="AG201" t="s">
        <v>4597</v>
      </c>
      <c r="AH201" t="s">
        <v>112</v>
      </c>
      <c r="AU201" t="s">
        <v>112</v>
      </c>
      <c r="AV201" t="s">
        <v>211</v>
      </c>
      <c r="AW201" t="s">
        <v>114</v>
      </c>
      <c r="AX201" t="s">
        <v>132</v>
      </c>
      <c r="AY201" t="s">
        <v>212</v>
      </c>
      <c r="AZ201" t="s">
        <v>4</v>
      </c>
      <c r="BA201" s="3" t="s">
        <v>95</v>
      </c>
      <c r="BB201" s="6" t="s">
        <v>95</v>
      </c>
      <c r="BC201" s="3" t="s">
        <v>95</v>
      </c>
      <c r="BD201" t="s">
        <v>4</v>
      </c>
      <c r="BE201">
        <v>6876</v>
      </c>
      <c r="BF201" t="s">
        <v>213</v>
      </c>
      <c r="BG201">
        <v>92.1053</v>
      </c>
      <c r="BH201">
        <v>71.052599999999998</v>
      </c>
      <c r="BK201">
        <v>4.0935699999999997</v>
      </c>
      <c r="BM201">
        <v>50.584800000000001</v>
      </c>
      <c r="BN201">
        <v>46.198799999999999</v>
      </c>
      <c r="BQ201">
        <v>38.8889</v>
      </c>
      <c r="BR201">
        <v>35.087699999999998</v>
      </c>
      <c r="BS201">
        <v>37.134500000000003</v>
      </c>
      <c r="BT201">
        <v>28.947399999999998</v>
      </c>
      <c r="BU201">
        <v>34.210500000000003</v>
      </c>
      <c r="BV201" t="s">
        <v>4598</v>
      </c>
      <c r="BW201">
        <v>30.994199999999999</v>
      </c>
      <c r="BX201">
        <v>35.9649</v>
      </c>
      <c r="BZ201">
        <v>23.684200000000001</v>
      </c>
      <c r="CA201">
        <v>39.473700000000001</v>
      </c>
      <c r="CC201">
        <v>35.9649</v>
      </c>
      <c r="CD201" t="s">
        <v>4599</v>
      </c>
      <c r="CE201" t="s">
        <v>4600</v>
      </c>
      <c r="CF201">
        <v>35.380099999999999</v>
      </c>
      <c r="CG201">
        <v>36.549700000000001</v>
      </c>
      <c r="CH201">
        <v>36.549700000000001</v>
      </c>
      <c r="CI201">
        <v>37.134500000000003</v>
      </c>
      <c r="CK201">
        <v>8</v>
      </c>
      <c r="CL201" t="s">
        <v>4</v>
      </c>
      <c r="CM201" t="s">
        <v>217</v>
      </c>
      <c r="CN201" t="s">
        <v>4601</v>
      </c>
      <c r="CO201" t="s">
        <v>219</v>
      </c>
      <c r="CP201" t="s">
        <v>100</v>
      </c>
      <c r="CQ201">
        <v>200</v>
      </c>
      <c r="CR201" t="s">
        <v>100</v>
      </c>
      <c r="CS201" t="s">
        <v>101</v>
      </c>
      <c r="CT201" t="s">
        <v>152</v>
      </c>
      <c r="CU201" t="s">
        <v>102</v>
      </c>
      <c r="CV201" t="s">
        <v>100</v>
      </c>
    </row>
    <row r="202" spans="1:100">
      <c r="A202" s="3" t="s">
        <v>4602</v>
      </c>
      <c r="B202" s="4" t="s">
        <v>4603</v>
      </c>
      <c r="C202">
        <v>2484.5724666185702</v>
      </c>
      <c r="D202">
        <v>28828.315706718298</v>
      </c>
      <c r="E202">
        <f>-3.53632239538707</f>
        <v>-3.5363223953870699</v>
      </c>
      <c r="F202" s="5">
        <v>1.1285123900575201E-30</v>
      </c>
      <c r="G202" t="s">
        <v>4</v>
      </c>
      <c r="H202">
        <v>2484.5724666185702</v>
      </c>
      <c r="I202">
        <v>1368.47012471267</v>
      </c>
      <c r="J202">
        <v>0.86109925074539295</v>
      </c>
      <c r="K202">
        <v>8.2003761863944698E-3</v>
      </c>
      <c r="L202" t="s">
        <v>4</v>
      </c>
      <c r="M202">
        <v>28828.315706718298</v>
      </c>
      <c r="N202">
        <v>1368.47012471267</v>
      </c>
      <c r="O202">
        <v>4.39742164613246</v>
      </c>
      <c r="P202" s="5">
        <v>4.75880031989692E-48</v>
      </c>
      <c r="Q202" t="s">
        <v>4</v>
      </c>
      <c r="R202" s="4" t="s">
        <v>87</v>
      </c>
      <c r="S202" t="s">
        <v>4</v>
      </c>
      <c r="T202" t="s">
        <v>4604</v>
      </c>
      <c r="U202" t="s">
        <v>4605</v>
      </c>
      <c r="V202" t="s">
        <v>4606</v>
      </c>
      <c r="W202" t="s">
        <v>328</v>
      </c>
      <c r="X202" t="s">
        <v>4</v>
      </c>
      <c r="Y202" t="s">
        <v>4607</v>
      </c>
      <c r="Z202" t="s">
        <v>4608</v>
      </c>
      <c r="AA202" t="s">
        <v>4609</v>
      </c>
      <c r="AB202" t="s">
        <v>4</v>
      </c>
      <c r="AC202" s="3" t="s">
        <v>4610</v>
      </c>
      <c r="AD202" t="s">
        <v>4</v>
      </c>
      <c r="AE202" t="s">
        <v>4611</v>
      </c>
      <c r="AF202" t="s">
        <v>4612</v>
      </c>
      <c r="AG202" t="s">
        <v>4613</v>
      </c>
      <c r="AH202" t="s">
        <v>112</v>
      </c>
      <c r="AJ202" t="s">
        <v>4614</v>
      </c>
      <c r="AU202" t="s">
        <v>112</v>
      </c>
      <c r="AV202" t="s">
        <v>4615</v>
      </c>
      <c r="AW202" t="s">
        <v>114</v>
      </c>
      <c r="AX202" t="s">
        <v>167</v>
      </c>
      <c r="AY202" t="s">
        <v>4616</v>
      </c>
      <c r="AZ202" t="s">
        <v>4</v>
      </c>
      <c r="BA202" s="3" t="s">
        <v>95</v>
      </c>
      <c r="BB202" s="6" t="s">
        <v>95</v>
      </c>
      <c r="BC202" s="3" t="s">
        <v>95</v>
      </c>
      <c r="BD202" t="s">
        <v>4</v>
      </c>
      <c r="BE202">
        <v>3707</v>
      </c>
      <c r="BF202" t="s">
        <v>112</v>
      </c>
      <c r="BG202">
        <v>71.604900000000001</v>
      </c>
      <c r="BH202">
        <v>71.604900000000001</v>
      </c>
      <c r="BI202">
        <v>66.137600000000006</v>
      </c>
      <c r="BJ202">
        <v>61.728400000000001</v>
      </c>
      <c r="BK202">
        <v>47.619</v>
      </c>
      <c r="BM202">
        <v>41.446199999999997</v>
      </c>
      <c r="BN202" t="s">
        <v>4617</v>
      </c>
      <c r="BO202">
        <v>46.031700000000001</v>
      </c>
      <c r="BP202" t="s">
        <v>4618</v>
      </c>
      <c r="BR202">
        <v>18.342199999999998</v>
      </c>
      <c r="BS202" t="s">
        <v>4619</v>
      </c>
      <c r="BT202">
        <v>15.6966</v>
      </c>
      <c r="BV202" t="s">
        <v>4620</v>
      </c>
      <c r="BX202">
        <v>19.576699999999999</v>
      </c>
      <c r="BY202">
        <v>18.342199999999998</v>
      </c>
      <c r="BZ202">
        <v>14.4621</v>
      </c>
      <c r="CA202" t="s">
        <v>4621</v>
      </c>
      <c r="CG202" t="s">
        <v>4622</v>
      </c>
      <c r="CH202" t="s">
        <v>4623</v>
      </c>
      <c r="CJ202" t="s">
        <v>4624</v>
      </c>
      <c r="CK202">
        <v>5</v>
      </c>
      <c r="CL202" t="s">
        <v>4</v>
      </c>
      <c r="CM202" t="s">
        <v>4625</v>
      </c>
      <c r="CN202" t="s">
        <v>4626</v>
      </c>
      <c r="CO202" t="s">
        <v>1523</v>
      </c>
      <c r="CP202" t="s">
        <v>100</v>
      </c>
      <c r="CQ202">
        <v>201</v>
      </c>
      <c r="CR202" t="s">
        <v>100</v>
      </c>
      <c r="CS202" t="s">
        <v>100</v>
      </c>
      <c r="CT202" t="s">
        <v>152</v>
      </c>
      <c r="CU202" t="s">
        <v>102</v>
      </c>
      <c r="CV202" t="s">
        <v>100</v>
      </c>
    </row>
    <row r="203" spans="1:100">
      <c r="A203" s="3" t="s">
        <v>4627</v>
      </c>
      <c r="B203" s="4" t="s">
        <v>4628</v>
      </c>
      <c r="C203">
        <v>459.41743043298402</v>
      </c>
      <c r="D203">
        <v>3214.2330420182302</v>
      </c>
      <c r="E203">
        <f>-2.8064587580795</f>
        <v>-2.8064587580795002</v>
      </c>
      <c r="F203" s="5">
        <v>1.48371689759246E-38</v>
      </c>
      <c r="G203" t="s">
        <v>4</v>
      </c>
      <c r="H203">
        <v>459.41743043298402</v>
      </c>
      <c r="I203">
        <v>455.241993492924</v>
      </c>
      <c r="J203">
        <v>1.35958247550407E-2</v>
      </c>
      <c r="K203">
        <v>0.95921526371719701</v>
      </c>
      <c r="L203" t="s">
        <v>4</v>
      </c>
      <c r="M203">
        <v>3214.2330420182302</v>
      </c>
      <c r="N203">
        <v>455.241993492924</v>
      </c>
      <c r="O203">
        <v>2.82005458283454</v>
      </c>
      <c r="P203" s="5">
        <v>3.3435910313328297E-39</v>
      </c>
      <c r="Q203" t="s">
        <v>4</v>
      </c>
      <c r="R203" s="4" t="s">
        <v>87</v>
      </c>
      <c r="S203" t="s">
        <v>4</v>
      </c>
      <c r="T203" t="s">
        <v>92</v>
      </c>
      <c r="U203" t="s">
        <v>92</v>
      </c>
      <c r="V203" t="s">
        <v>92</v>
      </c>
      <c r="W203" t="s">
        <v>92</v>
      </c>
      <c r="X203" t="s">
        <v>4</v>
      </c>
      <c r="Y203" t="s">
        <v>92</v>
      </c>
      <c r="Z203" t="s">
        <v>92</v>
      </c>
      <c r="AA203" t="s">
        <v>92</v>
      </c>
      <c r="AB203" t="s">
        <v>4</v>
      </c>
      <c r="AC203" s="3" t="s">
        <v>93</v>
      </c>
      <c r="AD203" t="s">
        <v>4</v>
      </c>
      <c r="AE203" s="4" t="s">
        <v>94</v>
      </c>
      <c r="AZ203" t="s">
        <v>4</v>
      </c>
      <c r="BA203" s="3" t="s">
        <v>95</v>
      </c>
      <c r="BB203" s="6" t="s">
        <v>95</v>
      </c>
      <c r="BC203" s="3" t="s">
        <v>95</v>
      </c>
      <c r="BD203" t="s">
        <v>4</v>
      </c>
      <c r="BE203">
        <v>1024</v>
      </c>
      <c r="BF203" t="s">
        <v>151</v>
      </c>
      <c r="BG203">
        <v>96.733699999999999</v>
      </c>
      <c r="BH203" t="s">
        <v>4629</v>
      </c>
      <c r="BI203">
        <v>90.703500000000005</v>
      </c>
      <c r="BJ203">
        <v>49.246200000000002</v>
      </c>
      <c r="BL203" t="s">
        <v>4630</v>
      </c>
      <c r="BM203">
        <v>44.2211</v>
      </c>
      <c r="BN203">
        <v>47.738700000000001</v>
      </c>
      <c r="BO203">
        <v>47.989899999999999</v>
      </c>
      <c r="CK203">
        <v>2</v>
      </c>
      <c r="CL203" t="s">
        <v>4</v>
      </c>
      <c r="CM203" t="s">
        <v>98</v>
      </c>
      <c r="CN203" t="s">
        <v>98</v>
      </c>
      <c r="CO203" t="s">
        <v>99</v>
      </c>
      <c r="CP203" t="s">
        <v>100</v>
      </c>
      <c r="CQ203">
        <v>202</v>
      </c>
      <c r="CR203" t="s">
        <v>100</v>
      </c>
      <c r="CS203" t="s">
        <v>100</v>
      </c>
      <c r="CT203" t="s">
        <v>152</v>
      </c>
      <c r="CU203" t="s">
        <v>102</v>
      </c>
      <c r="CV203" t="s">
        <v>100</v>
      </c>
    </row>
    <row r="204" spans="1:100">
      <c r="A204" s="3" t="s">
        <v>4631</v>
      </c>
      <c r="B204" s="4" t="s">
        <v>4632</v>
      </c>
      <c r="C204">
        <v>503.66346699324401</v>
      </c>
      <c r="D204">
        <v>7787.1268805137797</v>
      </c>
      <c r="E204">
        <f>-3.95006447470092</f>
        <v>-3.9500644747009201</v>
      </c>
      <c r="F204" s="5">
        <v>1.9942353223995501E-37</v>
      </c>
      <c r="G204" t="s">
        <v>4</v>
      </c>
      <c r="H204">
        <v>503.66346699324401</v>
      </c>
      <c r="I204">
        <v>866.35708751777895</v>
      </c>
      <c r="J204">
        <f>0.781086231516052</f>
        <v>0.78108623151605205</v>
      </c>
      <c r="K204">
        <v>1.8415297704734199E-2</v>
      </c>
      <c r="L204" t="s">
        <v>4</v>
      </c>
      <c r="M204">
        <v>7787.1268805137797</v>
      </c>
      <c r="N204">
        <v>866.35708751777895</v>
      </c>
      <c r="O204">
        <v>3.1689782431848701</v>
      </c>
      <c r="P204" s="5">
        <v>3.5109504926069702E-25</v>
      </c>
      <c r="Q204" t="s">
        <v>4</v>
      </c>
      <c r="R204" s="4" t="s">
        <v>87</v>
      </c>
      <c r="S204" t="s">
        <v>4</v>
      </c>
      <c r="T204" t="s">
        <v>92</v>
      </c>
      <c r="U204" t="s">
        <v>92</v>
      </c>
      <c r="V204" t="s">
        <v>92</v>
      </c>
      <c r="W204" t="s">
        <v>92</v>
      </c>
      <c r="X204" t="s">
        <v>4</v>
      </c>
      <c r="Y204" t="s">
        <v>92</v>
      </c>
      <c r="Z204" t="s">
        <v>92</v>
      </c>
      <c r="AA204" t="s">
        <v>92</v>
      </c>
      <c r="AB204" t="s">
        <v>4</v>
      </c>
      <c r="AC204" s="3" t="s">
        <v>93</v>
      </c>
      <c r="AD204" t="s">
        <v>4</v>
      </c>
      <c r="AE204" s="4" t="s">
        <v>94</v>
      </c>
      <c r="AZ204" t="s">
        <v>4</v>
      </c>
      <c r="BA204" s="3" t="s">
        <v>95</v>
      </c>
      <c r="BB204" s="6" t="s">
        <v>95</v>
      </c>
      <c r="BC204" s="3" t="s">
        <v>95</v>
      </c>
      <c r="BD204" t="s">
        <v>4</v>
      </c>
      <c r="BE204">
        <v>726</v>
      </c>
      <c r="BF204" t="s">
        <v>604</v>
      </c>
      <c r="CK204">
        <v>1.5</v>
      </c>
      <c r="CL204" t="s">
        <v>4</v>
      </c>
      <c r="CM204" t="s">
        <v>98</v>
      </c>
      <c r="CN204" t="s">
        <v>98</v>
      </c>
      <c r="CO204" t="s">
        <v>99</v>
      </c>
      <c r="CP204" t="s">
        <v>100</v>
      </c>
      <c r="CQ204">
        <v>203</v>
      </c>
      <c r="CR204" t="s">
        <v>100</v>
      </c>
      <c r="CS204" t="s">
        <v>100</v>
      </c>
      <c r="CT204" t="s">
        <v>152</v>
      </c>
      <c r="CU204" t="s">
        <v>102</v>
      </c>
      <c r="CV204" t="s">
        <v>100</v>
      </c>
    </row>
    <row r="205" spans="1:100">
      <c r="A205" s="3" t="s">
        <v>4633</v>
      </c>
      <c r="B205" s="4" t="s">
        <v>4634</v>
      </c>
      <c r="C205">
        <v>432.874521576061</v>
      </c>
      <c r="D205">
        <v>4670.39928526323</v>
      </c>
      <c r="E205">
        <f>-3.43124397122064</f>
        <v>-3.4312439712206402</v>
      </c>
      <c r="F205" s="5">
        <v>1.6466381118086599E-11</v>
      </c>
      <c r="G205" t="s">
        <v>4</v>
      </c>
      <c r="H205">
        <v>432.874521576061</v>
      </c>
      <c r="I205">
        <v>266.48062139921001</v>
      </c>
      <c r="J205">
        <v>0.70154278391515501</v>
      </c>
      <c r="K205">
        <v>0.20501806125278199</v>
      </c>
      <c r="L205" t="s">
        <v>4</v>
      </c>
      <c r="M205">
        <v>4670.39928526323</v>
      </c>
      <c r="N205">
        <v>266.48062139921001</v>
      </c>
      <c r="O205">
        <v>4.1327867551357897</v>
      </c>
      <c r="P205" s="5">
        <v>9.3063359019812298E-17</v>
      </c>
      <c r="Q205" t="s">
        <v>4</v>
      </c>
      <c r="R205" s="4" t="s">
        <v>87</v>
      </c>
      <c r="S205" t="s">
        <v>4</v>
      </c>
      <c r="T205" t="s">
        <v>4635</v>
      </c>
      <c r="U205" t="s">
        <v>4636</v>
      </c>
      <c r="V205" t="s">
        <v>4637</v>
      </c>
      <c r="W205" t="s">
        <v>507</v>
      </c>
      <c r="X205" t="s">
        <v>4</v>
      </c>
      <c r="Y205" t="s">
        <v>4638</v>
      </c>
      <c r="Z205" t="s">
        <v>4639</v>
      </c>
      <c r="AA205" t="s">
        <v>4640</v>
      </c>
      <c r="AB205" t="s">
        <v>4</v>
      </c>
      <c r="AC205" s="3" t="s">
        <v>4641</v>
      </c>
      <c r="AD205" t="s">
        <v>4</v>
      </c>
      <c r="AE205" t="s">
        <v>4642</v>
      </c>
      <c r="AF205" t="s">
        <v>4643</v>
      </c>
      <c r="AG205" t="s">
        <v>4644</v>
      </c>
      <c r="AH205" t="s">
        <v>112</v>
      </c>
      <c r="AU205" t="s">
        <v>112</v>
      </c>
      <c r="AV205" t="s">
        <v>4645</v>
      </c>
      <c r="AW205" t="s">
        <v>114</v>
      </c>
      <c r="AX205" t="s">
        <v>144</v>
      </c>
      <c r="AY205" t="s">
        <v>4646</v>
      </c>
      <c r="AZ205" t="s">
        <v>4</v>
      </c>
      <c r="BA205" s="3" t="s">
        <v>115</v>
      </c>
      <c r="BB205" t="s">
        <v>96</v>
      </c>
      <c r="BC205" s="3" t="s">
        <v>197</v>
      </c>
      <c r="BD205" t="s">
        <v>4</v>
      </c>
      <c r="BE205">
        <v>6902</v>
      </c>
      <c r="BF205" t="s">
        <v>213</v>
      </c>
      <c r="BG205">
        <v>97.682100000000005</v>
      </c>
      <c r="BH205">
        <v>47.350999999999999</v>
      </c>
      <c r="BI205">
        <v>88.300200000000004</v>
      </c>
      <c r="BJ205">
        <v>82.891800000000003</v>
      </c>
      <c r="BM205">
        <v>73.730699999999999</v>
      </c>
      <c r="BN205">
        <v>79.139099999999999</v>
      </c>
      <c r="BP205">
        <v>53.421599999999998</v>
      </c>
      <c r="BQ205">
        <v>28.366399999999999</v>
      </c>
      <c r="BR205">
        <v>40.5077</v>
      </c>
      <c r="BZ205">
        <v>41.721899999999998</v>
      </c>
      <c r="CD205" t="s">
        <v>4647</v>
      </c>
      <c r="CK205">
        <v>8</v>
      </c>
      <c r="CL205" t="s">
        <v>4</v>
      </c>
      <c r="CM205" t="s">
        <v>98</v>
      </c>
      <c r="CN205" t="s">
        <v>98</v>
      </c>
      <c r="CO205" t="s">
        <v>99</v>
      </c>
      <c r="CP205" t="s">
        <v>100</v>
      </c>
      <c r="CQ205">
        <v>204</v>
      </c>
      <c r="CR205" t="s">
        <v>100</v>
      </c>
      <c r="CS205" t="s">
        <v>100</v>
      </c>
      <c r="CT205" t="s">
        <v>152</v>
      </c>
      <c r="CU205" t="s">
        <v>102</v>
      </c>
      <c r="CV205" t="s">
        <v>100</v>
      </c>
    </row>
    <row r="206" spans="1:100">
      <c r="A206" s="3" t="s">
        <v>4648</v>
      </c>
      <c r="B206" s="4" t="s">
        <v>4649</v>
      </c>
      <c r="C206">
        <v>140.71449547259701</v>
      </c>
      <c r="D206">
        <v>2036.87694625873</v>
      </c>
      <c r="E206">
        <f>-3.85408953106117</f>
        <v>-3.8540895310611698</v>
      </c>
      <c r="F206" s="5">
        <v>1.64659111053574E-21</v>
      </c>
      <c r="G206" t="s">
        <v>4</v>
      </c>
      <c r="H206">
        <v>140.71449547259701</v>
      </c>
      <c r="I206">
        <v>278.439960159257</v>
      </c>
      <c r="J206">
        <f>0.990754006335816</f>
        <v>0.99075400633581601</v>
      </c>
      <c r="K206">
        <v>2.2154506651084701E-2</v>
      </c>
      <c r="L206" t="s">
        <v>4</v>
      </c>
      <c r="M206">
        <v>2036.87694625873</v>
      </c>
      <c r="N206">
        <v>278.439960159257</v>
      </c>
      <c r="O206">
        <v>2.8633355247253598</v>
      </c>
      <c r="P206" s="5">
        <v>8.7090266961922605E-13</v>
      </c>
      <c r="Q206" t="s">
        <v>4</v>
      </c>
      <c r="R206" s="4" t="s">
        <v>87</v>
      </c>
      <c r="S206" t="s">
        <v>4</v>
      </c>
      <c r="T206" t="s">
        <v>4650</v>
      </c>
      <c r="U206" t="s">
        <v>4651</v>
      </c>
      <c r="V206" t="s">
        <v>4652</v>
      </c>
      <c r="W206" t="s">
        <v>203</v>
      </c>
      <c r="X206" t="s">
        <v>4</v>
      </c>
      <c r="Y206" t="s">
        <v>4653</v>
      </c>
      <c r="Z206" t="s">
        <v>4654</v>
      </c>
      <c r="AA206" t="s">
        <v>4655</v>
      </c>
      <c r="AB206" t="s">
        <v>4</v>
      </c>
      <c r="AC206" s="3" t="s">
        <v>4656</v>
      </c>
      <c r="AD206" t="s">
        <v>4</v>
      </c>
      <c r="AE206" t="s">
        <v>4657</v>
      </c>
      <c r="AF206" t="s">
        <v>4658</v>
      </c>
      <c r="AG206" t="s">
        <v>4659</v>
      </c>
      <c r="AH206" t="s">
        <v>112</v>
      </c>
      <c r="AJ206" t="s">
        <v>4660</v>
      </c>
      <c r="AU206" t="s">
        <v>112</v>
      </c>
      <c r="AV206" t="s">
        <v>4661</v>
      </c>
      <c r="AW206" t="s">
        <v>114</v>
      </c>
      <c r="AX206" t="s">
        <v>371</v>
      </c>
      <c r="AY206" t="s">
        <v>4662</v>
      </c>
      <c r="AZ206" t="s">
        <v>4</v>
      </c>
      <c r="BA206" s="3" t="s">
        <v>115</v>
      </c>
      <c r="BB206" s="6" t="s">
        <v>95</v>
      </c>
      <c r="BC206" s="3" t="s">
        <v>95</v>
      </c>
      <c r="BD206" t="s">
        <v>4</v>
      </c>
      <c r="BE206">
        <v>5519</v>
      </c>
      <c r="BF206" t="s">
        <v>386</v>
      </c>
      <c r="BK206">
        <v>75.126900000000006</v>
      </c>
      <c r="BO206">
        <v>67.512699999999995</v>
      </c>
      <c r="BW206">
        <v>20.304600000000001</v>
      </c>
      <c r="BX206">
        <v>24.873100000000001</v>
      </c>
      <c r="BZ206">
        <v>25.211500000000001</v>
      </c>
      <c r="CA206">
        <v>24.196300000000001</v>
      </c>
      <c r="CE206">
        <v>14.382400000000001</v>
      </c>
      <c r="CF206">
        <v>12.5212</v>
      </c>
      <c r="CG206">
        <v>13.0288</v>
      </c>
      <c r="CH206">
        <v>13.0288</v>
      </c>
      <c r="CI206" t="s">
        <v>4663</v>
      </c>
      <c r="CK206">
        <v>7</v>
      </c>
      <c r="CL206" t="s">
        <v>4</v>
      </c>
      <c r="CM206" t="s">
        <v>4664</v>
      </c>
      <c r="CN206" t="s">
        <v>4665</v>
      </c>
      <c r="CO206" t="s">
        <v>219</v>
      </c>
      <c r="CP206" t="s">
        <v>100</v>
      </c>
      <c r="CQ206">
        <v>205</v>
      </c>
      <c r="CR206" t="s">
        <v>100</v>
      </c>
      <c r="CS206" t="s">
        <v>100</v>
      </c>
      <c r="CT206" t="s">
        <v>152</v>
      </c>
      <c r="CU206" t="s">
        <v>102</v>
      </c>
      <c r="CV206" t="s">
        <v>100</v>
      </c>
    </row>
    <row r="207" spans="1:100">
      <c r="A207" s="3" t="s">
        <v>4666</v>
      </c>
      <c r="B207" s="4" t="s">
        <v>4667</v>
      </c>
      <c r="C207">
        <v>86.611771970058697</v>
      </c>
      <c r="D207">
        <v>881.18155847662899</v>
      </c>
      <c r="E207">
        <f>-3.34524169872186</f>
        <v>-3.3452416987218601</v>
      </c>
      <c r="F207" s="5">
        <v>3.4870649343802001E-9</v>
      </c>
      <c r="G207" t="s">
        <v>4</v>
      </c>
      <c r="H207">
        <v>86.611771970058697</v>
      </c>
      <c r="I207">
        <v>27.9486715690227</v>
      </c>
      <c r="J207">
        <v>1.6210349259463801</v>
      </c>
      <c r="K207">
        <v>8.5147976989751392E-3</v>
      </c>
      <c r="L207" t="s">
        <v>4</v>
      </c>
      <c r="M207">
        <v>881.18155847662899</v>
      </c>
      <c r="N207">
        <v>27.9486715690227</v>
      </c>
      <c r="O207">
        <v>4.9662766246682404</v>
      </c>
      <c r="P207" s="5">
        <v>4.4657723494103999E-18</v>
      </c>
      <c r="Q207" t="s">
        <v>4</v>
      </c>
      <c r="R207" s="4" t="s">
        <v>87</v>
      </c>
      <c r="S207" t="s">
        <v>4</v>
      </c>
      <c r="T207" t="s">
        <v>92</v>
      </c>
      <c r="U207" t="s">
        <v>92</v>
      </c>
      <c r="V207" t="s">
        <v>92</v>
      </c>
      <c r="W207" t="s">
        <v>92</v>
      </c>
      <c r="X207" t="s">
        <v>4</v>
      </c>
      <c r="Y207" t="s">
        <v>92</v>
      </c>
      <c r="Z207" t="s">
        <v>92</v>
      </c>
      <c r="AA207" t="s">
        <v>92</v>
      </c>
      <c r="AB207" t="s">
        <v>4</v>
      </c>
      <c r="AC207" s="3" t="s">
        <v>93</v>
      </c>
      <c r="AD207" t="s">
        <v>4</v>
      </c>
      <c r="AE207" t="s">
        <v>4668</v>
      </c>
      <c r="AF207" t="s">
        <v>4669</v>
      </c>
      <c r="AG207" t="s">
        <v>4670</v>
      </c>
      <c r="AH207" t="s">
        <v>112</v>
      </c>
      <c r="AU207" t="s">
        <v>112</v>
      </c>
      <c r="AV207" t="s">
        <v>4671</v>
      </c>
      <c r="AW207" t="s">
        <v>114</v>
      </c>
      <c r="AZ207" t="s">
        <v>4</v>
      </c>
      <c r="BA207" s="3" t="s">
        <v>95</v>
      </c>
      <c r="BB207" s="6" t="s">
        <v>95</v>
      </c>
      <c r="BC207" s="3" t="s">
        <v>95</v>
      </c>
      <c r="BD207" t="s">
        <v>4</v>
      </c>
      <c r="BE207">
        <v>3732</v>
      </c>
      <c r="BF207" t="s">
        <v>112</v>
      </c>
      <c r="BG207">
        <v>94.972099999999998</v>
      </c>
      <c r="BH207">
        <v>75.418999999999997</v>
      </c>
      <c r="BI207">
        <v>72.625699999999995</v>
      </c>
      <c r="BJ207">
        <v>68.156400000000005</v>
      </c>
      <c r="BK207">
        <v>59.497199999999999</v>
      </c>
      <c r="BN207">
        <v>76.257000000000005</v>
      </c>
      <c r="BO207">
        <v>78.212299999999999</v>
      </c>
      <c r="BP207">
        <v>39.106099999999998</v>
      </c>
      <c r="BW207">
        <v>24.022300000000001</v>
      </c>
      <c r="BX207">
        <v>26.536300000000001</v>
      </c>
      <c r="CA207">
        <v>29.888300000000001</v>
      </c>
      <c r="CK207">
        <v>5</v>
      </c>
      <c r="CL207" t="s">
        <v>4</v>
      </c>
      <c r="CM207" t="s">
        <v>4672</v>
      </c>
      <c r="CN207" t="s">
        <v>4673</v>
      </c>
      <c r="CO207" t="s">
        <v>219</v>
      </c>
      <c r="CP207" t="s">
        <v>100</v>
      </c>
      <c r="CQ207">
        <v>206</v>
      </c>
      <c r="CR207" t="s">
        <v>100</v>
      </c>
      <c r="CS207" s="7" t="s">
        <v>101</v>
      </c>
      <c r="CT207" t="s">
        <v>152</v>
      </c>
      <c r="CU207" t="s">
        <v>102</v>
      </c>
      <c r="CV207" t="s">
        <v>100</v>
      </c>
    </row>
    <row r="208" spans="1:100">
      <c r="A208" s="3" t="s">
        <v>4674</v>
      </c>
      <c r="B208" s="4" t="s">
        <v>4675</v>
      </c>
      <c r="C208">
        <v>34.309080035210499</v>
      </c>
      <c r="D208">
        <v>484.34007908567997</v>
      </c>
      <c r="E208">
        <f>-3.82068121135581</f>
        <v>-3.8206812113558102</v>
      </c>
      <c r="F208" s="5">
        <v>4.7553405061847701E-14</v>
      </c>
      <c r="G208" t="s">
        <v>4</v>
      </c>
      <c r="H208">
        <v>34.309080035210499</v>
      </c>
      <c r="I208">
        <v>23.757642180429301</v>
      </c>
      <c r="J208">
        <v>0.52967891482614204</v>
      </c>
      <c r="K208">
        <v>0.38310499168187501</v>
      </c>
      <c r="L208" t="s">
        <v>4</v>
      </c>
      <c r="M208">
        <v>484.34007908567997</v>
      </c>
      <c r="N208">
        <v>23.757642180429301</v>
      </c>
      <c r="O208">
        <v>4.3503601261819496</v>
      </c>
      <c r="P208" s="5">
        <v>7.6688949590282297E-17</v>
      </c>
      <c r="Q208" t="s">
        <v>4</v>
      </c>
      <c r="R208" s="4" t="s">
        <v>87</v>
      </c>
      <c r="S208" t="s">
        <v>4</v>
      </c>
      <c r="T208" t="s">
        <v>420</v>
      </c>
      <c r="U208" t="s">
        <v>421</v>
      </c>
      <c r="V208" t="s">
        <v>422</v>
      </c>
      <c r="W208" t="s">
        <v>91</v>
      </c>
      <c r="X208" t="s">
        <v>4</v>
      </c>
      <c r="Y208" t="s">
        <v>4676</v>
      </c>
      <c r="Z208" t="s">
        <v>4677</v>
      </c>
      <c r="AA208" t="s">
        <v>4677</v>
      </c>
      <c r="AB208" t="s">
        <v>4</v>
      </c>
      <c r="AC208" s="3" t="s">
        <v>93</v>
      </c>
      <c r="AD208" t="s">
        <v>4</v>
      </c>
      <c r="AE208" t="s">
        <v>4678</v>
      </c>
      <c r="AF208" t="s">
        <v>4679</v>
      </c>
      <c r="AG208" t="s">
        <v>4680</v>
      </c>
      <c r="AH208" t="s">
        <v>638</v>
      </c>
      <c r="AU208" t="s">
        <v>112</v>
      </c>
      <c r="AV208" t="s">
        <v>4681</v>
      </c>
      <c r="AW208" t="s">
        <v>114</v>
      </c>
      <c r="AX208" t="s">
        <v>144</v>
      </c>
      <c r="AY208" t="s">
        <v>1908</v>
      </c>
      <c r="AZ208" t="s">
        <v>4</v>
      </c>
      <c r="BA208" s="3" t="s">
        <v>95</v>
      </c>
      <c r="BB208" t="s">
        <v>96</v>
      </c>
      <c r="BC208" s="3" t="s">
        <v>95</v>
      </c>
      <c r="BD208" t="s">
        <v>4</v>
      </c>
      <c r="BE208">
        <v>1898</v>
      </c>
      <c r="BF208" t="s">
        <v>148</v>
      </c>
      <c r="BG208">
        <v>89.298900000000003</v>
      </c>
      <c r="BH208" t="s">
        <v>4682</v>
      </c>
      <c r="BI208" t="s">
        <v>4683</v>
      </c>
      <c r="BJ208" t="s">
        <v>4684</v>
      </c>
      <c r="BL208" t="s">
        <v>4685</v>
      </c>
      <c r="BM208" t="s">
        <v>4686</v>
      </c>
      <c r="BN208" t="s">
        <v>4687</v>
      </c>
      <c r="BO208">
        <v>47.786000000000001</v>
      </c>
      <c r="CK208">
        <v>3</v>
      </c>
      <c r="CL208" t="s">
        <v>4</v>
      </c>
      <c r="CM208" t="s">
        <v>98</v>
      </c>
      <c r="CN208" t="s">
        <v>98</v>
      </c>
      <c r="CO208" t="s">
        <v>99</v>
      </c>
      <c r="CP208" t="s">
        <v>100</v>
      </c>
      <c r="CQ208">
        <v>207</v>
      </c>
      <c r="CR208" t="s">
        <v>100</v>
      </c>
      <c r="CS208" t="s">
        <v>100</v>
      </c>
      <c r="CT208" t="s">
        <v>152</v>
      </c>
      <c r="CU208" t="s">
        <v>102</v>
      </c>
      <c r="CV208" t="s">
        <v>100</v>
      </c>
    </row>
    <row r="209" spans="1:100">
      <c r="A209" s="3" t="s">
        <v>4688</v>
      </c>
      <c r="B209" s="4" t="s">
        <v>4689</v>
      </c>
      <c r="C209">
        <v>1854.47272214963</v>
      </c>
      <c r="D209">
        <v>16203.5606482208</v>
      </c>
      <c r="E209">
        <f>-3.1271420501079</f>
        <v>-3.1271420501079001</v>
      </c>
      <c r="F209" s="5">
        <v>1.7800015047228801E-61</v>
      </c>
      <c r="G209" t="s">
        <v>4</v>
      </c>
      <c r="H209">
        <v>1854.47272214963</v>
      </c>
      <c r="I209">
        <v>1205.96875805113</v>
      </c>
      <c r="J209">
        <v>0.62140083542742597</v>
      </c>
      <c r="K209">
        <v>2.0689286683034198E-3</v>
      </c>
      <c r="L209" t="s">
        <v>4</v>
      </c>
      <c r="M209">
        <v>16203.5606482208</v>
      </c>
      <c r="N209">
        <v>1205.96875805113</v>
      </c>
      <c r="O209">
        <v>3.74854288553533</v>
      </c>
      <c r="P209" s="5">
        <v>3.8487907345448402E-89</v>
      </c>
      <c r="Q209" t="s">
        <v>4</v>
      </c>
      <c r="R209" s="4" t="s">
        <v>87</v>
      </c>
      <c r="S209" t="s">
        <v>4</v>
      </c>
      <c r="T209" t="s">
        <v>4635</v>
      </c>
      <c r="U209" t="s">
        <v>4636</v>
      </c>
      <c r="V209" t="s">
        <v>4637</v>
      </c>
      <c r="W209" t="s">
        <v>507</v>
      </c>
      <c r="X209" t="s">
        <v>4</v>
      </c>
      <c r="Y209" t="s">
        <v>4690</v>
      </c>
      <c r="Z209" t="s">
        <v>4691</v>
      </c>
      <c r="AA209" t="s">
        <v>4692</v>
      </c>
      <c r="AB209" t="s">
        <v>4</v>
      </c>
      <c r="AC209" s="3" t="s">
        <v>4693</v>
      </c>
      <c r="AD209" t="s">
        <v>4</v>
      </c>
      <c r="AE209" t="s">
        <v>4694</v>
      </c>
      <c r="AF209" t="s">
        <v>4695</v>
      </c>
      <c r="AG209" t="s">
        <v>2043</v>
      </c>
      <c r="AH209" t="s">
        <v>112</v>
      </c>
      <c r="AJ209" t="s">
        <v>4696</v>
      </c>
      <c r="AU209" t="s">
        <v>112</v>
      </c>
      <c r="AV209" t="s">
        <v>4697</v>
      </c>
      <c r="AW209" t="s">
        <v>114</v>
      </c>
      <c r="AX209" t="s">
        <v>132</v>
      </c>
      <c r="AY209" t="s">
        <v>4698</v>
      </c>
      <c r="AZ209" t="s">
        <v>4</v>
      </c>
      <c r="BA209" s="3" t="s">
        <v>95</v>
      </c>
      <c r="BB209" t="s">
        <v>96</v>
      </c>
      <c r="BC209" s="3" t="s">
        <v>95</v>
      </c>
      <c r="BD209" t="s">
        <v>4</v>
      </c>
      <c r="BE209">
        <v>5543</v>
      </c>
      <c r="BF209" t="s">
        <v>386</v>
      </c>
      <c r="BG209">
        <v>71.477699999999999</v>
      </c>
      <c r="BI209">
        <v>92.611699999999999</v>
      </c>
      <c r="BJ209">
        <v>85.395200000000003</v>
      </c>
      <c r="BK209">
        <v>79.381399999999999</v>
      </c>
      <c r="BM209">
        <v>74.7423</v>
      </c>
      <c r="BN209">
        <v>75.085899999999995</v>
      </c>
      <c r="BO209">
        <v>75.085899999999995</v>
      </c>
      <c r="BQ209">
        <v>35.910699999999999</v>
      </c>
      <c r="BR209">
        <v>38.316200000000002</v>
      </c>
      <c r="BW209">
        <v>30.756</v>
      </c>
      <c r="BX209">
        <v>34.707900000000002</v>
      </c>
      <c r="BY209">
        <v>32.302399999999999</v>
      </c>
      <c r="BZ209">
        <v>17.182099999999998</v>
      </c>
      <c r="CA209" t="s">
        <v>4699</v>
      </c>
      <c r="CC209">
        <v>22.3368</v>
      </c>
      <c r="CF209">
        <v>6.7010300000000003</v>
      </c>
      <c r="CH209">
        <v>20.962199999999999</v>
      </c>
      <c r="CI209">
        <v>24.7423</v>
      </c>
      <c r="CK209">
        <v>7</v>
      </c>
      <c r="CL209" t="s">
        <v>4</v>
      </c>
      <c r="CM209" t="s">
        <v>4700</v>
      </c>
      <c r="CN209" t="s">
        <v>4701</v>
      </c>
      <c r="CO209" t="s">
        <v>1523</v>
      </c>
      <c r="CP209" t="s">
        <v>100</v>
      </c>
      <c r="CQ209">
        <v>208</v>
      </c>
      <c r="CR209" t="s">
        <v>100</v>
      </c>
      <c r="CS209" t="s">
        <v>100</v>
      </c>
      <c r="CT209" t="s">
        <v>152</v>
      </c>
      <c r="CU209" t="s">
        <v>102</v>
      </c>
      <c r="CV209" t="s">
        <v>100</v>
      </c>
    </row>
    <row r="210" spans="1:100">
      <c r="A210" s="3" t="s">
        <v>4702</v>
      </c>
      <c r="B210" s="4" t="s">
        <v>4703</v>
      </c>
      <c r="C210">
        <v>81.859426189065204</v>
      </c>
      <c r="D210">
        <v>1070.07867354581</v>
      </c>
      <c r="E210">
        <f>-3.70581423735971</f>
        <v>-3.7058142373597098</v>
      </c>
      <c r="F210" s="5">
        <v>5.02487679232677E-29</v>
      </c>
      <c r="G210" t="s">
        <v>4</v>
      </c>
      <c r="H210">
        <v>81.859426189065204</v>
      </c>
      <c r="I210">
        <v>26.769007380588398</v>
      </c>
      <c r="J210">
        <v>1.64949306080448</v>
      </c>
      <c r="K210" s="5">
        <v>3.5269486495501603E-5</v>
      </c>
      <c r="L210" t="s">
        <v>4</v>
      </c>
      <c r="M210">
        <v>1070.07867354581</v>
      </c>
      <c r="N210">
        <v>26.769007380588398</v>
      </c>
      <c r="O210">
        <v>5.35530729816419</v>
      </c>
      <c r="P210" s="5">
        <v>2.9555411806306998E-47</v>
      </c>
      <c r="Q210" t="s">
        <v>4</v>
      </c>
      <c r="R210" s="4" t="s">
        <v>87</v>
      </c>
      <c r="S210" t="s">
        <v>4</v>
      </c>
      <c r="T210" t="s">
        <v>1974</v>
      </c>
      <c r="U210" t="s">
        <v>1975</v>
      </c>
      <c r="V210" t="s">
        <v>1976</v>
      </c>
      <c r="W210" t="s">
        <v>123</v>
      </c>
      <c r="X210" t="s">
        <v>4</v>
      </c>
      <c r="Y210" t="s">
        <v>1315</v>
      </c>
      <c r="Z210" t="s">
        <v>1316</v>
      </c>
      <c r="AA210" t="s">
        <v>1317</v>
      </c>
      <c r="AB210" t="s">
        <v>4</v>
      </c>
      <c r="AC210" s="3" t="s">
        <v>1318</v>
      </c>
      <c r="AD210" t="s">
        <v>4</v>
      </c>
      <c r="AE210" t="s">
        <v>4704</v>
      </c>
      <c r="AF210" t="s">
        <v>4705</v>
      </c>
      <c r="AG210" t="s">
        <v>4706</v>
      </c>
      <c r="AH210" t="s">
        <v>638</v>
      </c>
      <c r="AK210" t="s">
        <v>1322</v>
      </c>
      <c r="AL210" t="s">
        <v>4707</v>
      </c>
      <c r="AM210" t="s">
        <v>1324</v>
      </c>
      <c r="AQ210" t="s">
        <v>1325</v>
      </c>
      <c r="AU210" t="s">
        <v>112</v>
      </c>
      <c r="AV210" t="s">
        <v>4708</v>
      </c>
      <c r="AW210" t="s">
        <v>114</v>
      </c>
      <c r="AX210" t="s">
        <v>132</v>
      </c>
      <c r="AY210" t="s">
        <v>1327</v>
      </c>
      <c r="AZ210" t="s">
        <v>4</v>
      </c>
      <c r="BA210" s="3" t="s">
        <v>95</v>
      </c>
      <c r="BB210" s="6" t="s">
        <v>95</v>
      </c>
      <c r="BC210" s="3" t="s">
        <v>197</v>
      </c>
      <c r="BD210" t="s">
        <v>4</v>
      </c>
      <c r="BE210">
        <v>3762</v>
      </c>
      <c r="BF210" t="s">
        <v>112</v>
      </c>
      <c r="BG210">
        <v>97.096199999999996</v>
      </c>
      <c r="BH210">
        <v>50.816699999999997</v>
      </c>
      <c r="BI210">
        <v>93.466399999999993</v>
      </c>
      <c r="BJ210">
        <v>17.967300000000002</v>
      </c>
      <c r="BN210">
        <v>64.065299999999993</v>
      </c>
      <c r="BR210">
        <v>23.230499999999999</v>
      </c>
      <c r="BW210">
        <v>21.234100000000002</v>
      </c>
      <c r="BX210">
        <v>15.7895</v>
      </c>
      <c r="BZ210" t="s">
        <v>4709</v>
      </c>
      <c r="CA210">
        <v>21.415600000000001</v>
      </c>
      <c r="CK210">
        <v>5</v>
      </c>
      <c r="CL210" t="s">
        <v>4</v>
      </c>
      <c r="CM210" t="s">
        <v>4710</v>
      </c>
      <c r="CN210" t="s">
        <v>4711</v>
      </c>
      <c r="CO210" t="s">
        <v>663</v>
      </c>
      <c r="CP210" t="s">
        <v>100</v>
      </c>
      <c r="CQ210">
        <v>209</v>
      </c>
      <c r="CR210" t="s">
        <v>100</v>
      </c>
      <c r="CS210" s="7" t="s">
        <v>101</v>
      </c>
      <c r="CT210" t="s">
        <v>152</v>
      </c>
      <c r="CU210" t="s">
        <v>102</v>
      </c>
      <c r="CV210" t="s">
        <v>100</v>
      </c>
    </row>
    <row r="211" spans="1:100">
      <c r="A211" s="3" t="s">
        <v>4712</v>
      </c>
      <c r="B211" s="4" t="s">
        <v>4713</v>
      </c>
      <c r="C211">
        <v>397.10591519351101</v>
      </c>
      <c r="D211">
        <v>2096.1044607393201</v>
      </c>
      <c r="E211">
        <f>-2.40006357870921</f>
        <v>-2.4000635787092102</v>
      </c>
      <c r="F211" s="5">
        <v>2.7598120747709099E-15</v>
      </c>
      <c r="G211" t="s">
        <v>4</v>
      </c>
      <c r="H211">
        <v>397.10591519351101</v>
      </c>
      <c r="I211">
        <v>96.699546969275204</v>
      </c>
      <c r="J211">
        <v>2.0201170580607801</v>
      </c>
      <c r="K211" s="5">
        <v>2.4044356202103202E-10</v>
      </c>
      <c r="L211" t="s">
        <v>4</v>
      </c>
      <c r="M211">
        <v>2096.1044607393201</v>
      </c>
      <c r="N211">
        <v>96.699546969275204</v>
      </c>
      <c r="O211">
        <v>4.4201806367699898</v>
      </c>
      <c r="P211" s="5">
        <v>1.65997494354978E-46</v>
      </c>
      <c r="Q211" t="s">
        <v>4</v>
      </c>
      <c r="R211" s="4" t="s">
        <v>87</v>
      </c>
      <c r="S211" t="s">
        <v>4</v>
      </c>
      <c r="T211" t="s">
        <v>460</v>
      </c>
      <c r="U211" t="s">
        <v>461</v>
      </c>
      <c r="V211" t="s">
        <v>462</v>
      </c>
      <c r="W211" t="s">
        <v>123</v>
      </c>
      <c r="X211" t="s">
        <v>4</v>
      </c>
      <c r="Y211" t="s">
        <v>463</v>
      </c>
      <c r="Z211" t="s">
        <v>464</v>
      </c>
      <c r="AA211" t="s">
        <v>465</v>
      </c>
      <c r="AB211" t="s">
        <v>4</v>
      </c>
      <c r="AC211" s="3" t="s">
        <v>4714</v>
      </c>
      <c r="AD211" t="s">
        <v>4</v>
      </c>
      <c r="AE211" t="s">
        <v>4715</v>
      </c>
      <c r="AF211" t="s">
        <v>4716</v>
      </c>
      <c r="AG211" t="s">
        <v>4717</v>
      </c>
      <c r="AH211" t="s">
        <v>112</v>
      </c>
      <c r="AU211" t="s">
        <v>112</v>
      </c>
      <c r="AV211" t="s">
        <v>4718</v>
      </c>
      <c r="AW211" t="s">
        <v>114</v>
      </c>
      <c r="AX211" t="s">
        <v>144</v>
      </c>
      <c r="AY211" t="s">
        <v>471</v>
      </c>
      <c r="AZ211" t="s">
        <v>4</v>
      </c>
      <c r="BA211" s="3" t="s">
        <v>95</v>
      </c>
      <c r="BB211" s="6" t="s">
        <v>95</v>
      </c>
      <c r="BC211" s="3" t="s">
        <v>95</v>
      </c>
      <c r="BD211" t="s">
        <v>4</v>
      </c>
      <c r="BE211">
        <v>4980</v>
      </c>
      <c r="BF211" t="s">
        <v>282</v>
      </c>
      <c r="BG211">
        <v>55.628300000000003</v>
      </c>
      <c r="BH211">
        <v>50.392699999999998</v>
      </c>
      <c r="BI211">
        <v>87.565399999999997</v>
      </c>
      <c r="BJ211">
        <v>40.706800000000001</v>
      </c>
      <c r="BK211">
        <v>66.492099999999994</v>
      </c>
      <c r="BM211">
        <v>44.633499999999998</v>
      </c>
      <c r="BN211">
        <v>79.581199999999995</v>
      </c>
      <c r="BO211">
        <v>75</v>
      </c>
      <c r="BP211">
        <v>26.570699999999999</v>
      </c>
      <c r="CB211">
        <v>25.9162</v>
      </c>
      <c r="CC211">
        <v>19.895299999999999</v>
      </c>
      <c r="CD211">
        <v>15.8377</v>
      </c>
      <c r="CK211">
        <v>6</v>
      </c>
      <c r="CL211" t="s">
        <v>4</v>
      </c>
      <c r="CM211" t="s">
        <v>98</v>
      </c>
      <c r="CN211" t="s">
        <v>98</v>
      </c>
      <c r="CO211" t="s">
        <v>99</v>
      </c>
      <c r="CP211" t="s">
        <v>100</v>
      </c>
      <c r="CQ211">
        <v>210</v>
      </c>
      <c r="CR211" t="s">
        <v>100</v>
      </c>
      <c r="CS211" t="s">
        <v>101</v>
      </c>
      <c r="CT211" t="s">
        <v>152</v>
      </c>
      <c r="CU211" t="s">
        <v>102</v>
      </c>
      <c r="CV211" t="s">
        <v>100</v>
      </c>
    </row>
    <row r="212" spans="1:100">
      <c r="A212" s="3" t="s">
        <v>4719</v>
      </c>
      <c r="B212" s="4" t="s">
        <v>4720</v>
      </c>
      <c r="C212">
        <v>665.89199141991799</v>
      </c>
      <c r="D212">
        <v>4629.6667202621802</v>
      </c>
      <c r="E212">
        <f>-2.79746225140395</f>
        <v>-2.79746225140395</v>
      </c>
      <c r="F212" s="5">
        <v>2.1916465765975301E-21</v>
      </c>
      <c r="G212" t="s">
        <v>4</v>
      </c>
      <c r="H212">
        <v>665.89199141991799</v>
      </c>
      <c r="I212">
        <v>535.92746407545997</v>
      </c>
      <c r="J212">
        <v>0.31247843920527102</v>
      </c>
      <c r="K212">
        <v>0.345438765320146</v>
      </c>
      <c r="L212" t="s">
        <v>4</v>
      </c>
      <c r="M212">
        <v>4629.6667202621802</v>
      </c>
      <c r="N212">
        <v>535.92746407545997</v>
      </c>
      <c r="O212">
        <v>3.10994069060922</v>
      </c>
      <c r="P212" s="5">
        <v>9.9336281666229702E-27</v>
      </c>
      <c r="Q212" t="s">
        <v>4</v>
      </c>
      <c r="R212" s="4" t="s">
        <v>87</v>
      </c>
      <c r="S212" t="s">
        <v>4</v>
      </c>
      <c r="T212" t="s">
        <v>4721</v>
      </c>
      <c r="U212" t="s">
        <v>4722</v>
      </c>
      <c r="V212" t="s">
        <v>4723</v>
      </c>
      <c r="W212" t="s">
        <v>1845</v>
      </c>
      <c r="X212" t="s">
        <v>4</v>
      </c>
      <c r="Y212" t="s">
        <v>4724</v>
      </c>
      <c r="Z212" t="s">
        <v>4725</v>
      </c>
      <c r="AA212" t="s">
        <v>4726</v>
      </c>
      <c r="AB212" t="s">
        <v>4</v>
      </c>
      <c r="AC212" s="3" t="s">
        <v>4727</v>
      </c>
      <c r="AD212" t="s">
        <v>4</v>
      </c>
      <c r="AE212" t="s">
        <v>4728</v>
      </c>
      <c r="AF212" t="s">
        <v>4729</v>
      </c>
      <c r="AG212" t="s">
        <v>4730</v>
      </c>
      <c r="AH212" t="s">
        <v>112</v>
      </c>
      <c r="AL212" t="s">
        <v>4731</v>
      </c>
      <c r="AM212" t="s">
        <v>4732</v>
      </c>
      <c r="AQ212" t="s">
        <v>2941</v>
      </c>
      <c r="AR212" t="s">
        <v>4733</v>
      </c>
      <c r="AU212" t="s">
        <v>112</v>
      </c>
      <c r="AV212" t="s">
        <v>4734</v>
      </c>
      <c r="AW212" t="s">
        <v>114</v>
      </c>
      <c r="AX212" t="s">
        <v>596</v>
      </c>
      <c r="AY212" t="s">
        <v>4735</v>
      </c>
      <c r="AZ212" t="s">
        <v>4</v>
      </c>
      <c r="BA212" s="3" t="s">
        <v>115</v>
      </c>
      <c r="BB212" t="s">
        <v>96</v>
      </c>
      <c r="BC212" s="3" t="s">
        <v>95</v>
      </c>
      <c r="BD212" t="s">
        <v>4</v>
      </c>
      <c r="BE212">
        <v>1904</v>
      </c>
      <c r="BF212" t="s">
        <v>148</v>
      </c>
      <c r="BG212">
        <v>96.959500000000006</v>
      </c>
      <c r="BH212">
        <v>98.648700000000005</v>
      </c>
      <c r="BI212">
        <v>85.472999999999999</v>
      </c>
      <c r="BJ212">
        <v>61.824300000000001</v>
      </c>
      <c r="BK212">
        <v>51.013500000000001</v>
      </c>
      <c r="BL212">
        <v>20.6081</v>
      </c>
      <c r="BM212" t="s">
        <v>4736</v>
      </c>
      <c r="BN212">
        <v>57.0946</v>
      </c>
      <c r="BO212">
        <v>55.743200000000002</v>
      </c>
      <c r="CK212">
        <v>3</v>
      </c>
      <c r="CL212" t="s">
        <v>4</v>
      </c>
      <c r="CM212" t="s">
        <v>98</v>
      </c>
      <c r="CN212" t="s">
        <v>98</v>
      </c>
      <c r="CO212" t="s">
        <v>99</v>
      </c>
      <c r="CP212" t="s">
        <v>100</v>
      </c>
      <c r="CQ212">
        <v>211</v>
      </c>
      <c r="CR212" t="s">
        <v>100</v>
      </c>
      <c r="CS212" t="s">
        <v>100</v>
      </c>
      <c r="CT212" t="s">
        <v>152</v>
      </c>
      <c r="CU212" t="s">
        <v>102</v>
      </c>
      <c r="CV212" t="s">
        <v>100</v>
      </c>
    </row>
    <row r="213" spans="1:100">
      <c r="A213" s="3" t="s">
        <v>4737</v>
      </c>
      <c r="B213" s="4" t="s">
        <v>4738</v>
      </c>
      <c r="C213">
        <v>252.687548018238</v>
      </c>
      <c r="D213">
        <v>2038.71519074299</v>
      </c>
      <c r="E213">
        <f>-3.01195914051498</f>
        <v>-3.0119591405149801</v>
      </c>
      <c r="F213" s="5">
        <v>4.1047376992851201E-12</v>
      </c>
      <c r="G213" t="s">
        <v>4</v>
      </c>
      <c r="H213">
        <v>252.687548018238</v>
      </c>
      <c r="I213">
        <v>176.20182776772799</v>
      </c>
      <c r="J213">
        <v>0.52242396793277701</v>
      </c>
      <c r="K213">
        <v>0.27627841695210997</v>
      </c>
      <c r="L213" t="s">
        <v>4</v>
      </c>
      <c r="M213">
        <v>2038.71519074299</v>
      </c>
      <c r="N213">
        <v>176.20182776772799</v>
      </c>
      <c r="O213">
        <v>3.5343831084477602</v>
      </c>
      <c r="P213" s="5">
        <v>1.17826120052411E-16</v>
      </c>
      <c r="Q213" t="s">
        <v>4</v>
      </c>
      <c r="R213" s="4" t="s">
        <v>87</v>
      </c>
      <c r="S213" t="s">
        <v>4</v>
      </c>
      <c r="T213" t="s">
        <v>1261</v>
      </c>
      <c r="U213" t="s">
        <v>1262</v>
      </c>
      <c r="V213" t="s">
        <v>1263</v>
      </c>
      <c r="W213" t="s">
        <v>328</v>
      </c>
      <c r="X213" t="s">
        <v>4</v>
      </c>
      <c r="Y213" t="s">
        <v>3338</v>
      </c>
      <c r="Z213" t="s">
        <v>3339</v>
      </c>
      <c r="AA213" t="s">
        <v>3340</v>
      </c>
      <c r="AB213" t="s">
        <v>4</v>
      </c>
      <c r="AC213" s="3" t="s">
        <v>4739</v>
      </c>
      <c r="AD213" t="s">
        <v>4</v>
      </c>
      <c r="AE213" s="4" t="s">
        <v>94</v>
      </c>
      <c r="AZ213" t="s">
        <v>4</v>
      </c>
      <c r="BA213" s="3" t="s">
        <v>115</v>
      </c>
      <c r="BB213" s="6" t="s">
        <v>95</v>
      </c>
      <c r="BC213" s="3" t="s">
        <v>95</v>
      </c>
      <c r="BD213" t="s">
        <v>4</v>
      </c>
      <c r="BE213">
        <v>5556</v>
      </c>
      <c r="BF213" t="s">
        <v>386</v>
      </c>
      <c r="BG213">
        <v>98.305099999999996</v>
      </c>
      <c r="BH213">
        <v>99.661000000000001</v>
      </c>
      <c r="BI213">
        <v>92.090400000000002</v>
      </c>
      <c r="BJ213">
        <v>4.5197700000000003</v>
      </c>
      <c r="BK213">
        <v>44.406799999999997</v>
      </c>
      <c r="BM213">
        <v>8.7005700000000008</v>
      </c>
      <c r="BN213">
        <v>6.8926600000000002</v>
      </c>
      <c r="BO213">
        <v>67.570599999999999</v>
      </c>
      <c r="BP213">
        <v>12.994400000000001</v>
      </c>
      <c r="BS213">
        <v>9.6045200000000008</v>
      </c>
      <c r="BV213">
        <v>3.9548000000000001</v>
      </c>
      <c r="BW213">
        <v>7.9096000000000002</v>
      </c>
      <c r="BZ213">
        <v>8.1355900000000005</v>
      </c>
      <c r="CA213">
        <v>11.638400000000001</v>
      </c>
      <c r="CB213">
        <v>9.0395500000000002</v>
      </c>
      <c r="CK213">
        <v>7</v>
      </c>
      <c r="CL213" t="s">
        <v>4</v>
      </c>
      <c r="CM213" t="s">
        <v>3356</v>
      </c>
      <c r="CN213" t="s">
        <v>4740</v>
      </c>
      <c r="CO213" t="s">
        <v>1218</v>
      </c>
      <c r="CP213" t="s">
        <v>100</v>
      </c>
      <c r="CQ213">
        <v>212</v>
      </c>
      <c r="CR213" t="s">
        <v>100</v>
      </c>
      <c r="CS213" t="s">
        <v>100</v>
      </c>
      <c r="CT213" t="s">
        <v>152</v>
      </c>
      <c r="CU213" t="s">
        <v>102</v>
      </c>
      <c r="CV213" t="s">
        <v>100</v>
      </c>
    </row>
    <row r="214" spans="1:100">
      <c r="A214" s="3" t="s">
        <v>4741</v>
      </c>
      <c r="B214" s="4" t="s">
        <v>4742</v>
      </c>
      <c r="C214">
        <v>1251.72376719004</v>
      </c>
      <c r="D214">
        <v>9119.1966919891001</v>
      </c>
      <c r="E214">
        <f>-2.86470761756363</f>
        <v>-2.8647076175636301</v>
      </c>
      <c r="F214" s="5">
        <v>1.0058834210905201E-50</v>
      </c>
      <c r="G214" t="s">
        <v>4</v>
      </c>
      <c r="H214">
        <v>1251.72376719004</v>
      </c>
      <c r="I214">
        <v>340.67194401564802</v>
      </c>
      <c r="J214">
        <v>1.87113380142071</v>
      </c>
      <c r="K214" s="5">
        <v>4.24637628910549E-21</v>
      </c>
      <c r="L214" t="s">
        <v>4</v>
      </c>
      <c r="M214">
        <v>9119.1966919891001</v>
      </c>
      <c r="N214">
        <v>340.67194401564802</v>
      </c>
      <c r="O214">
        <v>4.7358414189843403</v>
      </c>
      <c r="P214" s="5">
        <v>2.3523921042997101E-131</v>
      </c>
      <c r="Q214" t="s">
        <v>4</v>
      </c>
      <c r="R214" s="4" t="s">
        <v>87</v>
      </c>
      <c r="S214" t="s">
        <v>4</v>
      </c>
      <c r="T214" t="s">
        <v>4635</v>
      </c>
      <c r="U214" t="s">
        <v>4636</v>
      </c>
      <c r="V214" t="s">
        <v>4637</v>
      </c>
      <c r="W214" t="s">
        <v>507</v>
      </c>
      <c r="X214" t="s">
        <v>4</v>
      </c>
      <c r="Y214" t="s">
        <v>4743</v>
      </c>
      <c r="Z214" t="s">
        <v>4744</v>
      </c>
      <c r="AA214" t="s">
        <v>4745</v>
      </c>
      <c r="AB214" t="s">
        <v>4</v>
      </c>
      <c r="AC214" s="3" t="s">
        <v>2650</v>
      </c>
      <c r="AD214" t="s">
        <v>4</v>
      </c>
      <c r="AE214" t="s">
        <v>4746</v>
      </c>
      <c r="AF214" t="s">
        <v>4747</v>
      </c>
      <c r="AG214" t="s">
        <v>4748</v>
      </c>
      <c r="AH214" t="s">
        <v>112</v>
      </c>
      <c r="AU214" t="s">
        <v>112</v>
      </c>
      <c r="AV214" t="s">
        <v>4749</v>
      </c>
      <c r="AW214" t="s">
        <v>114</v>
      </c>
      <c r="AX214" t="s">
        <v>596</v>
      </c>
      <c r="AY214" t="s">
        <v>4750</v>
      </c>
      <c r="AZ214" t="s">
        <v>4</v>
      </c>
      <c r="BA214" s="3" t="s">
        <v>115</v>
      </c>
      <c r="BB214" t="s">
        <v>96</v>
      </c>
      <c r="BC214" s="3" t="s">
        <v>95</v>
      </c>
      <c r="BD214" t="s">
        <v>4</v>
      </c>
      <c r="BE214">
        <v>2551</v>
      </c>
      <c r="BF214" t="s">
        <v>97</v>
      </c>
      <c r="BG214">
        <v>92.974199999999996</v>
      </c>
      <c r="BH214">
        <v>89.929699999999997</v>
      </c>
      <c r="BI214">
        <v>87.822000000000003</v>
      </c>
      <c r="BJ214">
        <v>69.320800000000006</v>
      </c>
      <c r="BK214">
        <v>32.084299999999999</v>
      </c>
      <c r="BL214">
        <v>59.016399999999997</v>
      </c>
      <c r="BM214" t="s">
        <v>4751</v>
      </c>
      <c r="BN214" t="s">
        <v>4752</v>
      </c>
      <c r="CK214">
        <v>4</v>
      </c>
      <c r="CL214" t="s">
        <v>4</v>
      </c>
      <c r="CM214" t="s">
        <v>98</v>
      </c>
      <c r="CN214" t="s">
        <v>98</v>
      </c>
      <c r="CO214" t="s">
        <v>99</v>
      </c>
      <c r="CP214" t="s">
        <v>100</v>
      </c>
      <c r="CQ214">
        <v>213</v>
      </c>
      <c r="CR214" t="s">
        <v>100</v>
      </c>
      <c r="CS214" s="7" t="s">
        <v>101</v>
      </c>
      <c r="CT214" t="s">
        <v>152</v>
      </c>
      <c r="CU214" t="s">
        <v>102</v>
      </c>
      <c r="CV214" t="s">
        <v>100</v>
      </c>
    </row>
    <row r="215" spans="1:100">
      <c r="A215" s="3" t="s">
        <v>4753</v>
      </c>
      <c r="B215" s="4" t="s">
        <v>4754</v>
      </c>
      <c r="C215">
        <v>60.892401326022402</v>
      </c>
      <c r="D215">
        <v>469.61461333641699</v>
      </c>
      <c r="E215">
        <f>-2.94681666961477</f>
        <v>-2.94681666961477</v>
      </c>
      <c r="F215" s="5">
        <v>2.8276889767872299E-9</v>
      </c>
      <c r="G215" t="s">
        <v>4</v>
      </c>
      <c r="H215">
        <v>60.892401326022402</v>
      </c>
      <c r="I215">
        <v>13.2718401515406</v>
      </c>
      <c r="J215">
        <v>2.2101413457218699</v>
      </c>
      <c r="K215">
        <v>1.31439422535826E-4</v>
      </c>
      <c r="L215" t="s">
        <v>4</v>
      </c>
      <c r="M215">
        <v>469.61461333641699</v>
      </c>
      <c r="N215">
        <v>13.2718401515406</v>
      </c>
      <c r="O215">
        <v>5.1569580153366301</v>
      </c>
      <c r="P215" s="5">
        <v>2.79282662740746E-21</v>
      </c>
      <c r="Q215" t="s">
        <v>4</v>
      </c>
      <c r="R215" s="4" t="s">
        <v>87</v>
      </c>
      <c r="S215" t="s">
        <v>4</v>
      </c>
      <c r="T215" t="s">
        <v>92</v>
      </c>
      <c r="U215" t="s">
        <v>92</v>
      </c>
      <c r="V215" t="s">
        <v>92</v>
      </c>
      <c r="W215" t="s">
        <v>92</v>
      </c>
      <c r="X215" t="s">
        <v>4</v>
      </c>
      <c r="Y215" t="s">
        <v>4755</v>
      </c>
      <c r="Z215" t="s">
        <v>4756</v>
      </c>
      <c r="AA215" t="s">
        <v>4757</v>
      </c>
      <c r="AB215" t="s">
        <v>4</v>
      </c>
      <c r="AC215" s="3" t="s">
        <v>4758</v>
      </c>
      <c r="AD215" t="s">
        <v>4</v>
      </c>
      <c r="AE215" t="s">
        <v>4759</v>
      </c>
      <c r="AF215" t="s">
        <v>4760</v>
      </c>
      <c r="AG215" t="s">
        <v>4761</v>
      </c>
      <c r="AH215" t="s">
        <v>112</v>
      </c>
      <c r="AU215" t="s">
        <v>112</v>
      </c>
      <c r="AV215" t="s">
        <v>4762</v>
      </c>
      <c r="AW215" t="s">
        <v>114</v>
      </c>
      <c r="AX215" t="s">
        <v>144</v>
      </c>
      <c r="AY215" t="s">
        <v>4763</v>
      </c>
      <c r="AZ215" t="s">
        <v>4</v>
      </c>
      <c r="BA215" s="3" t="s">
        <v>95</v>
      </c>
      <c r="BB215" s="6" t="s">
        <v>95</v>
      </c>
      <c r="BC215" s="3" t="s">
        <v>95</v>
      </c>
      <c r="BD215" t="s">
        <v>4</v>
      </c>
      <c r="BE215">
        <v>1907</v>
      </c>
      <c r="BF215" t="s">
        <v>148</v>
      </c>
      <c r="BG215">
        <v>97.762900000000002</v>
      </c>
      <c r="BH215">
        <v>73.601799999999997</v>
      </c>
      <c r="BJ215">
        <v>66.666700000000006</v>
      </c>
      <c r="BK215">
        <v>41.387</v>
      </c>
      <c r="BL215">
        <v>50.783000000000001</v>
      </c>
      <c r="BM215">
        <v>57.046999999999997</v>
      </c>
      <c r="BN215">
        <v>57.270699999999998</v>
      </c>
      <c r="BO215">
        <v>58.389299999999999</v>
      </c>
      <c r="CK215">
        <v>3</v>
      </c>
      <c r="CL215" t="s">
        <v>4</v>
      </c>
      <c r="CM215" t="s">
        <v>98</v>
      </c>
      <c r="CN215" t="s">
        <v>98</v>
      </c>
      <c r="CO215" t="s">
        <v>99</v>
      </c>
      <c r="CP215" t="s">
        <v>100</v>
      </c>
      <c r="CQ215">
        <v>214</v>
      </c>
      <c r="CR215" t="s">
        <v>100</v>
      </c>
      <c r="CS215" t="s">
        <v>101</v>
      </c>
      <c r="CT215" t="s">
        <v>152</v>
      </c>
      <c r="CU215" t="s">
        <v>102</v>
      </c>
      <c r="CV215" t="s">
        <v>100</v>
      </c>
    </row>
    <row r="216" spans="1:100">
      <c r="A216" s="3" t="s">
        <v>4764</v>
      </c>
      <c r="B216" s="4" t="s">
        <v>4765</v>
      </c>
      <c r="C216">
        <v>489.15300347922101</v>
      </c>
      <c r="D216">
        <v>3673.83673829497</v>
      </c>
      <c r="E216">
        <f>-2.90811137063109</f>
        <v>-2.9081113706310902</v>
      </c>
      <c r="F216" s="5">
        <v>7.2356257901455095E-35</v>
      </c>
      <c r="G216" t="s">
        <v>4</v>
      </c>
      <c r="H216">
        <v>489.15300347922101</v>
      </c>
      <c r="I216">
        <v>302.85624641331702</v>
      </c>
      <c r="J216">
        <v>0.68482049241957899</v>
      </c>
      <c r="K216">
        <v>7.6855354022349696E-3</v>
      </c>
      <c r="L216" t="s">
        <v>4</v>
      </c>
      <c r="M216">
        <v>3673.83673829497</v>
      </c>
      <c r="N216">
        <v>302.85624641331702</v>
      </c>
      <c r="O216">
        <v>3.5929318630506701</v>
      </c>
      <c r="P216" s="5">
        <v>3.5728099951642798E-52</v>
      </c>
      <c r="Q216" t="s">
        <v>4</v>
      </c>
      <c r="R216" s="4" t="s">
        <v>87</v>
      </c>
      <c r="S216" t="s">
        <v>4</v>
      </c>
      <c r="T216" t="s">
        <v>92</v>
      </c>
      <c r="U216" t="s">
        <v>92</v>
      </c>
      <c r="V216" t="s">
        <v>92</v>
      </c>
      <c r="W216" t="s">
        <v>92</v>
      </c>
      <c r="X216" t="s">
        <v>4</v>
      </c>
      <c r="Y216" t="s">
        <v>92</v>
      </c>
      <c r="Z216" t="s">
        <v>92</v>
      </c>
      <c r="AA216" t="s">
        <v>92</v>
      </c>
      <c r="AB216" t="s">
        <v>4</v>
      </c>
      <c r="AC216" s="3" t="s">
        <v>93</v>
      </c>
      <c r="AD216" t="s">
        <v>4</v>
      </c>
      <c r="AE216" t="s">
        <v>4766</v>
      </c>
      <c r="AF216" t="s">
        <v>4767</v>
      </c>
      <c r="AG216" t="s">
        <v>1714</v>
      </c>
      <c r="AH216" t="s">
        <v>112</v>
      </c>
      <c r="AU216" t="s">
        <v>112</v>
      </c>
      <c r="AV216" t="s">
        <v>4768</v>
      </c>
      <c r="AW216" t="s">
        <v>114</v>
      </c>
      <c r="AZ216" t="s">
        <v>4</v>
      </c>
      <c r="BA216" s="3" t="s">
        <v>95</v>
      </c>
      <c r="BB216" s="6" t="s">
        <v>95</v>
      </c>
      <c r="BC216" s="3" t="s">
        <v>95</v>
      </c>
      <c r="BD216" t="s">
        <v>4</v>
      </c>
      <c r="BE216">
        <v>5000</v>
      </c>
      <c r="BF216" t="s">
        <v>282</v>
      </c>
      <c r="BG216">
        <v>99.438199999999995</v>
      </c>
      <c r="BH216">
        <v>95.505600000000001</v>
      </c>
      <c r="BI216" t="s">
        <v>4769</v>
      </c>
      <c r="BJ216">
        <v>78.0899</v>
      </c>
      <c r="BK216">
        <v>75.842699999999994</v>
      </c>
      <c r="BL216">
        <v>40.449399999999997</v>
      </c>
      <c r="BM216">
        <v>37.921300000000002</v>
      </c>
      <c r="BN216">
        <v>69.943799999999996</v>
      </c>
      <c r="BO216">
        <v>71.9101</v>
      </c>
      <c r="BP216">
        <v>28.932600000000001</v>
      </c>
      <c r="BR216">
        <v>32.584299999999999</v>
      </c>
      <c r="BS216">
        <v>30.0562</v>
      </c>
      <c r="BV216" t="s">
        <v>4770</v>
      </c>
      <c r="CC216">
        <v>19.101099999999999</v>
      </c>
      <c r="CD216">
        <v>18.539300000000001</v>
      </c>
      <c r="CK216">
        <v>6</v>
      </c>
      <c r="CL216" t="s">
        <v>4</v>
      </c>
      <c r="CM216" t="s">
        <v>98</v>
      </c>
      <c r="CN216" t="s">
        <v>98</v>
      </c>
      <c r="CO216" t="s">
        <v>99</v>
      </c>
      <c r="CP216" t="s">
        <v>100</v>
      </c>
      <c r="CQ216">
        <v>215</v>
      </c>
      <c r="CR216" t="s">
        <v>100</v>
      </c>
      <c r="CS216" t="s">
        <v>100</v>
      </c>
      <c r="CT216" t="s">
        <v>152</v>
      </c>
      <c r="CU216" t="s">
        <v>102</v>
      </c>
      <c r="CV216" t="s">
        <v>100</v>
      </c>
    </row>
    <row r="217" spans="1:100">
      <c r="A217" s="3" t="s">
        <v>4771</v>
      </c>
      <c r="B217" s="4" t="s">
        <v>4772</v>
      </c>
      <c r="C217">
        <v>221.34706718977799</v>
      </c>
      <c r="D217">
        <v>972.35704808510297</v>
      </c>
      <c r="E217">
        <f>-2.13495496078826</f>
        <v>-2.1349549607882601</v>
      </c>
      <c r="F217" s="5">
        <v>1.0706490985163601E-12</v>
      </c>
      <c r="G217" t="s">
        <v>4</v>
      </c>
      <c r="H217">
        <v>221.34706718977799</v>
      </c>
      <c r="I217">
        <v>140.73498772767499</v>
      </c>
      <c r="J217">
        <v>0.66445086386170105</v>
      </c>
      <c r="K217">
        <v>4.2938741898803499E-2</v>
      </c>
      <c r="L217" t="s">
        <v>4</v>
      </c>
      <c r="M217">
        <v>972.35704808510297</v>
      </c>
      <c r="N217">
        <v>140.73498772767499</v>
      </c>
      <c r="O217">
        <v>2.79940582464996</v>
      </c>
      <c r="P217" s="5">
        <v>8.5843834705838897E-21</v>
      </c>
      <c r="Q217" t="s">
        <v>4</v>
      </c>
      <c r="R217" s="4" t="s">
        <v>87</v>
      </c>
      <c r="S217" t="s">
        <v>4</v>
      </c>
      <c r="T217" t="s">
        <v>4057</v>
      </c>
      <c r="U217" t="s">
        <v>4058</v>
      </c>
      <c r="V217" t="s">
        <v>4059</v>
      </c>
      <c r="W217" t="s">
        <v>203</v>
      </c>
      <c r="X217" t="s">
        <v>4</v>
      </c>
      <c r="Y217" t="s">
        <v>4060</v>
      </c>
      <c r="Z217" t="s">
        <v>4061</v>
      </c>
      <c r="AA217" t="s">
        <v>4062</v>
      </c>
      <c r="AB217" t="s">
        <v>4</v>
      </c>
      <c r="AC217" s="3" t="s">
        <v>4773</v>
      </c>
      <c r="AD217" t="s">
        <v>4</v>
      </c>
      <c r="AE217" t="s">
        <v>4774</v>
      </c>
      <c r="AF217" t="s">
        <v>4775</v>
      </c>
      <c r="AG217" t="s">
        <v>4776</v>
      </c>
      <c r="AH217" t="s">
        <v>112</v>
      </c>
      <c r="AI217" t="s">
        <v>4777</v>
      </c>
      <c r="AK217" t="s">
        <v>4778</v>
      </c>
      <c r="AL217" t="s">
        <v>4779</v>
      </c>
      <c r="AQ217" t="s">
        <v>4780</v>
      </c>
      <c r="AU217" t="s">
        <v>112</v>
      </c>
      <c r="AV217" t="s">
        <v>4781</v>
      </c>
      <c r="AW217" t="s">
        <v>114</v>
      </c>
      <c r="AX217" t="s">
        <v>536</v>
      </c>
      <c r="AY217" t="s">
        <v>2072</v>
      </c>
      <c r="AZ217" t="s">
        <v>4</v>
      </c>
      <c r="BA217" s="3" t="s">
        <v>95</v>
      </c>
      <c r="BB217" s="6" t="s">
        <v>95</v>
      </c>
      <c r="BC217" s="3" t="s">
        <v>197</v>
      </c>
      <c r="BD217" t="s">
        <v>4</v>
      </c>
      <c r="BE217">
        <v>5001</v>
      </c>
      <c r="BF217" t="s">
        <v>282</v>
      </c>
      <c r="BG217">
        <v>84.271799999999999</v>
      </c>
      <c r="BH217">
        <v>13.980600000000001</v>
      </c>
      <c r="BI217">
        <v>90.485399999999998</v>
      </c>
      <c r="BJ217">
        <v>67.961200000000005</v>
      </c>
      <c r="BK217">
        <v>55.533999999999999</v>
      </c>
      <c r="BL217">
        <v>67.961200000000005</v>
      </c>
      <c r="BM217">
        <v>69.320400000000006</v>
      </c>
      <c r="BN217">
        <v>69.320400000000006</v>
      </c>
      <c r="BO217">
        <v>59.223300000000002</v>
      </c>
      <c r="BP217">
        <v>12.427199999999999</v>
      </c>
      <c r="BQ217">
        <v>41.941699999999997</v>
      </c>
      <c r="BR217">
        <v>36.698999999999998</v>
      </c>
      <c r="BS217">
        <v>34.757300000000001</v>
      </c>
      <c r="BT217">
        <v>33.7864</v>
      </c>
      <c r="BU217">
        <v>17.281600000000001</v>
      </c>
      <c r="BV217" t="s">
        <v>4782</v>
      </c>
      <c r="BW217">
        <v>40.9709</v>
      </c>
      <c r="BX217">
        <v>15.1456</v>
      </c>
      <c r="BY217">
        <v>24.466000000000001</v>
      </c>
      <c r="BZ217">
        <v>41.747599999999998</v>
      </c>
      <c r="CA217">
        <v>41.941699999999997</v>
      </c>
      <c r="CB217">
        <v>16.116499999999998</v>
      </c>
      <c r="CC217">
        <v>29.320399999999999</v>
      </c>
      <c r="CD217" t="s">
        <v>4783</v>
      </c>
      <c r="CK217">
        <v>6</v>
      </c>
      <c r="CL217" t="s">
        <v>4</v>
      </c>
      <c r="CM217" t="s">
        <v>4784</v>
      </c>
      <c r="CN217" t="s">
        <v>4785</v>
      </c>
      <c r="CO217" t="s">
        <v>99</v>
      </c>
      <c r="CP217" t="s">
        <v>100</v>
      </c>
      <c r="CQ217">
        <v>216</v>
      </c>
      <c r="CR217" t="s">
        <v>100</v>
      </c>
      <c r="CS217" t="s">
        <v>100</v>
      </c>
      <c r="CT217" t="s">
        <v>152</v>
      </c>
      <c r="CU217" t="s">
        <v>102</v>
      </c>
      <c r="CV217" t="s">
        <v>100</v>
      </c>
    </row>
    <row r="218" spans="1:100">
      <c r="A218" s="3" t="s">
        <v>4786</v>
      </c>
      <c r="B218" s="4" t="s">
        <v>4787</v>
      </c>
      <c r="C218">
        <v>32.243101956463903</v>
      </c>
      <c r="D218">
        <v>264.86598351664901</v>
      </c>
      <c r="E218">
        <f>-3.03340538843113</f>
        <v>-3.0334053884311301</v>
      </c>
      <c r="F218" s="5">
        <v>3.51360831975841E-5</v>
      </c>
      <c r="G218" t="s">
        <v>4</v>
      </c>
      <c r="H218">
        <v>32.243101956463903</v>
      </c>
      <c r="I218">
        <v>22.834469049704001</v>
      </c>
      <c r="J218">
        <v>0.48949059456803301</v>
      </c>
      <c r="K218">
        <v>0.55749886180371599</v>
      </c>
      <c r="L218" t="s">
        <v>4</v>
      </c>
      <c r="M218">
        <v>264.86598351664901</v>
      </c>
      <c r="N218">
        <v>22.834469049704001</v>
      </c>
      <c r="O218">
        <v>3.52289598299916</v>
      </c>
      <c r="P218" s="5">
        <v>1.1126449490191199E-6</v>
      </c>
      <c r="Q218" t="s">
        <v>4</v>
      </c>
      <c r="R218" s="4" t="s">
        <v>87</v>
      </c>
      <c r="S218" t="s">
        <v>4</v>
      </c>
      <c r="T218" t="s">
        <v>270</v>
      </c>
      <c r="U218" t="s">
        <v>271</v>
      </c>
      <c r="V218" t="s">
        <v>272</v>
      </c>
      <c r="W218" t="s">
        <v>203</v>
      </c>
      <c r="X218" t="s">
        <v>4</v>
      </c>
      <c r="Y218" t="s">
        <v>273</v>
      </c>
      <c r="Z218" t="s">
        <v>274</v>
      </c>
      <c r="AA218" t="s">
        <v>275</v>
      </c>
      <c r="AB218" t="s">
        <v>4</v>
      </c>
      <c r="AC218" s="3" t="s">
        <v>276</v>
      </c>
      <c r="AD218" t="s">
        <v>4</v>
      </c>
      <c r="AE218" t="s">
        <v>4788</v>
      </c>
      <c r="AF218" t="s">
        <v>4789</v>
      </c>
      <c r="AG218" t="s">
        <v>4790</v>
      </c>
      <c r="AH218" t="s">
        <v>112</v>
      </c>
      <c r="AK218" t="s">
        <v>4791</v>
      </c>
      <c r="AL218" t="s">
        <v>4792</v>
      </c>
      <c r="AQ218" t="s">
        <v>1458</v>
      </c>
      <c r="AU218" t="s">
        <v>112</v>
      </c>
      <c r="AV218" t="s">
        <v>4793</v>
      </c>
      <c r="AW218" t="s">
        <v>114</v>
      </c>
      <c r="AX218" t="s">
        <v>132</v>
      </c>
      <c r="AY218" t="s">
        <v>1908</v>
      </c>
      <c r="AZ218" t="s">
        <v>4</v>
      </c>
      <c r="BA218" s="3" t="s">
        <v>95</v>
      </c>
      <c r="BB218" s="6" t="s">
        <v>95</v>
      </c>
      <c r="BC218" s="3" t="s">
        <v>95</v>
      </c>
      <c r="BD218" t="s">
        <v>4</v>
      </c>
      <c r="BE218">
        <v>5004</v>
      </c>
      <c r="BF218" t="s">
        <v>282</v>
      </c>
      <c r="BG218">
        <v>90.845100000000002</v>
      </c>
      <c r="BI218">
        <v>88.732399999999998</v>
      </c>
      <c r="BJ218">
        <v>95.539900000000003</v>
      </c>
      <c r="BK218">
        <v>94.835700000000003</v>
      </c>
      <c r="BL218">
        <v>87.089200000000005</v>
      </c>
      <c r="BM218">
        <v>87.089200000000005</v>
      </c>
      <c r="BN218">
        <v>93.192499999999995</v>
      </c>
      <c r="BO218">
        <v>25.1174</v>
      </c>
      <c r="BP218">
        <v>77.464799999999997</v>
      </c>
      <c r="BX218" t="s">
        <v>4794</v>
      </c>
      <c r="BZ218" t="s">
        <v>4795</v>
      </c>
      <c r="CK218">
        <v>6</v>
      </c>
      <c r="CL218" t="s">
        <v>4</v>
      </c>
      <c r="CM218" t="s">
        <v>98</v>
      </c>
      <c r="CN218" t="s">
        <v>98</v>
      </c>
      <c r="CO218" t="s">
        <v>99</v>
      </c>
      <c r="CP218" t="s">
        <v>100</v>
      </c>
      <c r="CQ218">
        <v>217</v>
      </c>
      <c r="CR218" t="s">
        <v>100</v>
      </c>
      <c r="CS218" t="s">
        <v>100</v>
      </c>
      <c r="CT218" t="s">
        <v>152</v>
      </c>
      <c r="CU218" t="s">
        <v>102</v>
      </c>
      <c r="CV218" t="s">
        <v>100</v>
      </c>
    </row>
    <row r="219" spans="1:100">
      <c r="A219" s="3" t="s">
        <v>4796</v>
      </c>
      <c r="B219" s="4" t="s">
        <v>4797</v>
      </c>
      <c r="C219">
        <v>6378.8917840469803</v>
      </c>
      <c r="D219">
        <v>26862.284714969399</v>
      </c>
      <c r="E219">
        <f>-2.07420695560673</f>
        <v>-2.07420695560673</v>
      </c>
      <c r="F219" s="5">
        <v>7.8134222405360997E-19</v>
      </c>
      <c r="G219" t="s">
        <v>4</v>
      </c>
      <c r="H219">
        <v>6378.8917840469803</v>
      </c>
      <c r="I219">
        <v>1186.7111242516701</v>
      </c>
      <c r="J219">
        <v>2.4240891167943599</v>
      </c>
      <c r="K219" s="5">
        <v>1.00943904537638E-25</v>
      </c>
      <c r="L219" t="s">
        <v>4</v>
      </c>
      <c r="M219">
        <v>26862.284714969399</v>
      </c>
      <c r="N219">
        <v>1186.7111242516701</v>
      </c>
      <c r="O219">
        <v>4.4982960724010903</v>
      </c>
      <c r="P219" s="5">
        <v>1.48486244399294E-86</v>
      </c>
      <c r="Q219" t="s">
        <v>4</v>
      </c>
      <c r="R219" s="4" t="s">
        <v>87</v>
      </c>
      <c r="S219" t="s">
        <v>4</v>
      </c>
      <c r="T219" t="s">
        <v>4798</v>
      </c>
      <c r="U219" t="s">
        <v>4799</v>
      </c>
      <c r="V219" t="s">
        <v>4800</v>
      </c>
      <c r="W219" t="s">
        <v>328</v>
      </c>
      <c r="X219" t="s">
        <v>4</v>
      </c>
      <c r="Y219" t="s">
        <v>4801</v>
      </c>
      <c r="Z219" t="s">
        <v>4802</v>
      </c>
      <c r="AA219" t="s">
        <v>4803</v>
      </c>
      <c r="AB219" t="s">
        <v>4</v>
      </c>
      <c r="AC219" s="3" t="s">
        <v>4804</v>
      </c>
      <c r="AD219" t="s">
        <v>4</v>
      </c>
      <c r="AE219" t="s">
        <v>4805</v>
      </c>
      <c r="AF219" t="s">
        <v>4806</v>
      </c>
      <c r="AG219" t="s">
        <v>4807</v>
      </c>
      <c r="AH219" t="s">
        <v>112</v>
      </c>
      <c r="AJ219" t="s">
        <v>4808</v>
      </c>
      <c r="AL219" t="s">
        <v>4809</v>
      </c>
      <c r="AM219" t="s">
        <v>4810</v>
      </c>
      <c r="AQ219" t="s">
        <v>4811</v>
      </c>
      <c r="AU219" t="s">
        <v>112</v>
      </c>
      <c r="AV219" t="s">
        <v>4812</v>
      </c>
      <c r="AW219" t="s">
        <v>114</v>
      </c>
      <c r="AX219" t="s">
        <v>167</v>
      </c>
      <c r="AY219" t="s">
        <v>4813</v>
      </c>
      <c r="AZ219" t="s">
        <v>4</v>
      </c>
      <c r="BA219" s="3" t="s">
        <v>115</v>
      </c>
      <c r="BB219" s="6" t="s">
        <v>95</v>
      </c>
      <c r="BC219" s="3" t="s">
        <v>95</v>
      </c>
      <c r="BD219" t="s">
        <v>4</v>
      </c>
      <c r="BE219">
        <v>7124</v>
      </c>
      <c r="BF219" t="s">
        <v>213</v>
      </c>
      <c r="BG219">
        <v>98.525800000000004</v>
      </c>
      <c r="BH219">
        <v>42.997500000000002</v>
      </c>
      <c r="BI219">
        <v>94.3489</v>
      </c>
      <c r="BJ219">
        <v>83.292400000000001</v>
      </c>
      <c r="BK219">
        <v>78.624099999999999</v>
      </c>
      <c r="BM219" t="s">
        <v>4814</v>
      </c>
      <c r="BN219" t="s">
        <v>4815</v>
      </c>
      <c r="BO219">
        <v>77.887</v>
      </c>
      <c r="BP219">
        <v>32.186700000000002</v>
      </c>
      <c r="BQ219">
        <v>30.466799999999999</v>
      </c>
      <c r="BR219" t="s">
        <v>4816</v>
      </c>
      <c r="BS219" t="s">
        <v>4817</v>
      </c>
      <c r="BU219">
        <v>28.7469</v>
      </c>
      <c r="BV219" t="s">
        <v>4818</v>
      </c>
      <c r="BW219" t="s">
        <v>4819</v>
      </c>
      <c r="BX219">
        <v>36.609299999999998</v>
      </c>
      <c r="BZ219">
        <v>27.2727</v>
      </c>
      <c r="CA219">
        <v>29.9754</v>
      </c>
      <c r="CB219">
        <v>28.501200000000001</v>
      </c>
      <c r="CC219">
        <v>30.2211</v>
      </c>
      <c r="CD219">
        <v>28.501200000000001</v>
      </c>
      <c r="CE219">
        <v>14.742000000000001</v>
      </c>
      <c r="CF219">
        <v>29.484000000000002</v>
      </c>
      <c r="CG219">
        <v>24.078600000000002</v>
      </c>
      <c r="CH219">
        <v>22.113</v>
      </c>
      <c r="CI219">
        <v>26.781300000000002</v>
      </c>
      <c r="CJ219" t="s">
        <v>4820</v>
      </c>
      <c r="CK219">
        <v>8</v>
      </c>
      <c r="CL219" t="s">
        <v>4</v>
      </c>
      <c r="CM219" t="s">
        <v>4821</v>
      </c>
      <c r="CN219" t="s">
        <v>4822</v>
      </c>
      <c r="CO219" t="s">
        <v>1218</v>
      </c>
      <c r="CP219" t="s">
        <v>100</v>
      </c>
      <c r="CQ219">
        <v>218</v>
      </c>
      <c r="CR219" t="s">
        <v>100</v>
      </c>
      <c r="CS219" t="s">
        <v>101</v>
      </c>
      <c r="CT219" t="s">
        <v>152</v>
      </c>
      <c r="CU219" t="s">
        <v>102</v>
      </c>
      <c r="CV219" t="s">
        <v>4823</v>
      </c>
    </row>
    <row r="220" spans="1:100">
      <c r="A220" s="3" t="s">
        <v>4824</v>
      </c>
      <c r="B220" s="4" t="s">
        <v>4825</v>
      </c>
      <c r="C220">
        <v>119.74040739503501</v>
      </c>
      <c r="D220">
        <v>753.34141256631904</v>
      </c>
      <c r="E220">
        <f>-2.65184018102653</f>
        <v>-2.6518401810265302</v>
      </c>
      <c r="F220" s="5">
        <v>4.7650588559838798E-5</v>
      </c>
      <c r="G220" t="s">
        <v>4</v>
      </c>
      <c r="H220">
        <v>119.74040739503501</v>
      </c>
      <c r="I220">
        <v>39.7931665446241</v>
      </c>
      <c r="J220">
        <v>1.5874922535590801</v>
      </c>
      <c r="K220">
        <v>1.93840122757656E-2</v>
      </c>
      <c r="L220" t="s">
        <v>4</v>
      </c>
      <c r="M220">
        <v>753.34141256631904</v>
      </c>
      <c r="N220">
        <v>39.7931665446241</v>
      </c>
      <c r="O220">
        <v>4.2393324345856103</v>
      </c>
      <c r="P220" s="5">
        <v>2.2928648297150298E-11</v>
      </c>
      <c r="Q220" t="s">
        <v>4</v>
      </c>
      <c r="R220" s="4" t="s">
        <v>87</v>
      </c>
      <c r="S220" t="s">
        <v>4</v>
      </c>
      <c r="T220" t="s">
        <v>88</v>
      </c>
      <c r="U220" t="s">
        <v>89</v>
      </c>
      <c r="V220" t="s">
        <v>90</v>
      </c>
      <c r="W220" t="s">
        <v>91</v>
      </c>
      <c r="X220" t="s">
        <v>4</v>
      </c>
      <c r="Y220" t="s">
        <v>4826</v>
      </c>
      <c r="Z220" t="s">
        <v>4827</v>
      </c>
      <c r="AA220" t="s">
        <v>4828</v>
      </c>
      <c r="AB220" t="s">
        <v>4</v>
      </c>
      <c r="AC220" s="3" t="s">
        <v>93</v>
      </c>
      <c r="AD220" t="s">
        <v>4</v>
      </c>
      <c r="AE220" t="s">
        <v>4829</v>
      </c>
      <c r="AF220" t="s">
        <v>4830</v>
      </c>
      <c r="AG220" t="s">
        <v>4831</v>
      </c>
      <c r="AH220" t="s">
        <v>638</v>
      </c>
      <c r="AI220" t="s">
        <v>4832</v>
      </c>
      <c r="AU220" t="s">
        <v>112</v>
      </c>
      <c r="AV220" t="s">
        <v>4833</v>
      </c>
      <c r="AW220" t="s">
        <v>114</v>
      </c>
      <c r="AX220" t="s">
        <v>144</v>
      </c>
      <c r="AY220" t="s">
        <v>4834</v>
      </c>
      <c r="AZ220" t="s">
        <v>4</v>
      </c>
      <c r="BA220" s="3" t="s">
        <v>95</v>
      </c>
      <c r="BB220" t="s">
        <v>96</v>
      </c>
      <c r="BC220" s="3" t="s">
        <v>95</v>
      </c>
      <c r="BD220" t="s">
        <v>4</v>
      </c>
      <c r="BE220">
        <v>3839</v>
      </c>
      <c r="BF220" t="s">
        <v>112</v>
      </c>
      <c r="BG220">
        <v>93.869699999999995</v>
      </c>
      <c r="BI220">
        <v>81.9923</v>
      </c>
      <c r="BJ220">
        <v>36.015300000000003</v>
      </c>
      <c r="BK220">
        <v>79.310299999999998</v>
      </c>
      <c r="BL220">
        <v>71.647499999999994</v>
      </c>
      <c r="BM220">
        <v>81.609200000000001</v>
      </c>
      <c r="BN220">
        <v>68.582400000000007</v>
      </c>
      <c r="BO220">
        <v>35.249000000000002</v>
      </c>
      <c r="BP220">
        <v>42.145600000000002</v>
      </c>
      <c r="BQ220">
        <v>44.827599999999997</v>
      </c>
      <c r="BR220">
        <v>46.360199999999999</v>
      </c>
      <c r="BS220">
        <v>49.4253</v>
      </c>
      <c r="BT220">
        <v>51.341000000000001</v>
      </c>
      <c r="BV220" t="s">
        <v>4835</v>
      </c>
      <c r="BW220">
        <v>50.5747</v>
      </c>
      <c r="BX220">
        <v>51.341000000000001</v>
      </c>
      <c r="BY220">
        <v>32.950200000000002</v>
      </c>
      <c r="BZ220">
        <v>50.957900000000002</v>
      </c>
      <c r="CA220">
        <v>49.808399999999999</v>
      </c>
      <c r="CF220">
        <v>16.8582</v>
      </c>
      <c r="CG220" t="s">
        <v>4836</v>
      </c>
      <c r="CH220" t="s">
        <v>4837</v>
      </c>
      <c r="CI220" t="s">
        <v>4838</v>
      </c>
      <c r="CJ220">
        <v>16.091999999999999</v>
      </c>
      <c r="CK220">
        <v>5</v>
      </c>
      <c r="CL220" t="s">
        <v>4</v>
      </c>
      <c r="CM220" t="s">
        <v>4839</v>
      </c>
      <c r="CN220" t="s">
        <v>4840</v>
      </c>
      <c r="CO220" t="s">
        <v>99</v>
      </c>
      <c r="CP220" t="s">
        <v>100</v>
      </c>
      <c r="CQ220">
        <v>219</v>
      </c>
      <c r="CR220" t="s">
        <v>100</v>
      </c>
      <c r="CS220" s="7" t="s">
        <v>101</v>
      </c>
      <c r="CT220" t="s">
        <v>152</v>
      </c>
      <c r="CU220" t="s">
        <v>102</v>
      </c>
      <c r="CV220" t="s">
        <v>100</v>
      </c>
    </row>
    <row r="221" spans="1:100">
      <c r="A221" s="3" t="s">
        <v>4841</v>
      </c>
      <c r="B221" s="4" t="s">
        <v>4842</v>
      </c>
      <c r="C221">
        <v>113.774033333452</v>
      </c>
      <c r="D221">
        <v>1027.3298666053499</v>
      </c>
      <c r="E221">
        <f>-3.17379408814928</f>
        <v>-3.1737940881492799</v>
      </c>
      <c r="F221" s="5">
        <v>1.7563823223198801E-8</v>
      </c>
      <c r="G221" t="s">
        <v>4</v>
      </c>
      <c r="H221">
        <v>113.774033333452</v>
      </c>
      <c r="I221">
        <v>52.148778784380802</v>
      </c>
      <c r="J221">
        <v>1.1324425470409301</v>
      </c>
      <c r="K221">
        <v>6.2437528709220702E-2</v>
      </c>
      <c r="L221" t="s">
        <v>4</v>
      </c>
      <c r="M221">
        <v>1027.3298666053499</v>
      </c>
      <c r="N221">
        <v>52.148778784380802</v>
      </c>
      <c r="O221">
        <v>4.3062366351902002</v>
      </c>
      <c r="P221" s="5">
        <v>1.00342420253743E-14</v>
      </c>
      <c r="Q221" t="s">
        <v>4</v>
      </c>
      <c r="R221" s="4" t="s">
        <v>87</v>
      </c>
      <c r="S221" t="s">
        <v>4</v>
      </c>
      <c r="T221" t="s">
        <v>4843</v>
      </c>
      <c r="U221" t="s">
        <v>4844</v>
      </c>
      <c r="V221" t="s">
        <v>4845</v>
      </c>
      <c r="W221" t="s">
        <v>328</v>
      </c>
      <c r="X221" t="s">
        <v>4</v>
      </c>
      <c r="Y221" t="s">
        <v>4846</v>
      </c>
      <c r="Z221" t="s">
        <v>4847</v>
      </c>
      <c r="AA221" t="s">
        <v>4848</v>
      </c>
      <c r="AB221" t="s">
        <v>4</v>
      </c>
      <c r="AC221" s="3" t="s">
        <v>4849</v>
      </c>
      <c r="AD221" t="s">
        <v>4</v>
      </c>
      <c r="AE221" t="s">
        <v>4850</v>
      </c>
      <c r="AF221" t="s">
        <v>4851</v>
      </c>
      <c r="AG221" t="s">
        <v>4852</v>
      </c>
      <c r="AH221" t="s">
        <v>112</v>
      </c>
      <c r="AL221" t="s">
        <v>4853</v>
      </c>
      <c r="AQ221" t="s">
        <v>1028</v>
      </c>
      <c r="AU221" t="s">
        <v>112</v>
      </c>
      <c r="AV221" t="s">
        <v>4854</v>
      </c>
      <c r="AW221" t="s">
        <v>114</v>
      </c>
      <c r="AX221" t="s">
        <v>1879</v>
      </c>
      <c r="AY221" t="s">
        <v>4855</v>
      </c>
      <c r="AZ221" t="s">
        <v>4</v>
      </c>
      <c r="BA221" s="3" t="s">
        <v>95</v>
      </c>
      <c r="BB221" t="s">
        <v>96</v>
      </c>
      <c r="BC221" s="3" t="s">
        <v>95</v>
      </c>
      <c r="BD221" t="s">
        <v>4</v>
      </c>
      <c r="BE221">
        <v>7157</v>
      </c>
      <c r="BF221" t="s">
        <v>213</v>
      </c>
      <c r="BG221">
        <v>92.2727</v>
      </c>
      <c r="BH221">
        <v>68.409099999999995</v>
      </c>
      <c r="BJ221">
        <v>47.2727</v>
      </c>
      <c r="BK221">
        <v>72.045500000000004</v>
      </c>
      <c r="BL221">
        <v>30</v>
      </c>
      <c r="BM221">
        <v>33.863599999999998</v>
      </c>
      <c r="BN221">
        <v>76.363600000000005</v>
      </c>
      <c r="BO221">
        <v>30.2273</v>
      </c>
      <c r="BP221">
        <v>23.863600000000002</v>
      </c>
      <c r="BQ221">
        <v>20.454499999999999</v>
      </c>
      <c r="BR221">
        <v>20.454499999999999</v>
      </c>
      <c r="BW221">
        <v>31.136399999999998</v>
      </c>
      <c r="BX221">
        <v>37.2727</v>
      </c>
      <c r="BY221">
        <v>13.4091</v>
      </c>
      <c r="CA221">
        <v>35.2273</v>
      </c>
      <c r="CC221">
        <v>26.818200000000001</v>
      </c>
      <c r="CD221">
        <v>26.590900000000001</v>
      </c>
      <c r="CF221" t="s">
        <v>4856</v>
      </c>
      <c r="CG221">
        <v>27.5</v>
      </c>
      <c r="CH221">
        <v>26.818200000000001</v>
      </c>
      <c r="CI221">
        <v>27.045500000000001</v>
      </c>
      <c r="CK221">
        <v>8</v>
      </c>
      <c r="CL221" t="s">
        <v>4</v>
      </c>
      <c r="CM221" t="s">
        <v>4857</v>
      </c>
      <c r="CN221" t="s">
        <v>4858</v>
      </c>
      <c r="CO221" t="s">
        <v>1218</v>
      </c>
      <c r="CP221" t="s">
        <v>100</v>
      </c>
      <c r="CQ221">
        <v>220</v>
      </c>
      <c r="CR221" t="s">
        <v>100</v>
      </c>
      <c r="CS221" t="s">
        <v>100</v>
      </c>
      <c r="CT221" t="s">
        <v>152</v>
      </c>
      <c r="CU221" t="s">
        <v>102</v>
      </c>
      <c r="CV221" t="s">
        <v>100</v>
      </c>
    </row>
    <row r="222" spans="1:100">
      <c r="A222" s="3" t="s">
        <v>4859</v>
      </c>
      <c r="B222" s="4" t="s">
        <v>4860</v>
      </c>
      <c r="C222">
        <v>30.657790471902199</v>
      </c>
      <c r="D222">
        <v>211.16518143570701</v>
      </c>
      <c r="E222">
        <f>-2.7842791433845</f>
        <v>-2.7842791433845</v>
      </c>
      <c r="F222" s="5">
        <v>6.4575678695076506E-11</v>
      </c>
      <c r="G222" t="s">
        <v>4</v>
      </c>
      <c r="H222">
        <v>30.657790471902199</v>
      </c>
      <c r="I222">
        <v>10.343568323456701</v>
      </c>
      <c r="J222">
        <v>1.62875016581156</v>
      </c>
      <c r="K222">
        <v>3.1194457643088998E-3</v>
      </c>
      <c r="L222" t="s">
        <v>4</v>
      </c>
      <c r="M222">
        <v>211.16518143570701</v>
      </c>
      <c r="N222">
        <v>10.343568323456701</v>
      </c>
      <c r="O222">
        <v>4.4130293091960597</v>
      </c>
      <c r="P222" s="5">
        <v>2.5306937235758401E-18</v>
      </c>
      <c r="Q222" t="s">
        <v>4</v>
      </c>
      <c r="R222" s="4" t="s">
        <v>87</v>
      </c>
      <c r="S222" t="s">
        <v>4</v>
      </c>
      <c r="T222" t="s">
        <v>92</v>
      </c>
      <c r="U222" t="s">
        <v>92</v>
      </c>
      <c r="V222" t="s">
        <v>92</v>
      </c>
      <c r="W222" t="s">
        <v>92</v>
      </c>
      <c r="X222" t="s">
        <v>4</v>
      </c>
      <c r="Y222" t="s">
        <v>92</v>
      </c>
      <c r="Z222" t="s">
        <v>92</v>
      </c>
      <c r="AA222" t="s">
        <v>92</v>
      </c>
      <c r="AB222" t="s">
        <v>4</v>
      </c>
      <c r="AC222" s="3" t="s">
        <v>93</v>
      </c>
      <c r="AD222" t="s">
        <v>4</v>
      </c>
      <c r="AE222" s="4" t="s">
        <v>94</v>
      </c>
      <c r="AZ222" t="s">
        <v>4</v>
      </c>
      <c r="BA222" s="3" t="s">
        <v>115</v>
      </c>
      <c r="BB222" t="s">
        <v>96</v>
      </c>
      <c r="BC222" s="3" t="s">
        <v>782</v>
      </c>
      <c r="BD222" t="s">
        <v>4</v>
      </c>
      <c r="BE222">
        <v>1030</v>
      </c>
      <c r="BF222" t="s">
        <v>151</v>
      </c>
      <c r="BH222">
        <v>74.175799999999995</v>
      </c>
      <c r="CK222">
        <v>2</v>
      </c>
      <c r="CL222" t="s">
        <v>4</v>
      </c>
      <c r="CM222" t="s">
        <v>98</v>
      </c>
      <c r="CN222" t="s">
        <v>98</v>
      </c>
      <c r="CO222" t="s">
        <v>99</v>
      </c>
      <c r="CP222" t="s">
        <v>100</v>
      </c>
      <c r="CQ222">
        <v>221</v>
      </c>
      <c r="CR222" t="s">
        <v>100</v>
      </c>
      <c r="CS222" s="7" t="s">
        <v>101</v>
      </c>
      <c r="CT222" t="s">
        <v>152</v>
      </c>
      <c r="CU222" t="s">
        <v>102</v>
      </c>
      <c r="CV222" t="s">
        <v>100</v>
      </c>
    </row>
    <row r="223" spans="1:100">
      <c r="A223" s="3" t="s">
        <v>4861</v>
      </c>
      <c r="B223" s="4" t="s">
        <v>4862</v>
      </c>
      <c r="C223">
        <v>88.795363641106405</v>
      </c>
      <c r="D223">
        <v>599.26955035444303</v>
      </c>
      <c r="E223">
        <f>-2.75426517018577</f>
        <v>-2.7542651701857701</v>
      </c>
      <c r="F223" s="5">
        <v>1.4166293051243099E-8</v>
      </c>
      <c r="G223" t="s">
        <v>4</v>
      </c>
      <c r="H223">
        <v>88.795363641106405</v>
      </c>
      <c r="I223">
        <v>61.885845162445101</v>
      </c>
      <c r="J223">
        <v>0.50523695108823197</v>
      </c>
      <c r="K223">
        <v>0.354634397110144</v>
      </c>
      <c r="L223" t="s">
        <v>4</v>
      </c>
      <c r="M223">
        <v>599.26955035444303</v>
      </c>
      <c r="N223">
        <v>61.885845162445101</v>
      </c>
      <c r="O223">
        <v>3.2595021212740001</v>
      </c>
      <c r="P223" s="5">
        <v>1.23281757148422E-11</v>
      </c>
      <c r="Q223" t="s">
        <v>4</v>
      </c>
      <c r="R223" s="4" t="s">
        <v>87</v>
      </c>
      <c r="S223" t="s">
        <v>4</v>
      </c>
      <c r="T223" t="s">
        <v>4863</v>
      </c>
      <c r="U223" t="s">
        <v>4864</v>
      </c>
      <c r="V223" t="s">
        <v>4865</v>
      </c>
      <c r="W223" t="s">
        <v>203</v>
      </c>
      <c r="X223" t="s">
        <v>4</v>
      </c>
      <c r="Y223" t="s">
        <v>4866</v>
      </c>
      <c r="Z223" t="s">
        <v>4867</v>
      </c>
      <c r="AA223" t="s">
        <v>4868</v>
      </c>
      <c r="AB223" t="s">
        <v>4</v>
      </c>
      <c r="AC223" s="3" t="s">
        <v>4869</v>
      </c>
      <c r="AD223" t="s">
        <v>4</v>
      </c>
      <c r="AE223" t="s">
        <v>4870</v>
      </c>
      <c r="AF223" t="s">
        <v>4871</v>
      </c>
      <c r="AG223" t="s">
        <v>4872</v>
      </c>
      <c r="AH223" t="s">
        <v>112</v>
      </c>
      <c r="AK223" t="s">
        <v>4873</v>
      </c>
      <c r="AL223" t="s">
        <v>4874</v>
      </c>
      <c r="AM223" t="s">
        <v>4875</v>
      </c>
      <c r="AN223" t="s">
        <v>4876</v>
      </c>
      <c r="AO223" t="s">
        <v>4877</v>
      </c>
      <c r="AP223" t="s">
        <v>2009</v>
      </c>
      <c r="AQ223" t="s">
        <v>4878</v>
      </c>
      <c r="AU223" t="s">
        <v>112</v>
      </c>
      <c r="AV223" t="s">
        <v>4879</v>
      </c>
      <c r="AW223" t="s">
        <v>114</v>
      </c>
      <c r="AX223" t="s">
        <v>345</v>
      </c>
      <c r="AY223" t="s">
        <v>4880</v>
      </c>
      <c r="AZ223" t="s">
        <v>4</v>
      </c>
      <c r="BA223" s="3" t="s">
        <v>95</v>
      </c>
      <c r="BB223" s="6" t="s">
        <v>95</v>
      </c>
      <c r="BC223" s="3" t="s">
        <v>95</v>
      </c>
      <c r="BD223" t="s">
        <v>4</v>
      </c>
      <c r="BE223">
        <v>7180</v>
      </c>
      <c r="BF223" t="s">
        <v>213</v>
      </c>
      <c r="BG223">
        <v>98.262200000000007</v>
      </c>
      <c r="BH223">
        <v>22.9068</v>
      </c>
      <c r="BJ223">
        <v>72.353899999999996</v>
      </c>
      <c r="BK223">
        <v>71.721999999999994</v>
      </c>
      <c r="BL223" t="s">
        <v>4881</v>
      </c>
      <c r="BM223" t="s">
        <v>4882</v>
      </c>
      <c r="BN223">
        <v>80.884699999999995</v>
      </c>
      <c r="BO223">
        <v>71.563999999999993</v>
      </c>
      <c r="BP223" t="s">
        <v>4883</v>
      </c>
      <c r="BQ223">
        <v>38.388599999999997</v>
      </c>
      <c r="BR223" t="s">
        <v>4884</v>
      </c>
      <c r="BS223">
        <v>30.489699999999999</v>
      </c>
      <c r="BT223" t="s">
        <v>4885</v>
      </c>
      <c r="BU223">
        <v>27.488199999999999</v>
      </c>
      <c r="BV223" t="s">
        <v>4886</v>
      </c>
      <c r="BW223">
        <v>41.548200000000001</v>
      </c>
      <c r="BX223">
        <v>46.761499999999998</v>
      </c>
      <c r="BY223">
        <v>19.747199999999999</v>
      </c>
      <c r="BZ223" t="s">
        <v>4887</v>
      </c>
      <c r="CA223">
        <v>46.919400000000003</v>
      </c>
      <c r="CB223" t="s">
        <v>4888</v>
      </c>
      <c r="CC223">
        <v>37.440800000000003</v>
      </c>
      <c r="CD223">
        <v>43.128</v>
      </c>
      <c r="CE223">
        <v>38.388599999999997</v>
      </c>
      <c r="CF223" t="s">
        <v>4889</v>
      </c>
      <c r="CG223" t="s">
        <v>4890</v>
      </c>
      <c r="CH223" t="s">
        <v>4891</v>
      </c>
      <c r="CI223" t="s">
        <v>4892</v>
      </c>
      <c r="CK223">
        <v>8</v>
      </c>
      <c r="CL223" t="s">
        <v>4</v>
      </c>
      <c r="CM223" t="s">
        <v>4893</v>
      </c>
      <c r="CN223" t="s">
        <v>4894</v>
      </c>
      <c r="CO223" t="s">
        <v>219</v>
      </c>
      <c r="CP223" t="s">
        <v>100</v>
      </c>
      <c r="CQ223">
        <v>222</v>
      </c>
      <c r="CR223" t="s">
        <v>100</v>
      </c>
      <c r="CS223" t="s">
        <v>100</v>
      </c>
      <c r="CT223" t="s">
        <v>152</v>
      </c>
      <c r="CU223" t="s">
        <v>102</v>
      </c>
      <c r="CV223" t="s">
        <v>100</v>
      </c>
    </row>
    <row r="224" spans="1:100">
      <c r="A224" s="3" t="s">
        <v>4895</v>
      </c>
      <c r="B224" s="4" t="s">
        <v>4896</v>
      </c>
      <c r="C224">
        <v>201.141149366013</v>
      </c>
      <c r="D224">
        <v>3324.4422632001701</v>
      </c>
      <c r="E224">
        <f>-4.04635092169444</f>
        <v>-4.0463509216944402</v>
      </c>
      <c r="F224" s="5">
        <v>6.55231210550584E-21</v>
      </c>
      <c r="G224" t="s">
        <v>4</v>
      </c>
      <c r="H224">
        <v>201.141149366013</v>
      </c>
      <c r="I224">
        <v>233.086609094225</v>
      </c>
      <c r="J224">
        <f>0.215501125745986</f>
        <v>0.21550112574598601</v>
      </c>
      <c r="K224">
        <v>0.67214853271050301</v>
      </c>
      <c r="L224" t="s">
        <v>4</v>
      </c>
      <c r="M224">
        <v>3324.4422632001701</v>
      </c>
      <c r="N224">
        <v>233.086609094225</v>
      </c>
      <c r="O224">
        <v>3.83084979594845</v>
      </c>
      <c r="P224" s="5">
        <v>2.5033850465029301E-19</v>
      </c>
      <c r="Q224" t="s">
        <v>4</v>
      </c>
      <c r="R224" s="4" t="s">
        <v>87</v>
      </c>
      <c r="S224" t="s">
        <v>4</v>
      </c>
      <c r="T224" t="s">
        <v>4897</v>
      </c>
      <c r="U224" t="s">
        <v>4898</v>
      </c>
      <c r="V224" t="s">
        <v>4899</v>
      </c>
      <c r="W224" t="s">
        <v>203</v>
      </c>
      <c r="X224" t="s">
        <v>4</v>
      </c>
      <c r="Y224" t="s">
        <v>4900</v>
      </c>
      <c r="Z224" t="s">
        <v>4901</v>
      </c>
      <c r="AA224" t="s">
        <v>4902</v>
      </c>
      <c r="AB224" t="s">
        <v>4</v>
      </c>
      <c r="AC224" s="3" t="s">
        <v>2294</v>
      </c>
      <c r="AD224" t="s">
        <v>4</v>
      </c>
      <c r="AE224" t="s">
        <v>3458</v>
      </c>
      <c r="AF224" t="s">
        <v>4903</v>
      </c>
      <c r="AG224" t="s">
        <v>4904</v>
      </c>
      <c r="AH224" t="s">
        <v>112</v>
      </c>
      <c r="AJ224" t="s">
        <v>3461</v>
      </c>
      <c r="AU224" t="s">
        <v>112</v>
      </c>
      <c r="AV224" t="s">
        <v>3462</v>
      </c>
      <c r="AW224" t="s">
        <v>114</v>
      </c>
      <c r="AX224" t="s">
        <v>132</v>
      </c>
      <c r="AY224" t="s">
        <v>3463</v>
      </c>
      <c r="AZ224" t="s">
        <v>4</v>
      </c>
      <c r="BA224" s="3" t="s">
        <v>95</v>
      </c>
      <c r="BB224" s="6" t="s">
        <v>95</v>
      </c>
      <c r="BC224" s="3" t="s">
        <v>95</v>
      </c>
      <c r="BD224" t="s">
        <v>4</v>
      </c>
      <c r="BE224">
        <v>3892</v>
      </c>
      <c r="BF224" t="s">
        <v>112</v>
      </c>
      <c r="BG224">
        <v>98.383399999999995</v>
      </c>
      <c r="BH224">
        <v>67.205500000000001</v>
      </c>
      <c r="BI224">
        <v>91.916899999999998</v>
      </c>
      <c r="BJ224">
        <v>89.838300000000004</v>
      </c>
      <c r="BL224">
        <v>42.725200000000001</v>
      </c>
      <c r="BM224">
        <v>86.374099999999999</v>
      </c>
      <c r="BN224">
        <v>78.983800000000002</v>
      </c>
      <c r="BO224">
        <v>81.755200000000002</v>
      </c>
      <c r="BP224">
        <v>50.808300000000003</v>
      </c>
      <c r="BQ224">
        <v>36.027700000000003</v>
      </c>
      <c r="BR224" t="s">
        <v>4905</v>
      </c>
      <c r="BS224">
        <v>44.572800000000001</v>
      </c>
      <c r="BT224">
        <v>51.501199999999997</v>
      </c>
      <c r="BU224">
        <v>45.034599999999998</v>
      </c>
      <c r="BV224" t="s">
        <v>4906</v>
      </c>
      <c r="BW224">
        <v>43.187100000000001</v>
      </c>
      <c r="BX224">
        <v>49.884500000000003</v>
      </c>
      <c r="BY224" t="s">
        <v>4907</v>
      </c>
      <c r="BZ224">
        <v>43.879899999999999</v>
      </c>
      <c r="CA224" t="s">
        <v>4908</v>
      </c>
      <c r="CK224">
        <v>5</v>
      </c>
      <c r="CL224" t="s">
        <v>4</v>
      </c>
      <c r="CM224" t="s">
        <v>4909</v>
      </c>
      <c r="CN224" t="s">
        <v>4910</v>
      </c>
      <c r="CO224" t="s">
        <v>1523</v>
      </c>
      <c r="CP224" t="s">
        <v>100</v>
      </c>
      <c r="CQ224">
        <v>223</v>
      </c>
      <c r="CR224" t="s">
        <v>100</v>
      </c>
      <c r="CS224" t="s">
        <v>100</v>
      </c>
      <c r="CT224" t="s">
        <v>152</v>
      </c>
      <c r="CU224" t="s">
        <v>102</v>
      </c>
      <c r="CV224" t="s">
        <v>100</v>
      </c>
    </row>
    <row r="225" spans="1:100">
      <c r="A225" s="3" t="s">
        <v>4911</v>
      </c>
      <c r="B225" s="4" t="s">
        <v>4912</v>
      </c>
      <c r="C225">
        <v>943.43280181487</v>
      </c>
      <c r="D225">
        <v>3972.9557289976001</v>
      </c>
      <c r="E225">
        <f>-2.07423354282022</f>
        <v>-2.0742335428202199</v>
      </c>
      <c r="F225" s="5">
        <v>9.6789067956395407E-30</v>
      </c>
      <c r="G225" t="s">
        <v>4</v>
      </c>
      <c r="H225">
        <v>943.43280181487</v>
      </c>
      <c r="I225">
        <v>646.28397050395802</v>
      </c>
      <c r="J225">
        <v>0.54246005904776595</v>
      </c>
      <c r="K225">
        <v>5.9520292800162404E-3</v>
      </c>
      <c r="L225" t="s">
        <v>4</v>
      </c>
      <c r="M225">
        <v>3972.9557289976001</v>
      </c>
      <c r="N225">
        <v>646.28397050395802</v>
      </c>
      <c r="O225">
        <v>2.6166936018679898</v>
      </c>
      <c r="P225" s="5">
        <v>1.0514720809741599E-46</v>
      </c>
      <c r="Q225" t="s">
        <v>4</v>
      </c>
      <c r="R225" s="4" t="s">
        <v>87</v>
      </c>
      <c r="S225" t="s">
        <v>4</v>
      </c>
      <c r="T225" t="s">
        <v>4913</v>
      </c>
      <c r="U225" t="s">
        <v>4914</v>
      </c>
      <c r="V225" t="s">
        <v>4915</v>
      </c>
      <c r="W225" t="s">
        <v>4916</v>
      </c>
      <c r="X225" t="s">
        <v>4</v>
      </c>
      <c r="Y225" t="s">
        <v>2361</v>
      </c>
      <c r="Z225" t="s">
        <v>2362</v>
      </c>
      <c r="AA225" t="s">
        <v>2363</v>
      </c>
      <c r="AB225" t="s">
        <v>4</v>
      </c>
      <c r="AC225" s="3" t="s">
        <v>4917</v>
      </c>
      <c r="AD225" t="s">
        <v>4</v>
      </c>
      <c r="AE225" t="s">
        <v>4918</v>
      </c>
      <c r="AF225" t="s">
        <v>4919</v>
      </c>
      <c r="AG225" t="s">
        <v>4920</v>
      </c>
      <c r="AH225" t="s">
        <v>112</v>
      </c>
      <c r="AJ225" t="s">
        <v>4921</v>
      </c>
      <c r="AU225" t="s">
        <v>112</v>
      </c>
      <c r="AV225" t="s">
        <v>4922</v>
      </c>
      <c r="AW225" t="s">
        <v>114</v>
      </c>
      <c r="AX225" t="s">
        <v>371</v>
      </c>
      <c r="AY225" t="s">
        <v>2369</v>
      </c>
      <c r="AZ225" t="s">
        <v>4</v>
      </c>
      <c r="BA225" s="3" t="s">
        <v>95</v>
      </c>
      <c r="BB225" s="6" t="s">
        <v>95</v>
      </c>
      <c r="BC225" s="3" t="s">
        <v>95</v>
      </c>
      <c r="BD225" t="s">
        <v>4</v>
      </c>
      <c r="BE225">
        <v>5586</v>
      </c>
      <c r="BF225" t="s">
        <v>386</v>
      </c>
      <c r="BG225">
        <v>88.815799999999996</v>
      </c>
      <c r="BI225">
        <v>88.157899999999998</v>
      </c>
      <c r="BJ225">
        <v>84.868399999999994</v>
      </c>
      <c r="BK225">
        <v>72.203900000000004</v>
      </c>
      <c r="BL225">
        <v>72.203900000000004</v>
      </c>
      <c r="BM225">
        <v>52.631599999999999</v>
      </c>
      <c r="BN225">
        <v>73.3553</v>
      </c>
      <c r="BO225">
        <v>69.572400000000002</v>
      </c>
      <c r="BP225">
        <v>45.888199999999998</v>
      </c>
      <c r="BQ225">
        <v>28.782900000000001</v>
      </c>
      <c r="BR225">
        <v>34.375</v>
      </c>
      <c r="BS225">
        <v>31.907900000000001</v>
      </c>
      <c r="BT225">
        <v>24.177600000000002</v>
      </c>
      <c r="BU225">
        <v>20.3947</v>
      </c>
      <c r="BV225" t="s">
        <v>4923</v>
      </c>
      <c r="BW225" t="s">
        <v>4924</v>
      </c>
      <c r="BX225">
        <v>37.335500000000003</v>
      </c>
      <c r="BY225">
        <v>36.0197</v>
      </c>
      <c r="BZ225">
        <v>37.5</v>
      </c>
      <c r="CA225">
        <v>33.552599999999998</v>
      </c>
      <c r="CB225" t="s">
        <v>4925</v>
      </c>
      <c r="CC225">
        <v>23.026299999999999</v>
      </c>
      <c r="CD225">
        <v>23.5197</v>
      </c>
      <c r="CE225">
        <v>22.861799999999999</v>
      </c>
      <c r="CF225">
        <v>23.3553</v>
      </c>
      <c r="CG225" t="s">
        <v>4926</v>
      </c>
      <c r="CH225" t="s">
        <v>4927</v>
      </c>
      <c r="CI225" t="s">
        <v>4928</v>
      </c>
      <c r="CK225">
        <v>7</v>
      </c>
      <c r="CL225" t="s">
        <v>4</v>
      </c>
      <c r="CM225" t="s">
        <v>4929</v>
      </c>
      <c r="CN225" t="s">
        <v>4930</v>
      </c>
      <c r="CO225" t="s">
        <v>219</v>
      </c>
      <c r="CP225" t="s">
        <v>100</v>
      </c>
      <c r="CQ225">
        <v>224</v>
      </c>
      <c r="CR225" t="s">
        <v>100</v>
      </c>
      <c r="CS225" t="s">
        <v>100</v>
      </c>
      <c r="CT225" t="s">
        <v>152</v>
      </c>
      <c r="CU225" t="s">
        <v>102</v>
      </c>
      <c r="CV225" t="s">
        <v>100</v>
      </c>
    </row>
    <row r="226" spans="1:100">
      <c r="A226" s="3" t="s">
        <v>4931</v>
      </c>
      <c r="B226" s="4" t="s">
        <v>4932</v>
      </c>
      <c r="C226">
        <v>1126.3593755201</v>
      </c>
      <c r="D226">
        <v>9363.1397170186101</v>
      </c>
      <c r="E226">
        <f>-3.05511031909698</f>
        <v>-3.0551103190969799</v>
      </c>
      <c r="F226" s="5">
        <v>4.4564180633016302E-58</v>
      </c>
      <c r="G226" t="s">
        <v>4</v>
      </c>
      <c r="H226">
        <v>1126.3593755201</v>
      </c>
      <c r="I226">
        <v>1343.99737277545</v>
      </c>
      <c r="J226">
        <f>0.255091622732806</f>
        <v>0.255091622732806</v>
      </c>
      <c r="K226">
        <v>0.232678473059409</v>
      </c>
      <c r="L226" t="s">
        <v>4</v>
      </c>
      <c r="M226">
        <v>9363.1397170186101</v>
      </c>
      <c r="N226">
        <v>1343.99737277545</v>
      </c>
      <c r="O226">
        <v>2.80001869636417</v>
      </c>
      <c r="P226" s="5">
        <v>5.4155950782981399E-50</v>
      </c>
      <c r="Q226" t="s">
        <v>4</v>
      </c>
      <c r="R226" s="4" t="s">
        <v>87</v>
      </c>
      <c r="S226" t="s">
        <v>4</v>
      </c>
      <c r="T226" t="s">
        <v>4933</v>
      </c>
      <c r="U226" t="s">
        <v>4934</v>
      </c>
      <c r="V226" t="s">
        <v>4935</v>
      </c>
      <c r="W226" t="s">
        <v>328</v>
      </c>
      <c r="X226" t="s">
        <v>4</v>
      </c>
      <c r="Y226" t="s">
        <v>4936</v>
      </c>
      <c r="Z226" t="s">
        <v>4937</v>
      </c>
      <c r="AA226" t="s">
        <v>4938</v>
      </c>
      <c r="AB226" t="s">
        <v>4</v>
      </c>
      <c r="AC226" s="3" t="s">
        <v>4939</v>
      </c>
      <c r="AD226" t="s">
        <v>4</v>
      </c>
      <c r="AE226" t="s">
        <v>4940</v>
      </c>
      <c r="AF226" t="s">
        <v>4941</v>
      </c>
      <c r="AG226" t="s">
        <v>4942</v>
      </c>
      <c r="AH226" t="s">
        <v>112</v>
      </c>
      <c r="AJ226" t="s">
        <v>4943</v>
      </c>
      <c r="AL226" t="s">
        <v>4944</v>
      </c>
      <c r="AM226" t="s">
        <v>4945</v>
      </c>
      <c r="AN226" t="s">
        <v>4310</v>
      </c>
      <c r="AQ226" t="s">
        <v>4946</v>
      </c>
      <c r="AU226" t="s">
        <v>112</v>
      </c>
      <c r="AV226" t="s">
        <v>4947</v>
      </c>
      <c r="AW226" t="s">
        <v>114</v>
      </c>
      <c r="AX226" t="s">
        <v>132</v>
      </c>
      <c r="AY226" t="s">
        <v>4948</v>
      </c>
      <c r="AZ226" t="s">
        <v>4</v>
      </c>
      <c r="BA226" s="3" t="s">
        <v>95</v>
      </c>
      <c r="BB226" t="s">
        <v>96</v>
      </c>
      <c r="BC226" s="3" t="s">
        <v>197</v>
      </c>
      <c r="BD226" t="s">
        <v>4</v>
      </c>
      <c r="BE226">
        <v>7215</v>
      </c>
      <c r="BF226" t="s">
        <v>213</v>
      </c>
      <c r="BG226">
        <v>99.459500000000006</v>
      </c>
      <c r="BH226">
        <v>45.585599999999999</v>
      </c>
      <c r="BI226">
        <v>98.378399999999999</v>
      </c>
      <c r="BJ226">
        <v>89.009</v>
      </c>
      <c r="BK226">
        <v>90.991</v>
      </c>
      <c r="BL226">
        <v>82.162199999999999</v>
      </c>
      <c r="BM226">
        <v>89.909899999999993</v>
      </c>
      <c r="BN226">
        <v>93.513499999999993</v>
      </c>
      <c r="BO226">
        <v>94.054100000000005</v>
      </c>
      <c r="BP226">
        <v>81.441400000000002</v>
      </c>
      <c r="BQ226">
        <v>49.009</v>
      </c>
      <c r="BR226" t="s">
        <v>4949</v>
      </c>
      <c r="BS226">
        <v>47.747700000000002</v>
      </c>
      <c r="BT226">
        <v>40</v>
      </c>
      <c r="BU226">
        <v>46.486499999999999</v>
      </c>
      <c r="BV226" t="s">
        <v>4950</v>
      </c>
      <c r="BW226">
        <v>38.558599999999998</v>
      </c>
      <c r="BX226">
        <v>54.954999999999998</v>
      </c>
      <c r="BY226">
        <v>50.991</v>
      </c>
      <c r="BZ226">
        <v>53.333300000000001</v>
      </c>
      <c r="CA226">
        <v>52.432400000000001</v>
      </c>
      <c r="CB226">
        <v>42.342300000000002</v>
      </c>
      <c r="CD226">
        <v>45.585599999999999</v>
      </c>
      <c r="CE226">
        <v>35.4955</v>
      </c>
      <c r="CF226">
        <v>36.756799999999998</v>
      </c>
      <c r="CG226" t="s">
        <v>4951</v>
      </c>
      <c r="CH226" t="s">
        <v>4952</v>
      </c>
      <c r="CI226" t="s">
        <v>4953</v>
      </c>
      <c r="CK226">
        <v>8</v>
      </c>
      <c r="CL226" t="s">
        <v>4</v>
      </c>
      <c r="CM226" t="s">
        <v>4954</v>
      </c>
      <c r="CN226" t="s">
        <v>4955</v>
      </c>
      <c r="CO226" t="s">
        <v>1218</v>
      </c>
      <c r="CP226" t="s">
        <v>100</v>
      </c>
      <c r="CQ226">
        <v>225</v>
      </c>
      <c r="CR226" t="s">
        <v>100</v>
      </c>
      <c r="CS226" t="s">
        <v>100</v>
      </c>
      <c r="CT226" t="s">
        <v>152</v>
      </c>
      <c r="CU226" t="s">
        <v>102</v>
      </c>
      <c r="CV226" t="s">
        <v>100</v>
      </c>
    </row>
    <row r="227" spans="1:100">
      <c r="A227" s="3" t="s">
        <v>4956</v>
      </c>
      <c r="B227" s="4" t="s">
        <v>4957</v>
      </c>
      <c r="C227">
        <v>1237.2796370455301</v>
      </c>
      <c r="D227">
        <v>5819.0766532928401</v>
      </c>
      <c r="E227">
        <f>-2.23355009813768</f>
        <v>-2.2335500981376799</v>
      </c>
      <c r="F227" s="5">
        <v>2.25184127482614E-18</v>
      </c>
      <c r="G227" t="s">
        <v>4</v>
      </c>
      <c r="H227">
        <v>1237.2796370455301</v>
      </c>
      <c r="I227">
        <v>528.63352127200403</v>
      </c>
      <c r="J227">
        <v>1.2276378223462601</v>
      </c>
      <c r="K227" s="5">
        <v>3.0101772656018699E-6</v>
      </c>
      <c r="L227" t="s">
        <v>4</v>
      </c>
      <c r="M227">
        <v>5819.0766532928401</v>
      </c>
      <c r="N227">
        <v>528.63352127200403</v>
      </c>
      <c r="O227">
        <v>3.46118792048394</v>
      </c>
      <c r="P227" s="5">
        <v>3.3490431022738099E-43</v>
      </c>
      <c r="Q227" t="s">
        <v>4</v>
      </c>
      <c r="R227" s="4" t="s">
        <v>87</v>
      </c>
      <c r="S227" t="s">
        <v>4</v>
      </c>
      <c r="T227" t="s">
        <v>92</v>
      </c>
      <c r="U227" t="s">
        <v>92</v>
      </c>
      <c r="V227" t="s">
        <v>92</v>
      </c>
      <c r="W227" t="s">
        <v>92</v>
      </c>
      <c r="X227" t="s">
        <v>4</v>
      </c>
      <c r="Y227" t="s">
        <v>92</v>
      </c>
      <c r="Z227" t="s">
        <v>92</v>
      </c>
      <c r="AA227" t="s">
        <v>92</v>
      </c>
      <c r="AB227" t="s">
        <v>4</v>
      </c>
      <c r="AC227" s="3" t="s">
        <v>93</v>
      </c>
      <c r="AD227" t="s">
        <v>4</v>
      </c>
      <c r="AE227" s="4" t="s">
        <v>94</v>
      </c>
      <c r="AZ227" t="s">
        <v>4</v>
      </c>
      <c r="BA227" s="3" t="s">
        <v>95</v>
      </c>
      <c r="BB227" s="6" t="s">
        <v>95</v>
      </c>
      <c r="BC227" s="3" t="s">
        <v>95</v>
      </c>
      <c r="BD227" t="s">
        <v>4</v>
      </c>
      <c r="BE227">
        <v>1158</v>
      </c>
      <c r="BF227" t="s">
        <v>151</v>
      </c>
      <c r="BH227">
        <v>94.560699999999997</v>
      </c>
      <c r="BI227">
        <v>87.866100000000003</v>
      </c>
      <c r="BJ227">
        <v>73.221800000000002</v>
      </c>
      <c r="BK227">
        <v>61.924700000000001</v>
      </c>
      <c r="BL227">
        <v>65.690399999999997</v>
      </c>
      <c r="BM227">
        <v>58.995800000000003</v>
      </c>
      <c r="BN227">
        <v>56.066899999999997</v>
      </c>
      <c r="BO227">
        <v>56.903799999999997</v>
      </c>
      <c r="CK227">
        <v>2</v>
      </c>
      <c r="CL227" t="s">
        <v>4</v>
      </c>
      <c r="CM227" t="s">
        <v>98</v>
      </c>
      <c r="CN227" t="s">
        <v>98</v>
      </c>
      <c r="CO227" t="s">
        <v>99</v>
      </c>
      <c r="CP227" t="s">
        <v>100</v>
      </c>
      <c r="CQ227">
        <v>226</v>
      </c>
      <c r="CR227" t="s">
        <v>100</v>
      </c>
      <c r="CS227" s="7" t="s">
        <v>101</v>
      </c>
      <c r="CT227" t="s">
        <v>152</v>
      </c>
      <c r="CU227" t="s">
        <v>102</v>
      </c>
      <c r="CV227" t="s">
        <v>100</v>
      </c>
    </row>
    <row r="228" spans="1:100">
      <c r="A228" s="3" t="s">
        <v>4958</v>
      </c>
      <c r="B228" s="4" t="s">
        <v>4959</v>
      </c>
      <c r="C228">
        <v>2816.3365262412999</v>
      </c>
      <c r="D228">
        <v>30359.055132903399</v>
      </c>
      <c r="E228">
        <f>-3.43019184790444</f>
        <v>-3.4301918479044402</v>
      </c>
      <c r="F228" s="5">
        <v>3.2445602344836199E-49</v>
      </c>
      <c r="G228" t="s">
        <v>4</v>
      </c>
      <c r="H228">
        <v>2816.3365262412999</v>
      </c>
      <c r="I228">
        <v>862.736812653833</v>
      </c>
      <c r="J228">
        <v>1.70430727722539</v>
      </c>
      <c r="K228" s="5">
        <v>6.2170290660149696E-13</v>
      </c>
      <c r="L228" t="s">
        <v>4</v>
      </c>
      <c r="M228">
        <v>30359.055132903399</v>
      </c>
      <c r="N228">
        <v>862.736812653833</v>
      </c>
      <c r="O228">
        <v>5.13449912512983</v>
      </c>
      <c r="P228" s="5">
        <v>2.98280854910557E-110</v>
      </c>
      <c r="Q228" t="s">
        <v>4</v>
      </c>
      <c r="R228" s="4" t="s">
        <v>87</v>
      </c>
      <c r="S228" t="s">
        <v>4</v>
      </c>
      <c r="T228" t="s">
        <v>4960</v>
      </c>
      <c r="U228" t="s">
        <v>4961</v>
      </c>
      <c r="V228" t="s">
        <v>4962</v>
      </c>
      <c r="W228" t="s">
        <v>328</v>
      </c>
      <c r="X228" t="s">
        <v>4</v>
      </c>
      <c r="Y228" t="s">
        <v>4963</v>
      </c>
      <c r="Z228" t="s">
        <v>4964</v>
      </c>
      <c r="AA228" t="s">
        <v>4965</v>
      </c>
      <c r="AB228" t="s">
        <v>4</v>
      </c>
      <c r="AC228" s="3" t="s">
        <v>4966</v>
      </c>
      <c r="AD228" t="s">
        <v>4</v>
      </c>
      <c r="AE228" t="s">
        <v>4967</v>
      </c>
      <c r="AF228" t="s">
        <v>4968</v>
      </c>
      <c r="AG228" t="s">
        <v>4969</v>
      </c>
      <c r="AH228" t="s">
        <v>112</v>
      </c>
      <c r="AJ228" t="s">
        <v>4970</v>
      </c>
      <c r="AU228" t="s">
        <v>112</v>
      </c>
      <c r="AV228" t="s">
        <v>4971</v>
      </c>
      <c r="AW228" t="s">
        <v>114</v>
      </c>
      <c r="AX228" t="s">
        <v>2157</v>
      </c>
      <c r="AY228" t="s">
        <v>4972</v>
      </c>
      <c r="AZ228" t="s">
        <v>4</v>
      </c>
      <c r="BA228" s="3" t="s">
        <v>95</v>
      </c>
      <c r="BB228" s="6" t="s">
        <v>95</v>
      </c>
      <c r="BC228" s="3" t="s">
        <v>95</v>
      </c>
      <c r="BD228" t="s">
        <v>4</v>
      </c>
      <c r="BE228">
        <v>7223</v>
      </c>
      <c r="BF228" t="s">
        <v>213</v>
      </c>
      <c r="BG228">
        <v>98.721199999999996</v>
      </c>
      <c r="BH228">
        <v>75.959100000000007</v>
      </c>
      <c r="BI228" t="s">
        <v>4973</v>
      </c>
      <c r="BJ228">
        <v>95.652199999999993</v>
      </c>
      <c r="BK228">
        <v>79.539599999999993</v>
      </c>
      <c r="BL228">
        <v>91.815899999999999</v>
      </c>
      <c r="BM228">
        <v>96.163700000000006</v>
      </c>
      <c r="BN228">
        <v>96.163700000000006</v>
      </c>
      <c r="BO228">
        <v>95.652199999999993</v>
      </c>
      <c r="BP228" t="s">
        <v>4974</v>
      </c>
      <c r="BQ228" t="s">
        <v>4975</v>
      </c>
      <c r="BT228">
        <v>36.572899999999997</v>
      </c>
      <c r="BU228">
        <v>34.526899999999998</v>
      </c>
      <c r="BV228" t="s">
        <v>4976</v>
      </c>
      <c r="BW228">
        <v>40.664999999999999</v>
      </c>
      <c r="BX228">
        <v>44.501300000000001</v>
      </c>
      <c r="BZ228">
        <v>42.966799999999999</v>
      </c>
      <c r="CA228">
        <v>43.989800000000002</v>
      </c>
      <c r="CE228">
        <v>21.4834</v>
      </c>
      <c r="CG228">
        <v>32.480800000000002</v>
      </c>
      <c r="CH228">
        <v>32.480800000000002</v>
      </c>
      <c r="CI228" t="s">
        <v>4977</v>
      </c>
      <c r="CK228">
        <v>8</v>
      </c>
      <c r="CL228" t="s">
        <v>4</v>
      </c>
      <c r="CM228" t="s">
        <v>4978</v>
      </c>
      <c r="CN228" t="s">
        <v>4979</v>
      </c>
      <c r="CO228" t="s">
        <v>1218</v>
      </c>
      <c r="CP228" t="s">
        <v>100</v>
      </c>
      <c r="CQ228">
        <v>227</v>
      </c>
      <c r="CR228" t="s">
        <v>100</v>
      </c>
      <c r="CS228" s="7" t="s">
        <v>101</v>
      </c>
      <c r="CT228" t="s">
        <v>152</v>
      </c>
      <c r="CU228" t="s">
        <v>102</v>
      </c>
      <c r="CV228" t="s">
        <v>100</v>
      </c>
    </row>
    <row r="229" spans="1:100">
      <c r="A229" s="3" t="s">
        <v>4980</v>
      </c>
      <c r="B229" s="4" t="s">
        <v>4981</v>
      </c>
      <c r="C229">
        <v>929.95365331937796</v>
      </c>
      <c r="D229">
        <v>4331.5855435685198</v>
      </c>
      <c r="E229">
        <f>-2.21984136280952</f>
        <v>-2.2198413628095199</v>
      </c>
      <c r="F229" s="5">
        <v>1.2403536071924799E-33</v>
      </c>
      <c r="G229" t="s">
        <v>4</v>
      </c>
      <c r="H229">
        <v>929.95365331937796</v>
      </c>
      <c r="I229">
        <v>954.77288229560997</v>
      </c>
      <c r="J229">
        <f>0.0351652511557276</f>
        <v>3.5165251155727599E-2</v>
      </c>
      <c r="K229">
        <v>0.87483556264276097</v>
      </c>
      <c r="L229" t="s">
        <v>4</v>
      </c>
      <c r="M229">
        <v>4331.5855435685198</v>
      </c>
      <c r="N229">
        <v>954.77288229560997</v>
      </c>
      <c r="O229">
        <v>2.1846761116538</v>
      </c>
      <c r="P229" s="5">
        <v>3.6539553400962099E-33</v>
      </c>
      <c r="Q229" t="s">
        <v>4</v>
      </c>
      <c r="R229" s="4" t="s">
        <v>87</v>
      </c>
      <c r="S229" t="s">
        <v>4</v>
      </c>
      <c r="T229" t="s">
        <v>92</v>
      </c>
      <c r="U229" t="s">
        <v>92</v>
      </c>
      <c r="V229" t="s">
        <v>92</v>
      </c>
      <c r="W229" t="s">
        <v>92</v>
      </c>
      <c r="X229" t="s">
        <v>4</v>
      </c>
      <c r="Y229" t="s">
        <v>92</v>
      </c>
      <c r="Z229" t="s">
        <v>92</v>
      </c>
      <c r="AA229" t="s">
        <v>92</v>
      </c>
      <c r="AB229" t="s">
        <v>4</v>
      </c>
      <c r="AC229" s="3" t="s">
        <v>4982</v>
      </c>
      <c r="AD229" t="s">
        <v>4</v>
      </c>
      <c r="AE229" t="s">
        <v>4983</v>
      </c>
      <c r="AF229" t="s">
        <v>4984</v>
      </c>
      <c r="AG229" t="s">
        <v>4985</v>
      </c>
      <c r="AH229" t="s">
        <v>112</v>
      </c>
      <c r="AJ229" t="s">
        <v>4986</v>
      </c>
      <c r="AU229" t="s">
        <v>112</v>
      </c>
      <c r="AV229" t="s">
        <v>4987</v>
      </c>
      <c r="AW229" t="s">
        <v>114</v>
      </c>
      <c r="AX229" t="s">
        <v>371</v>
      </c>
      <c r="AY229" t="s">
        <v>4988</v>
      </c>
      <c r="AZ229" t="s">
        <v>4</v>
      </c>
      <c r="BA229" s="3" t="s">
        <v>115</v>
      </c>
      <c r="BB229" s="6" t="s">
        <v>95</v>
      </c>
      <c r="BC229" s="3" t="s">
        <v>95</v>
      </c>
      <c r="BD229" t="s">
        <v>4</v>
      </c>
      <c r="BE229">
        <v>3911</v>
      </c>
      <c r="BF229" t="s">
        <v>112</v>
      </c>
      <c r="BG229">
        <v>98.028700000000001</v>
      </c>
      <c r="BJ229">
        <v>93.906800000000004</v>
      </c>
      <c r="BK229">
        <v>86.738299999999995</v>
      </c>
      <c r="BM229">
        <v>93.548400000000001</v>
      </c>
      <c r="BN229">
        <v>93.548400000000001</v>
      </c>
      <c r="BO229">
        <v>92.114699999999999</v>
      </c>
      <c r="BQ229">
        <v>27.957000000000001</v>
      </c>
      <c r="BR229">
        <v>22.042999999999999</v>
      </c>
      <c r="BS229">
        <v>24.731200000000001</v>
      </c>
      <c r="BV229" t="s">
        <v>4989</v>
      </c>
      <c r="BW229">
        <v>22.401399999999999</v>
      </c>
      <c r="BX229">
        <v>27.598600000000001</v>
      </c>
      <c r="BZ229">
        <v>25.985700000000001</v>
      </c>
      <c r="CA229">
        <v>23.835100000000001</v>
      </c>
      <c r="CK229">
        <v>5</v>
      </c>
      <c r="CL229" t="s">
        <v>4</v>
      </c>
      <c r="CM229" t="s">
        <v>4990</v>
      </c>
      <c r="CN229" t="s">
        <v>4991</v>
      </c>
      <c r="CO229" t="s">
        <v>219</v>
      </c>
      <c r="CP229" t="s">
        <v>100</v>
      </c>
      <c r="CQ229">
        <v>228</v>
      </c>
      <c r="CR229" t="s">
        <v>100</v>
      </c>
      <c r="CS229" t="s">
        <v>100</v>
      </c>
      <c r="CT229" t="s">
        <v>152</v>
      </c>
      <c r="CU229" t="s">
        <v>102</v>
      </c>
      <c r="CV229" t="s">
        <v>100</v>
      </c>
    </row>
    <row r="230" spans="1:100">
      <c r="A230" s="3" t="s">
        <v>4992</v>
      </c>
      <c r="B230" s="4" t="s">
        <v>4993</v>
      </c>
      <c r="C230">
        <v>557.51395080547002</v>
      </c>
      <c r="D230">
        <v>2679.18459241459</v>
      </c>
      <c r="E230">
        <f>-2.26462163044513</f>
        <v>-2.2646216304451299</v>
      </c>
      <c r="F230" s="5">
        <v>8.9687671780135407E-15</v>
      </c>
      <c r="G230" t="s">
        <v>4</v>
      </c>
      <c r="H230">
        <v>557.51395080547002</v>
      </c>
      <c r="I230">
        <v>165.392596182467</v>
      </c>
      <c r="J230">
        <v>1.73738612825788</v>
      </c>
      <c r="K230" s="5">
        <v>8.5786691791900506E-9</v>
      </c>
      <c r="L230" t="s">
        <v>4</v>
      </c>
      <c r="M230">
        <v>2679.18459241459</v>
      </c>
      <c r="N230">
        <v>165.392596182467</v>
      </c>
      <c r="O230">
        <v>4.0020077587030096</v>
      </c>
      <c r="P230" s="5">
        <v>6.0329008958443499E-43</v>
      </c>
      <c r="Q230" t="s">
        <v>4</v>
      </c>
      <c r="R230" s="4" t="s">
        <v>87</v>
      </c>
      <c r="S230" t="s">
        <v>4</v>
      </c>
      <c r="T230" t="s">
        <v>4994</v>
      </c>
      <c r="U230" t="s">
        <v>4995</v>
      </c>
      <c r="V230" t="s">
        <v>4996</v>
      </c>
      <c r="W230" t="s">
        <v>328</v>
      </c>
      <c r="X230" t="s">
        <v>4</v>
      </c>
      <c r="Y230" t="s">
        <v>4997</v>
      </c>
      <c r="Z230" t="s">
        <v>4998</v>
      </c>
      <c r="AA230" t="s">
        <v>4999</v>
      </c>
      <c r="AB230" t="s">
        <v>4</v>
      </c>
      <c r="AC230" s="3" t="s">
        <v>5000</v>
      </c>
      <c r="AD230" t="s">
        <v>4</v>
      </c>
      <c r="AE230" t="s">
        <v>5001</v>
      </c>
      <c r="AF230" t="s">
        <v>834</v>
      </c>
      <c r="AG230" t="s">
        <v>5002</v>
      </c>
      <c r="AH230" t="s">
        <v>112</v>
      </c>
      <c r="AJ230" t="s">
        <v>5003</v>
      </c>
      <c r="AK230" t="s">
        <v>5004</v>
      </c>
      <c r="AL230" t="s">
        <v>5005</v>
      </c>
      <c r="AM230" t="s">
        <v>5006</v>
      </c>
      <c r="AO230" t="s">
        <v>5007</v>
      </c>
      <c r="AP230" t="s">
        <v>5008</v>
      </c>
      <c r="AQ230" t="s">
        <v>5009</v>
      </c>
      <c r="AS230" t="s">
        <v>5010</v>
      </c>
      <c r="AU230" t="s">
        <v>112</v>
      </c>
      <c r="AV230" t="s">
        <v>5011</v>
      </c>
      <c r="AW230" t="s">
        <v>114</v>
      </c>
      <c r="AX230" t="s">
        <v>4098</v>
      </c>
      <c r="AY230" t="s">
        <v>5012</v>
      </c>
      <c r="AZ230" t="s">
        <v>4</v>
      </c>
      <c r="BA230" s="3" t="s">
        <v>115</v>
      </c>
      <c r="BB230" t="s">
        <v>96</v>
      </c>
      <c r="BC230" s="3" t="s">
        <v>95</v>
      </c>
      <c r="BD230" t="s">
        <v>4</v>
      </c>
      <c r="BE230">
        <v>5032</v>
      </c>
      <c r="BF230" t="s">
        <v>282</v>
      </c>
      <c r="BG230">
        <v>93.944000000000003</v>
      </c>
      <c r="BH230">
        <v>33.610900000000001</v>
      </c>
      <c r="BI230">
        <v>81.302000000000007</v>
      </c>
      <c r="BJ230" t="s">
        <v>5013</v>
      </c>
      <c r="BL230">
        <v>78.122600000000006</v>
      </c>
      <c r="BM230">
        <v>71.158199999999994</v>
      </c>
      <c r="BN230">
        <v>78.122600000000006</v>
      </c>
      <c r="BO230">
        <v>68.054500000000004</v>
      </c>
      <c r="BP230">
        <v>53.520099999999999</v>
      </c>
      <c r="BQ230">
        <v>41.408000000000001</v>
      </c>
      <c r="BR230">
        <v>30.2044</v>
      </c>
      <c r="BS230">
        <v>45.420099999999998</v>
      </c>
      <c r="BT230">
        <v>32.096899999999998</v>
      </c>
      <c r="BU230">
        <v>41.408000000000001</v>
      </c>
      <c r="BV230" t="s">
        <v>5014</v>
      </c>
      <c r="BW230">
        <v>47.539700000000003</v>
      </c>
      <c r="BX230">
        <v>47.236899999999999</v>
      </c>
      <c r="BY230">
        <v>30.961400000000001</v>
      </c>
      <c r="BZ230" t="s">
        <v>5015</v>
      </c>
      <c r="CA230">
        <v>44.738799999999998</v>
      </c>
      <c r="CJ230" t="s">
        <v>5016</v>
      </c>
      <c r="CK230">
        <v>6</v>
      </c>
      <c r="CL230" t="s">
        <v>4</v>
      </c>
      <c r="CM230" t="s">
        <v>5017</v>
      </c>
      <c r="CN230" t="s">
        <v>5018</v>
      </c>
      <c r="CO230" t="s">
        <v>99</v>
      </c>
      <c r="CP230" t="s">
        <v>100</v>
      </c>
      <c r="CQ230">
        <v>229</v>
      </c>
      <c r="CR230" t="s">
        <v>100</v>
      </c>
      <c r="CS230" s="7" t="s">
        <v>101</v>
      </c>
      <c r="CT230" t="s">
        <v>152</v>
      </c>
      <c r="CU230" t="s">
        <v>102</v>
      </c>
      <c r="CV230" t="s">
        <v>100</v>
      </c>
    </row>
    <row r="231" spans="1:100">
      <c r="A231" s="3" t="s">
        <v>5019</v>
      </c>
      <c r="B231" s="4" t="s">
        <v>5020</v>
      </c>
      <c r="C231">
        <v>65.632561288012297</v>
      </c>
      <c r="D231">
        <v>784.04981408262199</v>
      </c>
      <c r="E231">
        <f>-3.57716523015834</f>
        <v>-3.5771652301583399</v>
      </c>
      <c r="F231" s="5">
        <v>1.02232418368236E-8</v>
      </c>
      <c r="G231" t="s">
        <v>4</v>
      </c>
      <c r="H231">
        <v>65.632561288012297</v>
      </c>
      <c r="I231">
        <v>27.759376103031499</v>
      </c>
      <c r="J231">
        <v>1.26739380090429</v>
      </c>
      <c r="K231">
        <v>6.49427230385035E-2</v>
      </c>
      <c r="L231" t="s">
        <v>4</v>
      </c>
      <c r="M231">
        <v>784.04981408262199</v>
      </c>
      <c r="N231">
        <v>27.759376103031499</v>
      </c>
      <c r="O231">
        <v>4.8445590310626301</v>
      </c>
      <c r="P231" s="5">
        <v>1.0702064826017501E-14</v>
      </c>
      <c r="Q231" t="s">
        <v>4</v>
      </c>
      <c r="R231" s="4" t="s">
        <v>87</v>
      </c>
      <c r="S231" t="s">
        <v>4</v>
      </c>
      <c r="T231" t="s">
        <v>5021</v>
      </c>
      <c r="U231" t="s">
        <v>5022</v>
      </c>
      <c r="V231" t="s">
        <v>5023</v>
      </c>
      <c r="W231" t="s">
        <v>328</v>
      </c>
      <c r="X231" t="s">
        <v>4</v>
      </c>
      <c r="Y231" t="s">
        <v>5024</v>
      </c>
      <c r="Z231" t="s">
        <v>5025</v>
      </c>
      <c r="AA231" t="s">
        <v>5026</v>
      </c>
      <c r="AB231" t="s">
        <v>4</v>
      </c>
      <c r="AC231" s="3" t="s">
        <v>5027</v>
      </c>
      <c r="AD231" t="s">
        <v>4</v>
      </c>
      <c r="AE231" t="s">
        <v>5028</v>
      </c>
      <c r="AF231" t="s">
        <v>5029</v>
      </c>
      <c r="AG231" t="s">
        <v>5030</v>
      </c>
      <c r="AH231" t="s">
        <v>112</v>
      </c>
      <c r="AJ231" t="s">
        <v>5031</v>
      </c>
      <c r="AL231" t="s">
        <v>5032</v>
      </c>
      <c r="AQ231" t="s">
        <v>1003</v>
      </c>
      <c r="AU231" t="s">
        <v>112</v>
      </c>
      <c r="AV231" t="s">
        <v>5033</v>
      </c>
      <c r="AW231" t="s">
        <v>114</v>
      </c>
      <c r="AX231" t="s">
        <v>371</v>
      </c>
      <c r="AY231" t="s">
        <v>5034</v>
      </c>
      <c r="AZ231" t="s">
        <v>4</v>
      </c>
      <c r="BA231" s="3" t="s">
        <v>95</v>
      </c>
      <c r="BB231" s="6" t="s">
        <v>95</v>
      </c>
      <c r="BC231" s="3" t="s">
        <v>95</v>
      </c>
      <c r="BD231" t="s">
        <v>4</v>
      </c>
      <c r="BE231">
        <v>7254</v>
      </c>
      <c r="BF231" t="s">
        <v>213</v>
      </c>
      <c r="BG231">
        <v>42.920400000000001</v>
      </c>
      <c r="BH231">
        <v>38.495600000000003</v>
      </c>
      <c r="BI231">
        <v>65.486699999999999</v>
      </c>
      <c r="BJ231">
        <v>34.955800000000004</v>
      </c>
      <c r="BK231">
        <v>50.221200000000003</v>
      </c>
      <c r="BL231">
        <v>39.601799999999997</v>
      </c>
      <c r="BM231">
        <v>52.212400000000002</v>
      </c>
      <c r="BN231">
        <v>69.911500000000004</v>
      </c>
      <c r="BP231">
        <v>36.061900000000001</v>
      </c>
      <c r="BQ231">
        <v>36.946899999999999</v>
      </c>
      <c r="BR231">
        <v>40.265500000000003</v>
      </c>
      <c r="BS231">
        <v>29.424800000000001</v>
      </c>
      <c r="BT231">
        <v>27.876100000000001</v>
      </c>
      <c r="BV231" t="s">
        <v>5035</v>
      </c>
      <c r="BW231">
        <v>39.601799999999997</v>
      </c>
      <c r="BX231">
        <v>40.044199999999996</v>
      </c>
      <c r="BY231">
        <v>28.097300000000001</v>
      </c>
      <c r="BZ231">
        <v>21.6814</v>
      </c>
      <c r="CA231">
        <v>35.840699999999998</v>
      </c>
      <c r="CC231">
        <v>28.5398</v>
      </c>
      <c r="CD231">
        <v>30.752199999999998</v>
      </c>
      <c r="CE231">
        <v>32.079599999999999</v>
      </c>
      <c r="CF231" t="s">
        <v>5036</v>
      </c>
      <c r="CG231" t="s">
        <v>5037</v>
      </c>
      <c r="CH231" t="s">
        <v>5038</v>
      </c>
      <c r="CI231" t="s">
        <v>5039</v>
      </c>
      <c r="CK231">
        <v>8</v>
      </c>
      <c r="CL231" t="s">
        <v>4</v>
      </c>
      <c r="CM231" t="s">
        <v>5040</v>
      </c>
      <c r="CN231" t="s">
        <v>5041</v>
      </c>
      <c r="CO231" t="s">
        <v>99</v>
      </c>
      <c r="CP231" t="s">
        <v>100</v>
      </c>
      <c r="CQ231">
        <v>230</v>
      </c>
      <c r="CR231" t="s">
        <v>100</v>
      </c>
      <c r="CS231" t="s">
        <v>100</v>
      </c>
      <c r="CT231" t="s">
        <v>152</v>
      </c>
      <c r="CU231" t="s">
        <v>102</v>
      </c>
      <c r="CV231" t="s">
        <v>100</v>
      </c>
    </row>
    <row r="232" spans="1:100">
      <c r="A232" s="3" t="s">
        <v>5042</v>
      </c>
      <c r="B232" s="4" t="s">
        <v>5043</v>
      </c>
      <c r="C232">
        <v>90.535944571876001</v>
      </c>
      <c r="D232">
        <v>429.69086430701702</v>
      </c>
      <c r="E232">
        <f>-2.24846313712425</f>
        <v>-2.2484631371242498</v>
      </c>
      <c r="F232" s="5">
        <v>7.5518292019396702E-6</v>
      </c>
      <c r="G232" t="s">
        <v>4</v>
      </c>
      <c r="H232">
        <v>90.535944571876001</v>
      </c>
      <c r="I232">
        <v>20.905171907390201</v>
      </c>
      <c r="J232">
        <v>2.0888217758639098</v>
      </c>
      <c r="K232">
        <v>1.2935355680190899E-4</v>
      </c>
      <c r="L232" t="s">
        <v>4</v>
      </c>
      <c r="M232">
        <v>429.69086430701702</v>
      </c>
      <c r="N232">
        <v>20.905171907390201</v>
      </c>
      <c r="O232">
        <v>4.3372849129881503</v>
      </c>
      <c r="P232" s="5">
        <v>5.6310842477688406E-17</v>
      </c>
      <c r="Q232" t="s">
        <v>4</v>
      </c>
      <c r="R232" s="4" t="s">
        <v>87</v>
      </c>
      <c r="S232" t="s">
        <v>4</v>
      </c>
      <c r="T232" t="s">
        <v>5044</v>
      </c>
      <c r="U232" t="s">
        <v>5045</v>
      </c>
      <c r="V232" t="s">
        <v>5046</v>
      </c>
      <c r="W232" t="s">
        <v>976</v>
      </c>
      <c r="X232" t="s">
        <v>4</v>
      </c>
      <c r="Y232" t="s">
        <v>5047</v>
      </c>
      <c r="Z232" t="s">
        <v>5048</v>
      </c>
      <c r="AA232" t="s">
        <v>5049</v>
      </c>
      <c r="AB232" t="s">
        <v>4</v>
      </c>
      <c r="AC232" s="3" t="s">
        <v>5050</v>
      </c>
      <c r="AD232" t="s">
        <v>4</v>
      </c>
      <c r="AE232" t="s">
        <v>5051</v>
      </c>
      <c r="AF232" t="s">
        <v>5052</v>
      </c>
      <c r="AG232" t="s">
        <v>5053</v>
      </c>
      <c r="AH232" t="s">
        <v>112</v>
      </c>
      <c r="AJ232" t="s">
        <v>5054</v>
      </c>
      <c r="AU232" t="s">
        <v>112</v>
      </c>
      <c r="AV232" t="s">
        <v>5055</v>
      </c>
      <c r="AW232" t="s">
        <v>114</v>
      </c>
      <c r="AX232" t="s">
        <v>144</v>
      </c>
      <c r="AY232" t="s">
        <v>5056</v>
      </c>
      <c r="AZ232" t="s">
        <v>4</v>
      </c>
      <c r="BA232" s="3" t="s">
        <v>95</v>
      </c>
      <c r="BB232" t="s">
        <v>96</v>
      </c>
      <c r="BC232" s="3" t="s">
        <v>95</v>
      </c>
      <c r="BD232" t="s">
        <v>4</v>
      </c>
      <c r="BE232">
        <v>7282</v>
      </c>
      <c r="BF232" t="s">
        <v>213</v>
      </c>
      <c r="BG232">
        <v>98.734200000000001</v>
      </c>
      <c r="BH232">
        <v>59.634300000000003</v>
      </c>
      <c r="BI232">
        <v>93.389600000000002</v>
      </c>
      <c r="BJ232">
        <v>75.246099999999998</v>
      </c>
      <c r="BK232">
        <v>70.042199999999994</v>
      </c>
      <c r="BL232">
        <v>27.1449</v>
      </c>
      <c r="BM232">
        <v>68.917000000000002</v>
      </c>
      <c r="BN232">
        <v>69.198300000000003</v>
      </c>
      <c r="BO232">
        <v>59.353000000000002</v>
      </c>
      <c r="BP232">
        <v>36.146299999999997</v>
      </c>
      <c r="BQ232">
        <v>28.1294</v>
      </c>
      <c r="BR232">
        <v>35.021099999999997</v>
      </c>
      <c r="BS232">
        <v>35.865000000000002</v>
      </c>
      <c r="BT232" t="s">
        <v>5057</v>
      </c>
      <c r="BU232">
        <v>33.895899999999997</v>
      </c>
      <c r="BV232" t="s">
        <v>5058</v>
      </c>
      <c r="BW232" t="s">
        <v>5059</v>
      </c>
      <c r="BX232" t="s">
        <v>5060</v>
      </c>
      <c r="BY232" t="s">
        <v>5061</v>
      </c>
      <c r="BZ232" t="s">
        <v>5062</v>
      </c>
      <c r="CA232" t="s">
        <v>5063</v>
      </c>
      <c r="CK232">
        <v>8</v>
      </c>
      <c r="CL232" t="s">
        <v>4</v>
      </c>
      <c r="CM232" t="s">
        <v>5064</v>
      </c>
      <c r="CN232" t="s">
        <v>5065</v>
      </c>
      <c r="CO232" t="s">
        <v>1218</v>
      </c>
      <c r="CP232" t="s">
        <v>100</v>
      </c>
      <c r="CQ232">
        <v>231</v>
      </c>
      <c r="CR232" t="s">
        <v>100</v>
      </c>
      <c r="CS232" t="s">
        <v>101</v>
      </c>
      <c r="CT232" t="s">
        <v>152</v>
      </c>
      <c r="CU232" t="s">
        <v>102</v>
      </c>
      <c r="CV232" t="s">
        <v>100</v>
      </c>
    </row>
    <row r="233" spans="1:100">
      <c r="A233" s="3" t="s">
        <v>5066</v>
      </c>
      <c r="B233" s="4" t="s">
        <v>5067</v>
      </c>
      <c r="C233">
        <v>151.21834568142</v>
      </c>
      <c r="D233">
        <v>3533.4333075477698</v>
      </c>
      <c r="E233">
        <f>-4.54520290684135</f>
        <v>-4.5452029068413502</v>
      </c>
      <c r="F233" s="5">
        <v>3.6277605880636599E-15</v>
      </c>
      <c r="G233" t="s">
        <v>4</v>
      </c>
      <c r="H233">
        <v>151.21834568142</v>
      </c>
      <c r="I233">
        <v>87.502124913487194</v>
      </c>
      <c r="J233">
        <v>0.79138868040901</v>
      </c>
      <c r="K233">
        <v>0.216168078937057</v>
      </c>
      <c r="L233" t="s">
        <v>4</v>
      </c>
      <c r="M233">
        <v>3533.4333075477698</v>
      </c>
      <c r="N233">
        <v>87.502124913487194</v>
      </c>
      <c r="O233">
        <v>5.3365915872503598</v>
      </c>
      <c r="P233" s="5">
        <v>8.1661073419479799E-21</v>
      </c>
      <c r="Q233" t="s">
        <v>4</v>
      </c>
      <c r="R233" s="4" t="s">
        <v>87</v>
      </c>
      <c r="S233" t="s">
        <v>4</v>
      </c>
      <c r="T233" t="s">
        <v>684</v>
      </c>
      <c r="U233" t="s">
        <v>685</v>
      </c>
      <c r="V233" t="s">
        <v>686</v>
      </c>
      <c r="W233" t="s">
        <v>123</v>
      </c>
      <c r="X233" t="s">
        <v>4</v>
      </c>
      <c r="Y233" t="s">
        <v>3163</v>
      </c>
      <c r="Z233" t="s">
        <v>3164</v>
      </c>
      <c r="AA233" t="s">
        <v>3165</v>
      </c>
      <c r="AB233" t="s">
        <v>4</v>
      </c>
      <c r="AC233" s="3" t="s">
        <v>3166</v>
      </c>
      <c r="AD233" t="s">
        <v>4</v>
      </c>
      <c r="AE233" t="s">
        <v>5068</v>
      </c>
      <c r="AF233" t="s">
        <v>5069</v>
      </c>
      <c r="AG233" t="s">
        <v>957</v>
      </c>
      <c r="AH233" t="s">
        <v>112</v>
      </c>
      <c r="AJ233" t="s">
        <v>5070</v>
      </c>
      <c r="AL233" t="s">
        <v>5071</v>
      </c>
      <c r="AM233" t="s">
        <v>5072</v>
      </c>
      <c r="AQ233" t="s">
        <v>303</v>
      </c>
      <c r="AU233" t="s">
        <v>112</v>
      </c>
      <c r="AV233" t="s">
        <v>5073</v>
      </c>
      <c r="AW233" t="s">
        <v>114</v>
      </c>
      <c r="AX233" t="s">
        <v>144</v>
      </c>
      <c r="AY233" t="s">
        <v>5074</v>
      </c>
      <c r="AZ233" t="s">
        <v>4</v>
      </c>
      <c r="BA233" s="3" t="s">
        <v>95</v>
      </c>
      <c r="BB233" s="6" t="s">
        <v>95</v>
      </c>
      <c r="BC233" s="3" t="s">
        <v>95</v>
      </c>
      <c r="BD233" t="s">
        <v>4</v>
      </c>
      <c r="BE233">
        <v>3946</v>
      </c>
      <c r="BF233" t="s">
        <v>112</v>
      </c>
      <c r="BG233" t="s">
        <v>5075</v>
      </c>
      <c r="BH233">
        <v>99.730500000000006</v>
      </c>
      <c r="BI233">
        <v>71.159000000000006</v>
      </c>
      <c r="BJ233">
        <v>58.220999999999997</v>
      </c>
      <c r="BK233">
        <v>47.439399999999999</v>
      </c>
      <c r="BL233">
        <v>23.180599999999998</v>
      </c>
      <c r="BM233">
        <v>29.9191</v>
      </c>
      <c r="BN233">
        <v>47.7089</v>
      </c>
      <c r="BO233">
        <v>46.900300000000001</v>
      </c>
      <c r="BP233">
        <v>23.180599999999998</v>
      </c>
      <c r="BQ233" t="s">
        <v>5076</v>
      </c>
      <c r="BR233">
        <v>13.746600000000001</v>
      </c>
      <c r="BV233" t="s">
        <v>5077</v>
      </c>
      <c r="BW233">
        <v>17.250699999999998</v>
      </c>
      <c r="BX233">
        <v>18.867899999999999</v>
      </c>
      <c r="BZ233">
        <v>10.242599999999999</v>
      </c>
      <c r="CA233">
        <v>17.7898</v>
      </c>
      <c r="CG233" t="s">
        <v>5078</v>
      </c>
      <c r="CH233" t="s">
        <v>5079</v>
      </c>
      <c r="CI233">
        <v>12.938000000000001</v>
      </c>
      <c r="CK233">
        <v>5</v>
      </c>
      <c r="CL233" t="s">
        <v>4</v>
      </c>
      <c r="CM233" t="s">
        <v>5080</v>
      </c>
      <c r="CN233" t="s">
        <v>5081</v>
      </c>
      <c r="CO233" t="s">
        <v>1218</v>
      </c>
      <c r="CP233" t="s">
        <v>100</v>
      </c>
      <c r="CQ233">
        <v>232</v>
      </c>
      <c r="CR233" t="s">
        <v>100</v>
      </c>
      <c r="CS233" t="s">
        <v>100</v>
      </c>
      <c r="CT233" t="s">
        <v>152</v>
      </c>
      <c r="CU233" t="s">
        <v>102</v>
      </c>
      <c r="CV233" t="s">
        <v>100</v>
      </c>
    </row>
    <row r="234" spans="1:100">
      <c r="A234" s="3" t="s">
        <v>5082</v>
      </c>
      <c r="B234" s="4" t="s">
        <v>5083</v>
      </c>
      <c r="C234">
        <v>1604.02840721591</v>
      </c>
      <c r="D234">
        <v>9324.2734299481308</v>
      </c>
      <c r="E234">
        <f>-2.5391960653711</f>
        <v>-2.5391960653711001</v>
      </c>
      <c r="F234" s="5">
        <v>3.0339655729768498E-26</v>
      </c>
      <c r="G234" t="s">
        <v>4</v>
      </c>
      <c r="H234">
        <v>1604.02840721591</v>
      </c>
      <c r="I234">
        <v>838.82800146552995</v>
      </c>
      <c r="J234">
        <v>0.93396802539482504</v>
      </c>
      <c r="K234">
        <v>1.9591605112479201E-4</v>
      </c>
      <c r="L234" t="s">
        <v>4</v>
      </c>
      <c r="M234">
        <v>9324.2734299481308</v>
      </c>
      <c r="N234">
        <v>838.82800146552995</v>
      </c>
      <c r="O234">
        <v>3.47316409076593</v>
      </c>
      <c r="P234" s="5">
        <v>6.0391100871767702E-49</v>
      </c>
      <c r="Q234" t="s">
        <v>4</v>
      </c>
      <c r="R234" s="4" t="s">
        <v>87</v>
      </c>
      <c r="S234" t="s">
        <v>4</v>
      </c>
      <c r="T234" t="s">
        <v>92</v>
      </c>
      <c r="U234" t="s">
        <v>92</v>
      </c>
      <c r="V234" t="s">
        <v>92</v>
      </c>
      <c r="W234" t="s">
        <v>92</v>
      </c>
      <c r="X234" t="s">
        <v>4</v>
      </c>
      <c r="Y234" t="s">
        <v>92</v>
      </c>
      <c r="Z234" t="s">
        <v>92</v>
      </c>
      <c r="AA234" t="s">
        <v>92</v>
      </c>
      <c r="AB234" t="s">
        <v>4</v>
      </c>
      <c r="AC234" s="3" t="s">
        <v>93</v>
      </c>
      <c r="AD234" t="s">
        <v>4</v>
      </c>
      <c r="AE234" t="s">
        <v>5084</v>
      </c>
      <c r="AF234" t="s">
        <v>5085</v>
      </c>
      <c r="AG234" t="s">
        <v>5086</v>
      </c>
      <c r="AH234" t="s">
        <v>112</v>
      </c>
      <c r="AU234" t="s">
        <v>112</v>
      </c>
      <c r="AV234" t="s">
        <v>5087</v>
      </c>
      <c r="AW234" t="s">
        <v>114</v>
      </c>
      <c r="AZ234" t="s">
        <v>4</v>
      </c>
      <c r="BA234" s="3" t="s">
        <v>115</v>
      </c>
      <c r="BB234" s="6" t="s">
        <v>95</v>
      </c>
      <c r="BC234" s="3" t="s">
        <v>95</v>
      </c>
      <c r="BD234" t="s">
        <v>4</v>
      </c>
      <c r="BE234">
        <v>3949</v>
      </c>
      <c r="BF234" t="s">
        <v>112</v>
      </c>
      <c r="BG234">
        <v>98.125</v>
      </c>
      <c r="BH234">
        <v>71.041700000000006</v>
      </c>
      <c r="BI234" t="s">
        <v>5088</v>
      </c>
      <c r="BJ234">
        <v>90.208299999999994</v>
      </c>
      <c r="BK234">
        <v>80.625</v>
      </c>
      <c r="BL234">
        <v>46.875</v>
      </c>
      <c r="BM234">
        <v>85.416700000000006</v>
      </c>
      <c r="BN234">
        <v>88.333299999999994</v>
      </c>
      <c r="BO234">
        <v>87.708299999999994</v>
      </c>
      <c r="BQ234">
        <v>27.291699999999999</v>
      </c>
      <c r="BX234">
        <v>24.375</v>
      </c>
      <c r="CA234">
        <v>24.375</v>
      </c>
      <c r="CK234">
        <v>5</v>
      </c>
      <c r="CL234" t="s">
        <v>4</v>
      </c>
      <c r="CM234" t="s">
        <v>5089</v>
      </c>
      <c r="CN234" t="s">
        <v>5090</v>
      </c>
      <c r="CO234" t="s">
        <v>1218</v>
      </c>
      <c r="CP234" t="s">
        <v>100</v>
      </c>
      <c r="CQ234">
        <v>233</v>
      </c>
      <c r="CR234" t="s">
        <v>100</v>
      </c>
      <c r="CS234" t="s">
        <v>100</v>
      </c>
      <c r="CT234" t="s">
        <v>152</v>
      </c>
      <c r="CU234" t="s">
        <v>102</v>
      </c>
      <c r="CV234" t="s">
        <v>100</v>
      </c>
    </row>
    <row r="235" spans="1:100">
      <c r="A235" s="3" t="s">
        <v>5091</v>
      </c>
      <c r="B235" s="4" t="s">
        <v>5092</v>
      </c>
      <c r="C235">
        <v>151.370790704672</v>
      </c>
      <c r="D235">
        <v>3626.4984119057599</v>
      </c>
      <c r="E235">
        <f>-4.58134195844474</f>
        <v>-4.5813419584447397</v>
      </c>
      <c r="F235" s="5">
        <v>1.5214743622521601E-19</v>
      </c>
      <c r="G235" t="s">
        <v>4</v>
      </c>
      <c r="H235">
        <v>151.370790704672</v>
      </c>
      <c r="I235">
        <v>677.18531830097299</v>
      </c>
      <c r="J235">
        <f>-2.1599237378543</f>
        <v>-2.1599237378542999</v>
      </c>
      <c r="K235" s="5">
        <v>3.21926667849112E-5</v>
      </c>
      <c r="L235" t="s">
        <v>4</v>
      </c>
      <c r="M235">
        <v>3626.4984119057599</v>
      </c>
      <c r="N235">
        <v>677.18531830097299</v>
      </c>
      <c r="O235">
        <v>2.4214182205904402</v>
      </c>
      <c r="P235" s="5">
        <v>1.6976669302214701E-6</v>
      </c>
      <c r="Q235" t="s">
        <v>4</v>
      </c>
      <c r="R235" s="4" t="s">
        <v>87</v>
      </c>
      <c r="S235" t="s">
        <v>4</v>
      </c>
      <c r="T235" t="s">
        <v>5093</v>
      </c>
      <c r="U235" t="s">
        <v>5094</v>
      </c>
      <c r="V235" t="s">
        <v>5095</v>
      </c>
      <c r="W235" t="s">
        <v>328</v>
      </c>
      <c r="X235" t="s">
        <v>4</v>
      </c>
      <c r="Y235" t="s">
        <v>5096</v>
      </c>
      <c r="Z235" t="s">
        <v>5097</v>
      </c>
      <c r="AA235" t="s">
        <v>5098</v>
      </c>
      <c r="AB235" t="s">
        <v>4</v>
      </c>
      <c r="AC235" s="3" t="s">
        <v>5099</v>
      </c>
      <c r="AD235" t="s">
        <v>4</v>
      </c>
      <c r="AE235" t="s">
        <v>5100</v>
      </c>
      <c r="AF235" t="s">
        <v>5101</v>
      </c>
      <c r="AG235" t="s">
        <v>5102</v>
      </c>
      <c r="AH235" t="s">
        <v>112</v>
      </c>
      <c r="AJ235" t="s">
        <v>5103</v>
      </c>
      <c r="AK235" t="s">
        <v>5104</v>
      </c>
      <c r="AL235" t="s">
        <v>5105</v>
      </c>
      <c r="AM235" t="s">
        <v>5106</v>
      </c>
      <c r="AQ235" t="s">
        <v>3809</v>
      </c>
      <c r="AU235" t="s">
        <v>112</v>
      </c>
      <c r="AV235" t="s">
        <v>5107</v>
      </c>
      <c r="AW235" t="s">
        <v>114</v>
      </c>
      <c r="AX235" t="s">
        <v>132</v>
      </c>
      <c r="AY235" t="s">
        <v>5108</v>
      </c>
      <c r="AZ235" t="s">
        <v>4</v>
      </c>
      <c r="BA235" s="3" t="s">
        <v>95</v>
      </c>
      <c r="BB235" s="6" t="s">
        <v>95</v>
      </c>
      <c r="BC235" s="3" t="s">
        <v>95</v>
      </c>
      <c r="BD235" t="s">
        <v>4</v>
      </c>
      <c r="BE235">
        <v>7317</v>
      </c>
      <c r="BF235" t="s">
        <v>213</v>
      </c>
      <c r="BG235">
        <v>97.178100000000001</v>
      </c>
      <c r="BH235">
        <v>0.35273399999999999</v>
      </c>
      <c r="BI235">
        <v>85.361500000000007</v>
      </c>
      <c r="BJ235">
        <v>69.135800000000003</v>
      </c>
      <c r="BK235">
        <v>72.839500000000001</v>
      </c>
      <c r="BL235">
        <v>33.862400000000001</v>
      </c>
      <c r="BM235">
        <v>70.899500000000003</v>
      </c>
      <c r="BN235">
        <v>70.017600000000002</v>
      </c>
      <c r="BO235">
        <v>75.132300000000001</v>
      </c>
      <c r="BP235">
        <v>58.377400000000002</v>
      </c>
      <c r="BQ235" t="s">
        <v>5109</v>
      </c>
      <c r="BR235" t="s">
        <v>5110</v>
      </c>
      <c r="BS235">
        <v>28.747800000000002</v>
      </c>
      <c r="BT235">
        <v>42.680799999999998</v>
      </c>
      <c r="BU235">
        <v>29.982399999999998</v>
      </c>
      <c r="BV235" t="s">
        <v>5111</v>
      </c>
      <c r="BW235">
        <v>48.3245</v>
      </c>
      <c r="BX235">
        <v>56.790100000000002</v>
      </c>
      <c r="BY235">
        <v>50.264499999999998</v>
      </c>
      <c r="BZ235">
        <v>18.694900000000001</v>
      </c>
      <c r="CA235">
        <v>52.557299999999998</v>
      </c>
      <c r="CB235" t="s">
        <v>5112</v>
      </c>
      <c r="CC235">
        <v>48.8536</v>
      </c>
      <c r="CD235">
        <v>50.6173</v>
      </c>
      <c r="CE235">
        <v>35.273400000000002</v>
      </c>
      <c r="CF235">
        <v>41.622599999999998</v>
      </c>
      <c r="CG235" t="s">
        <v>5113</v>
      </c>
      <c r="CH235" t="s">
        <v>5114</v>
      </c>
      <c r="CI235" t="s">
        <v>5115</v>
      </c>
      <c r="CJ235" t="s">
        <v>5116</v>
      </c>
      <c r="CK235">
        <v>8</v>
      </c>
      <c r="CL235" t="s">
        <v>4</v>
      </c>
      <c r="CM235" t="s">
        <v>5117</v>
      </c>
      <c r="CN235" t="s">
        <v>5118</v>
      </c>
      <c r="CO235" t="s">
        <v>1218</v>
      </c>
      <c r="CP235" t="s">
        <v>100</v>
      </c>
      <c r="CQ235">
        <v>234</v>
      </c>
      <c r="CR235" t="s">
        <v>100</v>
      </c>
      <c r="CS235" t="s">
        <v>100</v>
      </c>
      <c r="CT235" t="s">
        <v>152</v>
      </c>
      <c r="CU235" t="s">
        <v>102</v>
      </c>
      <c r="CV235" t="s">
        <v>100</v>
      </c>
    </row>
    <row r="236" spans="1:100">
      <c r="A236" s="3" t="s">
        <v>5119</v>
      </c>
      <c r="B236" s="4" t="s">
        <v>5120</v>
      </c>
      <c r="C236">
        <v>1188.08023319995</v>
      </c>
      <c r="D236">
        <v>5019.2151314995199</v>
      </c>
      <c r="E236">
        <f>-2.07837985608341</f>
        <v>-2.0783798560834099</v>
      </c>
      <c r="F236" s="5">
        <v>2.31324353516884E-25</v>
      </c>
      <c r="G236" t="s">
        <v>4</v>
      </c>
      <c r="H236">
        <v>1188.08023319995</v>
      </c>
      <c r="I236">
        <v>184.245056926974</v>
      </c>
      <c r="J236">
        <v>2.6795636834599299</v>
      </c>
      <c r="K236" s="5">
        <v>1.7804790636963199E-37</v>
      </c>
      <c r="L236" t="s">
        <v>4</v>
      </c>
      <c r="M236">
        <v>5019.2151314995199</v>
      </c>
      <c r="N236">
        <v>184.245056926974</v>
      </c>
      <c r="O236">
        <v>4.7579435395433398</v>
      </c>
      <c r="P236" s="5">
        <v>3.5562217360528699E-117</v>
      </c>
      <c r="Q236" t="s">
        <v>4</v>
      </c>
      <c r="R236" s="4" t="s">
        <v>87</v>
      </c>
      <c r="S236" t="s">
        <v>4</v>
      </c>
      <c r="T236" t="s">
        <v>5121</v>
      </c>
      <c r="U236" t="s">
        <v>5122</v>
      </c>
      <c r="V236" t="s">
        <v>5123</v>
      </c>
      <c r="W236" t="s">
        <v>328</v>
      </c>
      <c r="X236" t="s">
        <v>4</v>
      </c>
      <c r="Y236" t="s">
        <v>5124</v>
      </c>
      <c r="Z236" t="s">
        <v>5125</v>
      </c>
      <c r="AA236" t="s">
        <v>5126</v>
      </c>
      <c r="AB236" t="s">
        <v>4</v>
      </c>
      <c r="AC236" s="3" t="s">
        <v>5127</v>
      </c>
      <c r="AD236" t="s">
        <v>4</v>
      </c>
      <c r="AE236" t="s">
        <v>5128</v>
      </c>
      <c r="AF236" t="s">
        <v>5129</v>
      </c>
      <c r="AG236" t="s">
        <v>5130</v>
      </c>
      <c r="AH236" t="s">
        <v>314</v>
      </c>
      <c r="AU236" t="s">
        <v>112</v>
      </c>
      <c r="AV236" t="s">
        <v>5131</v>
      </c>
      <c r="AW236" t="s">
        <v>114</v>
      </c>
      <c r="AX236" t="s">
        <v>144</v>
      </c>
      <c r="AY236" t="s">
        <v>5132</v>
      </c>
      <c r="AZ236" t="s">
        <v>4</v>
      </c>
      <c r="BA236" s="3" t="s">
        <v>95</v>
      </c>
      <c r="BB236" s="6" t="s">
        <v>95</v>
      </c>
      <c r="BC236" s="3" t="s">
        <v>95</v>
      </c>
      <c r="BD236" t="s">
        <v>4</v>
      </c>
      <c r="BE236">
        <v>1915</v>
      </c>
      <c r="BF236" t="s">
        <v>148</v>
      </c>
      <c r="BG236">
        <v>91.034499999999994</v>
      </c>
      <c r="BH236">
        <v>93.448300000000003</v>
      </c>
      <c r="BI236">
        <v>81.724100000000007</v>
      </c>
      <c r="BJ236">
        <v>64.137900000000002</v>
      </c>
      <c r="BK236">
        <v>51.7241</v>
      </c>
      <c r="BL236">
        <v>37.241399999999999</v>
      </c>
      <c r="BM236">
        <v>47.241399999999999</v>
      </c>
      <c r="BN236">
        <v>51.034500000000001</v>
      </c>
      <c r="BO236">
        <v>49.655200000000001</v>
      </c>
      <c r="CK236">
        <v>3</v>
      </c>
      <c r="CL236" t="s">
        <v>4</v>
      </c>
      <c r="CM236" t="s">
        <v>98</v>
      </c>
      <c r="CN236" t="s">
        <v>98</v>
      </c>
      <c r="CO236" t="s">
        <v>99</v>
      </c>
      <c r="CP236" t="s">
        <v>100</v>
      </c>
      <c r="CQ236">
        <v>235</v>
      </c>
      <c r="CR236" t="s">
        <v>100</v>
      </c>
      <c r="CS236" t="s">
        <v>101</v>
      </c>
      <c r="CT236" t="s">
        <v>152</v>
      </c>
      <c r="CU236" t="s">
        <v>102</v>
      </c>
      <c r="CV236" t="s">
        <v>100</v>
      </c>
    </row>
    <row r="237" spans="1:100">
      <c r="A237" s="3" t="s">
        <v>5133</v>
      </c>
      <c r="B237" s="4" t="s">
        <v>5134</v>
      </c>
      <c r="C237">
        <v>110.10360849363499</v>
      </c>
      <c r="D237">
        <v>1687.9420065480499</v>
      </c>
      <c r="E237">
        <f>-3.93711635741593</f>
        <v>-3.9371163574159298</v>
      </c>
      <c r="F237" s="5">
        <v>1.65152856527358E-10</v>
      </c>
      <c r="G237" t="s">
        <v>4</v>
      </c>
      <c r="H237">
        <v>110.10360849363499</v>
      </c>
      <c r="I237">
        <v>48.2614447052676</v>
      </c>
      <c r="J237">
        <v>1.1933926786062199</v>
      </c>
      <c r="K237">
        <v>7.4542608139992805E-2</v>
      </c>
      <c r="L237" t="s">
        <v>4</v>
      </c>
      <c r="M237">
        <v>1687.9420065480499</v>
      </c>
      <c r="N237">
        <v>48.2614447052676</v>
      </c>
      <c r="O237">
        <v>5.1305090360221604</v>
      </c>
      <c r="P237" s="5">
        <v>4.2326332829175302E-17</v>
      </c>
      <c r="Q237" t="s">
        <v>4</v>
      </c>
      <c r="R237" s="4" t="s">
        <v>87</v>
      </c>
      <c r="S237" t="s">
        <v>4</v>
      </c>
      <c r="T237" t="s">
        <v>92</v>
      </c>
      <c r="U237" t="s">
        <v>92</v>
      </c>
      <c r="V237" t="s">
        <v>92</v>
      </c>
      <c r="W237" t="s">
        <v>92</v>
      </c>
      <c r="X237" t="s">
        <v>4</v>
      </c>
      <c r="Y237" t="s">
        <v>1355</v>
      </c>
      <c r="Z237" t="s">
        <v>1356</v>
      </c>
      <c r="AA237" t="s">
        <v>1357</v>
      </c>
      <c r="AB237" t="s">
        <v>4</v>
      </c>
      <c r="AC237" s="3" t="s">
        <v>93</v>
      </c>
      <c r="AD237" t="s">
        <v>4</v>
      </c>
      <c r="AE237" t="s">
        <v>5135</v>
      </c>
      <c r="AF237" t="s">
        <v>5136</v>
      </c>
      <c r="AG237" t="s">
        <v>5137</v>
      </c>
      <c r="AH237" t="s">
        <v>112</v>
      </c>
      <c r="AU237" t="s">
        <v>112</v>
      </c>
      <c r="AV237" t="s">
        <v>5138</v>
      </c>
      <c r="AW237" t="s">
        <v>114</v>
      </c>
      <c r="AZ237" t="s">
        <v>4</v>
      </c>
      <c r="BA237" s="3" t="s">
        <v>95</v>
      </c>
      <c r="BB237" s="6" t="s">
        <v>95</v>
      </c>
      <c r="BC237" s="3" t="s">
        <v>197</v>
      </c>
      <c r="BD237" t="s">
        <v>4</v>
      </c>
      <c r="BE237">
        <v>5052</v>
      </c>
      <c r="BF237" t="s">
        <v>282</v>
      </c>
      <c r="BG237">
        <v>78.480999999999995</v>
      </c>
      <c r="BH237">
        <v>80.3797</v>
      </c>
      <c r="BI237">
        <v>84.810100000000006</v>
      </c>
      <c r="BJ237">
        <v>69.6203</v>
      </c>
      <c r="BK237">
        <v>75.316500000000005</v>
      </c>
      <c r="BL237">
        <v>36.7089</v>
      </c>
      <c r="BM237">
        <v>60.126600000000003</v>
      </c>
      <c r="BN237">
        <v>75.316500000000005</v>
      </c>
      <c r="BO237">
        <v>75.949399999999997</v>
      </c>
      <c r="BP237">
        <v>50.632899999999999</v>
      </c>
      <c r="BQ237">
        <v>32.9114</v>
      </c>
      <c r="BR237">
        <v>36.7089</v>
      </c>
      <c r="BS237">
        <v>34.810099999999998</v>
      </c>
      <c r="BT237">
        <v>33.5443</v>
      </c>
      <c r="BU237">
        <v>37.974699999999999</v>
      </c>
      <c r="BV237" t="s">
        <v>5139</v>
      </c>
      <c r="BW237">
        <v>31.645600000000002</v>
      </c>
      <c r="BX237">
        <v>36.076000000000001</v>
      </c>
      <c r="BY237">
        <v>29.113900000000001</v>
      </c>
      <c r="BZ237">
        <v>35.442999999999998</v>
      </c>
      <c r="CA237">
        <v>37.974699999999999</v>
      </c>
      <c r="CB237">
        <v>32.9114</v>
      </c>
      <c r="CK237">
        <v>6</v>
      </c>
      <c r="CL237" t="s">
        <v>4</v>
      </c>
      <c r="CM237" t="s">
        <v>5140</v>
      </c>
      <c r="CN237" t="s">
        <v>5141</v>
      </c>
      <c r="CO237" t="s">
        <v>99</v>
      </c>
      <c r="CP237" t="s">
        <v>100</v>
      </c>
      <c r="CQ237">
        <v>236</v>
      </c>
      <c r="CR237" t="s">
        <v>100</v>
      </c>
      <c r="CS237" t="s">
        <v>100</v>
      </c>
      <c r="CT237" t="s">
        <v>152</v>
      </c>
      <c r="CU237" t="s">
        <v>102</v>
      </c>
      <c r="CV237" t="s">
        <v>100</v>
      </c>
    </row>
    <row r="238" spans="1:100">
      <c r="A238" s="3" t="s">
        <v>5142</v>
      </c>
      <c r="B238" s="4" t="s">
        <v>5143</v>
      </c>
      <c r="C238">
        <v>346.45569196350402</v>
      </c>
      <c r="D238">
        <v>2908.9688284735698</v>
      </c>
      <c r="E238">
        <f>-3.06895089980584</f>
        <v>-3.0689508998058401</v>
      </c>
      <c r="F238" s="5">
        <v>1.9887444385949399E-48</v>
      </c>
      <c r="G238" t="s">
        <v>4</v>
      </c>
      <c r="H238">
        <v>346.45569196350402</v>
      </c>
      <c r="I238">
        <v>213.12350024757399</v>
      </c>
      <c r="J238">
        <v>0.69940766563018497</v>
      </c>
      <c r="K238">
        <v>2.6807772805937801E-3</v>
      </c>
      <c r="L238" t="s">
        <v>4</v>
      </c>
      <c r="M238">
        <v>2908.9688284735698</v>
      </c>
      <c r="N238">
        <v>213.12350024757399</v>
      </c>
      <c r="O238">
        <v>3.7683585654360199</v>
      </c>
      <c r="P238" s="5">
        <v>1.7704257235398599E-69</v>
      </c>
      <c r="Q238" t="s">
        <v>4</v>
      </c>
      <c r="R238" s="4" t="s">
        <v>87</v>
      </c>
      <c r="S238" t="s">
        <v>4</v>
      </c>
      <c r="T238" t="s">
        <v>92</v>
      </c>
      <c r="U238" t="s">
        <v>92</v>
      </c>
      <c r="V238" t="s">
        <v>92</v>
      </c>
      <c r="W238" t="s">
        <v>92</v>
      </c>
      <c r="X238" t="s">
        <v>4</v>
      </c>
      <c r="Y238" t="s">
        <v>3037</v>
      </c>
      <c r="Z238" t="s">
        <v>3038</v>
      </c>
      <c r="AA238" t="s">
        <v>3039</v>
      </c>
      <c r="AB238" t="s">
        <v>4</v>
      </c>
      <c r="AC238" s="3" t="s">
        <v>5144</v>
      </c>
      <c r="AD238" t="s">
        <v>4</v>
      </c>
      <c r="AE238" t="s">
        <v>5145</v>
      </c>
      <c r="AF238" t="s">
        <v>5146</v>
      </c>
      <c r="AG238" t="s">
        <v>1774</v>
      </c>
      <c r="AH238" t="s">
        <v>112</v>
      </c>
      <c r="AJ238" t="s">
        <v>5147</v>
      </c>
      <c r="AL238" t="s">
        <v>5148</v>
      </c>
      <c r="AM238" t="s">
        <v>5149</v>
      </c>
      <c r="AN238" t="s">
        <v>5150</v>
      </c>
      <c r="AQ238" t="s">
        <v>5151</v>
      </c>
      <c r="AU238" t="s">
        <v>112</v>
      </c>
      <c r="AV238" t="s">
        <v>5152</v>
      </c>
      <c r="AW238" t="s">
        <v>114</v>
      </c>
      <c r="AX238" t="s">
        <v>167</v>
      </c>
      <c r="AY238" t="s">
        <v>3045</v>
      </c>
      <c r="AZ238" t="s">
        <v>4</v>
      </c>
      <c r="BA238" s="3" t="s">
        <v>95</v>
      </c>
      <c r="BB238" s="6" t="s">
        <v>95</v>
      </c>
      <c r="BC238" s="3" t="s">
        <v>95</v>
      </c>
      <c r="BD238" t="s">
        <v>4</v>
      </c>
      <c r="BE238">
        <v>7373</v>
      </c>
      <c r="BF238" t="s">
        <v>213</v>
      </c>
      <c r="BG238">
        <v>99.656400000000005</v>
      </c>
      <c r="BH238">
        <v>88.316199999999995</v>
      </c>
      <c r="BI238">
        <v>92.783500000000004</v>
      </c>
      <c r="BJ238">
        <v>85.566999999999993</v>
      </c>
      <c r="BK238">
        <v>83.848799999999997</v>
      </c>
      <c r="BL238">
        <v>81.443299999999994</v>
      </c>
      <c r="BM238">
        <v>80.756</v>
      </c>
      <c r="BN238">
        <v>80.756</v>
      </c>
      <c r="BO238">
        <v>84.8797</v>
      </c>
      <c r="BP238">
        <v>52.577300000000001</v>
      </c>
      <c r="BR238">
        <v>26.116800000000001</v>
      </c>
      <c r="BS238">
        <v>22.3368</v>
      </c>
      <c r="BT238">
        <v>21.6495</v>
      </c>
      <c r="BV238" t="s">
        <v>5153</v>
      </c>
      <c r="BW238">
        <v>26.4605</v>
      </c>
      <c r="BX238">
        <v>36.082500000000003</v>
      </c>
      <c r="BZ238">
        <v>22.680399999999999</v>
      </c>
      <c r="CA238">
        <v>26.4605</v>
      </c>
      <c r="CB238">
        <v>23.024100000000001</v>
      </c>
      <c r="CC238">
        <v>20.274899999999999</v>
      </c>
      <c r="CD238">
        <v>19.587599999999998</v>
      </c>
      <c r="CE238">
        <v>14.433</v>
      </c>
      <c r="CF238">
        <v>20.618600000000001</v>
      </c>
      <c r="CG238" t="s">
        <v>5154</v>
      </c>
      <c r="CH238" t="s">
        <v>5155</v>
      </c>
      <c r="CI238" t="s">
        <v>5156</v>
      </c>
      <c r="CJ238" t="s">
        <v>5157</v>
      </c>
      <c r="CK238">
        <v>8</v>
      </c>
      <c r="CL238" t="s">
        <v>4</v>
      </c>
      <c r="CM238" t="s">
        <v>5158</v>
      </c>
      <c r="CN238" t="s">
        <v>5159</v>
      </c>
      <c r="CO238" t="s">
        <v>1218</v>
      </c>
      <c r="CP238" t="s">
        <v>100</v>
      </c>
      <c r="CQ238">
        <v>237</v>
      </c>
      <c r="CR238" t="s">
        <v>100</v>
      </c>
      <c r="CS238" t="s">
        <v>100</v>
      </c>
      <c r="CT238" t="s">
        <v>152</v>
      </c>
      <c r="CU238" t="s">
        <v>102</v>
      </c>
      <c r="CV238" t="s">
        <v>100</v>
      </c>
    </row>
    <row r="239" spans="1:100">
      <c r="A239" s="3" t="s">
        <v>5160</v>
      </c>
      <c r="B239" s="4" t="s">
        <v>5161</v>
      </c>
      <c r="C239">
        <v>154.12832653088401</v>
      </c>
      <c r="D239">
        <v>813.52881595287397</v>
      </c>
      <c r="E239">
        <f>-2.40043137773957</f>
        <v>-2.40043137773957</v>
      </c>
      <c r="F239" s="5">
        <v>3.9605437765972102E-17</v>
      </c>
      <c r="G239" t="s">
        <v>4</v>
      </c>
      <c r="H239">
        <v>154.12832653088401</v>
      </c>
      <c r="I239">
        <v>19.521211775662501</v>
      </c>
      <c r="J239">
        <v>2.9271207299494</v>
      </c>
      <c r="K239" s="5">
        <v>4.0024501871806401E-16</v>
      </c>
      <c r="L239" t="s">
        <v>4</v>
      </c>
      <c r="M239">
        <v>813.52881595287397</v>
      </c>
      <c r="N239">
        <v>19.521211775662501</v>
      </c>
      <c r="O239">
        <v>5.3275521076889696</v>
      </c>
      <c r="P239" s="5">
        <v>1.8093596141548502E-52</v>
      </c>
      <c r="Q239" t="s">
        <v>4</v>
      </c>
      <c r="R239" s="4" t="s">
        <v>87</v>
      </c>
      <c r="S239" t="s">
        <v>4</v>
      </c>
      <c r="T239" t="s">
        <v>5162</v>
      </c>
      <c r="U239" t="s">
        <v>5163</v>
      </c>
      <c r="V239" t="s">
        <v>5164</v>
      </c>
      <c r="W239" t="s">
        <v>123</v>
      </c>
      <c r="X239" t="s">
        <v>4</v>
      </c>
      <c r="Y239" t="s">
        <v>5165</v>
      </c>
      <c r="Z239" t="s">
        <v>5166</v>
      </c>
      <c r="AA239" t="s">
        <v>5167</v>
      </c>
      <c r="AB239" t="s">
        <v>4</v>
      </c>
      <c r="AC239" s="3" t="s">
        <v>5168</v>
      </c>
      <c r="AD239" t="s">
        <v>4</v>
      </c>
      <c r="AE239" t="s">
        <v>5169</v>
      </c>
      <c r="AF239" t="s">
        <v>5170</v>
      </c>
      <c r="AG239" t="s">
        <v>5171</v>
      </c>
      <c r="AH239" t="s">
        <v>112</v>
      </c>
      <c r="AU239" t="s">
        <v>112</v>
      </c>
      <c r="AV239" t="s">
        <v>5172</v>
      </c>
      <c r="AW239" t="s">
        <v>114</v>
      </c>
      <c r="AZ239" t="s">
        <v>4</v>
      </c>
      <c r="BA239" s="3" t="s">
        <v>95</v>
      </c>
      <c r="BB239" s="6" t="s">
        <v>95</v>
      </c>
      <c r="BC239" s="3" t="s">
        <v>95</v>
      </c>
      <c r="BD239" t="s">
        <v>4</v>
      </c>
      <c r="BE239">
        <v>3992</v>
      </c>
      <c r="BF239" t="s">
        <v>112</v>
      </c>
      <c r="BG239">
        <v>98.349100000000007</v>
      </c>
      <c r="BH239">
        <v>42.924500000000002</v>
      </c>
      <c r="BI239">
        <v>96.462299999999999</v>
      </c>
      <c r="BJ239" t="s">
        <v>5173</v>
      </c>
      <c r="BK239">
        <v>51.179200000000002</v>
      </c>
      <c r="BL239">
        <v>62.735799999999998</v>
      </c>
      <c r="BM239">
        <v>85.613200000000006</v>
      </c>
      <c r="BN239">
        <v>79.481099999999998</v>
      </c>
      <c r="BO239">
        <v>83.490600000000001</v>
      </c>
      <c r="BP239">
        <v>55.660400000000003</v>
      </c>
      <c r="BR239">
        <v>41.037700000000001</v>
      </c>
      <c r="BS239">
        <v>34.669800000000002</v>
      </c>
      <c r="BW239">
        <v>42.216999999999999</v>
      </c>
      <c r="BX239">
        <v>36.556600000000003</v>
      </c>
      <c r="CA239">
        <v>31.839600000000001</v>
      </c>
      <c r="CK239">
        <v>5</v>
      </c>
      <c r="CL239" t="s">
        <v>4</v>
      </c>
      <c r="CM239" t="s">
        <v>5174</v>
      </c>
      <c r="CN239" t="s">
        <v>5175</v>
      </c>
      <c r="CO239" t="s">
        <v>99</v>
      </c>
      <c r="CP239" t="s">
        <v>100</v>
      </c>
      <c r="CQ239">
        <v>238</v>
      </c>
      <c r="CR239" t="s">
        <v>100</v>
      </c>
      <c r="CS239" t="s">
        <v>101</v>
      </c>
      <c r="CT239" t="s">
        <v>152</v>
      </c>
      <c r="CU239" t="s">
        <v>102</v>
      </c>
      <c r="CV239" t="s">
        <v>100</v>
      </c>
    </row>
    <row r="240" spans="1:100">
      <c r="A240" s="3" t="s">
        <v>5176</v>
      </c>
      <c r="B240" s="4" t="s">
        <v>5177</v>
      </c>
      <c r="C240">
        <v>364.35347493342499</v>
      </c>
      <c r="D240">
        <v>1488.35059821001</v>
      </c>
      <c r="E240">
        <f>-2.02972058602829</f>
        <v>-2.0297205860282901</v>
      </c>
      <c r="F240" s="5">
        <v>7.5846863768549904E-17</v>
      </c>
      <c r="G240" t="s">
        <v>4</v>
      </c>
      <c r="H240">
        <v>364.35347493342499</v>
      </c>
      <c r="I240">
        <v>178.85125462810501</v>
      </c>
      <c r="J240">
        <v>1.0360602906906999</v>
      </c>
      <c r="K240" s="5">
        <v>6.8608608027853805E-5</v>
      </c>
      <c r="L240" t="s">
        <v>4</v>
      </c>
      <c r="M240">
        <v>1488.35059821001</v>
      </c>
      <c r="N240">
        <v>178.85125462810501</v>
      </c>
      <c r="O240">
        <v>3.06578087671899</v>
      </c>
      <c r="P240" s="5">
        <v>7.0769180086286896E-36</v>
      </c>
      <c r="Q240" t="s">
        <v>4</v>
      </c>
      <c r="R240" s="4" t="s">
        <v>87</v>
      </c>
      <c r="S240" t="s">
        <v>4</v>
      </c>
      <c r="T240" t="s">
        <v>5178</v>
      </c>
      <c r="U240" t="s">
        <v>5179</v>
      </c>
      <c r="V240" t="s">
        <v>5180</v>
      </c>
      <c r="W240" t="s">
        <v>123</v>
      </c>
      <c r="X240" t="s">
        <v>4</v>
      </c>
      <c r="Y240" t="s">
        <v>5181</v>
      </c>
      <c r="Z240" t="s">
        <v>5182</v>
      </c>
      <c r="AA240" t="s">
        <v>5183</v>
      </c>
      <c r="AB240" t="s">
        <v>4</v>
      </c>
      <c r="AC240" s="3" t="s">
        <v>5184</v>
      </c>
      <c r="AD240" t="s">
        <v>4</v>
      </c>
      <c r="AE240" t="s">
        <v>5185</v>
      </c>
      <c r="AF240" t="s">
        <v>5186</v>
      </c>
      <c r="AG240" t="s">
        <v>5187</v>
      </c>
      <c r="AH240" t="s">
        <v>112</v>
      </c>
      <c r="AU240" t="s">
        <v>112</v>
      </c>
      <c r="AV240" t="s">
        <v>5188</v>
      </c>
      <c r="AW240" t="s">
        <v>114</v>
      </c>
      <c r="AX240" t="s">
        <v>144</v>
      </c>
      <c r="AY240" t="s">
        <v>5189</v>
      </c>
      <c r="AZ240" t="s">
        <v>4</v>
      </c>
      <c r="BA240" s="3" t="s">
        <v>115</v>
      </c>
      <c r="BB240" s="6" t="s">
        <v>95</v>
      </c>
      <c r="BC240" s="3" t="s">
        <v>95</v>
      </c>
      <c r="BD240" t="s">
        <v>4</v>
      </c>
      <c r="BE240">
        <v>3996</v>
      </c>
      <c r="BF240" t="s">
        <v>112</v>
      </c>
      <c r="BH240">
        <v>36.612000000000002</v>
      </c>
      <c r="BI240">
        <v>63.934399999999997</v>
      </c>
      <c r="BK240" t="s">
        <v>5190</v>
      </c>
      <c r="BL240">
        <v>26.229500000000002</v>
      </c>
      <c r="BM240">
        <v>37.158499999999997</v>
      </c>
      <c r="BN240">
        <v>77.322400000000002</v>
      </c>
      <c r="BO240">
        <v>39.344299999999997</v>
      </c>
      <c r="BP240">
        <v>43.989100000000001</v>
      </c>
      <c r="CK240">
        <v>5</v>
      </c>
      <c r="CL240" t="s">
        <v>4</v>
      </c>
      <c r="CM240" t="s">
        <v>98</v>
      </c>
      <c r="CN240" t="s">
        <v>98</v>
      </c>
      <c r="CO240" t="s">
        <v>99</v>
      </c>
      <c r="CP240" t="s">
        <v>100</v>
      </c>
      <c r="CQ240">
        <v>239</v>
      </c>
      <c r="CR240" t="s">
        <v>100</v>
      </c>
      <c r="CS240" s="7" t="s">
        <v>101</v>
      </c>
      <c r="CT240" t="s">
        <v>152</v>
      </c>
      <c r="CU240" t="s">
        <v>102</v>
      </c>
      <c r="CV240" t="s">
        <v>100</v>
      </c>
    </row>
    <row r="241" spans="1:100">
      <c r="A241" s="3" t="s">
        <v>5191</v>
      </c>
      <c r="B241" s="4" t="s">
        <v>5192</v>
      </c>
      <c r="C241">
        <v>173.03863369734199</v>
      </c>
      <c r="D241">
        <v>1846.7440522836901</v>
      </c>
      <c r="E241">
        <f>-3.4150147134106</f>
        <v>-3.4150147134106001</v>
      </c>
      <c r="F241" s="5">
        <v>6.2769057131056698E-11</v>
      </c>
      <c r="G241" t="s">
        <v>4</v>
      </c>
      <c r="H241">
        <v>173.03863369734199</v>
      </c>
      <c r="I241">
        <v>82.595690946932606</v>
      </c>
      <c r="J241">
        <v>1.0761633525769001</v>
      </c>
      <c r="K241">
        <v>5.5943859025446303E-2</v>
      </c>
      <c r="L241" t="s">
        <v>4</v>
      </c>
      <c r="M241">
        <v>1846.7440522836901</v>
      </c>
      <c r="N241">
        <v>82.595690946932606</v>
      </c>
      <c r="O241">
        <v>4.4911780659874996</v>
      </c>
      <c r="P241" s="5">
        <v>2.84014675514578E-18</v>
      </c>
      <c r="Q241" t="s">
        <v>4</v>
      </c>
      <c r="R241" s="4" t="s">
        <v>87</v>
      </c>
      <c r="S241" t="s">
        <v>4</v>
      </c>
      <c r="T241" t="s">
        <v>88</v>
      </c>
      <c r="U241" t="s">
        <v>89</v>
      </c>
      <c r="V241" t="s">
        <v>90</v>
      </c>
      <c r="W241" t="s">
        <v>91</v>
      </c>
      <c r="X241" t="s">
        <v>4</v>
      </c>
      <c r="Y241" t="s">
        <v>92</v>
      </c>
      <c r="Z241" t="s">
        <v>92</v>
      </c>
      <c r="AA241" t="s">
        <v>92</v>
      </c>
      <c r="AB241" t="s">
        <v>4</v>
      </c>
      <c r="AC241" s="3" t="s">
        <v>93</v>
      </c>
      <c r="AD241" t="s">
        <v>4</v>
      </c>
      <c r="AE241" t="s">
        <v>5193</v>
      </c>
      <c r="AF241" t="s">
        <v>5194</v>
      </c>
      <c r="AG241" t="s">
        <v>5195</v>
      </c>
      <c r="AH241" t="s">
        <v>112</v>
      </c>
      <c r="AU241" t="s">
        <v>112</v>
      </c>
      <c r="AV241" t="s">
        <v>5196</v>
      </c>
      <c r="AW241" t="s">
        <v>114</v>
      </c>
      <c r="AZ241" t="s">
        <v>4</v>
      </c>
      <c r="BA241" s="3" t="s">
        <v>95</v>
      </c>
      <c r="BB241" t="s">
        <v>96</v>
      </c>
      <c r="BC241" s="3" t="s">
        <v>197</v>
      </c>
      <c r="BD241" t="s">
        <v>4</v>
      </c>
      <c r="BE241">
        <v>5063</v>
      </c>
      <c r="BF241" t="s">
        <v>282</v>
      </c>
      <c r="BG241">
        <v>91.203699999999998</v>
      </c>
      <c r="BH241">
        <v>30.902799999999999</v>
      </c>
      <c r="BI241" t="s">
        <v>5197</v>
      </c>
      <c r="BJ241">
        <v>37.847200000000001</v>
      </c>
      <c r="BK241">
        <v>32.291699999999999</v>
      </c>
      <c r="BL241">
        <v>59.027799999999999</v>
      </c>
      <c r="BM241">
        <v>60.7639</v>
      </c>
      <c r="BN241">
        <v>62.731499999999997</v>
      </c>
      <c r="BO241">
        <v>68.402799999999999</v>
      </c>
      <c r="BP241">
        <v>36.921300000000002</v>
      </c>
      <c r="BQ241">
        <v>22.800899999999999</v>
      </c>
      <c r="BR241">
        <v>28.2407</v>
      </c>
      <c r="BS241">
        <v>25.2315</v>
      </c>
      <c r="BT241">
        <v>23.3796</v>
      </c>
      <c r="BV241" t="s">
        <v>5198</v>
      </c>
      <c r="BW241">
        <v>22.1065</v>
      </c>
      <c r="BX241">
        <v>27.661999999999999</v>
      </c>
      <c r="BY241">
        <v>24.189800000000002</v>
      </c>
      <c r="BZ241">
        <v>14.351900000000001</v>
      </c>
      <c r="CA241">
        <v>29.5139</v>
      </c>
      <c r="CC241">
        <v>14.351900000000001</v>
      </c>
      <c r="CK241">
        <v>6</v>
      </c>
      <c r="CL241" t="s">
        <v>4</v>
      </c>
      <c r="CM241" t="s">
        <v>5199</v>
      </c>
      <c r="CN241" t="s">
        <v>5200</v>
      </c>
      <c r="CO241" t="s">
        <v>99</v>
      </c>
      <c r="CP241" t="s">
        <v>100</v>
      </c>
      <c r="CQ241">
        <v>240</v>
      </c>
      <c r="CR241" t="s">
        <v>100</v>
      </c>
      <c r="CS241" t="s">
        <v>100</v>
      </c>
      <c r="CT241" t="s">
        <v>152</v>
      </c>
      <c r="CU241" t="s">
        <v>102</v>
      </c>
      <c r="CV241" t="s">
        <v>100</v>
      </c>
    </row>
    <row r="242" spans="1:100">
      <c r="A242" s="3" t="s">
        <v>5201</v>
      </c>
      <c r="B242" s="4" t="s">
        <v>5202</v>
      </c>
      <c r="C242">
        <v>46.426874834798497</v>
      </c>
      <c r="D242">
        <v>204.517213284083</v>
      </c>
      <c r="E242">
        <f>-2.13861520396231</f>
        <v>-2.1386152039623099</v>
      </c>
      <c r="F242" s="5">
        <v>1.2043757080905699E-5</v>
      </c>
      <c r="G242" t="s">
        <v>4</v>
      </c>
      <c r="H242">
        <v>46.426874834798497</v>
      </c>
      <c r="I242">
        <v>39.367362731383302</v>
      </c>
      <c r="J242">
        <v>0.21873346259194101</v>
      </c>
      <c r="K242">
        <v>0.70447683129975502</v>
      </c>
      <c r="L242" t="s">
        <v>4</v>
      </c>
      <c r="M242">
        <v>204.517213284083</v>
      </c>
      <c r="N242">
        <v>39.367362731383302</v>
      </c>
      <c r="O242">
        <v>2.3573486665542598</v>
      </c>
      <c r="P242" s="5">
        <v>1.2029803950045201E-6</v>
      </c>
      <c r="Q242" t="s">
        <v>4</v>
      </c>
      <c r="R242" s="4" t="s">
        <v>87</v>
      </c>
      <c r="S242" t="s">
        <v>4</v>
      </c>
      <c r="T242" t="s">
        <v>92</v>
      </c>
      <c r="U242" t="s">
        <v>92</v>
      </c>
      <c r="V242" t="s">
        <v>92</v>
      </c>
      <c r="W242" t="s">
        <v>92</v>
      </c>
      <c r="X242" t="s">
        <v>4</v>
      </c>
      <c r="Y242" t="s">
        <v>5203</v>
      </c>
      <c r="Z242" t="s">
        <v>5204</v>
      </c>
      <c r="AA242" t="s">
        <v>5205</v>
      </c>
      <c r="AB242" t="s">
        <v>4</v>
      </c>
      <c r="AC242" s="3" t="s">
        <v>5206</v>
      </c>
      <c r="AD242" t="s">
        <v>4</v>
      </c>
      <c r="AE242" s="4" t="s">
        <v>94</v>
      </c>
      <c r="AZ242" t="s">
        <v>4</v>
      </c>
      <c r="BA242" s="3" t="s">
        <v>95</v>
      </c>
      <c r="BB242" s="6" t="s">
        <v>95</v>
      </c>
      <c r="BC242" s="3" t="s">
        <v>197</v>
      </c>
      <c r="BD242" t="s">
        <v>4</v>
      </c>
      <c r="BE242">
        <v>1920</v>
      </c>
      <c r="BF242" t="s">
        <v>148</v>
      </c>
      <c r="BG242">
        <v>99.256500000000003</v>
      </c>
      <c r="BH242">
        <v>37.174700000000001</v>
      </c>
      <c r="BI242">
        <v>97.025999999999996</v>
      </c>
      <c r="BJ242">
        <v>84.758399999999995</v>
      </c>
      <c r="BK242">
        <v>81.040899999999993</v>
      </c>
      <c r="BL242">
        <v>37.918199999999999</v>
      </c>
      <c r="BM242">
        <v>43.866199999999999</v>
      </c>
      <c r="BN242">
        <v>46.8401</v>
      </c>
      <c r="BO242">
        <v>69.5167</v>
      </c>
      <c r="CK242">
        <v>3</v>
      </c>
      <c r="CL242" t="s">
        <v>4</v>
      </c>
      <c r="CM242" t="s">
        <v>98</v>
      </c>
      <c r="CN242" t="s">
        <v>98</v>
      </c>
      <c r="CO242" t="s">
        <v>99</v>
      </c>
      <c r="CP242" t="s">
        <v>100</v>
      </c>
      <c r="CQ242">
        <v>241</v>
      </c>
      <c r="CR242" t="s">
        <v>100</v>
      </c>
      <c r="CS242" t="s">
        <v>100</v>
      </c>
      <c r="CT242" t="s">
        <v>152</v>
      </c>
      <c r="CU242" t="s">
        <v>102</v>
      </c>
      <c r="CV242" t="s">
        <v>100</v>
      </c>
    </row>
    <row r="243" spans="1:100">
      <c r="A243" s="3" t="s">
        <v>5207</v>
      </c>
      <c r="B243" s="4" t="s">
        <v>5208</v>
      </c>
      <c r="C243">
        <v>27.0766191724015</v>
      </c>
      <c r="D243">
        <v>128.71345974425199</v>
      </c>
      <c r="E243">
        <f>-2.24553873958823</f>
        <v>-2.24553873958823</v>
      </c>
      <c r="F243">
        <v>9.2952385449241695E-4</v>
      </c>
      <c r="G243" t="s">
        <v>4</v>
      </c>
      <c r="H243">
        <v>27.0766191724015</v>
      </c>
      <c r="I243">
        <v>12.7940453307613</v>
      </c>
      <c r="J243">
        <v>1.0958756180678799</v>
      </c>
      <c r="K243">
        <v>0.147146852100244</v>
      </c>
      <c r="L243" t="s">
        <v>4</v>
      </c>
      <c r="M243">
        <v>128.71345974425199</v>
      </c>
      <c r="N243">
        <v>12.7940453307613</v>
      </c>
      <c r="O243">
        <v>3.3414143576561099</v>
      </c>
      <c r="P243" s="5">
        <v>1.1784366298069501E-6</v>
      </c>
      <c r="Q243" t="s">
        <v>4</v>
      </c>
      <c r="R243" s="4" t="s">
        <v>87</v>
      </c>
      <c r="S243" t="s">
        <v>4</v>
      </c>
      <c r="T243" t="s">
        <v>92</v>
      </c>
      <c r="U243" t="s">
        <v>92</v>
      </c>
      <c r="V243" t="s">
        <v>92</v>
      </c>
      <c r="W243" t="s">
        <v>92</v>
      </c>
      <c r="X243" t="s">
        <v>4</v>
      </c>
      <c r="Y243" t="s">
        <v>650</v>
      </c>
      <c r="Z243" t="s">
        <v>651</v>
      </c>
      <c r="AA243" t="s">
        <v>652</v>
      </c>
      <c r="AB243" t="s">
        <v>4</v>
      </c>
      <c r="AC243" s="3" t="s">
        <v>653</v>
      </c>
      <c r="AD243" t="s">
        <v>4</v>
      </c>
      <c r="AE243" t="s">
        <v>5209</v>
      </c>
      <c r="AF243" t="s">
        <v>5210</v>
      </c>
      <c r="AG243" t="s">
        <v>5211</v>
      </c>
      <c r="AH243" t="s">
        <v>112</v>
      </c>
      <c r="AU243" t="s">
        <v>112</v>
      </c>
      <c r="AV243" t="s">
        <v>5212</v>
      </c>
      <c r="AW243" t="s">
        <v>114</v>
      </c>
      <c r="AX243" t="s">
        <v>144</v>
      </c>
      <c r="AY243" t="s">
        <v>658</v>
      </c>
      <c r="AZ243" t="s">
        <v>4</v>
      </c>
      <c r="BA243" s="3" t="s">
        <v>95</v>
      </c>
      <c r="BB243" s="6" t="s">
        <v>95</v>
      </c>
      <c r="BC243" s="3" t="s">
        <v>95</v>
      </c>
      <c r="BD243" t="s">
        <v>4</v>
      </c>
      <c r="BE243">
        <v>4011</v>
      </c>
      <c r="BF243" t="s">
        <v>112</v>
      </c>
      <c r="BG243">
        <v>98.994</v>
      </c>
      <c r="BI243">
        <v>94.768600000000006</v>
      </c>
      <c r="BJ243">
        <v>70.422499999999999</v>
      </c>
      <c r="BK243">
        <v>75.050299999999993</v>
      </c>
      <c r="BM243">
        <v>56.338000000000001</v>
      </c>
      <c r="BN243">
        <v>83.299800000000005</v>
      </c>
      <c r="BO243">
        <v>83.903400000000005</v>
      </c>
      <c r="BP243">
        <v>60.965800000000002</v>
      </c>
      <c r="BR243">
        <v>53.923499999999997</v>
      </c>
      <c r="BS243">
        <v>50.3018</v>
      </c>
      <c r="BT243" t="s">
        <v>5213</v>
      </c>
      <c r="BU243">
        <v>40.442700000000002</v>
      </c>
      <c r="BV243" t="s">
        <v>5214</v>
      </c>
      <c r="BW243">
        <v>45.271599999999999</v>
      </c>
      <c r="BX243">
        <v>52.313899999999997</v>
      </c>
      <c r="BZ243">
        <v>45.875300000000003</v>
      </c>
      <c r="CA243">
        <v>50.503</v>
      </c>
      <c r="CK243">
        <v>5</v>
      </c>
      <c r="CL243" t="s">
        <v>4</v>
      </c>
      <c r="CM243" t="s">
        <v>5215</v>
      </c>
      <c r="CN243" t="s">
        <v>5216</v>
      </c>
      <c r="CO243" t="s">
        <v>99</v>
      </c>
      <c r="CP243" t="s">
        <v>100</v>
      </c>
      <c r="CQ243">
        <v>242</v>
      </c>
      <c r="CR243" t="s">
        <v>100</v>
      </c>
      <c r="CS243" t="s">
        <v>100</v>
      </c>
      <c r="CT243" t="s">
        <v>152</v>
      </c>
      <c r="CU243" t="s">
        <v>102</v>
      </c>
      <c r="CV243" t="s">
        <v>100</v>
      </c>
    </row>
    <row r="244" spans="1:100">
      <c r="A244" s="3" t="s">
        <v>5217</v>
      </c>
      <c r="B244" s="4" t="s">
        <v>5218</v>
      </c>
      <c r="C244">
        <v>63.568331911958502</v>
      </c>
      <c r="D244">
        <v>902.98602066158298</v>
      </c>
      <c r="E244">
        <f>-3.82672898806425</f>
        <v>-3.8267289880642501</v>
      </c>
      <c r="F244" s="5">
        <v>7.6393253893307999E-14</v>
      </c>
      <c r="G244" t="s">
        <v>4</v>
      </c>
      <c r="H244">
        <v>63.568331911958502</v>
      </c>
      <c r="I244">
        <v>58.495187204638299</v>
      </c>
      <c r="J244">
        <v>9.9204681710571702E-2</v>
      </c>
      <c r="K244">
        <v>0.87365354280461205</v>
      </c>
      <c r="L244" t="s">
        <v>4</v>
      </c>
      <c r="M244">
        <v>902.98602066158298</v>
      </c>
      <c r="N244">
        <v>58.495187204638299</v>
      </c>
      <c r="O244">
        <v>3.9259336697748202</v>
      </c>
      <c r="P244" s="5">
        <v>1.24804472911219E-14</v>
      </c>
      <c r="Q244" t="s">
        <v>4</v>
      </c>
      <c r="R244" s="4" t="s">
        <v>87</v>
      </c>
      <c r="S244" t="s">
        <v>4</v>
      </c>
      <c r="T244" t="s">
        <v>92</v>
      </c>
      <c r="U244" t="s">
        <v>92</v>
      </c>
      <c r="V244" t="s">
        <v>92</v>
      </c>
      <c r="W244" t="s">
        <v>92</v>
      </c>
      <c r="X244" t="s">
        <v>4</v>
      </c>
      <c r="Y244" t="s">
        <v>650</v>
      </c>
      <c r="Z244" t="s">
        <v>651</v>
      </c>
      <c r="AA244" t="s">
        <v>652</v>
      </c>
      <c r="AB244" t="s">
        <v>4</v>
      </c>
      <c r="AC244" s="3" t="s">
        <v>653</v>
      </c>
      <c r="AD244" t="s">
        <v>4</v>
      </c>
      <c r="AE244" t="s">
        <v>5219</v>
      </c>
      <c r="AF244" t="s">
        <v>5220</v>
      </c>
      <c r="AG244" t="s">
        <v>5221</v>
      </c>
      <c r="AH244" t="s">
        <v>112</v>
      </c>
      <c r="AU244" t="s">
        <v>112</v>
      </c>
      <c r="AV244" t="s">
        <v>5222</v>
      </c>
      <c r="AW244" t="s">
        <v>114</v>
      </c>
      <c r="AX244" t="s">
        <v>132</v>
      </c>
      <c r="AY244" t="s">
        <v>658</v>
      </c>
      <c r="AZ244" t="s">
        <v>4</v>
      </c>
      <c r="BA244" s="3" t="s">
        <v>95</v>
      </c>
      <c r="BB244" s="6" t="s">
        <v>95</v>
      </c>
      <c r="BC244" s="3" t="s">
        <v>95</v>
      </c>
      <c r="BD244" t="s">
        <v>4</v>
      </c>
      <c r="BE244">
        <v>5612</v>
      </c>
      <c r="BF244" t="s">
        <v>386</v>
      </c>
      <c r="BG244">
        <v>97.249499999999998</v>
      </c>
      <c r="BH244">
        <v>99.8035</v>
      </c>
      <c r="BI244">
        <v>92.730800000000002</v>
      </c>
      <c r="BJ244">
        <v>78.192499999999995</v>
      </c>
      <c r="BK244">
        <v>70.334000000000003</v>
      </c>
      <c r="BL244">
        <v>53.831000000000003</v>
      </c>
      <c r="BM244">
        <v>79.764200000000002</v>
      </c>
      <c r="BN244">
        <v>74.459699999999998</v>
      </c>
      <c r="BO244">
        <v>77.406700000000001</v>
      </c>
      <c r="BP244">
        <v>42.043199999999999</v>
      </c>
      <c r="BQ244">
        <v>26.719100000000001</v>
      </c>
      <c r="BR244">
        <v>37.5246</v>
      </c>
      <c r="BS244" t="s">
        <v>5223</v>
      </c>
      <c r="BT244" t="s">
        <v>5224</v>
      </c>
      <c r="BV244" t="s">
        <v>5225</v>
      </c>
      <c r="BW244">
        <v>43.222000000000001</v>
      </c>
      <c r="BX244">
        <v>42.239699999999999</v>
      </c>
      <c r="BY244">
        <v>11.984299999999999</v>
      </c>
      <c r="CA244">
        <v>39.489199999999997</v>
      </c>
      <c r="CB244">
        <v>11.5914</v>
      </c>
      <c r="CC244" t="s">
        <v>5226</v>
      </c>
      <c r="CD244">
        <v>27.8978</v>
      </c>
      <c r="CF244" t="s">
        <v>5227</v>
      </c>
      <c r="CK244">
        <v>7</v>
      </c>
      <c r="CL244" t="s">
        <v>4</v>
      </c>
      <c r="CM244" t="s">
        <v>5228</v>
      </c>
      <c r="CN244" t="s">
        <v>5229</v>
      </c>
      <c r="CO244" t="s">
        <v>99</v>
      </c>
      <c r="CP244" t="s">
        <v>100</v>
      </c>
      <c r="CQ244">
        <v>243</v>
      </c>
      <c r="CR244" t="s">
        <v>100</v>
      </c>
      <c r="CS244" t="s">
        <v>100</v>
      </c>
      <c r="CT244" t="s">
        <v>152</v>
      </c>
      <c r="CU244" t="s">
        <v>102</v>
      </c>
      <c r="CV244" t="s">
        <v>100</v>
      </c>
    </row>
    <row r="245" spans="1:100">
      <c r="A245" s="3" t="s">
        <v>5230</v>
      </c>
      <c r="B245" s="4" t="s">
        <v>5231</v>
      </c>
      <c r="C245">
        <v>550.87874294562198</v>
      </c>
      <c r="D245">
        <v>5783.1285467892803</v>
      </c>
      <c r="E245">
        <f>-3.3918618858743</f>
        <v>-3.3918618858743002</v>
      </c>
      <c r="F245" s="5">
        <v>2.8783724057078798E-22</v>
      </c>
      <c r="G245" t="s">
        <v>4</v>
      </c>
      <c r="H245">
        <v>550.87874294562198</v>
      </c>
      <c r="I245">
        <v>1203.26612258813</v>
      </c>
      <c r="J245">
        <f>-1.12864256861993</f>
        <v>-1.12864256861993</v>
      </c>
      <c r="K245">
        <v>2.0125202320434802E-3</v>
      </c>
      <c r="L245" t="s">
        <v>4</v>
      </c>
      <c r="M245">
        <v>5783.1285467892803</v>
      </c>
      <c r="N245">
        <v>1203.26612258813</v>
      </c>
      <c r="O245">
        <v>2.26321931725438</v>
      </c>
      <c r="P245" s="5">
        <v>7.0411127637489296E-11</v>
      </c>
      <c r="Q245" t="s">
        <v>4</v>
      </c>
      <c r="R245" s="4" t="s">
        <v>87</v>
      </c>
      <c r="S245" t="s">
        <v>4</v>
      </c>
      <c r="T245" t="s">
        <v>5232</v>
      </c>
      <c r="U245" t="s">
        <v>5233</v>
      </c>
      <c r="V245" t="s">
        <v>5234</v>
      </c>
      <c r="W245" t="s">
        <v>328</v>
      </c>
      <c r="X245" t="s">
        <v>4</v>
      </c>
      <c r="Y245" t="s">
        <v>5235</v>
      </c>
      <c r="Z245" t="s">
        <v>5236</v>
      </c>
      <c r="AA245" t="s">
        <v>5237</v>
      </c>
      <c r="AB245" t="s">
        <v>4</v>
      </c>
      <c r="AC245" s="3" t="s">
        <v>5238</v>
      </c>
      <c r="AD245" t="s">
        <v>4</v>
      </c>
      <c r="AE245" t="s">
        <v>5239</v>
      </c>
      <c r="AF245" t="s">
        <v>5240</v>
      </c>
      <c r="AG245" t="s">
        <v>5241</v>
      </c>
      <c r="AH245" t="s">
        <v>112</v>
      </c>
      <c r="AJ245" t="s">
        <v>5242</v>
      </c>
      <c r="AL245" t="s">
        <v>5243</v>
      </c>
      <c r="AM245" t="s">
        <v>5244</v>
      </c>
      <c r="AQ245" t="s">
        <v>3133</v>
      </c>
      <c r="AR245" t="s">
        <v>5245</v>
      </c>
      <c r="AU245" t="s">
        <v>112</v>
      </c>
      <c r="AV245" t="s">
        <v>5246</v>
      </c>
      <c r="AW245" t="s">
        <v>114</v>
      </c>
      <c r="AX245" t="s">
        <v>909</v>
      </c>
      <c r="AY245" t="s">
        <v>5247</v>
      </c>
      <c r="AZ245" t="s">
        <v>4</v>
      </c>
      <c r="BA245" s="3" t="s">
        <v>95</v>
      </c>
      <c r="BB245" t="s">
        <v>96</v>
      </c>
      <c r="BC245" s="3" t="s">
        <v>197</v>
      </c>
      <c r="BD245" t="s">
        <v>4</v>
      </c>
      <c r="BE245">
        <v>7474</v>
      </c>
      <c r="BF245" t="s">
        <v>213</v>
      </c>
      <c r="BG245" t="s">
        <v>5248</v>
      </c>
      <c r="BH245">
        <v>52.717399999999998</v>
      </c>
      <c r="BI245">
        <v>96.920299999999997</v>
      </c>
      <c r="BK245">
        <v>75.996399999999994</v>
      </c>
      <c r="BL245">
        <v>27.717400000000001</v>
      </c>
      <c r="BM245">
        <v>40.670299999999997</v>
      </c>
      <c r="BN245">
        <v>97.282600000000002</v>
      </c>
      <c r="BO245">
        <v>68.840599999999995</v>
      </c>
      <c r="BP245">
        <v>91.123199999999997</v>
      </c>
      <c r="BQ245">
        <v>85.326099999999997</v>
      </c>
      <c r="BR245">
        <v>82.518100000000004</v>
      </c>
      <c r="BS245">
        <v>81.068799999999996</v>
      </c>
      <c r="BT245" t="s">
        <v>5249</v>
      </c>
      <c r="BV245" t="s">
        <v>5250</v>
      </c>
      <c r="BW245">
        <v>81.25</v>
      </c>
      <c r="BX245">
        <v>81.521699999999996</v>
      </c>
      <c r="BY245">
        <v>74.909400000000005</v>
      </c>
      <c r="BZ245">
        <v>56.431199999999997</v>
      </c>
      <c r="CA245">
        <v>79.800700000000006</v>
      </c>
      <c r="CB245" t="s">
        <v>5251</v>
      </c>
      <c r="CC245">
        <v>63.405799999999999</v>
      </c>
      <c r="CD245">
        <v>69.927499999999995</v>
      </c>
      <c r="CE245">
        <v>36.865900000000003</v>
      </c>
      <c r="CF245">
        <v>65.941999999999993</v>
      </c>
      <c r="CG245" t="s">
        <v>5252</v>
      </c>
      <c r="CH245" t="s">
        <v>5253</v>
      </c>
      <c r="CI245">
        <v>54.257199999999997</v>
      </c>
      <c r="CK245">
        <v>8</v>
      </c>
      <c r="CL245" t="s">
        <v>4</v>
      </c>
      <c r="CM245" t="s">
        <v>5254</v>
      </c>
      <c r="CN245" t="s">
        <v>5255</v>
      </c>
      <c r="CO245" t="s">
        <v>663</v>
      </c>
      <c r="CP245" t="s">
        <v>100</v>
      </c>
      <c r="CQ245">
        <v>244</v>
      </c>
      <c r="CR245" t="s">
        <v>100</v>
      </c>
      <c r="CS245" t="s">
        <v>100</v>
      </c>
      <c r="CT245" t="s">
        <v>152</v>
      </c>
      <c r="CU245" t="s">
        <v>102</v>
      </c>
      <c r="CV245" t="s">
        <v>100</v>
      </c>
    </row>
    <row r="246" spans="1:100">
      <c r="A246" s="3" t="s">
        <v>5256</v>
      </c>
      <c r="B246" s="4" t="s">
        <v>5257</v>
      </c>
      <c r="C246">
        <v>11.8483636262741</v>
      </c>
      <c r="D246">
        <v>52.439378140033902</v>
      </c>
      <c r="E246">
        <f>-2.13559620992487</f>
        <v>-2.13559620992487</v>
      </c>
      <c r="F246">
        <v>2.2417313380953502E-3</v>
      </c>
      <c r="G246" t="s">
        <v>4</v>
      </c>
      <c r="H246">
        <v>11.8483636262741</v>
      </c>
      <c r="I246">
        <v>0.483834107178163</v>
      </c>
      <c r="J246">
        <v>4.5633680879281799</v>
      </c>
      <c r="K246">
        <v>1.5329733810948399E-3</v>
      </c>
      <c r="L246" t="s">
        <v>4</v>
      </c>
      <c r="M246">
        <v>52.439378140033902</v>
      </c>
      <c r="N246">
        <v>0.483834107178163</v>
      </c>
      <c r="O246">
        <v>6.6989642978530499</v>
      </c>
      <c r="P246" s="5">
        <v>1.1895838036123599E-6</v>
      </c>
      <c r="Q246" t="s">
        <v>4</v>
      </c>
      <c r="R246" s="4" t="s">
        <v>87</v>
      </c>
      <c r="S246" t="s">
        <v>4</v>
      </c>
      <c r="T246" t="s">
        <v>189</v>
      </c>
      <c r="U246" t="s">
        <v>190</v>
      </c>
      <c r="V246" t="s">
        <v>191</v>
      </c>
      <c r="W246" t="s">
        <v>192</v>
      </c>
      <c r="X246" t="s">
        <v>4</v>
      </c>
      <c r="Y246" t="s">
        <v>92</v>
      </c>
      <c r="Z246" t="s">
        <v>92</v>
      </c>
      <c r="AA246" t="s">
        <v>92</v>
      </c>
      <c r="AB246" t="s">
        <v>4</v>
      </c>
      <c r="AC246" s="3" t="s">
        <v>93</v>
      </c>
      <c r="AD246" t="s">
        <v>4</v>
      </c>
      <c r="AE246" s="4" t="s">
        <v>94</v>
      </c>
      <c r="AZ246" t="s">
        <v>4</v>
      </c>
      <c r="BA246" s="3" t="s">
        <v>95</v>
      </c>
      <c r="BB246" t="s">
        <v>96</v>
      </c>
      <c r="BC246" s="3" t="s">
        <v>95</v>
      </c>
      <c r="BD246" t="s">
        <v>4</v>
      </c>
      <c r="BE246">
        <v>1038</v>
      </c>
      <c r="BF246" t="s">
        <v>151</v>
      </c>
      <c r="BG246">
        <v>96.710499999999996</v>
      </c>
      <c r="BH246">
        <v>100</v>
      </c>
      <c r="BI246">
        <v>79.6053</v>
      </c>
      <c r="BJ246">
        <v>65.789500000000004</v>
      </c>
      <c r="BK246">
        <v>45.3947</v>
      </c>
      <c r="BN246">
        <v>63.815800000000003</v>
      </c>
      <c r="CK246">
        <v>2</v>
      </c>
      <c r="CL246" t="s">
        <v>4</v>
      </c>
      <c r="CM246" t="s">
        <v>98</v>
      </c>
      <c r="CN246" t="s">
        <v>98</v>
      </c>
      <c r="CO246" t="s">
        <v>99</v>
      </c>
      <c r="CP246" t="s">
        <v>100</v>
      </c>
      <c r="CQ246">
        <v>245</v>
      </c>
      <c r="CR246" t="s">
        <v>100</v>
      </c>
      <c r="CS246" t="s">
        <v>101</v>
      </c>
      <c r="CT246" t="s">
        <v>152</v>
      </c>
      <c r="CU246" t="s">
        <v>102</v>
      </c>
      <c r="CV246" t="s">
        <v>100</v>
      </c>
    </row>
    <row r="247" spans="1:100">
      <c r="A247" s="3" t="s">
        <v>5258</v>
      </c>
      <c r="B247" s="4" t="s">
        <v>5259</v>
      </c>
      <c r="C247">
        <v>1619.38286356715</v>
      </c>
      <c r="D247">
        <v>7515.2607082277</v>
      </c>
      <c r="E247">
        <f>-2.21440745329733</f>
        <v>-2.2144074532973299</v>
      </c>
      <c r="F247" s="5">
        <v>6.55231210550584E-21</v>
      </c>
      <c r="G247" t="s">
        <v>4</v>
      </c>
      <c r="H247">
        <v>1619.38286356715</v>
      </c>
      <c r="I247">
        <v>1723.6820859858999</v>
      </c>
      <c r="J247">
        <f>0.0907163181375148</f>
        <v>9.0716318137514795E-2</v>
      </c>
      <c r="K247">
        <v>0.74498523664793503</v>
      </c>
      <c r="L247" t="s">
        <v>4</v>
      </c>
      <c r="M247">
        <v>7515.2607082277</v>
      </c>
      <c r="N247">
        <v>1723.6820859858999</v>
      </c>
      <c r="O247">
        <v>2.1236911351598202</v>
      </c>
      <c r="P247" s="5">
        <v>6.87424230934231E-20</v>
      </c>
      <c r="Q247" t="s">
        <v>4</v>
      </c>
      <c r="R247" s="4" t="s">
        <v>87</v>
      </c>
      <c r="S247" t="s">
        <v>4</v>
      </c>
      <c r="T247" t="s">
        <v>5260</v>
      </c>
      <c r="U247" t="s">
        <v>5261</v>
      </c>
      <c r="V247" t="s">
        <v>5262</v>
      </c>
      <c r="W247" t="s">
        <v>203</v>
      </c>
      <c r="X247" t="s">
        <v>4</v>
      </c>
      <c r="Y247" t="s">
        <v>5263</v>
      </c>
      <c r="Z247" t="s">
        <v>5264</v>
      </c>
      <c r="AA247" t="s">
        <v>5265</v>
      </c>
      <c r="AB247" t="s">
        <v>4</v>
      </c>
      <c r="AC247" s="3" t="s">
        <v>5266</v>
      </c>
      <c r="AD247" t="s">
        <v>4</v>
      </c>
      <c r="AE247" t="s">
        <v>5267</v>
      </c>
      <c r="AF247" t="s">
        <v>5268</v>
      </c>
      <c r="AG247" t="s">
        <v>5269</v>
      </c>
      <c r="AH247" t="s">
        <v>112</v>
      </c>
      <c r="AK247" t="s">
        <v>3114</v>
      </c>
      <c r="AL247" t="s">
        <v>5270</v>
      </c>
      <c r="AQ247" t="s">
        <v>3116</v>
      </c>
      <c r="AU247" t="s">
        <v>112</v>
      </c>
      <c r="AV247" t="s">
        <v>5271</v>
      </c>
      <c r="AW247" t="s">
        <v>114</v>
      </c>
      <c r="AX247" t="s">
        <v>536</v>
      </c>
      <c r="AY247" t="s">
        <v>5272</v>
      </c>
      <c r="AZ247" t="s">
        <v>4</v>
      </c>
      <c r="BA247" s="3" t="s">
        <v>95</v>
      </c>
      <c r="BB247" s="6" t="s">
        <v>95</v>
      </c>
      <c r="BC247" s="3" t="s">
        <v>95</v>
      </c>
      <c r="BD247" t="s">
        <v>4</v>
      </c>
      <c r="BE247">
        <v>7492</v>
      </c>
      <c r="BF247" t="s">
        <v>213</v>
      </c>
      <c r="BG247">
        <v>98.280799999999999</v>
      </c>
      <c r="BH247">
        <v>100</v>
      </c>
      <c r="BI247">
        <v>91.117500000000007</v>
      </c>
      <c r="BJ247">
        <v>69.340999999999994</v>
      </c>
      <c r="BK247">
        <v>52.149000000000001</v>
      </c>
      <c r="BL247">
        <v>36.676200000000001</v>
      </c>
      <c r="BN247">
        <v>53.295099999999998</v>
      </c>
      <c r="BP247">
        <v>32.091700000000003</v>
      </c>
      <c r="BX247">
        <v>24.9284</v>
      </c>
      <c r="CA247">
        <v>24.9284</v>
      </c>
      <c r="CB247">
        <v>19.484200000000001</v>
      </c>
      <c r="CE247">
        <v>10.315200000000001</v>
      </c>
      <c r="CF247">
        <v>11.4613</v>
      </c>
      <c r="CG247">
        <v>12.894</v>
      </c>
      <c r="CH247">
        <v>13.467000000000001</v>
      </c>
      <c r="CI247">
        <v>14.326599999999999</v>
      </c>
      <c r="CK247">
        <v>8</v>
      </c>
      <c r="CL247" t="s">
        <v>4</v>
      </c>
      <c r="CM247" t="s">
        <v>5273</v>
      </c>
      <c r="CN247" t="s">
        <v>5274</v>
      </c>
      <c r="CO247" t="s">
        <v>219</v>
      </c>
      <c r="CP247" t="s">
        <v>100</v>
      </c>
      <c r="CQ247">
        <v>246</v>
      </c>
      <c r="CR247" t="s">
        <v>100</v>
      </c>
      <c r="CS247" t="s">
        <v>100</v>
      </c>
      <c r="CT247" t="s">
        <v>152</v>
      </c>
      <c r="CU247" t="s">
        <v>102</v>
      </c>
      <c r="CV247" t="s">
        <v>100</v>
      </c>
    </row>
    <row r="248" spans="1:100">
      <c r="A248" s="3" t="s">
        <v>5275</v>
      </c>
      <c r="B248" s="4" t="s">
        <v>5276</v>
      </c>
      <c r="C248">
        <v>260.83262184388502</v>
      </c>
      <c r="D248">
        <v>3825.5236103658399</v>
      </c>
      <c r="E248">
        <f>-3.87376200229331</f>
        <v>-3.8737620022933101</v>
      </c>
      <c r="F248" s="5">
        <v>1.6746898107338999E-19</v>
      </c>
      <c r="G248" t="s">
        <v>4</v>
      </c>
      <c r="H248">
        <v>260.83262184388502</v>
      </c>
      <c r="I248">
        <v>638.78169981328494</v>
      </c>
      <c r="J248">
        <f>-1.29198384238038</f>
        <v>-1.29198384238038</v>
      </c>
      <c r="K248">
        <v>4.0364951705763302E-3</v>
      </c>
      <c r="L248" t="s">
        <v>4</v>
      </c>
      <c r="M248">
        <v>3825.5236103658399</v>
      </c>
      <c r="N248">
        <v>638.78169981328494</v>
      </c>
      <c r="O248">
        <v>2.5817781599129201</v>
      </c>
      <c r="P248" s="5">
        <v>1.2954451099812199E-9</v>
      </c>
      <c r="Q248" t="s">
        <v>4</v>
      </c>
      <c r="R248" s="4" t="s">
        <v>87</v>
      </c>
      <c r="S248" t="s">
        <v>4</v>
      </c>
      <c r="T248" t="s">
        <v>92</v>
      </c>
      <c r="U248" t="s">
        <v>92</v>
      </c>
      <c r="V248" t="s">
        <v>92</v>
      </c>
      <c r="W248" t="s">
        <v>92</v>
      </c>
      <c r="X248" t="s">
        <v>4</v>
      </c>
      <c r="Y248" t="s">
        <v>92</v>
      </c>
      <c r="Z248" t="s">
        <v>92</v>
      </c>
      <c r="AA248" t="s">
        <v>92</v>
      </c>
      <c r="AB248" t="s">
        <v>4</v>
      </c>
      <c r="AC248" s="3" t="s">
        <v>93</v>
      </c>
      <c r="AD248" t="s">
        <v>4</v>
      </c>
      <c r="AE248" t="s">
        <v>5277</v>
      </c>
      <c r="AF248" t="s">
        <v>5278</v>
      </c>
      <c r="AG248" t="s">
        <v>5279</v>
      </c>
      <c r="AH248" t="s">
        <v>112</v>
      </c>
      <c r="AU248" t="s">
        <v>112</v>
      </c>
      <c r="AV248" t="s">
        <v>5280</v>
      </c>
      <c r="AW248" t="s">
        <v>114</v>
      </c>
      <c r="AZ248" t="s">
        <v>4</v>
      </c>
      <c r="BA248" s="3" t="s">
        <v>95</v>
      </c>
      <c r="BB248" s="6" t="s">
        <v>95</v>
      </c>
      <c r="BC248" s="3" t="s">
        <v>95</v>
      </c>
      <c r="BD248" t="s">
        <v>4</v>
      </c>
      <c r="BE248">
        <v>4042</v>
      </c>
      <c r="BF248" t="s">
        <v>112</v>
      </c>
      <c r="BG248">
        <v>97.345100000000002</v>
      </c>
      <c r="BH248">
        <v>99.557500000000005</v>
      </c>
      <c r="BI248">
        <v>95.1327</v>
      </c>
      <c r="BJ248">
        <v>74.336299999999994</v>
      </c>
      <c r="BK248">
        <v>66.8142</v>
      </c>
      <c r="BL248">
        <v>58.4071</v>
      </c>
      <c r="BM248">
        <v>67.256600000000006</v>
      </c>
      <c r="BN248">
        <v>66.8142</v>
      </c>
      <c r="BO248">
        <v>65.486699999999999</v>
      </c>
      <c r="BP248">
        <v>45.1327</v>
      </c>
      <c r="BQ248">
        <v>38.053100000000001</v>
      </c>
      <c r="BR248">
        <v>40.707999999999998</v>
      </c>
      <c r="BS248">
        <v>43.3628</v>
      </c>
      <c r="BW248">
        <v>40.265500000000003</v>
      </c>
      <c r="BX248">
        <v>41.150399999999998</v>
      </c>
      <c r="BY248">
        <v>25.663699999999999</v>
      </c>
      <c r="BZ248">
        <v>40.265500000000003</v>
      </c>
      <c r="CA248">
        <v>42.035400000000003</v>
      </c>
      <c r="CK248">
        <v>5</v>
      </c>
      <c r="CL248" t="s">
        <v>4</v>
      </c>
      <c r="CM248" t="s">
        <v>5281</v>
      </c>
      <c r="CN248" t="s">
        <v>5282</v>
      </c>
      <c r="CO248" t="s">
        <v>99</v>
      </c>
      <c r="CP248" t="s">
        <v>100</v>
      </c>
      <c r="CQ248">
        <v>247</v>
      </c>
      <c r="CR248" t="s">
        <v>100</v>
      </c>
      <c r="CS248" t="s">
        <v>100</v>
      </c>
      <c r="CT248" t="s">
        <v>152</v>
      </c>
      <c r="CU248" t="s">
        <v>102</v>
      </c>
      <c r="CV248" t="s">
        <v>100</v>
      </c>
    </row>
    <row r="249" spans="1:100">
      <c r="A249" s="3" t="s">
        <v>5283</v>
      </c>
      <c r="B249" s="4" t="s">
        <v>5284</v>
      </c>
      <c r="C249">
        <v>3885.9002507199698</v>
      </c>
      <c r="D249">
        <v>23263.156547005201</v>
      </c>
      <c r="E249">
        <f>-2.58169883238309</f>
        <v>-2.5816988323830898</v>
      </c>
      <c r="F249" s="5">
        <v>6.0436251230955398E-43</v>
      </c>
      <c r="G249" t="s">
        <v>4</v>
      </c>
      <c r="H249">
        <v>3885.9002507199698</v>
      </c>
      <c r="I249">
        <v>1899.45460160372</v>
      </c>
      <c r="J249">
        <v>1.03262907393155</v>
      </c>
      <c r="K249" s="5">
        <v>9.0920069663953004E-8</v>
      </c>
      <c r="L249" t="s">
        <v>4</v>
      </c>
      <c r="M249">
        <v>23263.156547005201</v>
      </c>
      <c r="N249">
        <v>1899.45460160372</v>
      </c>
      <c r="O249">
        <v>3.6143279063146401</v>
      </c>
      <c r="P249" s="5">
        <v>1.2203871312528101E-84</v>
      </c>
      <c r="Q249" t="s">
        <v>4</v>
      </c>
      <c r="R249" s="4" t="s">
        <v>87</v>
      </c>
      <c r="S249" t="s">
        <v>4</v>
      </c>
      <c r="T249" t="s">
        <v>5285</v>
      </c>
      <c r="U249" t="s">
        <v>5286</v>
      </c>
      <c r="V249" t="s">
        <v>5287</v>
      </c>
      <c r="W249" t="s">
        <v>203</v>
      </c>
      <c r="X249" t="s">
        <v>4</v>
      </c>
      <c r="Y249" t="s">
        <v>5288</v>
      </c>
      <c r="Z249" t="s">
        <v>5289</v>
      </c>
      <c r="AA249" t="s">
        <v>5290</v>
      </c>
      <c r="AB249" t="s">
        <v>4</v>
      </c>
      <c r="AC249" s="3" t="s">
        <v>5291</v>
      </c>
      <c r="AD249" t="s">
        <v>4</v>
      </c>
      <c r="AE249" t="s">
        <v>5292</v>
      </c>
      <c r="AF249" t="s">
        <v>5293</v>
      </c>
      <c r="AG249" t="s">
        <v>5294</v>
      </c>
      <c r="AH249" t="s">
        <v>112</v>
      </c>
      <c r="AJ249" t="s">
        <v>5295</v>
      </c>
      <c r="AL249" t="s">
        <v>5296</v>
      </c>
      <c r="AM249" t="s">
        <v>302</v>
      </c>
      <c r="AN249" t="s">
        <v>5297</v>
      </c>
      <c r="AQ249" t="s">
        <v>5298</v>
      </c>
      <c r="AU249" t="s">
        <v>112</v>
      </c>
      <c r="AV249" t="s">
        <v>5299</v>
      </c>
      <c r="AW249" t="s">
        <v>114</v>
      </c>
      <c r="AX249" t="s">
        <v>5300</v>
      </c>
      <c r="AY249" t="s">
        <v>5301</v>
      </c>
      <c r="AZ249" t="s">
        <v>4</v>
      </c>
      <c r="BA249" s="3" t="s">
        <v>95</v>
      </c>
      <c r="BB249" s="6" t="s">
        <v>95</v>
      </c>
      <c r="BC249" s="3" t="s">
        <v>95</v>
      </c>
      <c r="BD249" t="s">
        <v>4</v>
      </c>
      <c r="BE249">
        <v>9885</v>
      </c>
      <c r="BF249" t="s">
        <v>169</v>
      </c>
      <c r="BG249">
        <v>99.114999999999995</v>
      </c>
      <c r="BI249">
        <v>94.690299999999993</v>
      </c>
      <c r="BJ249">
        <v>75.811199999999999</v>
      </c>
      <c r="BK249">
        <v>32.448399999999999</v>
      </c>
      <c r="BL249">
        <v>71.091399999999993</v>
      </c>
      <c r="BM249">
        <v>75.221199999999996</v>
      </c>
      <c r="BN249">
        <v>72.2714</v>
      </c>
      <c r="BO249">
        <v>68.436599999999999</v>
      </c>
      <c r="BP249">
        <v>36.578200000000002</v>
      </c>
      <c r="BQ249">
        <v>19.469000000000001</v>
      </c>
      <c r="BS249">
        <v>20.943999999999999</v>
      </c>
      <c r="BT249">
        <v>17.109100000000002</v>
      </c>
      <c r="BV249" t="s">
        <v>5302</v>
      </c>
      <c r="BW249">
        <v>23.008900000000001</v>
      </c>
      <c r="BX249">
        <v>28.023599999999998</v>
      </c>
      <c r="BZ249">
        <v>27.7286</v>
      </c>
      <c r="CA249">
        <v>23.893799999999999</v>
      </c>
      <c r="CB249">
        <v>10.9145</v>
      </c>
      <c r="CC249">
        <v>15.0442</v>
      </c>
      <c r="CD249">
        <v>17.109100000000002</v>
      </c>
      <c r="CE249">
        <v>20.649000000000001</v>
      </c>
      <c r="CF249">
        <v>21.828900000000001</v>
      </c>
      <c r="CG249" t="s">
        <v>5303</v>
      </c>
      <c r="CH249" t="s">
        <v>5304</v>
      </c>
      <c r="CI249" t="s">
        <v>5305</v>
      </c>
      <c r="CK249">
        <v>9</v>
      </c>
      <c r="CL249" t="s">
        <v>4</v>
      </c>
      <c r="CM249" t="s">
        <v>5306</v>
      </c>
      <c r="CN249" t="s">
        <v>5307</v>
      </c>
      <c r="CO249" t="s">
        <v>1218</v>
      </c>
      <c r="CP249" t="s">
        <v>100</v>
      </c>
      <c r="CQ249">
        <v>248</v>
      </c>
      <c r="CR249" t="s">
        <v>100</v>
      </c>
      <c r="CS249" s="7" t="s">
        <v>101</v>
      </c>
      <c r="CT249" t="s">
        <v>152</v>
      </c>
      <c r="CU249" t="s">
        <v>102</v>
      </c>
      <c r="CV249" t="s">
        <v>100</v>
      </c>
    </row>
    <row r="250" spans="1:100">
      <c r="A250" s="3" t="s">
        <v>5308</v>
      </c>
      <c r="B250" s="4" t="s">
        <v>5309</v>
      </c>
      <c r="C250">
        <v>176.27541912643301</v>
      </c>
      <c r="D250">
        <v>3409.8005351516599</v>
      </c>
      <c r="E250">
        <f>-4.2718885565598</f>
        <v>-4.2718885565597997</v>
      </c>
      <c r="F250" s="5">
        <v>2.4153252054412701E-31</v>
      </c>
      <c r="G250" t="s">
        <v>4</v>
      </c>
      <c r="H250">
        <v>176.27541912643301</v>
      </c>
      <c r="I250">
        <v>636.08371882763697</v>
      </c>
      <c r="J250">
        <f>-1.84822527304965</f>
        <v>-1.84822527304965</v>
      </c>
      <c r="K250" s="5">
        <v>9.3273263871849898E-7</v>
      </c>
      <c r="L250" t="s">
        <v>4</v>
      </c>
      <c r="M250">
        <v>3409.8005351516599</v>
      </c>
      <c r="N250">
        <v>636.08371882763697</v>
      </c>
      <c r="O250">
        <v>2.4236632835101601</v>
      </c>
      <c r="P250" s="5">
        <v>2.86218794011244E-11</v>
      </c>
      <c r="Q250" t="s">
        <v>4</v>
      </c>
      <c r="R250" s="4" t="s">
        <v>87</v>
      </c>
      <c r="S250" t="s">
        <v>4</v>
      </c>
      <c r="T250" t="s">
        <v>189</v>
      </c>
      <c r="U250" t="s">
        <v>190</v>
      </c>
      <c r="V250" t="s">
        <v>191</v>
      </c>
      <c r="W250" t="s">
        <v>192</v>
      </c>
      <c r="X250" t="s">
        <v>4</v>
      </c>
      <c r="Y250" t="s">
        <v>5310</v>
      </c>
      <c r="Z250" t="s">
        <v>5311</v>
      </c>
      <c r="AA250" t="s">
        <v>5312</v>
      </c>
      <c r="AB250" t="s">
        <v>4</v>
      </c>
      <c r="AC250" s="3" t="s">
        <v>5313</v>
      </c>
      <c r="AD250" t="s">
        <v>4</v>
      </c>
      <c r="AE250" t="s">
        <v>5314</v>
      </c>
      <c r="AF250" t="s">
        <v>5315</v>
      </c>
      <c r="AG250" t="s">
        <v>3547</v>
      </c>
      <c r="AH250" t="s">
        <v>112</v>
      </c>
      <c r="AU250" t="s">
        <v>112</v>
      </c>
      <c r="AV250" t="s">
        <v>5316</v>
      </c>
      <c r="AW250" t="s">
        <v>114</v>
      </c>
      <c r="AX250" t="s">
        <v>144</v>
      </c>
      <c r="AY250" t="s">
        <v>5317</v>
      </c>
      <c r="AZ250" t="s">
        <v>4</v>
      </c>
      <c r="BA250" s="3" t="s">
        <v>95</v>
      </c>
      <c r="BB250" t="s">
        <v>96</v>
      </c>
      <c r="BC250" s="3" t="s">
        <v>95</v>
      </c>
      <c r="BD250" t="s">
        <v>4</v>
      </c>
      <c r="BE250">
        <v>5085</v>
      </c>
      <c r="BF250" t="s">
        <v>282</v>
      </c>
      <c r="BG250">
        <v>98.559700000000007</v>
      </c>
      <c r="BI250">
        <v>94.650199999999998</v>
      </c>
      <c r="BJ250">
        <v>84.156400000000005</v>
      </c>
      <c r="BK250">
        <v>51.440300000000001</v>
      </c>
      <c r="BL250" t="s">
        <v>5318</v>
      </c>
      <c r="BN250">
        <v>77.160499999999999</v>
      </c>
      <c r="BO250" t="s">
        <v>5319</v>
      </c>
      <c r="BP250">
        <v>63.374499999999998</v>
      </c>
      <c r="BQ250">
        <v>52.674900000000001</v>
      </c>
      <c r="BR250">
        <v>51.440300000000001</v>
      </c>
      <c r="BS250">
        <v>52.263399999999997</v>
      </c>
      <c r="BT250">
        <v>18.5185</v>
      </c>
      <c r="BU250">
        <v>51.440300000000001</v>
      </c>
      <c r="BV250" t="s">
        <v>5320</v>
      </c>
      <c r="BW250">
        <v>50.6173</v>
      </c>
      <c r="BX250">
        <v>50.411499999999997</v>
      </c>
      <c r="BY250">
        <v>37.654299999999999</v>
      </c>
      <c r="CA250" t="s">
        <v>5321</v>
      </c>
      <c r="CB250">
        <v>12.345700000000001</v>
      </c>
      <c r="CK250">
        <v>6</v>
      </c>
      <c r="CL250" t="s">
        <v>4</v>
      </c>
      <c r="CM250" t="s">
        <v>5322</v>
      </c>
      <c r="CN250" t="s">
        <v>5323</v>
      </c>
      <c r="CO250" t="s">
        <v>99</v>
      </c>
      <c r="CP250" t="s">
        <v>100</v>
      </c>
      <c r="CQ250">
        <v>249</v>
      </c>
      <c r="CR250" t="s">
        <v>100</v>
      </c>
      <c r="CS250" t="s">
        <v>100</v>
      </c>
      <c r="CT250" t="s">
        <v>152</v>
      </c>
      <c r="CU250" t="s">
        <v>102</v>
      </c>
      <c r="CV250" t="s">
        <v>100</v>
      </c>
    </row>
    <row r="251" spans="1:100">
      <c r="A251" s="3" t="s">
        <v>5324</v>
      </c>
      <c r="B251" s="4" t="s">
        <v>5325</v>
      </c>
      <c r="C251">
        <v>616.02194922583101</v>
      </c>
      <c r="D251">
        <v>3262.0860886248602</v>
      </c>
      <c r="E251">
        <f>-2.4041907952788</f>
        <v>-2.4041907952788</v>
      </c>
      <c r="F251" s="5">
        <v>8.9992059556960994E-18</v>
      </c>
      <c r="G251" t="s">
        <v>4</v>
      </c>
      <c r="H251">
        <v>616.02194922583101</v>
      </c>
      <c r="I251">
        <v>768.68995904662199</v>
      </c>
      <c r="J251">
        <f>0.320947624545609</f>
        <v>0.32094762454560899</v>
      </c>
      <c r="K251">
        <v>0.30124839974445999</v>
      </c>
      <c r="L251" t="s">
        <v>4</v>
      </c>
      <c r="M251">
        <v>3262.0860886248602</v>
      </c>
      <c r="N251">
        <v>768.68995904662199</v>
      </c>
      <c r="O251">
        <v>2.0832431707331902</v>
      </c>
      <c r="P251" s="5">
        <v>4.6933611205282801E-14</v>
      </c>
      <c r="Q251" t="s">
        <v>4</v>
      </c>
      <c r="R251" s="4" t="s">
        <v>87</v>
      </c>
      <c r="S251" t="s">
        <v>4</v>
      </c>
      <c r="T251" t="s">
        <v>92</v>
      </c>
      <c r="U251" t="s">
        <v>92</v>
      </c>
      <c r="V251" t="s">
        <v>92</v>
      </c>
      <c r="W251" t="s">
        <v>92</v>
      </c>
      <c r="X251" t="s">
        <v>4</v>
      </c>
      <c r="Y251" t="s">
        <v>92</v>
      </c>
      <c r="Z251" t="s">
        <v>92</v>
      </c>
      <c r="AA251" t="s">
        <v>92</v>
      </c>
      <c r="AB251" t="s">
        <v>4</v>
      </c>
      <c r="AC251" s="3" t="s">
        <v>93</v>
      </c>
      <c r="AD251" t="s">
        <v>4</v>
      </c>
      <c r="AE251" t="s">
        <v>5326</v>
      </c>
      <c r="AF251" t="s">
        <v>5327</v>
      </c>
      <c r="AG251" t="s">
        <v>5328</v>
      </c>
      <c r="AH251" t="s">
        <v>112</v>
      </c>
      <c r="AU251" t="s">
        <v>112</v>
      </c>
      <c r="AV251" t="s">
        <v>5329</v>
      </c>
      <c r="AW251" t="s">
        <v>114</v>
      </c>
      <c r="AZ251" t="s">
        <v>4</v>
      </c>
      <c r="BA251" s="3" t="s">
        <v>95</v>
      </c>
      <c r="BB251" s="6" t="s">
        <v>95</v>
      </c>
      <c r="BC251" s="3" t="s">
        <v>95</v>
      </c>
      <c r="BD251" t="s">
        <v>4</v>
      </c>
      <c r="BE251">
        <v>4060</v>
      </c>
      <c r="BF251" t="s">
        <v>112</v>
      </c>
      <c r="BG251">
        <v>98.728800000000007</v>
      </c>
      <c r="BH251">
        <v>99.576300000000003</v>
      </c>
      <c r="BI251">
        <v>94.491500000000002</v>
      </c>
      <c r="BJ251">
        <v>84.745800000000003</v>
      </c>
      <c r="BK251">
        <v>79.237300000000005</v>
      </c>
      <c r="BL251">
        <v>66.101699999999994</v>
      </c>
      <c r="BM251">
        <v>66.525400000000005</v>
      </c>
      <c r="BN251">
        <v>81.355900000000005</v>
      </c>
      <c r="BO251">
        <v>30.508500000000002</v>
      </c>
      <c r="BP251">
        <v>39.830500000000001</v>
      </c>
      <c r="BR251">
        <v>26.2712</v>
      </c>
      <c r="CK251">
        <v>5</v>
      </c>
      <c r="CL251" t="s">
        <v>4</v>
      </c>
      <c r="CM251" t="s">
        <v>98</v>
      </c>
      <c r="CN251" t="s">
        <v>98</v>
      </c>
      <c r="CO251" t="s">
        <v>99</v>
      </c>
      <c r="CP251" t="s">
        <v>100</v>
      </c>
      <c r="CQ251">
        <v>250</v>
      </c>
      <c r="CR251" t="s">
        <v>100</v>
      </c>
      <c r="CS251" t="s">
        <v>100</v>
      </c>
      <c r="CT251" t="s">
        <v>152</v>
      </c>
      <c r="CU251" t="s">
        <v>102</v>
      </c>
      <c r="CV251" t="s">
        <v>100</v>
      </c>
    </row>
    <row r="252" spans="1:100">
      <c r="A252" s="3" t="s">
        <v>5330</v>
      </c>
      <c r="B252" s="4" t="s">
        <v>5331</v>
      </c>
      <c r="C252">
        <v>2562.3833533776101</v>
      </c>
      <c r="D252">
        <v>29493.833102369601</v>
      </c>
      <c r="E252">
        <f>-3.52471180614539</f>
        <v>-3.5247118061453899</v>
      </c>
      <c r="F252" s="5">
        <v>4.7585737173709905E-41</v>
      </c>
      <c r="G252" t="s">
        <v>4</v>
      </c>
      <c r="H252">
        <v>2562.3833533776101</v>
      </c>
      <c r="I252">
        <v>2408.0247888142299</v>
      </c>
      <c r="J252">
        <v>8.9457058069490794E-2</v>
      </c>
      <c r="K252">
        <v>0.77579755302268405</v>
      </c>
      <c r="L252" t="s">
        <v>4</v>
      </c>
      <c r="M252">
        <v>29493.833102369601</v>
      </c>
      <c r="N252">
        <v>2408.0247888142299</v>
      </c>
      <c r="O252">
        <v>3.6141688642148799</v>
      </c>
      <c r="P252" s="5">
        <v>2.7821719212041799E-44</v>
      </c>
      <c r="Q252" t="s">
        <v>4</v>
      </c>
      <c r="R252" s="4" t="s">
        <v>87</v>
      </c>
      <c r="S252" t="s">
        <v>4</v>
      </c>
      <c r="T252" t="s">
        <v>5332</v>
      </c>
      <c r="U252" t="s">
        <v>5333</v>
      </c>
      <c r="V252" t="s">
        <v>5334</v>
      </c>
      <c r="W252" t="s">
        <v>123</v>
      </c>
      <c r="X252" t="s">
        <v>4</v>
      </c>
      <c r="Y252" t="s">
        <v>5335</v>
      </c>
      <c r="Z252" t="s">
        <v>5336</v>
      </c>
      <c r="AA252" t="s">
        <v>5337</v>
      </c>
      <c r="AB252" t="s">
        <v>4</v>
      </c>
      <c r="AC252" s="3" t="s">
        <v>5338</v>
      </c>
      <c r="AD252" t="s">
        <v>4</v>
      </c>
      <c r="AE252" t="s">
        <v>5339</v>
      </c>
      <c r="AF252" t="s">
        <v>834</v>
      </c>
      <c r="AG252" t="s">
        <v>5340</v>
      </c>
      <c r="AH252" t="s">
        <v>112</v>
      </c>
      <c r="AL252" t="s">
        <v>5341</v>
      </c>
      <c r="AM252" t="s">
        <v>5342</v>
      </c>
      <c r="AQ252" t="s">
        <v>5343</v>
      </c>
      <c r="AU252" t="s">
        <v>112</v>
      </c>
      <c r="AV252" t="s">
        <v>5344</v>
      </c>
      <c r="AW252" t="s">
        <v>114</v>
      </c>
      <c r="AX252" t="s">
        <v>1938</v>
      </c>
      <c r="AY252" t="s">
        <v>5345</v>
      </c>
      <c r="AZ252" t="s">
        <v>4</v>
      </c>
      <c r="BA252" s="3" t="s">
        <v>95</v>
      </c>
      <c r="BB252" s="6" t="s">
        <v>95</v>
      </c>
      <c r="BC252" s="3" t="s">
        <v>95</v>
      </c>
      <c r="BD252" t="s">
        <v>4</v>
      </c>
      <c r="BE252">
        <v>5094</v>
      </c>
      <c r="BF252" t="s">
        <v>282</v>
      </c>
      <c r="BG252">
        <v>97.157799999999995</v>
      </c>
      <c r="BH252">
        <v>34.222700000000003</v>
      </c>
      <c r="BI252">
        <v>87.876999999999995</v>
      </c>
      <c r="BJ252">
        <v>79.176299999999998</v>
      </c>
      <c r="BK252">
        <v>70.997699999999995</v>
      </c>
      <c r="BL252">
        <v>26.1601</v>
      </c>
      <c r="BM252">
        <v>45.823700000000002</v>
      </c>
      <c r="BN252">
        <v>73.7239</v>
      </c>
      <c r="BO252">
        <v>8.5846900000000002</v>
      </c>
      <c r="BP252">
        <v>42.749400000000001</v>
      </c>
      <c r="CC252">
        <v>18.503499999999999</v>
      </c>
      <c r="CE252">
        <v>9.5127600000000001</v>
      </c>
      <c r="CF252">
        <v>10.3828</v>
      </c>
      <c r="CG252" t="s">
        <v>5346</v>
      </c>
      <c r="CH252" t="s">
        <v>5347</v>
      </c>
      <c r="CI252" t="s">
        <v>5348</v>
      </c>
      <c r="CK252">
        <v>6</v>
      </c>
      <c r="CL252" t="s">
        <v>4</v>
      </c>
      <c r="CM252" t="s">
        <v>98</v>
      </c>
      <c r="CN252" t="s">
        <v>98</v>
      </c>
      <c r="CO252" t="s">
        <v>99</v>
      </c>
      <c r="CP252" t="s">
        <v>100</v>
      </c>
      <c r="CQ252">
        <v>251</v>
      </c>
      <c r="CR252" t="s">
        <v>100</v>
      </c>
      <c r="CS252" t="s">
        <v>100</v>
      </c>
      <c r="CT252" t="s">
        <v>152</v>
      </c>
      <c r="CU252" t="s">
        <v>102</v>
      </c>
      <c r="CV252" t="s">
        <v>100</v>
      </c>
    </row>
    <row r="253" spans="1:100">
      <c r="A253" s="3" t="s">
        <v>5349</v>
      </c>
      <c r="B253" s="4" t="s">
        <v>5350</v>
      </c>
      <c r="C253">
        <v>145.92410810652299</v>
      </c>
      <c r="D253">
        <v>797.04287614011696</v>
      </c>
      <c r="E253">
        <f>-2.44825657712236</f>
        <v>-2.4482565771223599</v>
      </c>
      <c r="F253" s="5">
        <v>9.7687607618683906E-11</v>
      </c>
      <c r="G253" t="s">
        <v>4</v>
      </c>
      <c r="H253">
        <v>145.92410810652299</v>
      </c>
      <c r="I253">
        <v>54.686576585074398</v>
      </c>
      <c r="J253">
        <v>1.3952580436595401</v>
      </c>
      <c r="K253">
        <v>6.7450711122104005E-4</v>
      </c>
      <c r="L253" t="s">
        <v>4</v>
      </c>
      <c r="M253">
        <v>797.04287614011696</v>
      </c>
      <c r="N253">
        <v>54.686576585074398</v>
      </c>
      <c r="O253">
        <v>3.8435146207819</v>
      </c>
      <c r="P253" s="5">
        <v>1.68994389038431E-23</v>
      </c>
      <c r="Q253" t="s">
        <v>4</v>
      </c>
      <c r="R253" s="4" t="s">
        <v>87</v>
      </c>
      <c r="S253" t="s">
        <v>4</v>
      </c>
      <c r="T253" t="s">
        <v>628</v>
      </c>
      <c r="U253" t="s">
        <v>629</v>
      </c>
      <c r="V253" t="s">
        <v>630</v>
      </c>
      <c r="W253" t="s">
        <v>328</v>
      </c>
      <c r="X253" t="s">
        <v>4</v>
      </c>
      <c r="Y253" t="s">
        <v>631</v>
      </c>
      <c r="Z253" t="s">
        <v>632</v>
      </c>
      <c r="AA253" t="s">
        <v>633</v>
      </c>
      <c r="AB253" t="s">
        <v>4</v>
      </c>
      <c r="AC253" s="3" t="s">
        <v>5351</v>
      </c>
      <c r="AD253" t="s">
        <v>4</v>
      </c>
      <c r="AE253" t="s">
        <v>5352</v>
      </c>
      <c r="AF253" t="s">
        <v>5353</v>
      </c>
      <c r="AG253" t="s">
        <v>5354</v>
      </c>
      <c r="AH253" t="s">
        <v>638</v>
      </c>
      <c r="AU253" t="s">
        <v>112</v>
      </c>
      <c r="AV253" t="s">
        <v>5355</v>
      </c>
      <c r="AW253" t="s">
        <v>114</v>
      </c>
      <c r="AX253" t="s">
        <v>132</v>
      </c>
      <c r="AY253" t="s">
        <v>5356</v>
      </c>
      <c r="AZ253" t="s">
        <v>4</v>
      </c>
      <c r="BA253" s="3" t="s">
        <v>95</v>
      </c>
      <c r="BB253" t="s">
        <v>96</v>
      </c>
      <c r="BC253" s="3" t="s">
        <v>95</v>
      </c>
      <c r="BD253" t="s">
        <v>4</v>
      </c>
      <c r="BE253">
        <v>5099</v>
      </c>
      <c r="BF253" t="s">
        <v>282</v>
      </c>
      <c r="BG253">
        <v>94.194800000000001</v>
      </c>
      <c r="BH253">
        <v>24.157299999999999</v>
      </c>
      <c r="BI253">
        <v>92.509399999999999</v>
      </c>
      <c r="BJ253" t="s">
        <v>5357</v>
      </c>
      <c r="BK253">
        <v>81.273399999999995</v>
      </c>
      <c r="BL253">
        <v>80.524299999999997</v>
      </c>
      <c r="BM253">
        <v>81.273399999999995</v>
      </c>
      <c r="BN253">
        <v>83.520600000000002</v>
      </c>
      <c r="BO253">
        <v>86.891400000000004</v>
      </c>
      <c r="BP253">
        <v>39.138599999999997</v>
      </c>
      <c r="BQ253">
        <v>57.116100000000003</v>
      </c>
      <c r="BR253">
        <v>62.3596</v>
      </c>
      <c r="BS253">
        <v>62.734099999999998</v>
      </c>
      <c r="BT253">
        <v>45.505600000000001</v>
      </c>
      <c r="BU253">
        <v>33.895099999999999</v>
      </c>
      <c r="BV253">
        <v>19.6629</v>
      </c>
      <c r="BW253">
        <v>62.921300000000002</v>
      </c>
      <c r="BX253">
        <v>64.606700000000004</v>
      </c>
      <c r="BY253">
        <v>60.674199999999999</v>
      </c>
      <c r="BZ253">
        <v>49.625500000000002</v>
      </c>
      <c r="CA253">
        <v>61.610500000000002</v>
      </c>
      <c r="CB253">
        <v>40.636699999999998</v>
      </c>
      <c r="CC253">
        <v>48.314599999999999</v>
      </c>
      <c r="CD253" t="s">
        <v>5358</v>
      </c>
      <c r="CK253">
        <v>6</v>
      </c>
      <c r="CL253" t="s">
        <v>4</v>
      </c>
      <c r="CM253" t="s">
        <v>5359</v>
      </c>
      <c r="CN253" t="s">
        <v>5360</v>
      </c>
      <c r="CO253" t="s">
        <v>99</v>
      </c>
      <c r="CP253" t="s">
        <v>100</v>
      </c>
      <c r="CQ253">
        <v>252</v>
      </c>
      <c r="CR253" t="s">
        <v>100</v>
      </c>
      <c r="CS253" s="7" t="s">
        <v>101</v>
      </c>
      <c r="CT253" t="s">
        <v>152</v>
      </c>
      <c r="CU253" t="s">
        <v>102</v>
      </c>
      <c r="CV253" t="s">
        <v>100</v>
      </c>
    </row>
    <row r="254" spans="1:100">
      <c r="A254" s="3" t="s">
        <v>5361</v>
      </c>
      <c r="B254" s="4" t="s">
        <v>5362</v>
      </c>
      <c r="C254">
        <v>99.065583007772204</v>
      </c>
      <c r="D254">
        <v>519.97282978175701</v>
      </c>
      <c r="E254">
        <f>-2.39074120411658</f>
        <v>-2.3907412041165799</v>
      </c>
      <c r="F254" s="5">
        <v>2.03260200743905E-19</v>
      </c>
      <c r="G254" t="s">
        <v>4</v>
      </c>
      <c r="H254">
        <v>99.065583007772204</v>
      </c>
      <c r="I254">
        <v>117.666221780073</v>
      </c>
      <c r="J254">
        <f>0.266969634823919</f>
        <v>0.266969634823919</v>
      </c>
      <c r="K254">
        <v>0.39181503088009201</v>
      </c>
      <c r="L254" t="s">
        <v>4</v>
      </c>
      <c r="M254">
        <v>519.97282978175701</v>
      </c>
      <c r="N254">
        <v>117.666221780073</v>
      </c>
      <c r="O254">
        <v>2.1237715692926602</v>
      </c>
      <c r="P254" s="5">
        <v>1.9560462283965501E-15</v>
      </c>
      <c r="Q254" t="s">
        <v>4</v>
      </c>
      <c r="R254" s="4" t="s">
        <v>87</v>
      </c>
      <c r="S254" t="s">
        <v>4</v>
      </c>
      <c r="T254" t="s">
        <v>88</v>
      </c>
      <c r="U254" t="s">
        <v>89</v>
      </c>
      <c r="V254" t="s">
        <v>90</v>
      </c>
      <c r="W254" t="s">
        <v>91</v>
      </c>
      <c r="X254" t="s">
        <v>4</v>
      </c>
      <c r="Y254" t="s">
        <v>5363</v>
      </c>
      <c r="Z254" t="s">
        <v>5364</v>
      </c>
      <c r="AA254" t="s">
        <v>5365</v>
      </c>
      <c r="AB254" t="s">
        <v>4</v>
      </c>
      <c r="AC254" s="3" t="s">
        <v>5366</v>
      </c>
      <c r="AD254" t="s">
        <v>4</v>
      </c>
      <c r="AE254" t="s">
        <v>5367</v>
      </c>
      <c r="AF254" t="s">
        <v>5368</v>
      </c>
      <c r="AG254" t="s">
        <v>5369</v>
      </c>
      <c r="AH254" t="s">
        <v>112</v>
      </c>
      <c r="AL254" t="s">
        <v>5370</v>
      </c>
      <c r="AM254" t="s">
        <v>5371</v>
      </c>
      <c r="AQ254" t="s">
        <v>879</v>
      </c>
      <c r="AU254" t="s">
        <v>112</v>
      </c>
      <c r="AV254" t="s">
        <v>5372</v>
      </c>
      <c r="AW254" t="s">
        <v>114</v>
      </c>
      <c r="AX254" t="s">
        <v>132</v>
      </c>
      <c r="AY254" t="s">
        <v>5373</v>
      </c>
      <c r="AZ254" t="s">
        <v>4</v>
      </c>
      <c r="BA254" s="3" t="s">
        <v>95</v>
      </c>
      <c r="BB254" t="s">
        <v>96</v>
      </c>
      <c r="BC254" s="3" t="s">
        <v>95</v>
      </c>
      <c r="BD254" t="s">
        <v>4</v>
      </c>
      <c r="BE254">
        <v>7618</v>
      </c>
      <c r="BF254" t="s">
        <v>213</v>
      </c>
      <c r="BG254">
        <v>98.661600000000007</v>
      </c>
      <c r="BH254">
        <v>44.933100000000003</v>
      </c>
      <c r="BI254">
        <v>89.101299999999995</v>
      </c>
      <c r="BJ254">
        <v>82.218000000000004</v>
      </c>
      <c r="BK254">
        <v>72.084100000000007</v>
      </c>
      <c r="BL254">
        <v>56.4054</v>
      </c>
      <c r="BM254">
        <v>51.433999999999997</v>
      </c>
      <c r="BN254">
        <v>65.391999999999996</v>
      </c>
      <c r="BO254">
        <v>72.657700000000006</v>
      </c>
      <c r="BP254">
        <v>41.873800000000003</v>
      </c>
      <c r="BQ254">
        <v>35.181600000000003</v>
      </c>
      <c r="BR254">
        <v>35.181600000000003</v>
      </c>
      <c r="BS254">
        <v>34.607999999999997</v>
      </c>
      <c r="BU254">
        <v>25.430199999999999</v>
      </c>
      <c r="BV254" t="s">
        <v>5374</v>
      </c>
      <c r="BW254">
        <v>28.298300000000001</v>
      </c>
      <c r="BX254">
        <v>33.843200000000003</v>
      </c>
      <c r="BY254">
        <v>29.063099999999999</v>
      </c>
      <c r="BZ254">
        <v>34.799199999999999</v>
      </c>
      <c r="CA254">
        <v>32.504800000000003</v>
      </c>
      <c r="CK254">
        <v>8</v>
      </c>
      <c r="CL254" t="s">
        <v>4</v>
      </c>
      <c r="CM254" t="s">
        <v>5375</v>
      </c>
      <c r="CN254" t="s">
        <v>5376</v>
      </c>
      <c r="CO254" t="s">
        <v>1218</v>
      </c>
      <c r="CP254" t="s">
        <v>100</v>
      </c>
      <c r="CQ254">
        <v>253</v>
      </c>
      <c r="CR254" t="s">
        <v>100</v>
      </c>
      <c r="CS254" t="s">
        <v>100</v>
      </c>
      <c r="CT254" t="s">
        <v>152</v>
      </c>
      <c r="CU254" t="s">
        <v>102</v>
      </c>
      <c r="CV254" t="s">
        <v>100</v>
      </c>
    </row>
    <row r="255" spans="1:100">
      <c r="A255" s="3" t="s">
        <v>5377</v>
      </c>
      <c r="B255" s="4" t="s">
        <v>5378</v>
      </c>
      <c r="C255">
        <v>2697.53457759095</v>
      </c>
      <c r="D255">
        <v>15880.003125391901</v>
      </c>
      <c r="E255">
        <f>-2.5575006077716</f>
        <v>-2.5575006077715998</v>
      </c>
      <c r="F255" s="5">
        <v>1.6239225489032199E-22</v>
      </c>
      <c r="G255" t="s">
        <v>4</v>
      </c>
      <c r="H255">
        <v>2697.53457759095</v>
      </c>
      <c r="I255">
        <v>2561.6457076383699</v>
      </c>
      <c r="J255">
        <v>7.5102959010061393E-2</v>
      </c>
      <c r="K255">
        <v>0.80987669507773197</v>
      </c>
      <c r="L255" t="s">
        <v>4</v>
      </c>
      <c r="M255">
        <v>15880.003125391901</v>
      </c>
      <c r="N255">
        <v>2561.6457076383699</v>
      </c>
      <c r="O255">
        <v>2.6326035667816599</v>
      </c>
      <c r="P255" s="5">
        <v>1.56598415844095E-24</v>
      </c>
      <c r="Q255" t="s">
        <v>4</v>
      </c>
      <c r="R255" s="4" t="s">
        <v>87</v>
      </c>
      <c r="S255" t="s">
        <v>4</v>
      </c>
      <c r="T255" t="s">
        <v>92</v>
      </c>
      <c r="U255" t="s">
        <v>92</v>
      </c>
      <c r="V255" t="s">
        <v>92</v>
      </c>
      <c r="W255" t="s">
        <v>92</v>
      </c>
      <c r="X255" t="s">
        <v>4</v>
      </c>
      <c r="Y255" t="s">
        <v>5379</v>
      </c>
      <c r="Z255" t="s">
        <v>5380</v>
      </c>
      <c r="AA255" t="s">
        <v>5381</v>
      </c>
      <c r="AB255" t="s">
        <v>4</v>
      </c>
      <c r="AC255" s="3" t="s">
        <v>5382</v>
      </c>
      <c r="AD255" t="s">
        <v>4</v>
      </c>
      <c r="AE255" t="s">
        <v>5383</v>
      </c>
      <c r="AF255" t="s">
        <v>834</v>
      </c>
      <c r="AG255" t="s">
        <v>5384</v>
      </c>
      <c r="AH255" t="s">
        <v>112</v>
      </c>
      <c r="AU255" t="s">
        <v>112</v>
      </c>
      <c r="AV255" t="s">
        <v>5385</v>
      </c>
      <c r="AW255" t="s">
        <v>114</v>
      </c>
      <c r="AX255" t="s">
        <v>371</v>
      </c>
      <c r="AY255" t="s">
        <v>5386</v>
      </c>
      <c r="AZ255" t="s">
        <v>4</v>
      </c>
      <c r="BA255" s="3" t="s">
        <v>115</v>
      </c>
      <c r="BB255" s="6" t="s">
        <v>95</v>
      </c>
      <c r="BC255" s="3" t="s">
        <v>95</v>
      </c>
      <c r="BD255" t="s">
        <v>4</v>
      </c>
      <c r="BE255">
        <v>9982</v>
      </c>
      <c r="BF255" t="s">
        <v>169</v>
      </c>
      <c r="BG255" t="s">
        <v>5387</v>
      </c>
      <c r="BJ255">
        <v>82.787800000000004</v>
      </c>
      <c r="BK255">
        <v>79.091899999999995</v>
      </c>
      <c r="BL255" t="s">
        <v>5388</v>
      </c>
      <c r="BM255">
        <v>82.154200000000003</v>
      </c>
      <c r="BN255">
        <v>82.154200000000003</v>
      </c>
      <c r="BO255">
        <v>81.942999999999998</v>
      </c>
      <c r="BP255">
        <v>60.295699999999997</v>
      </c>
      <c r="BQ255">
        <v>46.568100000000001</v>
      </c>
      <c r="BR255">
        <v>44.456200000000003</v>
      </c>
      <c r="BS255">
        <v>43.928199999999997</v>
      </c>
      <c r="BT255">
        <v>31.678999999999998</v>
      </c>
      <c r="BU255">
        <v>29.5671</v>
      </c>
      <c r="BV255" t="s">
        <v>5389</v>
      </c>
      <c r="BX255">
        <v>40.4435</v>
      </c>
      <c r="BY255" t="s">
        <v>5390</v>
      </c>
      <c r="BZ255" t="s">
        <v>5391</v>
      </c>
      <c r="CA255">
        <v>42.133099999999999</v>
      </c>
      <c r="CB255">
        <v>43.400199999999998</v>
      </c>
      <c r="CC255" t="s">
        <v>5392</v>
      </c>
      <c r="CD255">
        <v>39.2819</v>
      </c>
      <c r="CE255">
        <v>32.312600000000003</v>
      </c>
      <c r="CF255">
        <v>41.077100000000002</v>
      </c>
      <c r="CG255">
        <v>44.033799999999999</v>
      </c>
      <c r="CH255">
        <v>43.294600000000003</v>
      </c>
      <c r="CI255">
        <v>7.3917599999999997</v>
      </c>
      <c r="CJ255">
        <v>24.815200000000001</v>
      </c>
      <c r="CK255">
        <v>9</v>
      </c>
      <c r="CL255" t="s">
        <v>4</v>
      </c>
      <c r="CM255" t="s">
        <v>5393</v>
      </c>
      <c r="CN255" t="s">
        <v>5394</v>
      </c>
      <c r="CO255" t="s">
        <v>219</v>
      </c>
      <c r="CP255" t="s">
        <v>100</v>
      </c>
      <c r="CQ255">
        <v>254</v>
      </c>
      <c r="CR255" t="s">
        <v>100</v>
      </c>
      <c r="CS255" t="s">
        <v>100</v>
      </c>
      <c r="CT255" t="s">
        <v>152</v>
      </c>
      <c r="CU255" t="s">
        <v>102</v>
      </c>
      <c r="CV255" t="s">
        <v>100</v>
      </c>
    </row>
    <row r="256" spans="1:100">
      <c r="A256" s="3" t="s">
        <v>5395</v>
      </c>
      <c r="B256" s="4" t="s">
        <v>5396</v>
      </c>
      <c r="C256">
        <v>1173.36698523114</v>
      </c>
      <c r="D256">
        <v>9698.7773221527896</v>
      </c>
      <c r="E256">
        <f>-3.0467179705133</f>
        <v>-3.0467179705133001</v>
      </c>
      <c r="F256" s="5">
        <v>7.4237804162398199E-32</v>
      </c>
      <c r="G256" t="s">
        <v>4</v>
      </c>
      <c r="H256">
        <v>1173.36698523114</v>
      </c>
      <c r="I256">
        <v>597.78679815174598</v>
      </c>
      <c r="J256">
        <v>0.97245611865044401</v>
      </c>
      <c r="K256">
        <v>3.7558461108284198E-4</v>
      </c>
      <c r="L256" t="s">
        <v>4</v>
      </c>
      <c r="M256">
        <v>9698.7773221527896</v>
      </c>
      <c r="N256">
        <v>597.78679815174598</v>
      </c>
      <c r="O256">
        <v>4.01917408916374</v>
      </c>
      <c r="P256" s="5">
        <v>2.52961801588653E-55</v>
      </c>
      <c r="Q256" t="s">
        <v>4</v>
      </c>
      <c r="R256" s="4" t="s">
        <v>87</v>
      </c>
      <c r="S256" t="s">
        <v>4</v>
      </c>
      <c r="T256" t="s">
        <v>5397</v>
      </c>
      <c r="U256" t="s">
        <v>5398</v>
      </c>
      <c r="V256" t="s">
        <v>5399</v>
      </c>
      <c r="W256" t="s">
        <v>328</v>
      </c>
      <c r="X256" t="s">
        <v>4</v>
      </c>
      <c r="Y256" t="s">
        <v>5400</v>
      </c>
      <c r="Z256" t="s">
        <v>5401</v>
      </c>
      <c r="AA256" t="s">
        <v>5402</v>
      </c>
      <c r="AB256" t="s">
        <v>4</v>
      </c>
      <c r="AC256" s="3" t="s">
        <v>5403</v>
      </c>
      <c r="AD256" t="s">
        <v>4</v>
      </c>
      <c r="AE256" t="s">
        <v>5404</v>
      </c>
      <c r="AF256" t="s">
        <v>5405</v>
      </c>
      <c r="AG256" t="s">
        <v>5406</v>
      </c>
      <c r="AH256" t="s">
        <v>112</v>
      </c>
      <c r="AJ256" t="s">
        <v>5407</v>
      </c>
      <c r="AK256" t="s">
        <v>5408</v>
      </c>
      <c r="AL256" t="s">
        <v>5409</v>
      </c>
      <c r="AM256" t="s">
        <v>302</v>
      </c>
      <c r="AO256" t="s">
        <v>5410</v>
      </c>
      <c r="AP256" t="s">
        <v>5411</v>
      </c>
      <c r="AQ256" t="s">
        <v>5412</v>
      </c>
      <c r="AU256" t="s">
        <v>112</v>
      </c>
      <c r="AV256" t="s">
        <v>5413</v>
      </c>
      <c r="AW256" t="s">
        <v>114</v>
      </c>
      <c r="AX256" t="s">
        <v>144</v>
      </c>
      <c r="AY256" t="s">
        <v>5414</v>
      </c>
      <c r="AZ256" t="s">
        <v>4</v>
      </c>
      <c r="BA256" s="3" t="s">
        <v>95</v>
      </c>
      <c r="BB256" s="6" t="s">
        <v>95</v>
      </c>
      <c r="BC256" s="3" t="s">
        <v>95</v>
      </c>
      <c r="BD256" t="s">
        <v>4</v>
      </c>
      <c r="BE256">
        <v>10026</v>
      </c>
      <c r="BF256" t="s">
        <v>169</v>
      </c>
      <c r="BG256">
        <v>50.645200000000003</v>
      </c>
      <c r="BH256">
        <v>54.516100000000002</v>
      </c>
      <c r="BJ256">
        <v>79.032300000000006</v>
      </c>
      <c r="BK256">
        <v>50</v>
      </c>
      <c r="BL256">
        <v>76.774199999999993</v>
      </c>
      <c r="BM256">
        <v>78.709699999999998</v>
      </c>
      <c r="BN256">
        <v>77.741900000000001</v>
      </c>
      <c r="BO256">
        <v>75.806399999999996</v>
      </c>
      <c r="BP256">
        <v>51.612900000000003</v>
      </c>
      <c r="BQ256">
        <v>31.6129</v>
      </c>
      <c r="BR256">
        <v>33.548400000000001</v>
      </c>
      <c r="BS256">
        <v>31.290299999999998</v>
      </c>
      <c r="BU256">
        <v>27.741900000000001</v>
      </c>
      <c r="BV256" t="s">
        <v>5415</v>
      </c>
      <c r="BW256">
        <v>35.161299999999997</v>
      </c>
      <c r="BX256">
        <v>40</v>
      </c>
      <c r="BY256">
        <v>40</v>
      </c>
      <c r="BZ256">
        <v>37.741900000000001</v>
      </c>
      <c r="CA256">
        <v>36.451599999999999</v>
      </c>
      <c r="CB256">
        <v>29.354800000000001</v>
      </c>
      <c r="CC256">
        <v>18.3871</v>
      </c>
      <c r="CD256" t="s">
        <v>5416</v>
      </c>
      <c r="CE256">
        <v>25.483899999999998</v>
      </c>
      <c r="CF256">
        <v>33.2258</v>
      </c>
      <c r="CG256">
        <v>33.2258</v>
      </c>
      <c r="CH256">
        <v>33.871000000000002</v>
      </c>
      <c r="CI256">
        <v>35.161299999999997</v>
      </c>
      <c r="CJ256" t="s">
        <v>5417</v>
      </c>
      <c r="CK256">
        <v>9</v>
      </c>
      <c r="CL256" t="s">
        <v>4</v>
      </c>
      <c r="CM256" t="s">
        <v>5418</v>
      </c>
      <c r="CN256" t="s">
        <v>5419</v>
      </c>
      <c r="CO256" t="s">
        <v>219</v>
      </c>
      <c r="CP256" t="s">
        <v>100</v>
      </c>
      <c r="CQ256">
        <v>255</v>
      </c>
      <c r="CR256" t="s">
        <v>100</v>
      </c>
      <c r="CS256" t="s">
        <v>100</v>
      </c>
      <c r="CT256" t="s">
        <v>152</v>
      </c>
      <c r="CU256" t="s">
        <v>102</v>
      </c>
      <c r="CV256" t="s">
        <v>100</v>
      </c>
    </row>
    <row r="257" spans="1:100">
      <c r="A257" s="3" t="s">
        <v>5420</v>
      </c>
      <c r="B257" s="4" t="s">
        <v>5421</v>
      </c>
      <c r="C257">
        <v>29.672634750510898</v>
      </c>
      <c r="D257">
        <v>238.83012122584</v>
      </c>
      <c r="E257">
        <f>-3.00013993835292</f>
        <v>-3.0001399383529201</v>
      </c>
      <c r="F257" s="5">
        <v>6.76584865263395E-10</v>
      </c>
      <c r="G257" t="s">
        <v>4</v>
      </c>
      <c r="H257">
        <v>29.672634750510898</v>
      </c>
      <c r="I257">
        <v>15.9694388118966</v>
      </c>
      <c r="J257">
        <v>0.84765411354412501</v>
      </c>
      <c r="K257">
        <v>0.14637270928687901</v>
      </c>
      <c r="L257" t="s">
        <v>4</v>
      </c>
      <c r="M257">
        <v>238.83012122584</v>
      </c>
      <c r="N257">
        <v>15.9694388118966</v>
      </c>
      <c r="O257">
        <v>3.8477940518970399</v>
      </c>
      <c r="P257" s="5">
        <v>8.9062972562284701E-14</v>
      </c>
      <c r="Q257" t="s">
        <v>4</v>
      </c>
      <c r="R257" s="4" t="s">
        <v>87</v>
      </c>
      <c r="S257" t="s">
        <v>4</v>
      </c>
      <c r="T257" t="s">
        <v>5422</v>
      </c>
      <c r="U257" t="s">
        <v>5423</v>
      </c>
      <c r="V257" t="s">
        <v>5424</v>
      </c>
      <c r="W257" t="s">
        <v>328</v>
      </c>
      <c r="X257" t="s">
        <v>4</v>
      </c>
      <c r="Y257" t="s">
        <v>5425</v>
      </c>
      <c r="Z257" t="s">
        <v>5426</v>
      </c>
      <c r="AA257" t="s">
        <v>5427</v>
      </c>
      <c r="AB257" t="s">
        <v>4</v>
      </c>
      <c r="AC257" s="3" t="s">
        <v>5428</v>
      </c>
      <c r="AD257" t="s">
        <v>4</v>
      </c>
      <c r="AE257" t="s">
        <v>5429</v>
      </c>
      <c r="AF257" t="s">
        <v>5430</v>
      </c>
      <c r="AG257" t="s">
        <v>5431</v>
      </c>
      <c r="AH257" t="s">
        <v>112</v>
      </c>
      <c r="AU257" t="s">
        <v>112</v>
      </c>
      <c r="AV257" t="s">
        <v>5432</v>
      </c>
      <c r="AW257" t="s">
        <v>114</v>
      </c>
      <c r="AX257" t="s">
        <v>5433</v>
      </c>
      <c r="AY257" t="s">
        <v>5434</v>
      </c>
      <c r="AZ257" t="s">
        <v>4</v>
      </c>
      <c r="BA257" s="3" t="s">
        <v>95</v>
      </c>
      <c r="BB257" t="s">
        <v>96</v>
      </c>
      <c r="BC257" s="3" t="s">
        <v>95</v>
      </c>
      <c r="BD257" t="s">
        <v>4</v>
      </c>
      <c r="BE257">
        <v>5116</v>
      </c>
      <c r="BF257" t="s">
        <v>282</v>
      </c>
      <c r="BG257">
        <v>84.987300000000005</v>
      </c>
      <c r="BH257">
        <v>100</v>
      </c>
      <c r="BI257">
        <v>83.460599999999999</v>
      </c>
      <c r="BJ257">
        <v>87.022900000000007</v>
      </c>
      <c r="BK257">
        <v>78.880399999999995</v>
      </c>
      <c r="BL257">
        <v>41.4758</v>
      </c>
      <c r="BM257">
        <v>79.134900000000002</v>
      </c>
      <c r="BN257">
        <v>78.626000000000005</v>
      </c>
      <c r="BO257">
        <v>77.8626</v>
      </c>
      <c r="BP257">
        <v>38.422400000000003</v>
      </c>
      <c r="BR257" t="s">
        <v>5435</v>
      </c>
      <c r="BT257">
        <v>42.239199999999997</v>
      </c>
      <c r="BV257" t="s">
        <v>5436</v>
      </c>
      <c r="BW257">
        <v>44.274799999999999</v>
      </c>
      <c r="BX257">
        <v>41.984699999999997</v>
      </c>
      <c r="CA257" t="s">
        <v>5437</v>
      </c>
      <c r="CB257" t="s">
        <v>5438</v>
      </c>
      <c r="CC257">
        <v>16.285</v>
      </c>
      <c r="CD257" t="s">
        <v>5439</v>
      </c>
      <c r="CF257" t="s">
        <v>5440</v>
      </c>
      <c r="CG257" t="s">
        <v>5441</v>
      </c>
      <c r="CH257" t="s">
        <v>5442</v>
      </c>
      <c r="CI257" t="s">
        <v>5443</v>
      </c>
      <c r="CJ257" t="s">
        <v>5444</v>
      </c>
      <c r="CK257">
        <v>6</v>
      </c>
      <c r="CL257" t="s">
        <v>4</v>
      </c>
      <c r="CM257" t="s">
        <v>5445</v>
      </c>
      <c r="CN257" t="s">
        <v>5446</v>
      </c>
      <c r="CO257" t="s">
        <v>99</v>
      </c>
      <c r="CP257" t="s">
        <v>100</v>
      </c>
      <c r="CQ257">
        <v>256</v>
      </c>
      <c r="CR257" t="s">
        <v>100</v>
      </c>
      <c r="CS257" t="s">
        <v>100</v>
      </c>
      <c r="CT257" t="s">
        <v>152</v>
      </c>
      <c r="CU257" t="s">
        <v>102</v>
      </c>
      <c r="CV257" t="s">
        <v>100</v>
      </c>
    </row>
    <row r="258" spans="1:100">
      <c r="A258" s="3" t="s">
        <v>5447</v>
      </c>
      <c r="B258" s="4" t="s">
        <v>5448</v>
      </c>
      <c r="C258">
        <v>80.107380771535404</v>
      </c>
      <c r="D258">
        <v>369.96028208563501</v>
      </c>
      <c r="E258">
        <f>-2.20659432258462</f>
        <v>-2.2065943225846198</v>
      </c>
      <c r="F258">
        <v>1.1101132907776301E-3</v>
      </c>
      <c r="G258" t="s">
        <v>4</v>
      </c>
      <c r="H258">
        <v>80.107380771535404</v>
      </c>
      <c r="I258">
        <v>22.567009458616901</v>
      </c>
      <c r="J258">
        <v>1.8475999592336501</v>
      </c>
      <c r="K258">
        <v>8.6563642459806592E-3</v>
      </c>
      <c r="L258" t="s">
        <v>4</v>
      </c>
      <c r="M258">
        <v>369.96028208563501</v>
      </c>
      <c r="N258">
        <v>22.567009458616901</v>
      </c>
      <c r="O258">
        <v>4.0541942818182699</v>
      </c>
      <c r="P258" s="5">
        <v>9.793106238443199E-10</v>
      </c>
      <c r="Q258" t="s">
        <v>4</v>
      </c>
      <c r="R258" s="4" t="s">
        <v>87</v>
      </c>
      <c r="S258" t="s">
        <v>4</v>
      </c>
      <c r="T258" t="s">
        <v>5449</v>
      </c>
      <c r="U258" t="s">
        <v>5450</v>
      </c>
      <c r="V258" t="s">
        <v>5451</v>
      </c>
      <c r="W258" t="s">
        <v>328</v>
      </c>
      <c r="X258" t="s">
        <v>4</v>
      </c>
      <c r="Y258" t="s">
        <v>5452</v>
      </c>
      <c r="Z258" t="s">
        <v>5453</v>
      </c>
      <c r="AA258" t="s">
        <v>5454</v>
      </c>
      <c r="AB258" t="s">
        <v>4</v>
      </c>
      <c r="AC258" s="3" t="s">
        <v>5455</v>
      </c>
      <c r="AD258" t="s">
        <v>4</v>
      </c>
      <c r="AE258" t="s">
        <v>5456</v>
      </c>
      <c r="AF258" t="s">
        <v>5457</v>
      </c>
      <c r="AG258" t="s">
        <v>5458</v>
      </c>
      <c r="AH258" t="s">
        <v>112</v>
      </c>
      <c r="AJ258" t="s">
        <v>5459</v>
      </c>
      <c r="AL258" t="s">
        <v>5460</v>
      </c>
      <c r="AM258" t="s">
        <v>5461</v>
      </c>
      <c r="AQ258" t="s">
        <v>3133</v>
      </c>
      <c r="AR258" t="s">
        <v>5462</v>
      </c>
      <c r="AU258" t="s">
        <v>112</v>
      </c>
      <c r="AV258" t="s">
        <v>5463</v>
      </c>
      <c r="AW258" t="s">
        <v>114</v>
      </c>
      <c r="AX258" t="s">
        <v>909</v>
      </c>
      <c r="AY258" t="s">
        <v>5464</v>
      </c>
      <c r="AZ258" t="s">
        <v>4</v>
      </c>
      <c r="BA258" s="3" t="s">
        <v>115</v>
      </c>
      <c r="BB258" t="s">
        <v>96</v>
      </c>
      <c r="BC258" s="3" t="s">
        <v>95</v>
      </c>
      <c r="BD258" t="s">
        <v>4</v>
      </c>
      <c r="BE258">
        <v>7683</v>
      </c>
      <c r="BF258" t="s">
        <v>213</v>
      </c>
      <c r="BG258">
        <v>98.033299999999997</v>
      </c>
      <c r="BH258">
        <v>59.152799999999999</v>
      </c>
      <c r="BI258">
        <v>87.745800000000003</v>
      </c>
      <c r="BJ258">
        <v>76.096800000000002</v>
      </c>
      <c r="BK258">
        <v>80.938000000000002</v>
      </c>
      <c r="BL258" t="s">
        <v>5465</v>
      </c>
      <c r="BM258" t="s">
        <v>5466</v>
      </c>
      <c r="BN258">
        <v>73.373699999999999</v>
      </c>
      <c r="BO258" t="s">
        <v>5467</v>
      </c>
      <c r="BP258">
        <v>59.757899999999999</v>
      </c>
      <c r="BQ258">
        <v>61.119500000000002</v>
      </c>
      <c r="BR258" t="s">
        <v>5468</v>
      </c>
      <c r="BS258" t="s">
        <v>5469</v>
      </c>
      <c r="BT258" t="s">
        <v>5470</v>
      </c>
      <c r="BU258" t="s">
        <v>5471</v>
      </c>
      <c r="BV258" t="s">
        <v>5472</v>
      </c>
      <c r="BW258">
        <v>48.260199999999998</v>
      </c>
      <c r="BX258">
        <v>60.816899999999997</v>
      </c>
      <c r="BY258">
        <v>26.323799999999999</v>
      </c>
      <c r="BZ258">
        <v>55.8245</v>
      </c>
      <c r="CA258">
        <v>55.673200000000001</v>
      </c>
      <c r="CB258">
        <v>48.108899999999998</v>
      </c>
      <c r="CD258">
        <v>42.965200000000003</v>
      </c>
      <c r="CE258">
        <v>22.9955</v>
      </c>
      <c r="CF258">
        <v>42.057499999999997</v>
      </c>
      <c r="CG258" t="s">
        <v>5473</v>
      </c>
      <c r="CH258" t="s">
        <v>5474</v>
      </c>
      <c r="CI258" t="s">
        <v>5475</v>
      </c>
      <c r="CK258">
        <v>8</v>
      </c>
      <c r="CL258" t="s">
        <v>4</v>
      </c>
      <c r="CM258" t="s">
        <v>5476</v>
      </c>
      <c r="CN258" t="s">
        <v>5477</v>
      </c>
      <c r="CO258" t="s">
        <v>99</v>
      </c>
      <c r="CP258" t="s">
        <v>100</v>
      </c>
      <c r="CQ258">
        <v>257</v>
      </c>
      <c r="CR258" t="s">
        <v>100</v>
      </c>
      <c r="CS258" s="7" t="s">
        <v>101</v>
      </c>
      <c r="CT258" t="s">
        <v>152</v>
      </c>
      <c r="CU258" t="s">
        <v>102</v>
      </c>
      <c r="CV258" t="s">
        <v>100</v>
      </c>
    </row>
    <row r="259" spans="1:100">
      <c r="A259" s="3" t="s">
        <v>5478</v>
      </c>
      <c r="B259" s="4" t="s">
        <v>5479</v>
      </c>
      <c r="C259">
        <v>21.012212263428001</v>
      </c>
      <c r="D259">
        <v>121.73730840329399</v>
      </c>
      <c r="E259">
        <f>-2.52866540149228</f>
        <v>-2.52866540149228</v>
      </c>
      <c r="F259" s="5">
        <v>8.4458453953181696E-5</v>
      </c>
      <c r="G259" t="s">
        <v>4</v>
      </c>
      <c r="H259">
        <v>21.012212263428001</v>
      </c>
      <c r="I259">
        <v>18.886537999725299</v>
      </c>
      <c r="J259">
        <v>0.185733512303183</v>
      </c>
      <c r="K259">
        <v>0.81066163577589601</v>
      </c>
      <c r="L259" t="s">
        <v>4</v>
      </c>
      <c r="M259">
        <v>121.73730840329399</v>
      </c>
      <c r="N259">
        <v>18.886537999725299</v>
      </c>
      <c r="O259">
        <v>2.7143989137954598</v>
      </c>
      <c r="P259" s="5">
        <v>2.4316585068232599E-5</v>
      </c>
      <c r="Q259" t="s">
        <v>4</v>
      </c>
      <c r="R259" s="4" t="s">
        <v>95</v>
      </c>
      <c r="S259" t="s">
        <v>4</v>
      </c>
      <c r="X259" t="s">
        <v>4</v>
      </c>
      <c r="AB259" t="s">
        <v>4</v>
      </c>
      <c r="AC259" s="3" t="s">
        <v>5480</v>
      </c>
      <c r="AD259" t="s">
        <v>4</v>
      </c>
      <c r="AE259" t="s">
        <v>5481</v>
      </c>
      <c r="AF259" t="s">
        <v>5482</v>
      </c>
      <c r="AG259" t="s">
        <v>5483</v>
      </c>
      <c r="AH259" t="s">
        <v>112</v>
      </c>
      <c r="AL259" t="s">
        <v>5484</v>
      </c>
      <c r="AQ259" t="s">
        <v>1003</v>
      </c>
      <c r="AU259" t="s">
        <v>112</v>
      </c>
      <c r="AV259" t="s">
        <v>5485</v>
      </c>
      <c r="AW259" t="s">
        <v>114</v>
      </c>
      <c r="AX259" t="s">
        <v>371</v>
      </c>
      <c r="AY259" t="s">
        <v>573</v>
      </c>
      <c r="AZ259" t="s">
        <v>4</v>
      </c>
      <c r="BA259" s="3" t="s">
        <v>812</v>
      </c>
      <c r="BB259" s="3" t="s">
        <v>812</v>
      </c>
      <c r="BC259" s="3" t="s">
        <v>812</v>
      </c>
      <c r="BD259" t="s">
        <v>4</v>
      </c>
      <c r="BE259" s="3" t="s">
        <v>812</v>
      </c>
      <c r="BF259" s="3" t="s">
        <v>812</v>
      </c>
      <c r="BG259" s="3" t="s">
        <v>812</v>
      </c>
      <c r="BH259" s="3" t="s">
        <v>812</v>
      </c>
      <c r="BI259" s="3" t="s">
        <v>812</v>
      </c>
      <c r="BJ259" s="3" t="s">
        <v>812</v>
      </c>
      <c r="BK259" s="3" t="s">
        <v>812</v>
      </c>
      <c r="BL259" s="3" t="s">
        <v>812</v>
      </c>
      <c r="BM259" s="3" t="s">
        <v>812</v>
      </c>
      <c r="BN259" s="3" t="s">
        <v>812</v>
      </c>
      <c r="BO259" s="3" t="s">
        <v>812</v>
      </c>
      <c r="BP259" s="3" t="s">
        <v>812</v>
      </c>
      <c r="BQ259" s="3" t="s">
        <v>812</v>
      </c>
      <c r="BR259" s="3" t="s">
        <v>812</v>
      </c>
      <c r="BS259" s="3" t="s">
        <v>812</v>
      </c>
      <c r="BT259" s="3" t="s">
        <v>812</v>
      </c>
      <c r="BU259" s="3" t="s">
        <v>812</v>
      </c>
      <c r="BV259" s="3" t="s">
        <v>812</v>
      </c>
      <c r="BW259" s="3" t="s">
        <v>812</v>
      </c>
      <c r="BX259" s="3" t="s">
        <v>812</v>
      </c>
      <c r="BY259" s="3" t="s">
        <v>812</v>
      </c>
      <c r="BZ259" s="3" t="s">
        <v>812</v>
      </c>
      <c r="CA259" s="3" t="s">
        <v>812</v>
      </c>
      <c r="CB259" s="3" t="s">
        <v>812</v>
      </c>
      <c r="CC259" s="3" t="s">
        <v>812</v>
      </c>
      <c r="CD259" s="3" t="s">
        <v>812</v>
      </c>
      <c r="CE259" s="3" t="s">
        <v>812</v>
      </c>
      <c r="CF259" s="3" t="s">
        <v>812</v>
      </c>
      <c r="CG259" s="3" t="s">
        <v>812</v>
      </c>
      <c r="CH259" s="3" t="s">
        <v>812</v>
      </c>
      <c r="CI259" s="3" t="s">
        <v>812</v>
      </c>
      <c r="CJ259" s="3" t="s">
        <v>812</v>
      </c>
      <c r="CK259" s="3" t="s">
        <v>812</v>
      </c>
      <c r="CL259" t="s">
        <v>4</v>
      </c>
      <c r="CM259" t="s">
        <v>5486</v>
      </c>
      <c r="CP259" t="s">
        <v>100</v>
      </c>
      <c r="CQ259">
        <v>258</v>
      </c>
      <c r="CR259" t="s">
        <v>100</v>
      </c>
      <c r="CS259" t="s">
        <v>100</v>
      </c>
      <c r="CT259" t="s">
        <v>152</v>
      </c>
      <c r="CU259" t="s">
        <v>102</v>
      </c>
      <c r="CV259" t="s">
        <v>100</v>
      </c>
    </row>
    <row r="260" spans="1:100">
      <c r="A260" s="3" t="s">
        <v>5487</v>
      </c>
      <c r="B260" s="4" t="s">
        <v>5488</v>
      </c>
      <c r="C260">
        <v>54.492891605433897</v>
      </c>
      <c r="D260">
        <v>413.64258909312701</v>
      </c>
      <c r="E260">
        <f>-2.9238778645267</f>
        <v>-2.9238778645267001</v>
      </c>
      <c r="F260" s="5">
        <v>8.2738691113469905E-9</v>
      </c>
      <c r="G260" t="s">
        <v>4</v>
      </c>
      <c r="H260">
        <v>54.492891605433897</v>
      </c>
      <c r="I260">
        <v>56.270250011205199</v>
      </c>
      <c r="J260">
        <f>0.053547393055622</f>
        <v>5.3547393055621999E-2</v>
      </c>
      <c r="K260">
        <v>0.92974965543955301</v>
      </c>
      <c r="L260" t="s">
        <v>4</v>
      </c>
      <c r="M260">
        <v>413.64258909312701</v>
      </c>
      <c r="N260">
        <v>56.270250011205199</v>
      </c>
      <c r="O260">
        <v>2.8703304714710698</v>
      </c>
      <c r="P260" s="5">
        <v>1.1559621139559E-8</v>
      </c>
      <c r="Q260" t="s">
        <v>4</v>
      </c>
      <c r="R260" s="4" t="s">
        <v>87</v>
      </c>
      <c r="S260" t="s">
        <v>4</v>
      </c>
      <c r="T260" t="s">
        <v>5489</v>
      </c>
      <c r="U260" t="s">
        <v>5490</v>
      </c>
      <c r="V260" t="s">
        <v>5491</v>
      </c>
      <c r="W260" t="s">
        <v>203</v>
      </c>
      <c r="X260" t="s">
        <v>4</v>
      </c>
      <c r="Y260" t="s">
        <v>5492</v>
      </c>
      <c r="Z260" t="s">
        <v>5493</v>
      </c>
      <c r="AA260" t="s">
        <v>5494</v>
      </c>
      <c r="AB260" t="s">
        <v>4</v>
      </c>
      <c r="AC260" s="3" t="s">
        <v>5495</v>
      </c>
      <c r="AD260" t="s">
        <v>4</v>
      </c>
      <c r="AE260" t="s">
        <v>5496</v>
      </c>
      <c r="AF260" t="s">
        <v>5497</v>
      </c>
      <c r="AG260" t="s">
        <v>5498</v>
      </c>
      <c r="AH260" t="s">
        <v>638</v>
      </c>
      <c r="AU260" t="s">
        <v>112</v>
      </c>
      <c r="AV260" t="s">
        <v>5499</v>
      </c>
      <c r="AW260" t="s">
        <v>114</v>
      </c>
      <c r="AX260" t="s">
        <v>536</v>
      </c>
      <c r="AY260" t="s">
        <v>5500</v>
      </c>
      <c r="AZ260" t="s">
        <v>4</v>
      </c>
      <c r="BA260" s="3" t="s">
        <v>95</v>
      </c>
      <c r="BB260" s="6" t="s">
        <v>95</v>
      </c>
      <c r="BC260" s="3" t="s">
        <v>197</v>
      </c>
      <c r="BD260" t="s">
        <v>4</v>
      </c>
      <c r="BE260">
        <v>4120</v>
      </c>
      <c r="BF260" t="s">
        <v>112</v>
      </c>
      <c r="BG260">
        <v>89.411799999999999</v>
      </c>
      <c r="BI260">
        <v>80.882400000000004</v>
      </c>
      <c r="BK260">
        <v>52.058799999999998</v>
      </c>
      <c r="BL260">
        <v>52.941200000000002</v>
      </c>
      <c r="BM260">
        <v>55.2941</v>
      </c>
      <c r="BN260">
        <v>54.411799999999999</v>
      </c>
      <c r="BO260">
        <v>53.823500000000003</v>
      </c>
      <c r="BP260">
        <v>26.176500000000001</v>
      </c>
      <c r="BQ260">
        <v>29.7059</v>
      </c>
      <c r="BR260">
        <v>31.176500000000001</v>
      </c>
      <c r="BS260">
        <v>3.5294099999999999</v>
      </c>
      <c r="BT260">
        <v>26.470600000000001</v>
      </c>
      <c r="BW260">
        <v>26.470600000000001</v>
      </c>
      <c r="BX260">
        <v>28.823499999999999</v>
      </c>
      <c r="BZ260">
        <v>29.7059</v>
      </c>
      <c r="CA260">
        <v>31.470600000000001</v>
      </c>
      <c r="CK260">
        <v>5</v>
      </c>
      <c r="CL260" t="s">
        <v>4</v>
      </c>
      <c r="CM260" t="s">
        <v>5501</v>
      </c>
      <c r="CN260" t="s">
        <v>5502</v>
      </c>
      <c r="CO260" t="s">
        <v>99</v>
      </c>
      <c r="CP260" t="s">
        <v>100</v>
      </c>
      <c r="CQ260">
        <v>259</v>
      </c>
      <c r="CR260" t="s">
        <v>100</v>
      </c>
      <c r="CS260" t="s">
        <v>100</v>
      </c>
      <c r="CT260" t="s">
        <v>152</v>
      </c>
      <c r="CU260" t="s">
        <v>102</v>
      </c>
      <c r="CV260" t="s">
        <v>100</v>
      </c>
    </row>
    <row r="261" spans="1:100">
      <c r="A261" s="3" t="s">
        <v>5503</v>
      </c>
      <c r="B261" s="4" t="s">
        <v>5504</v>
      </c>
      <c r="C261">
        <v>120.849852925089</v>
      </c>
      <c r="D261">
        <v>563.41117666578498</v>
      </c>
      <c r="E261">
        <f>-2.22071423997041</f>
        <v>-2.2207142399704098</v>
      </c>
      <c r="F261" s="5">
        <v>4.1287130649712098E-7</v>
      </c>
      <c r="G261" t="s">
        <v>4</v>
      </c>
      <c r="H261">
        <v>120.849852925089</v>
      </c>
      <c r="I261">
        <v>90.157101970962202</v>
      </c>
      <c r="J261">
        <v>0.42001218726322997</v>
      </c>
      <c r="K261">
        <v>0.38996118902215399</v>
      </c>
      <c r="L261" t="s">
        <v>4</v>
      </c>
      <c r="M261">
        <v>563.41117666578498</v>
      </c>
      <c r="N261">
        <v>90.157101970962202</v>
      </c>
      <c r="O261">
        <v>2.6407264272336399</v>
      </c>
      <c r="P261" s="5">
        <v>8.9164651216814004E-10</v>
      </c>
      <c r="Q261" t="s">
        <v>4</v>
      </c>
      <c r="R261" s="4" t="s">
        <v>87</v>
      </c>
      <c r="S261" t="s">
        <v>4</v>
      </c>
      <c r="T261" t="s">
        <v>5505</v>
      </c>
      <c r="U261" t="s">
        <v>5506</v>
      </c>
      <c r="V261" t="s">
        <v>5507</v>
      </c>
      <c r="W261" t="s">
        <v>328</v>
      </c>
      <c r="X261" t="s">
        <v>4</v>
      </c>
      <c r="Y261" t="s">
        <v>5508</v>
      </c>
      <c r="Z261" t="s">
        <v>5509</v>
      </c>
      <c r="AA261" t="s">
        <v>5510</v>
      </c>
      <c r="AB261" t="s">
        <v>4</v>
      </c>
      <c r="AC261" s="3" t="s">
        <v>5511</v>
      </c>
      <c r="AD261" t="s">
        <v>4</v>
      </c>
      <c r="AE261" t="s">
        <v>5512</v>
      </c>
      <c r="AF261" t="s">
        <v>5513</v>
      </c>
      <c r="AG261" t="s">
        <v>5514</v>
      </c>
      <c r="AH261" t="s">
        <v>112</v>
      </c>
      <c r="AJ261" t="s">
        <v>5515</v>
      </c>
      <c r="AL261" t="s">
        <v>5516</v>
      </c>
      <c r="AM261" t="s">
        <v>5517</v>
      </c>
      <c r="AQ261" t="s">
        <v>3868</v>
      </c>
      <c r="AR261" t="s">
        <v>5518</v>
      </c>
      <c r="AU261" t="s">
        <v>112</v>
      </c>
      <c r="AV261" t="s">
        <v>5519</v>
      </c>
      <c r="AW261" t="s">
        <v>114</v>
      </c>
      <c r="AX261" t="s">
        <v>596</v>
      </c>
      <c r="AY261" t="s">
        <v>5520</v>
      </c>
      <c r="AZ261" t="s">
        <v>4</v>
      </c>
      <c r="BA261" s="3" t="s">
        <v>95</v>
      </c>
      <c r="BB261" t="s">
        <v>96</v>
      </c>
      <c r="BC261" s="3" t="s">
        <v>95</v>
      </c>
      <c r="BD261" t="s">
        <v>4</v>
      </c>
      <c r="BE261">
        <v>5646</v>
      </c>
      <c r="BF261" t="s">
        <v>386</v>
      </c>
      <c r="BG261">
        <v>99.431799999999996</v>
      </c>
      <c r="BI261">
        <v>96.590900000000005</v>
      </c>
      <c r="BJ261">
        <v>88.257599999999996</v>
      </c>
      <c r="BK261">
        <v>87.5</v>
      </c>
      <c r="BL261">
        <v>87.310599999999994</v>
      </c>
      <c r="BM261">
        <v>87.878799999999998</v>
      </c>
      <c r="BN261">
        <v>87.121200000000002</v>
      </c>
      <c r="BO261">
        <v>83.712100000000007</v>
      </c>
      <c r="BP261">
        <v>77.462100000000007</v>
      </c>
      <c r="BQ261">
        <v>67.234800000000007</v>
      </c>
      <c r="BR261">
        <v>70.833299999999994</v>
      </c>
      <c r="BS261">
        <v>68.560599999999994</v>
      </c>
      <c r="BT261">
        <v>68.371200000000002</v>
      </c>
      <c r="BU261">
        <v>66.098500000000001</v>
      </c>
      <c r="BV261">
        <v>65.719700000000003</v>
      </c>
      <c r="BX261">
        <v>67.613600000000005</v>
      </c>
      <c r="BY261">
        <v>67.045500000000004</v>
      </c>
      <c r="BZ261">
        <v>67.424199999999999</v>
      </c>
      <c r="CA261">
        <v>64.583299999999994</v>
      </c>
      <c r="CB261">
        <v>56.25</v>
      </c>
      <c r="CC261">
        <v>58.5227</v>
      </c>
      <c r="CD261">
        <v>56.439399999999999</v>
      </c>
      <c r="CE261">
        <v>47.7273</v>
      </c>
      <c r="CF261">
        <v>53.409100000000002</v>
      </c>
      <c r="CG261">
        <v>44.886400000000002</v>
      </c>
      <c r="CH261">
        <v>45.2652</v>
      </c>
      <c r="CI261">
        <v>43.371200000000002</v>
      </c>
      <c r="CJ261" t="s">
        <v>5521</v>
      </c>
      <c r="CK261">
        <v>7</v>
      </c>
      <c r="CL261" t="s">
        <v>4</v>
      </c>
      <c r="CM261" t="s">
        <v>5522</v>
      </c>
      <c r="CN261" t="s">
        <v>5523</v>
      </c>
      <c r="CO261" t="s">
        <v>99</v>
      </c>
      <c r="CP261" t="s">
        <v>100</v>
      </c>
      <c r="CQ261">
        <v>260</v>
      </c>
      <c r="CR261" t="s">
        <v>100</v>
      </c>
      <c r="CS261" t="s">
        <v>100</v>
      </c>
      <c r="CT261" t="s">
        <v>152</v>
      </c>
      <c r="CU261" t="s">
        <v>102</v>
      </c>
      <c r="CV261" t="s">
        <v>100</v>
      </c>
    </row>
    <row r="262" spans="1:100">
      <c r="A262" s="3" t="s">
        <v>5524</v>
      </c>
      <c r="B262" s="4" t="s">
        <v>5525</v>
      </c>
      <c r="C262">
        <v>390.98556236380801</v>
      </c>
      <c r="D262">
        <v>1615.7496305832001</v>
      </c>
      <c r="E262">
        <f>-2.04617371450632</f>
        <v>-2.0461737145063199</v>
      </c>
      <c r="F262" s="5">
        <v>5.4250717759777996E-13</v>
      </c>
      <c r="G262" t="s">
        <v>4</v>
      </c>
      <c r="H262">
        <v>390.98556236380801</v>
      </c>
      <c r="I262">
        <v>82.6174768929896</v>
      </c>
      <c r="J262">
        <v>2.2212558682840999</v>
      </c>
      <c r="K262" s="5">
        <v>1.28999642644777E-13</v>
      </c>
      <c r="L262" t="s">
        <v>4</v>
      </c>
      <c r="M262">
        <v>1615.7496305832001</v>
      </c>
      <c r="N262">
        <v>82.6174768929896</v>
      </c>
      <c r="O262">
        <v>4.2674295827904203</v>
      </c>
      <c r="P262" s="5">
        <v>2.3243943158721502E-48</v>
      </c>
      <c r="Q262" t="s">
        <v>4</v>
      </c>
      <c r="R262" s="4" t="s">
        <v>87</v>
      </c>
      <c r="S262" t="s">
        <v>4</v>
      </c>
      <c r="T262" t="s">
        <v>1332</v>
      </c>
      <c r="U262" t="s">
        <v>1333</v>
      </c>
      <c r="V262" t="s">
        <v>1334</v>
      </c>
      <c r="W262" t="s">
        <v>328</v>
      </c>
      <c r="X262" t="s">
        <v>4</v>
      </c>
      <c r="Y262" t="s">
        <v>1658</v>
      </c>
      <c r="Z262" t="s">
        <v>1659</v>
      </c>
      <c r="AA262" t="s">
        <v>1660</v>
      </c>
      <c r="AB262" t="s">
        <v>4</v>
      </c>
      <c r="AC262" s="3" t="s">
        <v>5526</v>
      </c>
      <c r="AD262" t="s">
        <v>4</v>
      </c>
      <c r="AE262" t="s">
        <v>5527</v>
      </c>
      <c r="AF262" t="s">
        <v>834</v>
      </c>
      <c r="AG262" t="s">
        <v>5528</v>
      </c>
      <c r="AH262" t="s">
        <v>638</v>
      </c>
      <c r="AJ262" t="s">
        <v>5529</v>
      </c>
      <c r="AL262" t="s">
        <v>5530</v>
      </c>
      <c r="AM262" t="s">
        <v>5531</v>
      </c>
      <c r="AQ262" t="s">
        <v>1343</v>
      </c>
      <c r="AU262" t="s">
        <v>112</v>
      </c>
      <c r="AV262" t="s">
        <v>5532</v>
      </c>
      <c r="AW262" t="s">
        <v>114</v>
      </c>
      <c r="AX262" t="s">
        <v>1345</v>
      </c>
      <c r="AY262" t="s">
        <v>5533</v>
      </c>
      <c r="AZ262" t="s">
        <v>4</v>
      </c>
      <c r="BA262" s="3" t="s">
        <v>95</v>
      </c>
      <c r="BB262" t="s">
        <v>96</v>
      </c>
      <c r="BC262" s="3" t="s">
        <v>197</v>
      </c>
      <c r="BD262" t="s">
        <v>4</v>
      </c>
      <c r="BE262">
        <v>7694</v>
      </c>
      <c r="BF262" t="s">
        <v>213</v>
      </c>
      <c r="BG262">
        <v>91.537700000000001</v>
      </c>
      <c r="BH262">
        <v>74.922600000000003</v>
      </c>
      <c r="BI262" t="s">
        <v>5534</v>
      </c>
      <c r="BJ262" t="s">
        <v>5535</v>
      </c>
      <c r="BK262">
        <v>74.716200000000001</v>
      </c>
      <c r="BL262">
        <v>79.669799999999995</v>
      </c>
      <c r="BM262">
        <v>79.463399999999993</v>
      </c>
      <c r="BN262">
        <v>81.424099999999996</v>
      </c>
      <c r="BO262">
        <v>79.463399999999993</v>
      </c>
      <c r="BP262" t="s">
        <v>5536</v>
      </c>
      <c r="BQ262">
        <v>59.133099999999999</v>
      </c>
      <c r="BR262">
        <v>56.4499</v>
      </c>
      <c r="BS262">
        <v>62.0227</v>
      </c>
      <c r="BT262">
        <v>55.211599999999997</v>
      </c>
      <c r="BU262">
        <v>53.766800000000003</v>
      </c>
      <c r="BV262" t="s">
        <v>5537</v>
      </c>
      <c r="BW262">
        <v>50.051600000000001</v>
      </c>
      <c r="BY262" t="s">
        <v>5538</v>
      </c>
      <c r="BZ262">
        <v>24.251799999999999</v>
      </c>
      <c r="CA262">
        <v>62.332299999999996</v>
      </c>
      <c r="CB262">
        <v>20.123799999999999</v>
      </c>
      <c r="CC262">
        <v>15.0671</v>
      </c>
      <c r="CK262">
        <v>8</v>
      </c>
      <c r="CL262" t="s">
        <v>4</v>
      </c>
      <c r="CM262" t="s">
        <v>5539</v>
      </c>
      <c r="CN262" t="s">
        <v>5540</v>
      </c>
      <c r="CO262" t="s">
        <v>99</v>
      </c>
      <c r="CP262" t="s">
        <v>100</v>
      </c>
      <c r="CQ262">
        <v>261</v>
      </c>
      <c r="CR262" t="s">
        <v>100</v>
      </c>
      <c r="CS262" t="s">
        <v>101</v>
      </c>
      <c r="CT262" t="s">
        <v>152</v>
      </c>
      <c r="CU262" t="s">
        <v>102</v>
      </c>
      <c r="CV262" t="s">
        <v>100</v>
      </c>
    </row>
    <row r="263" spans="1:100">
      <c r="A263" s="3" t="s">
        <v>5541</v>
      </c>
      <c r="B263" s="4" t="s">
        <v>5542</v>
      </c>
      <c r="C263">
        <v>531.30304709606196</v>
      </c>
      <c r="D263">
        <v>9547.0393618605995</v>
      </c>
      <c r="E263">
        <f>-4.1669640509195</f>
        <v>-4.1669640509194998</v>
      </c>
      <c r="F263" s="5">
        <v>3.8777346809607998E-30</v>
      </c>
      <c r="G263" t="s">
        <v>4</v>
      </c>
      <c r="H263">
        <v>531.30304709606196</v>
      </c>
      <c r="I263">
        <v>877.01978573023405</v>
      </c>
      <c r="J263">
        <f>0.721342076778259</f>
        <v>0.72134207677825901</v>
      </c>
      <c r="K263">
        <v>6.8598606481169805E-2</v>
      </c>
      <c r="L263" t="s">
        <v>4</v>
      </c>
      <c r="M263">
        <v>9547.0393618605995</v>
      </c>
      <c r="N263">
        <v>877.01978573023405</v>
      </c>
      <c r="O263">
        <v>3.4456219741412402</v>
      </c>
      <c r="P263" s="5">
        <v>1.4742135154611201E-21</v>
      </c>
      <c r="Q263" t="s">
        <v>4</v>
      </c>
      <c r="R263" s="4" t="s">
        <v>87</v>
      </c>
      <c r="S263" t="s">
        <v>4</v>
      </c>
      <c r="T263" t="s">
        <v>684</v>
      </c>
      <c r="U263" t="s">
        <v>685</v>
      </c>
      <c r="V263" t="s">
        <v>686</v>
      </c>
      <c r="W263" t="s">
        <v>123</v>
      </c>
      <c r="X263" t="s">
        <v>4</v>
      </c>
      <c r="Y263" t="s">
        <v>3163</v>
      </c>
      <c r="Z263" t="s">
        <v>3164</v>
      </c>
      <c r="AA263" t="s">
        <v>3165</v>
      </c>
      <c r="AB263" t="s">
        <v>4</v>
      </c>
      <c r="AC263" s="3" t="s">
        <v>3166</v>
      </c>
      <c r="AD263" t="s">
        <v>4</v>
      </c>
      <c r="AE263" t="s">
        <v>5543</v>
      </c>
      <c r="AF263" t="s">
        <v>5544</v>
      </c>
      <c r="AG263" t="s">
        <v>5545</v>
      </c>
      <c r="AH263" t="s">
        <v>112</v>
      </c>
      <c r="AJ263" t="s">
        <v>5546</v>
      </c>
      <c r="AU263" t="s">
        <v>112</v>
      </c>
      <c r="AV263" t="s">
        <v>5547</v>
      </c>
      <c r="AW263" t="s">
        <v>114</v>
      </c>
      <c r="AX263" t="s">
        <v>144</v>
      </c>
      <c r="AY263" t="s">
        <v>5548</v>
      </c>
      <c r="AZ263" t="s">
        <v>4</v>
      </c>
      <c r="BA263" s="3" t="s">
        <v>95</v>
      </c>
      <c r="BB263" s="6" t="s">
        <v>95</v>
      </c>
      <c r="BC263" s="3" t="s">
        <v>95</v>
      </c>
      <c r="BD263" t="s">
        <v>4</v>
      </c>
      <c r="BE263">
        <v>4128</v>
      </c>
      <c r="BF263" t="s">
        <v>112</v>
      </c>
      <c r="BG263">
        <v>89.260099999999994</v>
      </c>
      <c r="BI263">
        <v>89.021500000000003</v>
      </c>
      <c r="BJ263">
        <v>66.587100000000007</v>
      </c>
      <c r="BK263">
        <v>59.665900000000001</v>
      </c>
      <c r="BL263">
        <v>43.675400000000003</v>
      </c>
      <c r="BM263">
        <v>66.109800000000007</v>
      </c>
      <c r="BN263">
        <v>66.109800000000007</v>
      </c>
      <c r="BO263">
        <v>66.587100000000007</v>
      </c>
      <c r="BP263">
        <v>30.5489</v>
      </c>
      <c r="BQ263">
        <v>20.2864</v>
      </c>
      <c r="BR263">
        <v>20.525099999999998</v>
      </c>
      <c r="BS263">
        <v>20.525099999999998</v>
      </c>
      <c r="BT263">
        <v>17.899799999999999</v>
      </c>
      <c r="BU263" t="s">
        <v>5549</v>
      </c>
      <c r="BV263" t="s">
        <v>5550</v>
      </c>
      <c r="BW263">
        <v>24.105</v>
      </c>
      <c r="BX263">
        <v>25.059699999999999</v>
      </c>
      <c r="BZ263">
        <v>24.821000000000002</v>
      </c>
      <c r="CA263" t="s">
        <v>5551</v>
      </c>
      <c r="CG263" t="s">
        <v>5552</v>
      </c>
      <c r="CH263" t="s">
        <v>5553</v>
      </c>
      <c r="CI263">
        <v>11.933199999999999</v>
      </c>
      <c r="CK263">
        <v>5</v>
      </c>
      <c r="CL263" t="s">
        <v>4</v>
      </c>
      <c r="CM263" t="s">
        <v>5554</v>
      </c>
      <c r="CN263" t="s">
        <v>5555</v>
      </c>
      <c r="CO263" t="s">
        <v>5556</v>
      </c>
      <c r="CP263" t="s">
        <v>100</v>
      </c>
      <c r="CQ263">
        <v>262</v>
      </c>
      <c r="CR263" t="s">
        <v>100</v>
      </c>
      <c r="CS263" t="s">
        <v>100</v>
      </c>
      <c r="CT263" t="s">
        <v>152</v>
      </c>
      <c r="CU263" t="s">
        <v>102</v>
      </c>
      <c r="CV263" t="s">
        <v>100</v>
      </c>
    </row>
    <row r="264" spans="1:100">
      <c r="A264" s="3" t="s">
        <v>5557</v>
      </c>
      <c r="B264" s="4" t="s">
        <v>5558</v>
      </c>
      <c r="C264">
        <v>57.149469147413001</v>
      </c>
      <c r="D264">
        <v>433.30867007482402</v>
      </c>
      <c r="E264">
        <f>-2.92215720500859</f>
        <v>-2.92215720500859</v>
      </c>
      <c r="F264" s="5">
        <v>3.112103731518E-9</v>
      </c>
      <c r="G264" t="s">
        <v>4</v>
      </c>
      <c r="H264">
        <v>57.149469147413001</v>
      </c>
      <c r="I264">
        <v>23.654210870318501</v>
      </c>
      <c r="J264">
        <v>1.26533752533758</v>
      </c>
      <c r="K264">
        <v>2.3041217878917601E-2</v>
      </c>
      <c r="L264" t="s">
        <v>4</v>
      </c>
      <c r="M264">
        <v>433.30867007482402</v>
      </c>
      <c r="N264">
        <v>23.654210870318501</v>
      </c>
      <c r="O264">
        <v>4.1874947303461703</v>
      </c>
      <c r="P264" s="5">
        <v>2.34966047263133E-16</v>
      </c>
      <c r="Q264" t="s">
        <v>4</v>
      </c>
      <c r="R264" s="4" t="s">
        <v>87</v>
      </c>
      <c r="S264" t="s">
        <v>4</v>
      </c>
      <c r="T264" t="s">
        <v>92</v>
      </c>
      <c r="U264" t="s">
        <v>92</v>
      </c>
      <c r="V264" t="s">
        <v>92</v>
      </c>
      <c r="W264" t="s">
        <v>92</v>
      </c>
      <c r="X264" t="s">
        <v>4</v>
      </c>
      <c r="Y264" t="s">
        <v>5559</v>
      </c>
      <c r="Z264" t="s">
        <v>5560</v>
      </c>
      <c r="AA264" t="s">
        <v>5561</v>
      </c>
      <c r="AB264" t="s">
        <v>4</v>
      </c>
      <c r="AC264" s="3" t="s">
        <v>5562</v>
      </c>
      <c r="AD264" t="s">
        <v>4</v>
      </c>
      <c r="AE264" t="s">
        <v>5563</v>
      </c>
      <c r="AF264" t="s">
        <v>5564</v>
      </c>
      <c r="AG264" t="s">
        <v>5565</v>
      </c>
      <c r="AH264" t="s">
        <v>638</v>
      </c>
      <c r="AJ264" t="s">
        <v>5566</v>
      </c>
      <c r="AU264" t="s">
        <v>112</v>
      </c>
      <c r="AV264" t="s">
        <v>5567</v>
      </c>
      <c r="AW264" t="s">
        <v>114</v>
      </c>
      <c r="AX264" t="s">
        <v>144</v>
      </c>
      <c r="AY264" t="s">
        <v>5568</v>
      </c>
      <c r="AZ264" t="s">
        <v>4</v>
      </c>
      <c r="BA264" s="3" t="s">
        <v>95</v>
      </c>
      <c r="BB264" s="6" t="s">
        <v>95</v>
      </c>
      <c r="BC264" s="3" t="s">
        <v>197</v>
      </c>
      <c r="BD264" t="s">
        <v>4</v>
      </c>
      <c r="BE264">
        <v>4141</v>
      </c>
      <c r="BF264" t="s">
        <v>112</v>
      </c>
      <c r="BG264">
        <v>98.9071</v>
      </c>
      <c r="BH264">
        <v>100</v>
      </c>
      <c r="BI264">
        <v>97.8142</v>
      </c>
      <c r="BJ264">
        <v>68.852500000000006</v>
      </c>
      <c r="BK264">
        <v>53.551900000000003</v>
      </c>
      <c r="BL264">
        <v>66.120199999999997</v>
      </c>
      <c r="BM264">
        <v>69.945400000000006</v>
      </c>
      <c r="BN264">
        <v>69.945400000000006</v>
      </c>
      <c r="BO264">
        <v>74.863399999999999</v>
      </c>
      <c r="BW264" t="s">
        <v>5569</v>
      </c>
      <c r="BX264">
        <v>30.601099999999999</v>
      </c>
      <c r="CA264">
        <v>25.136600000000001</v>
      </c>
      <c r="CK264">
        <v>5</v>
      </c>
      <c r="CL264" t="s">
        <v>4</v>
      </c>
      <c r="CM264" t="s">
        <v>5570</v>
      </c>
      <c r="CN264" t="s">
        <v>5571</v>
      </c>
      <c r="CO264" t="s">
        <v>99</v>
      </c>
      <c r="CP264" t="s">
        <v>100</v>
      </c>
      <c r="CQ264">
        <v>263</v>
      </c>
      <c r="CR264" t="s">
        <v>100</v>
      </c>
      <c r="CS264" s="7" t="s">
        <v>101</v>
      </c>
      <c r="CT264" t="s">
        <v>152</v>
      </c>
      <c r="CU264" t="s">
        <v>102</v>
      </c>
      <c r="CV264" t="s">
        <v>100</v>
      </c>
    </row>
    <row r="265" spans="1:100">
      <c r="A265" s="3" t="s">
        <v>5572</v>
      </c>
      <c r="B265" s="4" t="s">
        <v>5573</v>
      </c>
      <c r="C265">
        <v>2116.9132266931801</v>
      </c>
      <c r="D265">
        <v>14524.537394130301</v>
      </c>
      <c r="E265">
        <f>-2.7784147990364</f>
        <v>-2.7784147990363999</v>
      </c>
      <c r="F265" s="5">
        <v>4.4262775032826301E-55</v>
      </c>
      <c r="G265" t="s">
        <v>4</v>
      </c>
      <c r="H265">
        <v>2116.9132266931801</v>
      </c>
      <c r="I265">
        <v>791.47703036807195</v>
      </c>
      <c r="J265">
        <v>1.4177666161781</v>
      </c>
      <c r="K265" s="5">
        <v>7.6722208111071802E-15</v>
      </c>
      <c r="L265" t="s">
        <v>4</v>
      </c>
      <c r="M265">
        <v>14524.537394130301</v>
      </c>
      <c r="N265">
        <v>791.47703036807195</v>
      </c>
      <c r="O265">
        <v>4.19618141521451</v>
      </c>
      <c r="P265" s="5">
        <v>1.3750568373114499E-123</v>
      </c>
      <c r="Q265" t="s">
        <v>4</v>
      </c>
      <c r="R265" s="4" t="s">
        <v>87</v>
      </c>
      <c r="S265" t="s">
        <v>4</v>
      </c>
      <c r="T265" t="s">
        <v>2229</v>
      </c>
      <c r="U265" t="s">
        <v>2230</v>
      </c>
      <c r="V265" t="s">
        <v>2231</v>
      </c>
      <c r="W265" t="s">
        <v>91</v>
      </c>
      <c r="X265" t="s">
        <v>4</v>
      </c>
      <c r="Y265" t="s">
        <v>5574</v>
      </c>
      <c r="Z265" t="s">
        <v>5575</v>
      </c>
      <c r="AA265" t="s">
        <v>5576</v>
      </c>
      <c r="AB265" t="s">
        <v>4</v>
      </c>
      <c r="AC265" s="3" t="s">
        <v>5577</v>
      </c>
      <c r="AD265" t="s">
        <v>4</v>
      </c>
      <c r="AE265" t="s">
        <v>5578</v>
      </c>
      <c r="AF265" t="s">
        <v>5579</v>
      </c>
      <c r="AG265" t="s">
        <v>5580</v>
      </c>
      <c r="AH265" t="s">
        <v>112</v>
      </c>
      <c r="AJ265" t="s">
        <v>5581</v>
      </c>
      <c r="AL265" t="s">
        <v>5582</v>
      </c>
      <c r="AM265" t="s">
        <v>5583</v>
      </c>
      <c r="AN265" t="s">
        <v>5584</v>
      </c>
      <c r="AQ265" t="s">
        <v>5585</v>
      </c>
      <c r="AU265" t="s">
        <v>112</v>
      </c>
      <c r="AV265" t="s">
        <v>5586</v>
      </c>
      <c r="AW265" t="s">
        <v>114</v>
      </c>
      <c r="AX265" t="s">
        <v>167</v>
      </c>
      <c r="AY265" t="s">
        <v>3045</v>
      </c>
      <c r="AZ265" t="s">
        <v>4</v>
      </c>
      <c r="BA265" s="3" t="s">
        <v>95</v>
      </c>
      <c r="BB265" s="6" t="s">
        <v>95</v>
      </c>
      <c r="BC265" s="3" t="s">
        <v>95</v>
      </c>
      <c r="BD265" t="s">
        <v>4</v>
      </c>
      <c r="BE265">
        <v>7710</v>
      </c>
      <c r="BF265" t="s">
        <v>213</v>
      </c>
      <c r="BG265">
        <v>98.102500000000006</v>
      </c>
      <c r="BH265">
        <v>100</v>
      </c>
      <c r="BI265">
        <v>93.738100000000003</v>
      </c>
      <c r="BJ265">
        <v>82.352900000000005</v>
      </c>
      <c r="BK265">
        <v>8.72865</v>
      </c>
      <c r="BL265">
        <v>44.022799999999997</v>
      </c>
      <c r="BM265">
        <v>70.778000000000006</v>
      </c>
      <c r="BN265">
        <v>70.778000000000006</v>
      </c>
      <c r="BO265">
        <v>66.603399999999993</v>
      </c>
      <c r="BP265">
        <v>14.041700000000001</v>
      </c>
      <c r="BV265">
        <v>12.7135</v>
      </c>
      <c r="BW265">
        <v>16.3188</v>
      </c>
      <c r="BX265">
        <v>21.0626</v>
      </c>
      <c r="BY265">
        <v>16.129000000000001</v>
      </c>
      <c r="BZ265">
        <v>18.026599999999998</v>
      </c>
      <c r="CA265" t="s">
        <v>5587</v>
      </c>
      <c r="CB265">
        <v>18.785599999999999</v>
      </c>
      <c r="CC265" t="s">
        <v>5588</v>
      </c>
      <c r="CD265">
        <v>17.0778</v>
      </c>
      <c r="CF265">
        <v>17.0778</v>
      </c>
      <c r="CG265" t="s">
        <v>5589</v>
      </c>
      <c r="CH265" t="s">
        <v>5590</v>
      </c>
      <c r="CI265" t="s">
        <v>5591</v>
      </c>
      <c r="CJ265" t="s">
        <v>5592</v>
      </c>
      <c r="CK265">
        <v>8</v>
      </c>
      <c r="CL265" t="s">
        <v>4</v>
      </c>
      <c r="CM265" t="s">
        <v>5593</v>
      </c>
      <c r="CN265" t="s">
        <v>5594</v>
      </c>
      <c r="CO265" t="s">
        <v>5595</v>
      </c>
      <c r="CP265" t="s">
        <v>100</v>
      </c>
      <c r="CQ265">
        <v>264</v>
      </c>
      <c r="CR265" t="s">
        <v>100</v>
      </c>
      <c r="CS265" s="7" t="s">
        <v>101</v>
      </c>
      <c r="CT265" t="s">
        <v>152</v>
      </c>
      <c r="CU265" t="s">
        <v>102</v>
      </c>
      <c r="CV265" t="s">
        <v>100</v>
      </c>
    </row>
    <row r="266" spans="1:100">
      <c r="A266" s="3" t="s">
        <v>5596</v>
      </c>
      <c r="B266" s="4" t="s">
        <v>5597</v>
      </c>
      <c r="C266">
        <v>94.840921257842695</v>
      </c>
      <c r="D266">
        <v>401.72837297186499</v>
      </c>
      <c r="E266">
        <f>-2.08140505517442</f>
        <v>-2.0814050551744199</v>
      </c>
      <c r="F266" s="5">
        <v>1.9294998339948601E-6</v>
      </c>
      <c r="G266" t="s">
        <v>4</v>
      </c>
      <c r="H266">
        <v>94.840921257842695</v>
      </c>
      <c r="I266">
        <v>31.199315900236599</v>
      </c>
      <c r="J266">
        <v>1.6030046686011801</v>
      </c>
      <c r="K266">
        <v>7.4572541563157596E-4</v>
      </c>
      <c r="L266" t="s">
        <v>4</v>
      </c>
      <c r="M266">
        <v>401.72837297186499</v>
      </c>
      <c r="N266">
        <v>31.199315900236599</v>
      </c>
      <c r="O266">
        <v>3.6844097237755999</v>
      </c>
      <c r="P266" s="5">
        <v>1.80673730753831E-16</v>
      </c>
      <c r="Q266" t="s">
        <v>4</v>
      </c>
      <c r="R266" s="4" t="s">
        <v>87</v>
      </c>
      <c r="S266" t="s">
        <v>4</v>
      </c>
      <c r="T266" t="s">
        <v>5598</v>
      </c>
      <c r="U266" t="s">
        <v>5599</v>
      </c>
      <c r="V266" t="s">
        <v>5600</v>
      </c>
      <c r="W266" t="s">
        <v>976</v>
      </c>
      <c r="X266" t="s">
        <v>4</v>
      </c>
      <c r="Y266" t="s">
        <v>5601</v>
      </c>
      <c r="Z266" t="s">
        <v>5602</v>
      </c>
      <c r="AA266" t="s">
        <v>5603</v>
      </c>
      <c r="AB266" t="s">
        <v>4</v>
      </c>
      <c r="AC266" s="3" t="s">
        <v>5604</v>
      </c>
      <c r="AD266" t="s">
        <v>4</v>
      </c>
      <c r="AE266" t="s">
        <v>5605</v>
      </c>
      <c r="AF266" t="s">
        <v>5606</v>
      </c>
      <c r="AG266" t="s">
        <v>5607</v>
      </c>
      <c r="AH266" t="s">
        <v>638</v>
      </c>
      <c r="AU266" t="s">
        <v>112</v>
      </c>
      <c r="AV266" t="s">
        <v>5608</v>
      </c>
      <c r="AW266" t="s">
        <v>114</v>
      </c>
      <c r="AX266" t="s">
        <v>345</v>
      </c>
      <c r="AY266" t="s">
        <v>5520</v>
      </c>
      <c r="AZ266" t="s">
        <v>4</v>
      </c>
      <c r="BA266" s="3" t="s">
        <v>95</v>
      </c>
      <c r="BB266" t="s">
        <v>96</v>
      </c>
      <c r="BC266" s="3" t="s">
        <v>95</v>
      </c>
      <c r="BD266" t="s">
        <v>4</v>
      </c>
      <c r="BE266">
        <v>7712</v>
      </c>
      <c r="BF266" t="s">
        <v>213</v>
      </c>
      <c r="BG266">
        <v>81.692599999999999</v>
      </c>
      <c r="BI266">
        <v>90.673599999999993</v>
      </c>
      <c r="BJ266" t="s">
        <v>5609</v>
      </c>
      <c r="BK266">
        <v>86.528499999999994</v>
      </c>
      <c r="BL266">
        <v>44.214199999999998</v>
      </c>
      <c r="BM266">
        <v>86.010400000000004</v>
      </c>
      <c r="BN266">
        <v>86.355800000000002</v>
      </c>
      <c r="BO266">
        <v>85.319500000000005</v>
      </c>
      <c r="BP266">
        <v>69.775499999999994</v>
      </c>
      <c r="BQ266">
        <v>65.457700000000003</v>
      </c>
      <c r="BR266">
        <v>60.276299999999999</v>
      </c>
      <c r="BS266">
        <v>61.8307</v>
      </c>
      <c r="BT266" t="s">
        <v>5610</v>
      </c>
      <c r="BU266">
        <v>51.813499999999998</v>
      </c>
      <c r="BV266" t="s">
        <v>5611</v>
      </c>
      <c r="BW266">
        <v>63.039700000000003</v>
      </c>
      <c r="BX266">
        <v>64.248699999999999</v>
      </c>
      <c r="BY266">
        <v>47.668399999999998</v>
      </c>
      <c r="BZ266">
        <v>61.8307</v>
      </c>
      <c r="CA266">
        <v>62.521599999999999</v>
      </c>
      <c r="CB266">
        <v>17.789300000000001</v>
      </c>
      <c r="CC266">
        <v>24.8705</v>
      </c>
      <c r="CD266">
        <v>33.506</v>
      </c>
      <c r="CE266" t="s">
        <v>5612</v>
      </c>
      <c r="CF266">
        <v>40.069099999999999</v>
      </c>
      <c r="CK266">
        <v>8</v>
      </c>
      <c r="CL266" t="s">
        <v>4</v>
      </c>
      <c r="CM266" t="s">
        <v>5613</v>
      </c>
      <c r="CN266" t="s">
        <v>5614</v>
      </c>
      <c r="CO266" t="s">
        <v>99</v>
      </c>
      <c r="CP266" t="s">
        <v>100</v>
      </c>
      <c r="CQ266">
        <v>265</v>
      </c>
      <c r="CR266" t="s">
        <v>100</v>
      </c>
      <c r="CS266" s="7" t="s">
        <v>101</v>
      </c>
      <c r="CT266" t="s">
        <v>152</v>
      </c>
      <c r="CU266" t="s">
        <v>102</v>
      </c>
      <c r="CV266" t="s">
        <v>100</v>
      </c>
    </row>
    <row r="267" spans="1:100">
      <c r="A267" s="3" t="s">
        <v>5615</v>
      </c>
      <c r="B267" s="4" t="s">
        <v>5616</v>
      </c>
      <c r="C267">
        <v>100.912885199551</v>
      </c>
      <c r="D267">
        <v>441.47561050120299</v>
      </c>
      <c r="E267">
        <f>-2.1296174932021</f>
        <v>-2.1296174932021001</v>
      </c>
      <c r="F267">
        <v>8.6622127287168805E-4</v>
      </c>
      <c r="G267" t="s">
        <v>4</v>
      </c>
      <c r="H267">
        <v>100.912885199551</v>
      </c>
      <c r="I267">
        <v>70.601102484928006</v>
      </c>
      <c r="J267">
        <v>0.49938302120608602</v>
      </c>
      <c r="K267">
        <v>0.46993546077016701</v>
      </c>
      <c r="L267" t="s">
        <v>4</v>
      </c>
      <c r="M267">
        <v>441.47561050120299</v>
      </c>
      <c r="N267">
        <v>70.601102484928006</v>
      </c>
      <c r="O267">
        <v>2.6290005144081898</v>
      </c>
      <c r="P267" s="5">
        <v>1.88785626260542E-5</v>
      </c>
      <c r="Q267" t="s">
        <v>4</v>
      </c>
      <c r="R267" s="4" t="s">
        <v>87</v>
      </c>
      <c r="S267" t="s">
        <v>4</v>
      </c>
      <c r="T267" t="s">
        <v>92</v>
      </c>
      <c r="U267" t="s">
        <v>92</v>
      </c>
      <c r="V267" t="s">
        <v>92</v>
      </c>
      <c r="W267" t="s">
        <v>92</v>
      </c>
      <c r="X267" t="s">
        <v>4</v>
      </c>
      <c r="Y267" t="s">
        <v>92</v>
      </c>
      <c r="Z267" t="s">
        <v>92</v>
      </c>
      <c r="AA267" t="s">
        <v>92</v>
      </c>
      <c r="AB267" t="s">
        <v>4</v>
      </c>
      <c r="AC267" s="3" t="s">
        <v>93</v>
      </c>
      <c r="AD267" t="s">
        <v>4</v>
      </c>
      <c r="AE267" t="s">
        <v>5617</v>
      </c>
      <c r="AF267" t="s">
        <v>5618</v>
      </c>
      <c r="AG267" t="s">
        <v>5619</v>
      </c>
      <c r="AH267" t="s">
        <v>112</v>
      </c>
      <c r="AU267" t="s">
        <v>112</v>
      </c>
      <c r="AV267" t="s">
        <v>5620</v>
      </c>
      <c r="AW267" t="s">
        <v>114</v>
      </c>
      <c r="AX267" t="s">
        <v>144</v>
      </c>
      <c r="AY267" t="s">
        <v>5621</v>
      </c>
      <c r="AZ267" t="s">
        <v>4</v>
      </c>
      <c r="BA267" s="3" t="s">
        <v>95</v>
      </c>
      <c r="BB267" s="6" t="s">
        <v>95</v>
      </c>
      <c r="BC267" s="3" t="s">
        <v>95</v>
      </c>
      <c r="BD267" t="s">
        <v>4</v>
      </c>
      <c r="BE267">
        <v>4153</v>
      </c>
      <c r="BF267" t="s">
        <v>112</v>
      </c>
      <c r="BG267">
        <v>96.587900000000005</v>
      </c>
      <c r="BH267">
        <v>100</v>
      </c>
      <c r="BI267">
        <v>75.590599999999995</v>
      </c>
      <c r="BJ267">
        <v>75.328100000000006</v>
      </c>
      <c r="BK267">
        <v>64.829400000000007</v>
      </c>
      <c r="BL267">
        <v>58.530200000000001</v>
      </c>
      <c r="BM267">
        <v>53.543300000000002</v>
      </c>
      <c r="BN267">
        <v>60.3675</v>
      </c>
      <c r="BO267">
        <v>62.729700000000001</v>
      </c>
      <c r="BR267">
        <v>30.9711</v>
      </c>
      <c r="BS267">
        <v>26.5092</v>
      </c>
      <c r="BW267">
        <v>30.7087</v>
      </c>
      <c r="CA267">
        <v>27.296600000000002</v>
      </c>
      <c r="CK267">
        <v>5</v>
      </c>
      <c r="CL267" t="s">
        <v>4</v>
      </c>
      <c r="CM267" t="s">
        <v>5622</v>
      </c>
      <c r="CN267" t="s">
        <v>5623</v>
      </c>
      <c r="CO267" t="s">
        <v>99</v>
      </c>
      <c r="CP267" t="s">
        <v>100</v>
      </c>
      <c r="CQ267">
        <v>266</v>
      </c>
      <c r="CR267" t="s">
        <v>100</v>
      </c>
      <c r="CS267" t="s">
        <v>100</v>
      </c>
      <c r="CT267" t="s">
        <v>152</v>
      </c>
      <c r="CU267" t="s">
        <v>102</v>
      </c>
      <c r="CV267" t="s">
        <v>100</v>
      </c>
    </row>
    <row r="268" spans="1:100">
      <c r="A268" s="3" t="s">
        <v>5624</v>
      </c>
      <c r="B268" s="4" t="s">
        <v>5625</v>
      </c>
      <c r="C268">
        <v>625.35958807351597</v>
      </c>
      <c r="D268">
        <v>3421.82507771463</v>
      </c>
      <c r="E268">
        <f>-2.45184087156065</f>
        <v>-2.4518408715606501</v>
      </c>
      <c r="F268" s="5">
        <v>5.9309702931299202E-11</v>
      </c>
      <c r="G268" t="s">
        <v>4</v>
      </c>
      <c r="H268">
        <v>625.35958807351597</v>
      </c>
      <c r="I268">
        <v>644.70155040011196</v>
      </c>
      <c r="J268">
        <f>0.040597466004599</f>
        <v>4.0597466004599E-2</v>
      </c>
      <c r="K268">
        <v>0.92659896273152298</v>
      </c>
      <c r="L268" t="s">
        <v>4</v>
      </c>
      <c r="M268">
        <v>3421.82507771463</v>
      </c>
      <c r="N268">
        <v>644.70155040011196</v>
      </c>
      <c r="O268">
        <v>2.4112434055560499</v>
      </c>
      <c r="P268" s="5">
        <v>4.8087937718516497E-11</v>
      </c>
      <c r="Q268" t="s">
        <v>4</v>
      </c>
      <c r="R268" s="4" t="s">
        <v>87</v>
      </c>
      <c r="S268" t="s">
        <v>4</v>
      </c>
      <c r="T268" t="s">
        <v>5626</v>
      </c>
      <c r="U268" t="s">
        <v>5627</v>
      </c>
      <c r="V268" t="s">
        <v>5628</v>
      </c>
      <c r="W268" t="s">
        <v>976</v>
      </c>
      <c r="X268" t="s">
        <v>4</v>
      </c>
      <c r="Y268" t="s">
        <v>5629</v>
      </c>
      <c r="Z268" t="s">
        <v>5630</v>
      </c>
      <c r="AA268" t="s">
        <v>5631</v>
      </c>
      <c r="AB268" t="s">
        <v>4</v>
      </c>
      <c r="AC268" s="3" t="s">
        <v>5632</v>
      </c>
      <c r="AD268" t="s">
        <v>4</v>
      </c>
      <c r="AE268" t="s">
        <v>5633</v>
      </c>
      <c r="AF268" t="s">
        <v>5634</v>
      </c>
      <c r="AG268" t="s">
        <v>5635</v>
      </c>
      <c r="AH268" t="s">
        <v>112</v>
      </c>
      <c r="AL268" t="s">
        <v>5636</v>
      </c>
      <c r="AM268" t="s">
        <v>5637</v>
      </c>
      <c r="AN268" t="s">
        <v>5638</v>
      </c>
      <c r="AQ268" t="s">
        <v>5639</v>
      </c>
      <c r="AU268" t="s">
        <v>112</v>
      </c>
      <c r="AV268" t="s">
        <v>5640</v>
      </c>
      <c r="AW268" t="s">
        <v>114</v>
      </c>
      <c r="AX268" t="s">
        <v>5641</v>
      </c>
      <c r="AY268" t="s">
        <v>5642</v>
      </c>
      <c r="AZ268" t="s">
        <v>4</v>
      </c>
      <c r="BA268" s="3" t="s">
        <v>95</v>
      </c>
      <c r="BB268" s="6" t="s">
        <v>95</v>
      </c>
      <c r="BC268" s="3" t="s">
        <v>95</v>
      </c>
      <c r="BD268" t="s">
        <v>4</v>
      </c>
      <c r="BE268">
        <v>10111</v>
      </c>
      <c r="BF268" t="s">
        <v>169</v>
      </c>
      <c r="BG268">
        <v>93.065700000000007</v>
      </c>
      <c r="BI268">
        <v>97.445300000000003</v>
      </c>
      <c r="BJ268">
        <v>88.686099999999996</v>
      </c>
      <c r="BK268">
        <v>84.306600000000003</v>
      </c>
      <c r="BL268">
        <v>84.671499999999995</v>
      </c>
      <c r="BM268">
        <v>79.927000000000007</v>
      </c>
      <c r="BN268">
        <v>79.197100000000006</v>
      </c>
      <c r="BO268">
        <v>79.561999999999998</v>
      </c>
      <c r="BP268">
        <v>50.365000000000002</v>
      </c>
      <c r="BQ268">
        <v>30.292000000000002</v>
      </c>
      <c r="BR268">
        <v>24.4526</v>
      </c>
      <c r="BS268">
        <v>32.846699999999998</v>
      </c>
      <c r="BU268">
        <v>30.6569</v>
      </c>
      <c r="BV268" t="s">
        <v>5643</v>
      </c>
      <c r="BX268">
        <v>31.751799999999999</v>
      </c>
      <c r="BZ268">
        <v>31.386900000000001</v>
      </c>
      <c r="CA268">
        <v>37.226300000000002</v>
      </c>
      <c r="CB268">
        <v>24.817499999999999</v>
      </c>
      <c r="CD268">
        <v>28.832100000000001</v>
      </c>
      <c r="CF268">
        <v>27.007300000000001</v>
      </c>
      <c r="CG268">
        <v>31.021899999999999</v>
      </c>
      <c r="CH268">
        <v>29.927</v>
      </c>
      <c r="CI268">
        <v>30.6569</v>
      </c>
      <c r="CJ268">
        <v>24.817499999999999</v>
      </c>
      <c r="CK268">
        <v>9</v>
      </c>
      <c r="CL268" t="s">
        <v>4</v>
      </c>
      <c r="CM268" t="s">
        <v>5644</v>
      </c>
      <c r="CN268" t="s">
        <v>5645</v>
      </c>
      <c r="CO268" t="s">
        <v>219</v>
      </c>
      <c r="CP268" t="s">
        <v>100</v>
      </c>
      <c r="CQ268">
        <v>267</v>
      </c>
      <c r="CR268" t="s">
        <v>100</v>
      </c>
      <c r="CS268" t="s">
        <v>100</v>
      </c>
      <c r="CT268" t="s">
        <v>152</v>
      </c>
      <c r="CU268" t="s">
        <v>102</v>
      </c>
      <c r="CV268" t="s">
        <v>100</v>
      </c>
    </row>
    <row r="269" spans="1:100">
      <c r="A269" s="3" t="s">
        <v>5646</v>
      </c>
      <c r="B269" s="4" t="s">
        <v>5647</v>
      </c>
      <c r="C269">
        <v>52.121451324715601</v>
      </c>
      <c r="D269">
        <v>221.89734086774499</v>
      </c>
      <c r="E269">
        <f>-2.09173429396988</f>
        <v>-2.0917342939698802</v>
      </c>
      <c r="F269" s="5">
        <v>8.1721120944092204E-7</v>
      </c>
      <c r="G269" t="s">
        <v>4</v>
      </c>
      <c r="H269">
        <v>52.121451324715601</v>
      </c>
      <c r="I269">
        <v>3.8948300030206702</v>
      </c>
      <c r="J269">
        <v>3.8276523629466599</v>
      </c>
      <c r="K269" s="5">
        <v>1.38215299854075E-8</v>
      </c>
      <c r="L269" t="s">
        <v>4</v>
      </c>
      <c r="M269">
        <v>221.89734086774499</v>
      </c>
      <c r="N269">
        <v>3.8948300030206702</v>
      </c>
      <c r="O269">
        <v>5.9193866569165303</v>
      </c>
      <c r="P269" s="5">
        <v>1.27050724333306E-19</v>
      </c>
      <c r="Q269" t="s">
        <v>4</v>
      </c>
      <c r="R269" s="4" t="s">
        <v>87</v>
      </c>
      <c r="S269" t="s">
        <v>4</v>
      </c>
      <c r="T269" t="s">
        <v>5648</v>
      </c>
      <c r="U269" t="s">
        <v>5649</v>
      </c>
      <c r="V269" t="s">
        <v>5650</v>
      </c>
      <c r="W269" t="s">
        <v>203</v>
      </c>
      <c r="X269" t="s">
        <v>4</v>
      </c>
      <c r="Y269" t="s">
        <v>5651</v>
      </c>
      <c r="Z269" t="s">
        <v>5652</v>
      </c>
      <c r="AA269" t="s">
        <v>5653</v>
      </c>
      <c r="AB269" t="s">
        <v>4</v>
      </c>
      <c r="AC269" s="3" t="s">
        <v>5654</v>
      </c>
      <c r="AD269" t="s">
        <v>4</v>
      </c>
      <c r="AE269" t="s">
        <v>5655</v>
      </c>
      <c r="AF269" t="s">
        <v>5656</v>
      </c>
      <c r="AG269" t="s">
        <v>5657</v>
      </c>
      <c r="AH269" t="s">
        <v>112</v>
      </c>
      <c r="AU269" t="s">
        <v>112</v>
      </c>
      <c r="AV269" t="s">
        <v>5658</v>
      </c>
      <c r="AW269" t="s">
        <v>114</v>
      </c>
      <c r="AX269" t="s">
        <v>536</v>
      </c>
      <c r="AY269" t="s">
        <v>5659</v>
      </c>
      <c r="AZ269" t="s">
        <v>4</v>
      </c>
      <c r="BA269" s="3" t="s">
        <v>95</v>
      </c>
      <c r="BB269" s="6" t="s">
        <v>95</v>
      </c>
      <c r="BC269" s="3" t="s">
        <v>197</v>
      </c>
      <c r="BD269" t="s">
        <v>4</v>
      </c>
      <c r="BE269">
        <v>5664</v>
      </c>
      <c r="BF269" t="s">
        <v>386</v>
      </c>
      <c r="BG269">
        <v>70.256399999999999</v>
      </c>
      <c r="BH269">
        <v>42.307699999999997</v>
      </c>
      <c r="BK269">
        <v>62.051299999999998</v>
      </c>
      <c r="BL269">
        <v>51.2821</v>
      </c>
      <c r="BO269">
        <v>21.794899999999998</v>
      </c>
      <c r="BP269" t="s">
        <v>5660</v>
      </c>
      <c r="BQ269" t="s">
        <v>5661</v>
      </c>
      <c r="BR269" t="s">
        <v>5662</v>
      </c>
      <c r="BS269" t="s">
        <v>5663</v>
      </c>
      <c r="BT269" t="s">
        <v>5664</v>
      </c>
      <c r="BU269">
        <v>8.4615399999999994</v>
      </c>
      <c r="BV269" t="s">
        <v>5665</v>
      </c>
      <c r="BW269" t="s">
        <v>5666</v>
      </c>
      <c r="BX269" t="s">
        <v>5667</v>
      </c>
      <c r="BY269" t="s">
        <v>5668</v>
      </c>
      <c r="BZ269" t="s">
        <v>5669</v>
      </c>
      <c r="CA269" t="s">
        <v>5670</v>
      </c>
      <c r="CB269">
        <v>9.7435899999999993</v>
      </c>
      <c r="CD269">
        <v>18.7179</v>
      </c>
      <c r="CF269" t="s">
        <v>5671</v>
      </c>
      <c r="CG269">
        <v>37.179499999999997</v>
      </c>
      <c r="CH269">
        <v>37.435899999999997</v>
      </c>
      <c r="CI269">
        <v>36.923099999999998</v>
      </c>
      <c r="CK269">
        <v>7</v>
      </c>
      <c r="CL269" t="s">
        <v>4</v>
      </c>
      <c r="CM269" t="s">
        <v>5672</v>
      </c>
      <c r="CN269" t="s">
        <v>5673</v>
      </c>
      <c r="CO269" t="s">
        <v>5674</v>
      </c>
      <c r="CP269" t="s">
        <v>100</v>
      </c>
      <c r="CQ269">
        <v>268</v>
      </c>
      <c r="CR269" t="s">
        <v>100</v>
      </c>
      <c r="CS269" t="s">
        <v>101</v>
      </c>
      <c r="CT269" t="s">
        <v>152</v>
      </c>
      <c r="CU269" t="s">
        <v>102</v>
      </c>
      <c r="CV269" t="s">
        <v>100</v>
      </c>
    </row>
    <row r="270" spans="1:100">
      <c r="A270" s="3" t="s">
        <v>5675</v>
      </c>
      <c r="B270" s="4" t="s">
        <v>5676</v>
      </c>
      <c r="C270">
        <v>2640.5570255258799</v>
      </c>
      <c r="D270">
        <v>11447.5566611339</v>
      </c>
      <c r="E270">
        <f>-2.11615833452842</f>
        <v>-2.1161583345284201</v>
      </c>
      <c r="F270" s="5">
        <v>5.62763679218127E-37</v>
      </c>
      <c r="G270" t="s">
        <v>4</v>
      </c>
      <c r="H270">
        <v>2640.5570255258799</v>
      </c>
      <c r="I270">
        <v>386.45945639368102</v>
      </c>
      <c r="J270">
        <v>2.7713124320788198</v>
      </c>
      <c r="K270" s="5">
        <v>8.3935400985205103E-59</v>
      </c>
      <c r="L270" t="s">
        <v>4</v>
      </c>
      <c r="M270">
        <v>11447.5566611339</v>
      </c>
      <c r="N270">
        <v>386.45945639368102</v>
      </c>
      <c r="O270">
        <v>4.8874707666072403</v>
      </c>
      <c r="P270" s="5">
        <v>5.9383647745787797E-182</v>
      </c>
      <c r="Q270" t="s">
        <v>4</v>
      </c>
      <c r="R270" s="4" t="s">
        <v>87</v>
      </c>
      <c r="S270" t="s">
        <v>4</v>
      </c>
      <c r="T270" t="s">
        <v>5677</v>
      </c>
      <c r="U270" t="s">
        <v>5678</v>
      </c>
      <c r="V270" t="s">
        <v>5679</v>
      </c>
      <c r="W270" t="s">
        <v>328</v>
      </c>
      <c r="X270" t="s">
        <v>4</v>
      </c>
      <c r="Y270" t="s">
        <v>5680</v>
      </c>
      <c r="Z270" t="s">
        <v>5681</v>
      </c>
      <c r="AA270" t="s">
        <v>5682</v>
      </c>
      <c r="AB270" t="s">
        <v>4</v>
      </c>
      <c r="AC270" s="3" t="s">
        <v>5683</v>
      </c>
      <c r="AD270" t="s">
        <v>4</v>
      </c>
      <c r="AE270" t="s">
        <v>5684</v>
      </c>
      <c r="AF270" t="s">
        <v>834</v>
      </c>
      <c r="AG270" t="s">
        <v>5685</v>
      </c>
      <c r="AH270" t="s">
        <v>112</v>
      </c>
      <c r="AI270" t="s">
        <v>5686</v>
      </c>
      <c r="AU270" t="s">
        <v>112</v>
      </c>
      <c r="AV270" t="s">
        <v>5687</v>
      </c>
      <c r="AW270" t="s">
        <v>114</v>
      </c>
      <c r="AX270" t="s">
        <v>5688</v>
      </c>
      <c r="AY270" t="s">
        <v>5689</v>
      </c>
      <c r="AZ270" t="s">
        <v>4</v>
      </c>
      <c r="BA270" s="3" t="s">
        <v>115</v>
      </c>
      <c r="BB270" t="s">
        <v>96</v>
      </c>
      <c r="BC270" s="3" t="s">
        <v>95</v>
      </c>
      <c r="BD270" t="s">
        <v>4</v>
      </c>
      <c r="BE270">
        <v>7773</v>
      </c>
      <c r="BF270" t="s">
        <v>213</v>
      </c>
      <c r="BH270">
        <v>39.792700000000004</v>
      </c>
      <c r="BI270">
        <v>86.321200000000005</v>
      </c>
      <c r="BJ270">
        <v>71.088099999999997</v>
      </c>
      <c r="BK270">
        <v>11.813499999999999</v>
      </c>
      <c r="BM270">
        <v>65.388599999999997</v>
      </c>
      <c r="BN270">
        <v>66.528499999999994</v>
      </c>
      <c r="BO270">
        <v>63.834200000000003</v>
      </c>
      <c r="BP270">
        <v>38.341999999999999</v>
      </c>
      <c r="BR270">
        <v>10.1554</v>
      </c>
      <c r="BV270">
        <v>11.9171</v>
      </c>
      <c r="BY270">
        <v>13.160600000000001</v>
      </c>
      <c r="BZ270">
        <v>6.8393800000000002</v>
      </c>
      <c r="CA270">
        <v>14.4041</v>
      </c>
      <c r="CG270" t="s">
        <v>5690</v>
      </c>
      <c r="CH270" t="s">
        <v>5691</v>
      </c>
      <c r="CI270" t="s">
        <v>5692</v>
      </c>
      <c r="CK270">
        <v>8</v>
      </c>
      <c r="CL270" t="s">
        <v>4</v>
      </c>
      <c r="CM270" t="s">
        <v>5693</v>
      </c>
      <c r="CN270" t="s">
        <v>5694</v>
      </c>
      <c r="CO270" t="s">
        <v>219</v>
      </c>
      <c r="CP270" t="s">
        <v>100</v>
      </c>
      <c r="CQ270">
        <v>269</v>
      </c>
      <c r="CR270" t="s">
        <v>100</v>
      </c>
      <c r="CS270" t="s">
        <v>101</v>
      </c>
      <c r="CT270" t="s">
        <v>152</v>
      </c>
      <c r="CU270" t="s">
        <v>102</v>
      </c>
      <c r="CV270" t="s">
        <v>100</v>
      </c>
    </row>
    <row r="271" spans="1:100">
      <c r="A271" s="3" t="s">
        <v>5695</v>
      </c>
      <c r="B271" s="4" t="s">
        <v>5696</v>
      </c>
      <c r="C271">
        <v>46.089805553042602</v>
      </c>
      <c r="D271">
        <v>240.83869528031701</v>
      </c>
      <c r="E271">
        <f>-2.3825943906311</f>
        <v>-2.3825943906311</v>
      </c>
      <c r="F271" s="5">
        <v>6.9378917470981504E-9</v>
      </c>
      <c r="G271" t="s">
        <v>4</v>
      </c>
      <c r="H271">
        <v>46.089805553042602</v>
      </c>
      <c r="I271">
        <v>11.715796480475801</v>
      </c>
      <c r="J271">
        <v>2.01210408031959</v>
      </c>
      <c r="K271" s="5">
        <v>9.39387970560174E-5</v>
      </c>
      <c r="L271" t="s">
        <v>4</v>
      </c>
      <c r="M271">
        <v>240.83869528031701</v>
      </c>
      <c r="N271">
        <v>11.715796480475801</v>
      </c>
      <c r="O271">
        <v>4.39469847095069</v>
      </c>
      <c r="P271" s="5">
        <v>9.5773444585229097E-20</v>
      </c>
      <c r="Q271" t="s">
        <v>4</v>
      </c>
      <c r="R271" s="4" t="s">
        <v>87</v>
      </c>
      <c r="S271" t="s">
        <v>4</v>
      </c>
      <c r="T271" t="s">
        <v>5697</v>
      </c>
      <c r="U271" t="s">
        <v>5698</v>
      </c>
      <c r="V271" t="s">
        <v>5699</v>
      </c>
      <c r="W271" t="s">
        <v>328</v>
      </c>
      <c r="X271" t="s">
        <v>4</v>
      </c>
      <c r="Y271" t="s">
        <v>5700</v>
      </c>
      <c r="Z271" t="s">
        <v>5701</v>
      </c>
      <c r="AA271" t="s">
        <v>5702</v>
      </c>
      <c r="AB271" t="s">
        <v>4</v>
      </c>
      <c r="AC271" s="3" t="s">
        <v>5703</v>
      </c>
      <c r="AD271" t="s">
        <v>4</v>
      </c>
      <c r="AE271" t="s">
        <v>5704</v>
      </c>
      <c r="AF271" t="s">
        <v>5705</v>
      </c>
      <c r="AG271" t="s">
        <v>5706</v>
      </c>
      <c r="AH271" t="s">
        <v>112</v>
      </c>
      <c r="AL271" t="s">
        <v>4135</v>
      </c>
      <c r="AQ271" t="s">
        <v>641</v>
      </c>
      <c r="AR271" t="s">
        <v>4136</v>
      </c>
      <c r="AU271" t="s">
        <v>112</v>
      </c>
      <c r="AV271" t="s">
        <v>4137</v>
      </c>
      <c r="AW271" t="s">
        <v>114</v>
      </c>
      <c r="AX271" t="s">
        <v>909</v>
      </c>
      <c r="AY271" t="s">
        <v>4138</v>
      </c>
      <c r="AZ271" t="s">
        <v>4</v>
      </c>
      <c r="BA271" s="3" t="s">
        <v>115</v>
      </c>
      <c r="BB271" t="s">
        <v>96</v>
      </c>
      <c r="BC271" s="3" t="s">
        <v>95</v>
      </c>
      <c r="BD271" t="s">
        <v>4</v>
      </c>
      <c r="BE271">
        <v>7779</v>
      </c>
      <c r="BF271" t="s">
        <v>213</v>
      </c>
      <c r="BG271">
        <v>91.354500000000002</v>
      </c>
      <c r="BH271">
        <v>55.907800000000002</v>
      </c>
      <c r="BI271">
        <v>47.550400000000003</v>
      </c>
      <c r="BJ271">
        <v>78.674400000000006</v>
      </c>
      <c r="BK271">
        <v>80.115300000000005</v>
      </c>
      <c r="BL271">
        <v>33.141199999999998</v>
      </c>
      <c r="BM271">
        <v>80.403499999999994</v>
      </c>
      <c r="BN271">
        <v>80.115300000000005</v>
      </c>
      <c r="BO271" t="s">
        <v>5707</v>
      </c>
      <c r="BP271">
        <v>5.1873199999999997</v>
      </c>
      <c r="BQ271">
        <v>60.518700000000003</v>
      </c>
      <c r="BS271">
        <v>45.244999999999997</v>
      </c>
      <c r="BT271">
        <v>46.9741</v>
      </c>
      <c r="BU271">
        <v>38.328499999999998</v>
      </c>
      <c r="BV271" t="s">
        <v>5708</v>
      </c>
      <c r="BX271">
        <v>62.247799999999998</v>
      </c>
      <c r="BY271" t="s">
        <v>5709</v>
      </c>
      <c r="CA271">
        <v>64.265100000000004</v>
      </c>
      <c r="CB271" t="s">
        <v>5710</v>
      </c>
      <c r="CC271" t="s">
        <v>5711</v>
      </c>
      <c r="CD271">
        <v>49.855899999999998</v>
      </c>
      <c r="CE271" t="s">
        <v>5712</v>
      </c>
      <c r="CF271">
        <v>46.3977</v>
      </c>
      <c r="CG271" t="s">
        <v>5713</v>
      </c>
      <c r="CH271" t="s">
        <v>5714</v>
      </c>
      <c r="CI271" t="s">
        <v>5715</v>
      </c>
      <c r="CK271">
        <v>8</v>
      </c>
      <c r="CL271" t="s">
        <v>4</v>
      </c>
      <c r="CM271" t="s">
        <v>5716</v>
      </c>
      <c r="CN271" t="s">
        <v>5717</v>
      </c>
      <c r="CO271" t="s">
        <v>1218</v>
      </c>
      <c r="CP271" t="s">
        <v>100</v>
      </c>
      <c r="CQ271">
        <v>270</v>
      </c>
      <c r="CR271" t="s">
        <v>100</v>
      </c>
      <c r="CS271" t="s">
        <v>101</v>
      </c>
      <c r="CT271" t="s">
        <v>152</v>
      </c>
      <c r="CU271" t="s">
        <v>102</v>
      </c>
      <c r="CV271" t="s">
        <v>100</v>
      </c>
    </row>
    <row r="272" spans="1:100">
      <c r="A272" s="3" t="s">
        <v>5718</v>
      </c>
      <c r="B272" s="4" t="s">
        <v>5719</v>
      </c>
      <c r="C272">
        <v>67.054441341100997</v>
      </c>
      <c r="D272">
        <v>269.41196721587698</v>
      </c>
      <c r="E272">
        <f>-2.00498288285853</f>
        <v>-2.0049828828585299</v>
      </c>
      <c r="F272" s="5">
        <v>6.0485086629485702E-6</v>
      </c>
      <c r="G272" t="s">
        <v>4</v>
      </c>
      <c r="H272">
        <v>67.054441341100997</v>
      </c>
      <c r="I272">
        <v>14.912433832189199</v>
      </c>
      <c r="J272">
        <v>2.2094019914307701</v>
      </c>
      <c r="K272" s="5">
        <v>1.65943145671635E-5</v>
      </c>
      <c r="L272" t="s">
        <v>4</v>
      </c>
      <c r="M272">
        <v>269.41196721587698</v>
      </c>
      <c r="N272">
        <v>14.912433832189199</v>
      </c>
      <c r="O272">
        <v>4.2143848742893102</v>
      </c>
      <c r="P272" s="5">
        <v>6.0966058368660197E-18</v>
      </c>
      <c r="Q272" t="s">
        <v>4</v>
      </c>
      <c r="R272" s="4" t="s">
        <v>87</v>
      </c>
      <c r="S272" t="s">
        <v>4</v>
      </c>
      <c r="T272" t="s">
        <v>2243</v>
      </c>
      <c r="U272" t="s">
        <v>2244</v>
      </c>
      <c r="V272" t="s">
        <v>2245</v>
      </c>
      <c r="W272" t="s">
        <v>123</v>
      </c>
      <c r="X272" t="s">
        <v>4</v>
      </c>
      <c r="Y272" t="s">
        <v>2647</v>
      </c>
      <c r="Z272" t="s">
        <v>2648</v>
      </c>
      <c r="AA272" t="s">
        <v>2649</v>
      </c>
      <c r="AB272" t="s">
        <v>4</v>
      </c>
      <c r="AC272" s="3" t="s">
        <v>2650</v>
      </c>
      <c r="AD272" t="s">
        <v>4</v>
      </c>
      <c r="AE272" t="s">
        <v>5720</v>
      </c>
      <c r="AF272" t="s">
        <v>5721</v>
      </c>
      <c r="AG272" t="s">
        <v>5722</v>
      </c>
      <c r="AH272" t="s">
        <v>112</v>
      </c>
      <c r="AI272" t="s">
        <v>5723</v>
      </c>
      <c r="AJ272" t="s">
        <v>5724</v>
      </c>
      <c r="AU272" t="s">
        <v>112</v>
      </c>
      <c r="AV272" t="s">
        <v>5725</v>
      </c>
      <c r="AW272" t="s">
        <v>114</v>
      </c>
      <c r="AX272" t="s">
        <v>144</v>
      </c>
      <c r="AY272" t="s">
        <v>5726</v>
      </c>
      <c r="AZ272" t="s">
        <v>4</v>
      </c>
      <c r="BA272" s="3" t="s">
        <v>115</v>
      </c>
      <c r="BB272" s="6" t="s">
        <v>95</v>
      </c>
      <c r="BC272" s="3" t="s">
        <v>95</v>
      </c>
      <c r="BD272" t="s">
        <v>4</v>
      </c>
      <c r="BE272">
        <v>7786</v>
      </c>
      <c r="BF272" t="s">
        <v>213</v>
      </c>
      <c r="BG272">
        <v>78.463300000000004</v>
      </c>
      <c r="BH272">
        <v>28.288699999999999</v>
      </c>
      <c r="BJ272">
        <v>36.088500000000003</v>
      </c>
      <c r="BK272">
        <v>47.962699999999998</v>
      </c>
      <c r="BN272">
        <v>55.180399999999999</v>
      </c>
      <c r="BO272">
        <v>62.631</v>
      </c>
      <c r="BP272">
        <v>37.485399999999998</v>
      </c>
      <c r="BQ272">
        <v>29.685700000000001</v>
      </c>
      <c r="BS272">
        <v>30.617000000000001</v>
      </c>
      <c r="BT272">
        <v>22.468</v>
      </c>
      <c r="BU272">
        <v>30.267800000000001</v>
      </c>
      <c r="BV272" t="s">
        <v>5727</v>
      </c>
      <c r="BW272">
        <v>32.828899999999997</v>
      </c>
      <c r="BX272">
        <v>36.786999999999999</v>
      </c>
      <c r="BY272">
        <v>18.509899999999998</v>
      </c>
      <c r="BZ272">
        <v>13.038399999999999</v>
      </c>
      <c r="CD272">
        <v>15.7159</v>
      </c>
      <c r="CE272">
        <v>8.2654200000000007</v>
      </c>
      <c r="CG272">
        <v>11.9907</v>
      </c>
      <c r="CH272">
        <v>11.175800000000001</v>
      </c>
      <c r="CI272">
        <v>12.107100000000001</v>
      </c>
      <c r="CK272">
        <v>8</v>
      </c>
      <c r="CL272" t="s">
        <v>4</v>
      </c>
      <c r="CM272" t="s">
        <v>98</v>
      </c>
      <c r="CN272" t="s">
        <v>98</v>
      </c>
      <c r="CO272" t="s">
        <v>99</v>
      </c>
      <c r="CP272" t="s">
        <v>100</v>
      </c>
      <c r="CQ272">
        <v>271</v>
      </c>
      <c r="CR272" t="s">
        <v>100</v>
      </c>
      <c r="CS272" t="s">
        <v>101</v>
      </c>
      <c r="CT272" t="s">
        <v>152</v>
      </c>
      <c r="CU272" t="s">
        <v>102</v>
      </c>
      <c r="CV272" t="s">
        <v>100</v>
      </c>
    </row>
    <row r="273" spans="1:100">
      <c r="A273" s="3" t="s">
        <v>5728</v>
      </c>
      <c r="B273" s="4" t="s">
        <v>5729</v>
      </c>
      <c r="C273">
        <v>61.261191631501198</v>
      </c>
      <c r="D273">
        <v>547.15181065545596</v>
      </c>
      <c r="E273">
        <f>-3.15500201154753</f>
        <v>-3.1550020115475301</v>
      </c>
      <c r="F273" s="5">
        <v>2.0153112495402101E-10</v>
      </c>
      <c r="G273" t="s">
        <v>4</v>
      </c>
      <c r="H273">
        <v>61.261191631501198</v>
      </c>
      <c r="I273">
        <v>51.936223475849403</v>
      </c>
      <c r="J273">
        <v>0.246585977384678</v>
      </c>
      <c r="K273">
        <v>0.67663072742039698</v>
      </c>
      <c r="L273" t="s">
        <v>4</v>
      </c>
      <c r="M273">
        <v>547.15181065545596</v>
      </c>
      <c r="N273">
        <v>51.936223475849403</v>
      </c>
      <c r="O273">
        <v>3.40158798893221</v>
      </c>
      <c r="P273" s="5">
        <v>6.0544965045330399E-12</v>
      </c>
      <c r="Q273" t="s">
        <v>4</v>
      </c>
      <c r="R273" s="4" t="s">
        <v>87</v>
      </c>
      <c r="S273" t="s">
        <v>4</v>
      </c>
      <c r="T273" t="s">
        <v>5730</v>
      </c>
      <c r="U273" t="s">
        <v>5731</v>
      </c>
      <c r="V273" t="s">
        <v>5732</v>
      </c>
      <c r="W273" t="s">
        <v>328</v>
      </c>
      <c r="X273" t="s">
        <v>4</v>
      </c>
      <c r="Y273" t="s">
        <v>5733</v>
      </c>
      <c r="Z273" t="s">
        <v>5734</v>
      </c>
      <c r="AA273" t="s">
        <v>5735</v>
      </c>
      <c r="AB273" t="s">
        <v>4</v>
      </c>
      <c r="AC273" s="3" t="s">
        <v>5736</v>
      </c>
      <c r="AD273" t="s">
        <v>4</v>
      </c>
      <c r="AE273" t="s">
        <v>5737</v>
      </c>
      <c r="AF273" t="s">
        <v>5738</v>
      </c>
      <c r="AG273" t="s">
        <v>5739</v>
      </c>
      <c r="AH273" t="s">
        <v>112</v>
      </c>
      <c r="AI273" t="s">
        <v>5740</v>
      </c>
      <c r="AL273" t="s">
        <v>5741</v>
      </c>
      <c r="AM273" t="s">
        <v>5742</v>
      </c>
      <c r="AQ273" t="s">
        <v>3868</v>
      </c>
      <c r="AR273" t="s">
        <v>5743</v>
      </c>
      <c r="AU273" t="s">
        <v>112</v>
      </c>
      <c r="AV273" t="s">
        <v>5744</v>
      </c>
      <c r="AW273" t="s">
        <v>114</v>
      </c>
      <c r="AX273" t="s">
        <v>2669</v>
      </c>
      <c r="AY273" t="s">
        <v>5745</v>
      </c>
      <c r="AZ273" t="s">
        <v>4</v>
      </c>
      <c r="BA273" s="3" t="s">
        <v>95</v>
      </c>
      <c r="BB273" t="s">
        <v>96</v>
      </c>
      <c r="BC273" s="3" t="s">
        <v>95</v>
      </c>
      <c r="BD273" t="s">
        <v>4</v>
      </c>
      <c r="BE273">
        <v>7790</v>
      </c>
      <c r="BF273" t="s">
        <v>213</v>
      </c>
      <c r="BG273">
        <v>93.023300000000006</v>
      </c>
      <c r="BH273">
        <v>70.697699999999998</v>
      </c>
      <c r="BI273">
        <v>46.2791</v>
      </c>
      <c r="BJ273">
        <v>36.2791</v>
      </c>
      <c r="BK273">
        <v>26.976700000000001</v>
      </c>
      <c r="BM273">
        <v>24.186</v>
      </c>
      <c r="BN273">
        <v>73.255799999999994</v>
      </c>
      <c r="BO273">
        <v>76.976699999999994</v>
      </c>
      <c r="BP273">
        <v>26.976700000000001</v>
      </c>
      <c r="BQ273">
        <v>22.5581</v>
      </c>
      <c r="BS273" t="s">
        <v>5746</v>
      </c>
      <c r="BU273">
        <v>30.930199999999999</v>
      </c>
      <c r="BV273" t="s">
        <v>5747</v>
      </c>
      <c r="BW273">
        <v>44.883699999999997</v>
      </c>
      <c r="BZ273">
        <v>45.581400000000002</v>
      </c>
      <c r="CA273">
        <v>44.418599999999998</v>
      </c>
      <c r="CF273" t="s">
        <v>5748</v>
      </c>
      <c r="CG273">
        <v>6.9767400000000004</v>
      </c>
      <c r="CH273" t="s">
        <v>5749</v>
      </c>
      <c r="CI273" t="s">
        <v>5750</v>
      </c>
      <c r="CK273">
        <v>8</v>
      </c>
      <c r="CL273" t="s">
        <v>4</v>
      </c>
      <c r="CM273" t="s">
        <v>5751</v>
      </c>
      <c r="CN273" t="s">
        <v>5752</v>
      </c>
      <c r="CO273" t="s">
        <v>663</v>
      </c>
      <c r="CP273" t="s">
        <v>100</v>
      </c>
      <c r="CQ273">
        <v>272</v>
      </c>
      <c r="CR273" t="s">
        <v>100</v>
      </c>
      <c r="CS273" t="s">
        <v>100</v>
      </c>
      <c r="CT273" t="s">
        <v>152</v>
      </c>
      <c r="CU273" t="s">
        <v>102</v>
      </c>
      <c r="CV273" t="s">
        <v>100</v>
      </c>
    </row>
    <row r="274" spans="1:100">
      <c r="A274" s="3" t="s">
        <v>5753</v>
      </c>
      <c r="B274" s="4" t="s">
        <v>5754</v>
      </c>
      <c r="C274">
        <v>110.258819656524</v>
      </c>
      <c r="D274">
        <v>1613.12957023699</v>
      </c>
      <c r="E274">
        <f>-3.86984524824872</f>
        <v>-3.86984524824872</v>
      </c>
      <c r="F274" s="5">
        <v>8.7070442831898399E-15</v>
      </c>
      <c r="G274" t="s">
        <v>4</v>
      </c>
      <c r="H274">
        <v>110.258819656524</v>
      </c>
      <c r="I274">
        <v>79.781667841638296</v>
      </c>
      <c r="J274">
        <v>0.45843290035789303</v>
      </c>
      <c r="K274">
        <v>0.42038251350707101</v>
      </c>
      <c r="L274" t="s">
        <v>4</v>
      </c>
      <c r="M274">
        <v>1613.12957023699</v>
      </c>
      <c r="N274">
        <v>79.781667841638296</v>
      </c>
      <c r="O274">
        <v>4.3282781486066098</v>
      </c>
      <c r="P274" s="5">
        <v>2.2726054065591001E-18</v>
      </c>
      <c r="Q274" t="s">
        <v>4</v>
      </c>
      <c r="R274" s="4" t="s">
        <v>87</v>
      </c>
      <c r="S274" t="s">
        <v>4</v>
      </c>
      <c r="T274" t="s">
        <v>92</v>
      </c>
      <c r="U274" t="s">
        <v>92</v>
      </c>
      <c r="V274" t="s">
        <v>92</v>
      </c>
      <c r="W274" t="s">
        <v>92</v>
      </c>
      <c r="X274" t="s">
        <v>4</v>
      </c>
      <c r="Y274" t="s">
        <v>5755</v>
      </c>
      <c r="Z274" t="s">
        <v>5756</v>
      </c>
      <c r="AA274" t="s">
        <v>5757</v>
      </c>
      <c r="AB274" t="s">
        <v>4</v>
      </c>
      <c r="AC274" s="3" t="s">
        <v>93</v>
      </c>
      <c r="AD274" t="s">
        <v>4</v>
      </c>
      <c r="AE274" s="4" t="s">
        <v>94</v>
      </c>
      <c r="AZ274" t="s">
        <v>4</v>
      </c>
      <c r="BA274" s="3" t="s">
        <v>115</v>
      </c>
      <c r="BB274" s="6" t="s">
        <v>95</v>
      </c>
      <c r="BC274" s="3" t="s">
        <v>95</v>
      </c>
      <c r="BD274" t="s">
        <v>4</v>
      </c>
      <c r="BE274">
        <v>1041</v>
      </c>
      <c r="BF274" t="s">
        <v>151</v>
      </c>
      <c r="BG274">
        <v>53.688499999999998</v>
      </c>
      <c r="BI274">
        <v>23.9754</v>
      </c>
      <c r="CK274">
        <v>2</v>
      </c>
      <c r="CL274" t="s">
        <v>4</v>
      </c>
      <c r="CM274" t="s">
        <v>98</v>
      </c>
      <c r="CN274" t="s">
        <v>98</v>
      </c>
      <c r="CO274" t="s">
        <v>99</v>
      </c>
      <c r="CP274" t="s">
        <v>100</v>
      </c>
      <c r="CQ274">
        <v>273</v>
      </c>
      <c r="CR274" t="s">
        <v>100</v>
      </c>
      <c r="CS274" t="s">
        <v>100</v>
      </c>
      <c r="CT274" t="s">
        <v>152</v>
      </c>
      <c r="CU274" t="s">
        <v>102</v>
      </c>
      <c r="CV274" t="s">
        <v>100</v>
      </c>
    </row>
    <row r="275" spans="1:100">
      <c r="A275" s="3" t="s">
        <v>5758</v>
      </c>
      <c r="B275" s="4" t="s">
        <v>5759</v>
      </c>
      <c r="C275">
        <v>12.281431068456399</v>
      </c>
      <c r="D275">
        <v>85.612692648041303</v>
      </c>
      <c r="E275">
        <f>-2.79136320748299</f>
        <v>-2.7913632074829899</v>
      </c>
      <c r="F275">
        <v>1.45020340869061E-4</v>
      </c>
      <c r="G275" t="s">
        <v>4</v>
      </c>
      <c r="H275">
        <v>12.281431068456399</v>
      </c>
      <c r="I275">
        <v>1.6417037200681699</v>
      </c>
      <c r="J275">
        <v>2.7995310881808901</v>
      </c>
      <c r="K275">
        <v>9.8708613151538595E-3</v>
      </c>
      <c r="L275" t="s">
        <v>4</v>
      </c>
      <c r="M275">
        <v>85.612692648041303</v>
      </c>
      <c r="N275">
        <v>1.6417037200681699</v>
      </c>
      <c r="O275">
        <v>5.5908942956638796</v>
      </c>
      <c r="P275" s="5">
        <v>3.4178789685235301E-8</v>
      </c>
      <c r="Q275" t="s">
        <v>4</v>
      </c>
      <c r="R275" s="4" t="s">
        <v>87</v>
      </c>
      <c r="S275" t="s">
        <v>4</v>
      </c>
      <c r="T275" t="s">
        <v>92</v>
      </c>
      <c r="U275" t="s">
        <v>92</v>
      </c>
      <c r="V275" t="s">
        <v>92</v>
      </c>
      <c r="W275" t="s">
        <v>92</v>
      </c>
      <c r="X275" t="s">
        <v>4</v>
      </c>
      <c r="Y275" t="s">
        <v>92</v>
      </c>
      <c r="Z275" t="s">
        <v>92</v>
      </c>
      <c r="AA275" t="s">
        <v>92</v>
      </c>
      <c r="AB275" t="s">
        <v>4</v>
      </c>
      <c r="AC275" s="3" t="s">
        <v>93</v>
      </c>
      <c r="AD275" t="s">
        <v>4</v>
      </c>
      <c r="AE275" s="4" t="s">
        <v>94</v>
      </c>
      <c r="AZ275" t="s">
        <v>4</v>
      </c>
      <c r="BA275" s="3" t="s">
        <v>95</v>
      </c>
      <c r="BB275" s="6" t="s">
        <v>95</v>
      </c>
      <c r="BC275" s="3" t="s">
        <v>95</v>
      </c>
      <c r="BD275" t="s">
        <v>4</v>
      </c>
      <c r="BE275">
        <v>1185</v>
      </c>
      <c r="BF275" t="s">
        <v>151</v>
      </c>
      <c r="BI275">
        <v>54.310299999999998</v>
      </c>
      <c r="CK275">
        <v>2</v>
      </c>
      <c r="CL275" t="s">
        <v>4</v>
      </c>
      <c r="CM275" t="s">
        <v>98</v>
      </c>
      <c r="CN275" t="s">
        <v>98</v>
      </c>
      <c r="CO275" t="s">
        <v>99</v>
      </c>
      <c r="CP275" t="s">
        <v>100</v>
      </c>
      <c r="CQ275">
        <v>274</v>
      </c>
      <c r="CR275" t="s">
        <v>100</v>
      </c>
      <c r="CS275" t="s">
        <v>101</v>
      </c>
      <c r="CT275" t="s">
        <v>152</v>
      </c>
      <c r="CU275" t="s">
        <v>102</v>
      </c>
      <c r="CV275" t="s">
        <v>100</v>
      </c>
    </row>
    <row r="276" spans="1:100">
      <c r="A276" s="3" t="s">
        <v>5760</v>
      </c>
      <c r="B276" s="4" t="s">
        <v>5761</v>
      </c>
      <c r="C276">
        <v>38.527214932478202</v>
      </c>
      <c r="D276">
        <v>674.14196305281598</v>
      </c>
      <c r="E276">
        <f>-4.12742120385301</f>
        <v>-4.12742120385301</v>
      </c>
      <c r="F276" s="5">
        <v>1.1198338234693101E-22</v>
      </c>
      <c r="G276" t="s">
        <v>4</v>
      </c>
      <c r="H276">
        <v>38.527214932478202</v>
      </c>
      <c r="I276">
        <v>20.3935039382689</v>
      </c>
      <c r="J276">
        <v>0.95402187305866304</v>
      </c>
      <c r="K276">
        <v>6.3638338907142697E-2</v>
      </c>
      <c r="L276" t="s">
        <v>4</v>
      </c>
      <c r="M276">
        <v>674.14196305281598</v>
      </c>
      <c r="N276">
        <v>20.3935039382689</v>
      </c>
      <c r="O276">
        <v>5.0814430769116798</v>
      </c>
      <c r="P276" s="5">
        <v>6.7595965433663499E-29</v>
      </c>
      <c r="Q276" t="s">
        <v>4</v>
      </c>
      <c r="R276" s="4" t="s">
        <v>87</v>
      </c>
      <c r="S276" t="s">
        <v>4</v>
      </c>
      <c r="T276" t="s">
        <v>92</v>
      </c>
      <c r="U276" t="s">
        <v>92</v>
      </c>
      <c r="V276" t="s">
        <v>92</v>
      </c>
      <c r="W276" t="s">
        <v>92</v>
      </c>
      <c r="X276" t="s">
        <v>4</v>
      </c>
      <c r="Y276" t="s">
        <v>1355</v>
      </c>
      <c r="Z276" t="s">
        <v>1356</v>
      </c>
      <c r="AA276" t="s">
        <v>1357</v>
      </c>
      <c r="AB276" t="s">
        <v>4</v>
      </c>
      <c r="AC276" s="3" t="s">
        <v>1358</v>
      </c>
      <c r="AD276" t="s">
        <v>4</v>
      </c>
      <c r="AE276" s="4" t="s">
        <v>94</v>
      </c>
      <c r="AZ276" t="s">
        <v>4</v>
      </c>
      <c r="BA276" s="3" t="s">
        <v>95</v>
      </c>
      <c r="BB276" s="6" t="s">
        <v>95</v>
      </c>
      <c r="BC276" s="3" t="s">
        <v>95</v>
      </c>
      <c r="BD276" t="s">
        <v>4</v>
      </c>
      <c r="BE276">
        <v>1947</v>
      </c>
      <c r="BF276" t="s">
        <v>148</v>
      </c>
      <c r="BG276">
        <v>94.227199999999996</v>
      </c>
      <c r="BH276">
        <v>42.085700000000003</v>
      </c>
      <c r="BI276">
        <v>28.491599999999998</v>
      </c>
      <c r="BJ276">
        <v>45.623800000000003</v>
      </c>
      <c r="BK276">
        <v>22.718800000000002</v>
      </c>
      <c r="BL276">
        <v>36.126600000000003</v>
      </c>
      <c r="BM276">
        <v>50.838000000000001</v>
      </c>
      <c r="BN276">
        <v>50.838000000000001</v>
      </c>
      <c r="BO276">
        <v>43.947899999999997</v>
      </c>
      <c r="CK276">
        <v>3</v>
      </c>
      <c r="CL276" t="s">
        <v>4</v>
      </c>
      <c r="CM276" t="s">
        <v>98</v>
      </c>
      <c r="CN276" t="s">
        <v>98</v>
      </c>
      <c r="CO276" t="s">
        <v>99</v>
      </c>
      <c r="CP276" t="s">
        <v>100</v>
      </c>
      <c r="CQ276">
        <v>275</v>
      </c>
      <c r="CR276" t="s">
        <v>100</v>
      </c>
      <c r="CS276" t="s">
        <v>100</v>
      </c>
      <c r="CT276" t="s">
        <v>152</v>
      </c>
      <c r="CU276" t="s">
        <v>102</v>
      </c>
      <c r="CV276" t="s">
        <v>100</v>
      </c>
    </row>
    <row r="277" spans="1:100">
      <c r="A277" s="3" t="s">
        <v>5762</v>
      </c>
      <c r="B277" s="4" t="s">
        <v>5763</v>
      </c>
      <c r="C277">
        <v>190.55885979783699</v>
      </c>
      <c r="D277">
        <v>1088.4326188724499</v>
      </c>
      <c r="E277">
        <f>-2.51317361308</f>
        <v>-2.5131736130800002</v>
      </c>
      <c r="F277" s="5">
        <v>2.1669983998997999E-16</v>
      </c>
      <c r="G277" t="s">
        <v>4</v>
      </c>
      <c r="H277">
        <v>190.55885979783699</v>
      </c>
      <c r="I277">
        <v>39.509045731849199</v>
      </c>
      <c r="J277">
        <v>2.2841588948690701</v>
      </c>
      <c r="K277" s="5">
        <v>3.5348910936405202E-11</v>
      </c>
      <c r="L277" t="s">
        <v>4</v>
      </c>
      <c r="M277">
        <v>1088.4326188724499</v>
      </c>
      <c r="N277">
        <v>39.509045731849199</v>
      </c>
      <c r="O277">
        <v>4.7973325079490703</v>
      </c>
      <c r="P277" s="5">
        <v>4.3682071389602502E-47</v>
      </c>
      <c r="Q277" t="s">
        <v>4</v>
      </c>
      <c r="R277" s="4" t="s">
        <v>87</v>
      </c>
      <c r="S277" t="s">
        <v>4</v>
      </c>
      <c r="T277" t="s">
        <v>460</v>
      </c>
      <c r="U277" t="s">
        <v>461</v>
      </c>
      <c r="V277" t="s">
        <v>462</v>
      </c>
      <c r="W277" t="s">
        <v>123</v>
      </c>
      <c r="X277" t="s">
        <v>4</v>
      </c>
      <c r="Y277" t="s">
        <v>463</v>
      </c>
      <c r="Z277" t="s">
        <v>464</v>
      </c>
      <c r="AA277" t="s">
        <v>465</v>
      </c>
      <c r="AB277" t="s">
        <v>4</v>
      </c>
      <c r="AC277" s="3" t="s">
        <v>93</v>
      </c>
      <c r="AD277" t="s">
        <v>4</v>
      </c>
      <c r="AE277" t="s">
        <v>5764</v>
      </c>
      <c r="AF277" t="s">
        <v>5765</v>
      </c>
      <c r="AG277" t="s">
        <v>5766</v>
      </c>
      <c r="AH277" t="s">
        <v>638</v>
      </c>
      <c r="AJ277" t="s">
        <v>5767</v>
      </c>
      <c r="AU277" t="s">
        <v>112</v>
      </c>
      <c r="AV277" t="s">
        <v>5768</v>
      </c>
      <c r="AW277" t="s">
        <v>114</v>
      </c>
      <c r="AX277" t="s">
        <v>371</v>
      </c>
      <c r="AY277" t="s">
        <v>471</v>
      </c>
      <c r="AZ277" t="s">
        <v>4</v>
      </c>
      <c r="BA277" s="3" t="s">
        <v>95</v>
      </c>
      <c r="BB277" s="6" t="s">
        <v>95</v>
      </c>
      <c r="BC277" s="3" t="s">
        <v>95</v>
      </c>
      <c r="BD277" t="s">
        <v>4</v>
      </c>
      <c r="BE277">
        <v>4200</v>
      </c>
      <c r="BF277" t="s">
        <v>112</v>
      </c>
      <c r="BG277">
        <v>53.9773</v>
      </c>
      <c r="BH277">
        <v>67.613600000000005</v>
      </c>
      <c r="BI277">
        <v>38.068199999999997</v>
      </c>
      <c r="BJ277">
        <v>39.7727</v>
      </c>
      <c r="BK277">
        <v>35.795499999999997</v>
      </c>
      <c r="BL277">
        <v>56.818199999999997</v>
      </c>
      <c r="BM277">
        <v>56.818199999999997</v>
      </c>
      <c r="BN277">
        <v>56.818199999999997</v>
      </c>
      <c r="BO277">
        <v>89.204499999999996</v>
      </c>
      <c r="BP277">
        <v>43.181800000000003</v>
      </c>
      <c r="BQ277">
        <v>35.2273</v>
      </c>
      <c r="CK277">
        <v>5</v>
      </c>
      <c r="CL277" t="s">
        <v>4</v>
      </c>
      <c r="CM277" t="s">
        <v>98</v>
      </c>
      <c r="CN277" t="s">
        <v>98</v>
      </c>
      <c r="CO277" t="s">
        <v>99</v>
      </c>
      <c r="CP277" t="s">
        <v>100</v>
      </c>
      <c r="CQ277">
        <v>276</v>
      </c>
      <c r="CR277" t="s">
        <v>100</v>
      </c>
      <c r="CS277" t="s">
        <v>101</v>
      </c>
      <c r="CT277" t="s">
        <v>152</v>
      </c>
      <c r="CU277" t="s">
        <v>102</v>
      </c>
      <c r="CV277" t="s">
        <v>100</v>
      </c>
    </row>
    <row r="278" spans="1:100">
      <c r="A278" s="3" t="s">
        <v>5769</v>
      </c>
      <c r="B278" s="4" t="s">
        <v>5770</v>
      </c>
      <c r="C278">
        <v>56.691275937917801</v>
      </c>
      <c r="D278">
        <v>1137.4964749498599</v>
      </c>
      <c r="E278">
        <f>-4.32480347855357</f>
        <v>-4.3248034785535703</v>
      </c>
      <c r="F278" s="5">
        <v>5.9657456091895801E-25</v>
      </c>
      <c r="G278" t="s">
        <v>4</v>
      </c>
      <c r="H278">
        <v>56.691275937917801</v>
      </c>
      <c r="I278">
        <v>46.608213117367796</v>
      </c>
      <c r="J278">
        <v>0.25987670926916401</v>
      </c>
      <c r="K278">
        <v>0.61426357584810798</v>
      </c>
      <c r="L278" t="s">
        <v>4</v>
      </c>
      <c r="M278">
        <v>1137.4964749498599</v>
      </c>
      <c r="N278">
        <v>46.608213117367796</v>
      </c>
      <c r="O278">
        <v>4.5846801878227303</v>
      </c>
      <c r="P278" s="5">
        <v>6.0043122566112299E-27</v>
      </c>
      <c r="Q278" t="s">
        <v>4</v>
      </c>
      <c r="R278" s="4" t="s">
        <v>87</v>
      </c>
      <c r="S278" t="s">
        <v>4</v>
      </c>
      <c r="T278" t="s">
        <v>92</v>
      </c>
      <c r="U278" t="s">
        <v>92</v>
      </c>
      <c r="V278" t="s">
        <v>92</v>
      </c>
      <c r="W278" t="s">
        <v>92</v>
      </c>
      <c r="X278" t="s">
        <v>4</v>
      </c>
      <c r="Y278" t="s">
        <v>92</v>
      </c>
      <c r="Z278" t="s">
        <v>92</v>
      </c>
      <c r="AA278" t="s">
        <v>92</v>
      </c>
      <c r="AB278" t="s">
        <v>4</v>
      </c>
      <c r="AC278" s="3" t="s">
        <v>93</v>
      </c>
      <c r="AD278" t="s">
        <v>4</v>
      </c>
      <c r="AE278" s="4" t="s">
        <v>94</v>
      </c>
      <c r="AZ278" t="s">
        <v>4</v>
      </c>
      <c r="BA278" s="3" t="s">
        <v>115</v>
      </c>
      <c r="BB278" s="6" t="s">
        <v>95</v>
      </c>
      <c r="BC278" s="3" t="s">
        <v>95</v>
      </c>
      <c r="BD278" t="s">
        <v>4</v>
      </c>
      <c r="BE278">
        <v>2615</v>
      </c>
      <c r="BF278" t="s">
        <v>97</v>
      </c>
      <c r="BG278">
        <v>52.247199999999999</v>
      </c>
      <c r="BJ278">
        <v>44.943800000000003</v>
      </c>
      <c r="BK278">
        <v>52.247199999999999</v>
      </c>
      <c r="BL278">
        <v>44.943800000000003</v>
      </c>
      <c r="BM278">
        <v>47.191000000000003</v>
      </c>
      <c r="BN278">
        <v>47.191000000000003</v>
      </c>
      <c r="BO278">
        <v>48.876399999999997</v>
      </c>
      <c r="CK278">
        <v>4</v>
      </c>
      <c r="CL278" t="s">
        <v>4</v>
      </c>
      <c r="CM278" t="s">
        <v>98</v>
      </c>
      <c r="CN278" t="s">
        <v>98</v>
      </c>
      <c r="CO278" t="s">
        <v>99</v>
      </c>
      <c r="CP278" t="s">
        <v>100</v>
      </c>
      <c r="CQ278">
        <v>277</v>
      </c>
      <c r="CR278" t="s">
        <v>100</v>
      </c>
      <c r="CS278" t="s">
        <v>100</v>
      </c>
      <c r="CT278" t="s">
        <v>152</v>
      </c>
      <c r="CU278" t="s">
        <v>102</v>
      </c>
      <c r="CV278" t="s">
        <v>100</v>
      </c>
    </row>
    <row r="279" spans="1:100">
      <c r="A279" s="3" t="s">
        <v>5771</v>
      </c>
      <c r="B279" s="4" t="s">
        <v>5772</v>
      </c>
      <c r="C279">
        <v>62.519893627250703</v>
      </c>
      <c r="D279">
        <v>1036.7674831300001</v>
      </c>
      <c r="E279">
        <f>-4.04884085507431</f>
        <v>-4.0488408550743102</v>
      </c>
      <c r="F279" s="5">
        <v>3.55892158765593E-10</v>
      </c>
      <c r="G279" t="s">
        <v>4</v>
      </c>
      <c r="H279">
        <v>62.519893627250703</v>
      </c>
      <c r="I279">
        <v>212.26269159610899</v>
      </c>
      <c r="J279">
        <f>-1.75630814857227</f>
        <v>-1.75630814857227</v>
      </c>
      <c r="K279">
        <v>8.6251567350234606E-3</v>
      </c>
      <c r="L279" t="s">
        <v>4</v>
      </c>
      <c r="M279">
        <v>1036.7674831300001</v>
      </c>
      <c r="N279">
        <v>212.26269159610899</v>
      </c>
      <c r="O279">
        <v>2.29253270650204</v>
      </c>
      <c r="P279">
        <v>3.6584156791285698E-4</v>
      </c>
      <c r="Q279" t="s">
        <v>4</v>
      </c>
      <c r="R279" s="4" t="s">
        <v>87</v>
      </c>
      <c r="S279" t="s">
        <v>4</v>
      </c>
      <c r="T279" t="s">
        <v>5773</v>
      </c>
      <c r="U279" t="s">
        <v>5774</v>
      </c>
      <c r="V279" t="s">
        <v>5775</v>
      </c>
      <c r="W279" t="s">
        <v>328</v>
      </c>
      <c r="X279" t="s">
        <v>4</v>
      </c>
      <c r="Y279" t="s">
        <v>5776</v>
      </c>
      <c r="Z279" t="s">
        <v>5777</v>
      </c>
      <c r="AA279" t="s">
        <v>5778</v>
      </c>
      <c r="AB279" t="s">
        <v>4</v>
      </c>
      <c r="AC279" s="3" t="s">
        <v>5779</v>
      </c>
      <c r="AD279" t="s">
        <v>4</v>
      </c>
      <c r="AE279" t="s">
        <v>5780</v>
      </c>
      <c r="AF279" t="s">
        <v>5781</v>
      </c>
      <c r="AG279" t="s">
        <v>5782</v>
      </c>
      <c r="AH279" t="s">
        <v>112</v>
      </c>
      <c r="AJ279" t="s">
        <v>5783</v>
      </c>
      <c r="AK279" t="s">
        <v>5784</v>
      </c>
      <c r="AL279" t="s">
        <v>5785</v>
      </c>
      <c r="AM279" t="s">
        <v>5786</v>
      </c>
      <c r="AN279" t="s">
        <v>5787</v>
      </c>
      <c r="AO279" t="s">
        <v>5788</v>
      </c>
      <c r="AP279" t="s">
        <v>5789</v>
      </c>
      <c r="AQ279" t="s">
        <v>5790</v>
      </c>
      <c r="AU279" t="s">
        <v>112</v>
      </c>
      <c r="AV279" t="s">
        <v>5791</v>
      </c>
      <c r="AW279" t="s">
        <v>114</v>
      </c>
      <c r="AX279" t="s">
        <v>1096</v>
      </c>
      <c r="AY279" t="s">
        <v>5792</v>
      </c>
      <c r="AZ279" t="s">
        <v>4</v>
      </c>
      <c r="BA279" s="3" t="s">
        <v>95</v>
      </c>
      <c r="BB279" t="s">
        <v>96</v>
      </c>
      <c r="BC279" s="3" t="s">
        <v>95</v>
      </c>
      <c r="BD279" t="s">
        <v>4</v>
      </c>
      <c r="BE279">
        <v>10142</v>
      </c>
      <c r="BF279" t="s">
        <v>169</v>
      </c>
      <c r="BG279">
        <v>99.477800000000002</v>
      </c>
      <c r="BH279">
        <v>42.558700000000002</v>
      </c>
      <c r="BI279">
        <v>76.240200000000002</v>
      </c>
      <c r="BJ279">
        <v>86.161900000000003</v>
      </c>
      <c r="BK279">
        <v>64.229799999999997</v>
      </c>
      <c r="BL279">
        <v>41.253300000000003</v>
      </c>
      <c r="BM279">
        <v>79.895600000000002</v>
      </c>
      <c r="BN279">
        <v>79.373400000000004</v>
      </c>
      <c r="BO279">
        <v>50.130499999999998</v>
      </c>
      <c r="BP279">
        <v>53.002600000000001</v>
      </c>
      <c r="BQ279">
        <v>43.341999999999999</v>
      </c>
      <c r="BR279">
        <v>45.953000000000003</v>
      </c>
      <c r="BS279">
        <v>43.603099999999998</v>
      </c>
      <c r="BV279" t="s">
        <v>5793</v>
      </c>
      <c r="BW279">
        <v>49.086199999999998</v>
      </c>
      <c r="BX279">
        <v>45.691899999999997</v>
      </c>
      <c r="BZ279">
        <v>43.0809</v>
      </c>
      <c r="CA279">
        <v>45.953000000000003</v>
      </c>
      <c r="CB279">
        <v>36.031300000000002</v>
      </c>
      <c r="CC279">
        <v>23.2376</v>
      </c>
      <c r="CD279">
        <v>27.415099999999999</v>
      </c>
      <c r="CE279">
        <v>25.065300000000001</v>
      </c>
      <c r="CF279" t="s">
        <v>5794</v>
      </c>
      <c r="CG279">
        <v>30.287199999999999</v>
      </c>
      <c r="CH279">
        <v>29.503900000000002</v>
      </c>
      <c r="CI279">
        <v>29.503900000000002</v>
      </c>
      <c r="CJ279" t="s">
        <v>5795</v>
      </c>
      <c r="CK279">
        <v>9</v>
      </c>
      <c r="CL279" t="s">
        <v>4</v>
      </c>
      <c r="CM279" t="s">
        <v>5796</v>
      </c>
      <c r="CN279" t="s">
        <v>5797</v>
      </c>
      <c r="CO279" t="s">
        <v>99</v>
      </c>
      <c r="CP279" t="s">
        <v>100</v>
      </c>
      <c r="CQ279">
        <v>278</v>
      </c>
      <c r="CR279" t="s">
        <v>100</v>
      </c>
      <c r="CS279" t="s">
        <v>100</v>
      </c>
      <c r="CT279" t="s">
        <v>152</v>
      </c>
      <c r="CU279" t="s">
        <v>102</v>
      </c>
      <c r="CV279" t="s">
        <v>100</v>
      </c>
    </row>
    <row r="280" spans="1:100">
      <c r="A280" s="3" t="s">
        <v>5798</v>
      </c>
      <c r="B280" s="4" t="s">
        <v>5799</v>
      </c>
      <c r="C280">
        <v>55.392736660295498</v>
      </c>
      <c r="D280">
        <v>631.28431217813602</v>
      </c>
      <c r="E280">
        <f>-3.51283757789953</f>
        <v>-3.5128375778995302</v>
      </c>
      <c r="F280" s="5">
        <v>1.8604366889796101E-16</v>
      </c>
      <c r="G280" t="s">
        <v>4</v>
      </c>
      <c r="H280">
        <v>55.392736660295498</v>
      </c>
      <c r="I280">
        <v>35.687450606945099</v>
      </c>
      <c r="J280">
        <v>0.63964198957378104</v>
      </c>
      <c r="K280">
        <v>0.20108418036169101</v>
      </c>
      <c r="L280" t="s">
        <v>4</v>
      </c>
      <c r="M280">
        <v>631.28431217813602</v>
      </c>
      <c r="N280">
        <v>35.687450606945099</v>
      </c>
      <c r="O280">
        <v>4.1524795674733097</v>
      </c>
      <c r="P280" s="5">
        <v>3.19714942681753E-21</v>
      </c>
      <c r="Q280" t="s">
        <v>4</v>
      </c>
      <c r="R280" s="4" t="s">
        <v>87</v>
      </c>
      <c r="S280" t="s">
        <v>4</v>
      </c>
      <c r="T280" t="s">
        <v>92</v>
      </c>
      <c r="U280" t="s">
        <v>92</v>
      </c>
      <c r="V280" t="s">
        <v>92</v>
      </c>
      <c r="W280" t="s">
        <v>92</v>
      </c>
      <c r="X280" t="s">
        <v>4</v>
      </c>
      <c r="Y280" t="s">
        <v>92</v>
      </c>
      <c r="Z280" t="s">
        <v>92</v>
      </c>
      <c r="AA280" t="s">
        <v>92</v>
      </c>
      <c r="AB280" t="s">
        <v>4</v>
      </c>
      <c r="AC280" s="3" t="s">
        <v>93</v>
      </c>
      <c r="AD280" t="s">
        <v>4</v>
      </c>
      <c r="AE280" s="4" t="s">
        <v>94</v>
      </c>
      <c r="AZ280" t="s">
        <v>4</v>
      </c>
      <c r="BA280" s="3" t="s">
        <v>95</v>
      </c>
      <c r="BB280" s="6" t="s">
        <v>95</v>
      </c>
      <c r="BC280" s="3" t="s">
        <v>197</v>
      </c>
      <c r="BD280" t="s">
        <v>4</v>
      </c>
      <c r="BE280">
        <v>1190</v>
      </c>
      <c r="BF280" t="s">
        <v>151</v>
      </c>
      <c r="BG280">
        <v>100</v>
      </c>
      <c r="BH280">
        <v>36.802999999999997</v>
      </c>
      <c r="BJ280">
        <v>73.234200000000001</v>
      </c>
      <c r="BK280">
        <v>48.698900000000002</v>
      </c>
      <c r="BO280">
        <v>11.1524</v>
      </c>
      <c r="CK280">
        <v>2</v>
      </c>
      <c r="CL280" t="s">
        <v>4</v>
      </c>
      <c r="CM280" t="s">
        <v>98</v>
      </c>
      <c r="CN280" t="s">
        <v>98</v>
      </c>
      <c r="CO280" t="s">
        <v>99</v>
      </c>
      <c r="CP280" t="s">
        <v>100</v>
      </c>
      <c r="CQ280">
        <v>279</v>
      </c>
      <c r="CR280" t="s">
        <v>100</v>
      </c>
      <c r="CS280" t="s">
        <v>100</v>
      </c>
      <c r="CT280" t="s">
        <v>152</v>
      </c>
      <c r="CU280" t="s">
        <v>102</v>
      </c>
      <c r="CV280" t="s">
        <v>100</v>
      </c>
    </row>
    <row r="281" spans="1:100">
      <c r="A281" s="3" t="s">
        <v>5800</v>
      </c>
      <c r="B281" s="4" t="s">
        <v>5801</v>
      </c>
      <c r="C281">
        <v>1974.9070535035501</v>
      </c>
      <c r="D281">
        <v>8697.7946390028701</v>
      </c>
      <c r="E281">
        <f>-2.13873129053741</f>
        <v>-2.1387312905374101</v>
      </c>
      <c r="F281" s="5">
        <v>2.95266806729186E-36</v>
      </c>
      <c r="G281" t="s">
        <v>4</v>
      </c>
      <c r="H281">
        <v>1974.9070535035501</v>
      </c>
      <c r="I281">
        <v>1186.95739174911</v>
      </c>
      <c r="J281">
        <v>0.73350156765970198</v>
      </c>
      <c r="K281" s="5">
        <v>3.8928821298362602E-5</v>
      </c>
      <c r="L281" t="s">
        <v>4</v>
      </c>
      <c r="M281">
        <v>8697.7946390028701</v>
      </c>
      <c r="N281">
        <v>1186.95739174911</v>
      </c>
      <c r="O281">
        <v>2.8722328581971102</v>
      </c>
      <c r="P281" s="5">
        <v>3.1174709714101901E-65</v>
      </c>
      <c r="Q281" t="s">
        <v>4</v>
      </c>
      <c r="R281" s="4" t="s">
        <v>87</v>
      </c>
      <c r="S281" t="s">
        <v>4</v>
      </c>
      <c r="T281" t="s">
        <v>2243</v>
      </c>
      <c r="U281" t="s">
        <v>2244</v>
      </c>
      <c r="V281" t="s">
        <v>2245</v>
      </c>
      <c r="W281" t="s">
        <v>123</v>
      </c>
      <c r="X281" t="s">
        <v>4</v>
      </c>
      <c r="Y281" t="s">
        <v>5802</v>
      </c>
      <c r="Z281" t="s">
        <v>5803</v>
      </c>
      <c r="AA281" t="s">
        <v>5804</v>
      </c>
      <c r="AB281" t="s">
        <v>4</v>
      </c>
      <c r="AC281" s="3" t="s">
        <v>5805</v>
      </c>
      <c r="AD281" t="s">
        <v>4</v>
      </c>
      <c r="AE281" s="4" t="s">
        <v>94</v>
      </c>
      <c r="AZ281" t="s">
        <v>4</v>
      </c>
      <c r="BA281" s="3" t="s">
        <v>115</v>
      </c>
      <c r="BB281" s="6" t="s">
        <v>95</v>
      </c>
      <c r="BC281" s="3" t="s">
        <v>95</v>
      </c>
      <c r="BD281" t="s">
        <v>4</v>
      </c>
      <c r="BE281">
        <v>2629</v>
      </c>
      <c r="BF281" t="s">
        <v>97</v>
      </c>
      <c r="BG281">
        <v>98.430499999999995</v>
      </c>
      <c r="BH281">
        <v>57.847499999999997</v>
      </c>
      <c r="BI281">
        <v>65.4709</v>
      </c>
      <c r="BJ281">
        <v>81.390100000000004</v>
      </c>
      <c r="BK281">
        <v>82.959599999999995</v>
      </c>
      <c r="BL281">
        <v>44.394599999999997</v>
      </c>
      <c r="BM281">
        <v>83.856499999999997</v>
      </c>
      <c r="BN281">
        <v>83.856499999999997</v>
      </c>
      <c r="BO281">
        <v>83.632300000000001</v>
      </c>
      <c r="BP281">
        <v>22.87</v>
      </c>
      <c r="CK281">
        <v>4</v>
      </c>
      <c r="CL281" t="s">
        <v>4</v>
      </c>
      <c r="CM281" t="s">
        <v>98</v>
      </c>
      <c r="CN281" t="s">
        <v>98</v>
      </c>
      <c r="CO281" t="s">
        <v>99</v>
      </c>
      <c r="CP281" t="s">
        <v>100</v>
      </c>
      <c r="CQ281">
        <v>280</v>
      </c>
      <c r="CR281" t="s">
        <v>100</v>
      </c>
      <c r="CS281" t="s">
        <v>100</v>
      </c>
      <c r="CT281" t="s">
        <v>152</v>
      </c>
      <c r="CU281" t="s">
        <v>102</v>
      </c>
      <c r="CV281" t="s">
        <v>100</v>
      </c>
    </row>
    <row r="282" spans="1:100">
      <c r="A282" s="3" t="s">
        <v>5806</v>
      </c>
      <c r="B282" s="4" t="s">
        <v>5807</v>
      </c>
      <c r="C282">
        <v>35.113063550217397</v>
      </c>
      <c r="D282">
        <v>249.31936062185301</v>
      </c>
      <c r="E282">
        <f>-2.82791126300335</f>
        <v>-2.8279112630033501</v>
      </c>
      <c r="F282" s="5">
        <v>1.87634185351538E-16</v>
      </c>
      <c r="G282" t="s">
        <v>4</v>
      </c>
      <c r="H282">
        <v>35.113063550217397</v>
      </c>
      <c r="I282">
        <v>14.790884662881901</v>
      </c>
      <c r="J282">
        <v>1.2606480834465501</v>
      </c>
      <c r="K282">
        <v>5.1857614409684897E-3</v>
      </c>
      <c r="L282" t="s">
        <v>4</v>
      </c>
      <c r="M282">
        <v>249.31936062185301</v>
      </c>
      <c r="N282">
        <v>14.790884662881901</v>
      </c>
      <c r="O282">
        <v>4.0885593464499097</v>
      </c>
      <c r="P282" s="5">
        <v>9.8746108214669595E-24</v>
      </c>
      <c r="Q282" t="s">
        <v>4</v>
      </c>
      <c r="R282" s="4" t="s">
        <v>87</v>
      </c>
      <c r="S282" t="s">
        <v>4</v>
      </c>
      <c r="T282" t="s">
        <v>92</v>
      </c>
      <c r="U282" t="s">
        <v>92</v>
      </c>
      <c r="V282" t="s">
        <v>92</v>
      </c>
      <c r="W282" t="s">
        <v>92</v>
      </c>
      <c r="X282" t="s">
        <v>4</v>
      </c>
      <c r="Y282" t="s">
        <v>92</v>
      </c>
      <c r="Z282" t="s">
        <v>92</v>
      </c>
      <c r="AA282" t="s">
        <v>92</v>
      </c>
      <c r="AB282" t="s">
        <v>4</v>
      </c>
      <c r="AC282" s="3" t="s">
        <v>93</v>
      </c>
      <c r="AD282" t="s">
        <v>4</v>
      </c>
      <c r="AE282" s="4" t="s">
        <v>94</v>
      </c>
      <c r="AZ282" t="s">
        <v>4</v>
      </c>
      <c r="BA282" s="3" t="s">
        <v>115</v>
      </c>
      <c r="BB282" s="6" t="s">
        <v>95</v>
      </c>
      <c r="BC282" s="3" t="s">
        <v>95</v>
      </c>
      <c r="BD282" t="s">
        <v>4</v>
      </c>
      <c r="BE282">
        <v>1193</v>
      </c>
      <c r="BF282" t="s">
        <v>151</v>
      </c>
      <c r="BG282">
        <v>30.407499999999999</v>
      </c>
      <c r="BI282">
        <v>29.467099999999999</v>
      </c>
      <c r="BJ282">
        <v>24.137899999999998</v>
      </c>
      <c r="BK282">
        <v>23.510999999999999</v>
      </c>
      <c r="BN282">
        <v>19.749199999999998</v>
      </c>
      <c r="BO282">
        <v>17.241399999999999</v>
      </c>
      <c r="CK282">
        <v>2</v>
      </c>
      <c r="CL282" t="s">
        <v>4</v>
      </c>
      <c r="CM282" t="s">
        <v>98</v>
      </c>
      <c r="CN282" t="s">
        <v>98</v>
      </c>
      <c r="CO282" t="s">
        <v>99</v>
      </c>
      <c r="CP282" t="s">
        <v>100</v>
      </c>
      <c r="CQ282">
        <v>281</v>
      </c>
      <c r="CR282" t="s">
        <v>100</v>
      </c>
      <c r="CS282" s="7" t="s">
        <v>101</v>
      </c>
      <c r="CT282" t="s">
        <v>152</v>
      </c>
      <c r="CU282" t="s">
        <v>102</v>
      </c>
      <c r="CV282" t="s">
        <v>100</v>
      </c>
    </row>
    <row r="283" spans="1:100">
      <c r="A283" s="3" t="s">
        <v>5808</v>
      </c>
      <c r="B283" s="4" t="s">
        <v>5809</v>
      </c>
      <c r="C283">
        <v>46.623649305620397</v>
      </c>
      <c r="D283">
        <v>330.27915170841902</v>
      </c>
      <c r="E283">
        <f>-2.81609120292281</f>
        <v>-2.8160912029228098</v>
      </c>
      <c r="F283" s="5">
        <v>8.0946875073284707E-15</v>
      </c>
      <c r="G283" t="s">
        <v>4</v>
      </c>
      <c r="H283">
        <v>46.623649305620397</v>
      </c>
      <c r="I283">
        <v>50.853045378584603</v>
      </c>
      <c r="J283">
        <f>0.115141086519453</f>
        <v>0.115141086519453</v>
      </c>
      <c r="K283">
        <v>0.80156600567901803</v>
      </c>
      <c r="L283" t="s">
        <v>4</v>
      </c>
      <c r="M283">
        <v>330.27915170841902</v>
      </c>
      <c r="N283">
        <v>50.853045378584603</v>
      </c>
      <c r="O283">
        <v>2.70095011640336</v>
      </c>
      <c r="P283" s="5">
        <v>2.04715365397557E-13</v>
      </c>
      <c r="Q283" t="s">
        <v>4</v>
      </c>
      <c r="R283" s="4" t="s">
        <v>87</v>
      </c>
      <c r="S283" t="s">
        <v>4</v>
      </c>
      <c r="T283" t="s">
        <v>88</v>
      </c>
      <c r="U283" t="s">
        <v>89</v>
      </c>
      <c r="V283" t="s">
        <v>90</v>
      </c>
      <c r="W283" t="s">
        <v>91</v>
      </c>
      <c r="X283" t="s">
        <v>4</v>
      </c>
      <c r="Y283" t="s">
        <v>92</v>
      </c>
      <c r="Z283" t="s">
        <v>92</v>
      </c>
      <c r="AA283" t="s">
        <v>92</v>
      </c>
      <c r="AB283" t="s">
        <v>4</v>
      </c>
      <c r="AC283" s="3" t="s">
        <v>93</v>
      </c>
      <c r="AD283" t="s">
        <v>4</v>
      </c>
      <c r="AE283" t="s">
        <v>5810</v>
      </c>
      <c r="AF283" t="s">
        <v>5811</v>
      </c>
      <c r="AG283" t="s">
        <v>5812</v>
      </c>
      <c r="AH283" t="s">
        <v>638</v>
      </c>
      <c r="AU283" t="s">
        <v>112</v>
      </c>
      <c r="AV283" t="s">
        <v>5813</v>
      </c>
      <c r="AW283" t="s">
        <v>114</v>
      </c>
      <c r="AX283" t="s">
        <v>144</v>
      </c>
      <c r="AY283" t="s">
        <v>5814</v>
      </c>
      <c r="AZ283" t="s">
        <v>4</v>
      </c>
      <c r="BA283" s="3" t="s">
        <v>95</v>
      </c>
      <c r="BB283" t="s">
        <v>96</v>
      </c>
      <c r="BC283" s="3" t="s">
        <v>95</v>
      </c>
      <c r="BD283" t="s">
        <v>4</v>
      </c>
      <c r="BE283">
        <v>4210</v>
      </c>
      <c r="BF283" t="s">
        <v>112</v>
      </c>
      <c r="BG283">
        <v>98.615899999999996</v>
      </c>
      <c r="BI283" t="s">
        <v>5815</v>
      </c>
      <c r="BJ283">
        <v>74.394499999999994</v>
      </c>
      <c r="BK283">
        <v>64.359899999999996</v>
      </c>
      <c r="BL283">
        <v>72.318299999999994</v>
      </c>
      <c r="BM283">
        <v>74.394499999999994</v>
      </c>
      <c r="BN283">
        <v>79.930800000000005</v>
      </c>
      <c r="BP283">
        <v>39.100299999999997</v>
      </c>
      <c r="BR283">
        <v>31.8339</v>
      </c>
      <c r="BS283">
        <v>28.7197</v>
      </c>
      <c r="BW283">
        <v>26.643599999999999</v>
      </c>
      <c r="BX283">
        <v>30.1038</v>
      </c>
      <c r="BY283">
        <v>29.0657</v>
      </c>
      <c r="BZ283">
        <v>27.335599999999999</v>
      </c>
      <c r="CA283">
        <v>27.335599999999999</v>
      </c>
      <c r="CK283">
        <v>5</v>
      </c>
      <c r="CL283" t="s">
        <v>4</v>
      </c>
      <c r="CM283" t="s">
        <v>5816</v>
      </c>
      <c r="CN283" t="s">
        <v>5817</v>
      </c>
      <c r="CO283" t="s">
        <v>99</v>
      </c>
      <c r="CP283" t="s">
        <v>100</v>
      </c>
      <c r="CQ283">
        <v>282</v>
      </c>
      <c r="CR283" t="s">
        <v>100</v>
      </c>
      <c r="CS283" t="s">
        <v>100</v>
      </c>
      <c r="CT283" t="s">
        <v>152</v>
      </c>
      <c r="CU283" t="s">
        <v>102</v>
      </c>
      <c r="CV283" t="s">
        <v>100</v>
      </c>
    </row>
    <row r="284" spans="1:100">
      <c r="A284" s="3" t="s">
        <v>5818</v>
      </c>
      <c r="B284" s="4" t="s">
        <v>5819</v>
      </c>
      <c r="C284">
        <v>341.01445374772101</v>
      </c>
      <c r="D284">
        <v>4160.8089902801703</v>
      </c>
      <c r="E284">
        <f>-3.60831861678164</f>
        <v>-3.6083186167816401</v>
      </c>
      <c r="F284" s="5">
        <v>1.0779830983524801E-14</v>
      </c>
      <c r="G284" t="s">
        <v>4</v>
      </c>
      <c r="H284">
        <v>341.01445374772101</v>
      </c>
      <c r="I284">
        <v>145.69779124378101</v>
      </c>
      <c r="J284">
        <v>1.2313392256698901</v>
      </c>
      <c r="K284">
        <v>1.30078811210459E-2</v>
      </c>
      <c r="L284" t="s">
        <v>4</v>
      </c>
      <c r="M284">
        <v>4160.8089902801703</v>
      </c>
      <c r="N284">
        <v>145.69779124378101</v>
      </c>
      <c r="O284">
        <v>4.83965784245152</v>
      </c>
      <c r="P284" s="5">
        <v>6.1590001652899701E-26</v>
      </c>
      <c r="Q284" t="s">
        <v>4</v>
      </c>
      <c r="R284" s="4" t="s">
        <v>87</v>
      </c>
      <c r="S284" t="s">
        <v>4</v>
      </c>
      <c r="T284" t="s">
        <v>92</v>
      </c>
      <c r="U284" t="s">
        <v>92</v>
      </c>
      <c r="V284" t="s">
        <v>92</v>
      </c>
      <c r="W284" t="s">
        <v>92</v>
      </c>
      <c r="X284" t="s">
        <v>4</v>
      </c>
      <c r="Y284" t="s">
        <v>5820</v>
      </c>
      <c r="Z284" t="s">
        <v>5821</v>
      </c>
      <c r="AA284" t="s">
        <v>5822</v>
      </c>
      <c r="AB284" t="s">
        <v>4</v>
      </c>
      <c r="AC284" s="3" t="s">
        <v>5823</v>
      </c>
      <c r="AD284" t="s">
        <v>4</v>
      </c>
      <c r="AE284" t="s">
        <v>5824</v>
      </c>
      <c r="AF284" t="s">
        <v>5825</v>
      </c>
      <c r="AG284" t="s">
        <v>5826</v>
      </c>
      <c r="AH284" t="s">
        <v>5827</v>
      </c>
      <c r="AU284" t="s">
        <v>112</v>
      </c>
      <c r="AV284" t="s">
        <v>5828</v>
      </c>
      <c r="AW284" t="s">
        <v>114</v>
      </c>
      <c r="AX284" t="s">
        <v>1879</v>
      </c>
      <c r="AY284" t="s">
        <v>5829</v>
      </c>
      <c r="AZ284" t="s">
        <v>4</v>
      </c>
      <c r="BA284" s="3" t="s">
        <v>95</v>
      </c>
      <c r="BB284" s="6" t="s">
        <v>95</v>
      </c>
      <c r="BC284" s="3" t="s">
        <v>95</v>
      </c>
      <c r="BD284" t="s">
        <v>4</v>
      </c>
      <c r="BE284">
        <v>1972</v>
      </c>
      <c r="BF284" t="s">
        <v>148</v>
      </c>
      <c r="BG284">
        <v>99.047600000000003</v>
      </c>
      <c r="BH284">
        <v>100</v>
      </c>
      <c r="BI284">
        <v>78.730199999999996</v>
      </c>
      <c r="BJ284" t="s">
        <v>5830</v>
      </c>
      <c r="BK284">
        <v>78.730199999999996</v>
      </c>
      <c r="BO284">
        <v>73.650800000000004</v>
      </c>
      <c r="CK284">
        <v>3</v>
      </c>
      <c r="CL284" t="s">
        <v>4</v>
      </c>
      <c r="CM284" t="s">
        <v>98</v>
      </c>
      <c r="CN284" t="s">
        <v>98</v>
      </c>
      <c r="CO284" t="s">
        <v>99</v>
      </c>
      <c r="CP284" t="s">
        <v>100</v>
      </c>
      <c r="CQ284">
        <v>283</v>
      </c>
      <c r="CR284" t="s">
        <v>100</v>
      </c>
      <c r="CS284" s="7" t="s">
        <v>101</v>
      </c>
      <c r="CT284" t="s">
        <v>152</v>
      </c>
      <c r="CU284" t="s">
        <v>102</v>
      </c>
      <c r="CV284" t="s">
        <v>100</v>
      </c>
    </row>
    <row r="285" spans="1:100">
      <c r="A285" s="3" t="s">
        <v>5831</v>
      </c>
      <c r="B285" s="4" t="s">
        <v>5832</v>
      </c>
      <c r="C285">
        <v>394.86453088170299</v>
      </c>
      <c r="D285">
        <v>5959.72270157408</v>
      </c>
      <c r="E285">
        <f>-3.9156634666824</f>
        <v>-3.9156634666824002</v>
      </c>
      <c r="F285" s="5">
        <v>1.7526471716685601E-5</v>
      </c>
      <c r="G285" t="s">
        <v>4</v>
      </c>
      <c r="H285">
        <v>394.86453088170299</v>
      </c>
      <c r="I285">
        <v>198.114384846826</v>
      </c>
      <c r="J285">
        <v>0.99650089310132395</v>
      </c>
      <c r="K285">
        <v>0.30337257380118099</v>
      </c>
      <c r="L285" t="s">
        <v>4</v>
      </c>
      <c r="M285">
        <v>5959.72270157408</v>
      </c>
      <c r="N285">
        <v>198.114384846826</v>
      </c>
      <c r="O285">
        <v>4.9121643597837297</v>
      </c>
      <c r="P285" s="5">
        <v>1.84938381238848E-8</v>
      </c>
      <c r="Q285" t="s">
        <v>4</v>
      </c>
      <c r="R285" s="4" t="s">
        <v>87</v>
      </c>
      <c r="S285" t="s">
        <v>4</v>
      </c>
      <c r="T285" t="s">
        <v>92</v>
      </c>
      <c r="U285" t="s">
        <v>92</v>
      </c>
      <c r="V285" t="s">
        <v>92</v>
      </c>
      <c r="W285" t="s">
        <v>92</v>
      </c>
      <c r="X285" t="s">
        <v>4</v>
      </c>
      <c r="Y285" t="s">
        <v>5833</v>
      </c>
      <c r="Z285" t="s">
        <v>5834</v>
      </c>
      <c r="AA285" t="s">
        <v>5835</v>
      </c>
      <c r="AB285" t="s">
        <v>4</v>
      </c>
      <c r="AC285" s="3" t="s">
        <v>93</v>
      </c>
      <c r="AD285" t="s">
        <v>4</v>
      </c>
      <c r="AE285" t="s">
        <v>5836</v>
      </c>
      <c r="AF285" t="s">
        <v>5837</v>
      </c>
      <c r="AG285" t="s">
        <v>5838</v>
      </c>
      <c r="AH285" t="s">
        <v>112</v>
      </c>
      <c r="AU285" t="s">
        <v>112</v>
      </c>
      <c r="AV285" t="s">
        <v>5839</v>
      </c>
      <c r="AW285" t="s">
        <v>114</v>
      </c>
      <c r="AX285" t="s">
        <v>5840</v>
      </c>
      <c r="AY285" t="s">
        <v>5841</v>
      </c>
      <c r="AZ285" t="s">
        <v>4</v>
      </c>
      <c r="BA285" s="3" t="s">
        <v>95</v>
      </c>
      <c r="BB285" s="6" t="s">
        <v>95</v>
      </c>
      <c r="BC285" s="3" t="s">
        <v>95</v>
      </c>
      <c r="BD285" t="s">
        <v>4</v>
      </c>
      <c r="BE285">
        <v>5872</v>
      </c>
      <c r="BF285" t="s">
        <v>213</v>
      </c>
      <c r="BP285" t="s">
        <v>5842</v>
      </c>
      <c r="BS285">
        <v>21.7014</v>
      </c>
      <c r="BU285">
        <v>22.222200000000001</v>
      </c>
      <c r="BV285" t="s">
        <v>5843</v>
      </c>
      <c r="BW285">
        <v>21.527799999999999</v>
      </c>
      <c r="BX285">
        <v>22.482600000000001</v>
      </c>
      <c r="BZ285">
        <v>11.371499999999999</v>
      </c>
      <c r="CA285">
        <v>22.482600000000001</v>
      </c>
      <c r="CB285">
        <v>9.1145800000000001</v>
      </c>
      <c r="CG285">
        <v>19.097200000000001</v>
      </c>
      <c r="CH285">
        <v>19.357600000000001</v>
      </c>
      <c r="CI285">
        <v>19.010400000000001</v>
      </c>
      <c r="CK285">
        <v>8</v>
      </c>
      <c r="CL285" t="s">
        <v>4</v>
      </c>
      <c r="CM285" t="s">
        <v>5844</v>
      </c>
      <c r="CN285" t="s">
        <v>5845</v>
      </c>
      <c r="CO285" t="s">
        <v>219</v>
      </c>
      <c r="CP285" t="s">
        <v>100</v>
      </c>
      <c r="CQ285">
        <v>284</v>
      </c>
      <c r="CR285" t="s">
        <v>100</v>
      </c>
      <c r="CS285" t="s">
        <v>100</v>
      </c>
      <c r="CT285" t="s">
        <v>152</v>
      </c>
      <c r="CU285" t="s">
        <v>102</v>
      </c>
      <c r="CV285" t="s">
        <v>100</v>
      </c>
    </row>
    <row r="286" spans="1:100">
      <c r="A286" s="3" t="s">
        <v>5846</v>
      </c>
      <c r="B286" s="4" t="s">
        <v>5847</v>
      </c>
      <c r="C286">
        <v>307.60273861200602</v>
      </c>
      <c r="D286">
        <v>5991.9317302536101</v>
      </c>
      <c r="E286">
        <f>-4.28326996441958</f>
        <v>-4.2832699644195804</v>
      </c>
      <c r="F286" s="5">
        <v>1.7732489889205299E-20</v>
      </c>
      <c r="G286" t="s">
        <v>4</v>
      </c>
      <c r="H286">
        <v>307.60273861200602</v>
      </c>
      <c r="I286">
        <v>191.86464936563999</v>
      </c>
      <c r="J286">
        <v>0.68098398654265102</v>
      </c>
      <c r="K286">
        <v>0.181890428391146</v>
      </c>
      <c r="L286" t="s">
        <v>4</v>
      </c>
      <c r="M286">
        <v>5991.9317302536101</v>
      </c>
      <c r="N286">
        <v>191.86464936563999</v>
      </c>
      <c r="O286">
        <v>4.9642539509622301</v>
      </c>
      <c r="P286" s="5">
        <v>1.2923569196309101E-27</v>
      </c>
      <c r="Q286" t="s">
        <v>4</v>
      </c>
      <c r="R286" s="4" t="s">
        <v>87</v>
      </c>
      <c r="S286" t="s">
        <v>4</v>
      </c>
      <c r="T286" t="s">
        <v>5848</v>
      </c>
      <c r="U286" t="s">
        <v>5849</v>
      </c>
      <c r="V286" t="s">
        <v>5850</v>
      </c>
      <c r="W286" t="s">
        <v>203</v>
      </c>
      <c r="X286" t="s">
        <v>4</v>
      </c>
      <c r="Y286" t="s">
        <v>5851</v>
      </c>
      <c r="Z286" t="s">
        <v>5852</v>
      </c>
      <c r="AA286" t="s">
        <v>5853</v>
      </c>
      <c r="AB286" t="s">
        <v>4</v>
      </c>
      <c r="AC286" s="3" t="s">
        <v>93</v>
      </c>
      <c r="AD286" t="s">
        <v>4</v>
      </c>
      <c r="AE286" t="s">
        <v>5854</v>
      </c>
      <c r="AF286" t="s">
        <v>5855</v>
      </c>
      <c r="AG286" t="s">
        <v>2004</v>
      </c>
      <c r="AH286" t="s">
        <v>112</v>
      </c>
      <c r="AK286" t="s">
        <v>3114</v>
      </c>
      <c r="AL286" t="s">
        <v>5856</v>
      </c>
      <c r="AQ286" t="s">
        <v>3116</v>
      </c>
      <c r="AU286" t="s">
        <v>112</v>
      </c>
      <c r="AV286" t="s">
        <v>5857</v>
      </c>
      <c r="AW286" t="s">
        <v>114</v>
      </c>
      <c r="AX286" t="s">
        <v>536</v>
      </c>
      <c r="AY286" t="s">
        <v>5858</v>
      </c>
      <c r="AZ286" t="s">
        <v>4</v>
      </c>
      <c r="BA286" s="3" t="s">
        <v>115</v>
      </c>
      <c r="BB286" s="6" t="s">
        <v>95</v>
      </c>
      <c r="BC286" s="3" t="s">
        <v>95</v>
      </c>
      <c r="BD286" t="s">
        <v>4</v>
      </c>
      <c r="BE286">
        <v>1809</v>
      </c>
      <c r="BF286" t="s">
        <v>148</v>
      </c>
      <c r="BG286">
        <v>24.350200000000001</v>
      </c>
      <c r="BH286">
        <v>6.2927499999999998</v>
      </c>
      <c r="BI286" t="s">
        <v>5859</v>
      </c>
      <c r="BJ286">
        <v>21.203800000000001</v>
      </c>
      <c r="CK286">
        <v>3</v>
      </c>
      <c r="CL286" t="s">
        <v>4</v>
      </c>
      <c r="CM286" t="s">
        <v>98</v>
      </c>
      <c r="CN286" t="s">
        <v>98</v>
      </c>
      <c r="CO286" t="s">
        <v>99</v>
      </c>
      <c r="CP286" t="s">
        <v>100</v>
      </c>
      <c r="CQ286">
        <v>285</v>
      </c>
      <c r="CR286" t="s">
        <v>100</v>
      </c>
      <c r="CS286" t="s">
        <v>100</v>
      </c>
      <c r="CT286" t="s">
        <v>152</v>
      </c>
      <c r="CU286" t="s">
        <v>102</v>
      </c>
      <c r="CV286" t="s">
        <v>100</v>
      </c>
    </row>
    <row r="287" spans="1:100">
      <c r="A287" s="3" t="s">
        <v>5860</v>
      </c>
      <c r="B287" s="4" t="s">
        <v>5861</v>
      </c>
      <c r="C287">
        <v>59.898947185718903</v>
      </c>
      <c r="D287">
        <v>707.26530624562702</v>
      </c>
      <c r="E287">
        <f>-3.56011958600768</f>
        <v>-3.56011958600768</v>
      </c>
      <c r="F287" s="5">
        <v>7.3398226023997996E-12</v>
      </c>
      <c r="G287" t="s">
        <v>4</v>
      </c>
      <c r="H287">
        <v>59.898947185718903</v>
      </c>
      <c r="I287">
        <v>111.94018848411601</v>
      </c>
      <c r="J287">
        <f>0.899532190599614</f>
        <v>0.89953219059961398</v>
      </c>
      <c r="K287">
        <v>0.10980328944519401</v>
      </c>
      <c r="L287" t="s">
        <v>4</v>
      </c>
      <c r="M287">
        <v>707.26530624562702</v>
      </c>
      <c r="N287">
        <v>111.94018848411601</v>
      </c>
      <c r="O287">
        <v>2.6605873954080601</v>
      </c>
      <c r="P287" s="5">
        <v>2.1177606930856099E-7</v>
      </c>
      <c r="Q287" t="s">
        <v>4</v>
      </c>
      <c r="R287" s="4" t="s">
        <v>87</v>
      </c>
      <c r="S287" t="s">
        <v>4</v>
      </c>
      <c r="T287" t="s">
        <v>92</v>
      </c>
      <c r="U287" t="s">
        <v>92</v>
      </c>
      <c r="V287" t="s">
        <v>92</v>
      </c>
      <c r="W287" t="s">
        <v>92</v>
      </c>
      <c r="X287" t="s">
        <v>4</v>
      </c>
      <c r="Y287" t="s">
        <v>5755</v>
      </c>
      <c r="Z287" t="s">
        <v>5756</v>
      </c>
      <c r="AA287" t="s">
        <v>5757</v>
      </c>
      <c r="AB287" t="s">
        <v>4</v>
      </c>
      <c r="AC287" s="3" t="s">
        <v>93</v>
      </c>
      <c r="AD287" t="s">
        <v>4</v>
      </c>
      <c r="AE287" s="4" t="s">
        <v>94</v>
      </c>
      <c r="AZ287" t="s">
        <v>4</v>
      </c>
      <c r="BA287" s="3" t="s">
        <v>115</v>
      </c>
      <c r="BB287" s="6" t="s">
        <v>95</v>
      </c>
      <c r="BC287" s="3" t="s">
        <v>95</v>
      </c>
      <c r="BD287" t="s">
        <v>4</v>
      </c>
      <c r="BE287">
        <v>1044</v>
      </c>
      <c r="BF287" t="s">
        <v>151</v>
      </c>
      <c r="BG287">
        <v>86.592200000000005</v>
      </c>
      <c r="BI287">
        <v>87.150800000000004</v>
      </c>
      <c r="BJ287">
        <v>59.2179</v>
      </c>
      <c r="BK287">
        <v>51.1173</v>
      </c>
      <c r="BL287">
        <v>8.3798899999999996</v>
      </c>
      <c r="BM287">
        <v>17.597799999999999</v>
      </c>
      <c r="BN287">
        <v>43.296100000000003</v>
      </c>
      <c r="CK287">
        <v>2</v>
      </c>
      <c r="CL287" t="s">
        <v>4</v>
      </c>
      <c r="CM287" t="s">
        <v>98</v>
      </c>
      <c r="CN287" t="s">
        <v>98</v>
      </c>
      <c r="CO287" t="s">
        <v>99</v>
      </c>
      <c r="CP287" t="s">
        <v>100</v>
      </c>
      <c r="CQ287">
        <v>286</v>
      </c>
      <c r="CR287" t="s">
        <v>100</v>
      </c>
      <c r="CS287" t="s">
        <v>100</v>
      </c>
      <c r="CT287" t="s">
        <v>152</v>
      </c>
      <c r="CU287" t="s">
        <v>102</v>
      </c>
      <c r="CV287" t="s">
        <v>100</v>
      </c>
    </row>
    <row r="288" spans="1:100">
      <c r="A288" s="3" t="s">
        <v>5862</v>
      </c>
      <c r="B288" s="4" t="s">
        <v>5863</v>
      </c>
      <c r="C288">
        <v>352.28035366207303</v>
      </c>
      <c r="D288">
        <v>3225.98187827945</v>
      </c>
      <c r="E288">
        <f>-3.19533813656193</f>
        <v>-3.1953381365619302</v>
      </c>
      <c r="F288" s="5">
        <v>1.0131821782593901E-12</v>
      </c>
      <c r="G288" t="s">
        <v>4</v>
      </c>
      <c r="H288">
        <v>352.28035366207303</v>
      </c>
      <c r="I288">
        <v>499.57737317816299</v>
      </c>
      <c r="J288">
        <f>0.508314133356424</f>
        <v>0.50831413335642395</v>
      </c>
      <c r="K288">
        <v>0.30123893400329699</v>
      </c>
      <c r="L288" t="s">
        <v>4</v>
      </c>
      <c r="M288">
        <v>3225.98187827945</v>
      </c>
      <c r="N288">
        <v>499.57737317816299</v>
      </c>
      <c r="O288">
        <v>2.6870240032055102</v>
      </c>
      <c r="P288" s="5">
        <v>1.11567749262116E-9</v>
      </c>
      <c r="Q288" t="s">
        <v>4</v>
      </c>
      <c r="R288" s="4" t="s">
        <v>87</v>
      </c>
      <c r="S288" t="s">
        <v>4</v>
      </c>
      <c r="T288" t="s">
        <v>2757</v>
      </c>
      <c r="U288" t="s">
        <v>2758</v>
      </c>
      <c r="V288" t="s">
        <v>2759</v>
      </c>
      <c r="W288" t="s">
        <v>507</v>
      </c>
      <c r="X288" t="s">
        <v>4</v>
      </c>
      <c r="Y288" t="s">
        <v>5864</v>
      </c>
      <c r="Z288" t="s">
        <v>5865</v>
      </c>
      <c r="AA288" t="s">
        <v>5866</v>
      </c>
      <c r="AB288" t="s">
        <v>4</v>
      </c>
      <c r="AC288" s="3" t="s">
        <v>93</v>
      </c>
      <c r="AD288" t="s">
        <v>4</v>
      </c>
      <c r="AE288" t="s">
        <v>2763</v>
      </c>
      <c r="AF288" t="s">
        <v>5867</v>
      </c>
      <c r="AG288" t="s">
        <v>3396</v>
      </c>
      <c r="AH288" t="s">
        <v>112</v>
      </c>
      <c r="AJ288" t="s">
        <v>2766</v>
      </c>
      <c r="AL288" t="s">
        <v>2767</v>
      </c>
      <c r="AM288" t="s">
        <v>2768</v>
      </c>
      <c r="AQ288" t="s">
        <v>2769</v>
      </c>
      <c r="AU288" t="s">
        <v>112</v>
      </c>
      <c r="AV288" t="s">
        <v>2770</v>
      </c>
      <c r="AW288" t="s">
        <v>114</v>
      </c>
      <c r="AX288" t="s">
        <v>1938</v>
      </c>
      <c r="AY288" t="s">
        <v>2771</v>
      </c>
      <c r="AZ288" t="s">
        <v>4</v>
      </c>
      <c r="BA288" s="3" t="s">
        <v>115</v>
      </c>
      <c r="BB288" s="6" t="s">
        <v>95</v>
      </c>
      <c r="BC288" s="3" t="s">
        <v>95</v>
      </c>
      <c r="BD288" t="s">
        <v>4</v>
      </c>
      <c r="BE288">
        <v>7831</v>
      </c>
      <c r="BF288" t="s">
        <v>213</v>
      </c>
      <c r="BG288">
        <v>83.727800000000002</v>
      </c>
      <c r="BH288">
        <v>1.47929</v>
      </c>
      <c r="BI288">
        <v>80.177499999999995</v>
      </c>
      <c r="BJ288">
        <v>82.248500000000007</v>
      </c>
      <c r="BK288">
        <v>80.177499999999995</v>
      </c>
      <c r="BL288">
        <v>80.177499999999995</v>
      </c>
      <c r="BM288">
        <v>68.639099999999999</v>
      </c>
      <c r="BN288">
        <v>80.177499999999995</v>
      </c>
      <c r="BO288">
        <v>7.3964499999999997</v>
      </c>
      <c r="BP288">
        <v>32.840200000000003</v>
      </c>
      <c r="BQ288">
        <v>57.988199999999999</v>
      </c>
      <c r="BR288" t="s">
        <v>5868</v>
      </c>
      <c r="BS288">
        <v>25.1479</v>
      </c>
      <c r="BT288" t="s">
        <v>5869</v>
      </c>
      <c r="BU288">
        <v>52.662700000000001</v>
      </c>
      <c r="BV288" t="s">
        <v>5870</v>
      </c>
      <c r="BX288" t="s">
        <v>5871</v>
      </c>
      <c r="BY288">
        <v>0.29585800000000001</v>
      </c>
      <c r="BZ288">
        <v>56.804699999999997</v>
      </c>
      <c r="CA288">
        <v>52.662700000000001</v>
      </c>
      <c r="CB288" t="s">
        <v>5872</v>
      </c>
      <c r="CC288">
        <v>59.171599999999998</v>
      </c>
      <c r="CD288" t="s">
        <v>5873</v>
      </c>
      <c r="CE288">
        <v>37.573999999999998</v>
      </c>
      <c r="CF288">
        <v>51.775100000000002</v>
      </c>
      <c r="CG288" t="s">
        <v>5874</v>
      </c>
      <c r="CH288">
        <v>54.437899999999999</v>
      </c>
      <c r="CI288">
        <v>53.846200000000003</v>
      </c>
      <c r="CK288">
        <v>8</v>
      </c>
      <c r="CL288" t="s">
        <v>4</v>
      </c>
      <c r="CM288" t="s">
        <v>2779</v>
      </c>
      <c r="CN288" t="s">
        <v>5875</v>
      </c>
      <c r="CO288" t="s">
        <v>219</v>
      </c>
      <c r="CP288" t="s">
        <v>100</v>
      </c>
      <c r="CQ288">
        <v>287</v>
      </c>
      <c r="CR288" t="s">
        <v>100</v>
      </c>
      <c r="CS288" t="s">
        <v>100</v>
      </c>
      <c r="CT288" t="s">
        <v>152</v>
      </c>
      <c r="CU288" t="s">
        <v>102</v>
      </c>
      <c r="CV288" t="s">
        <v>2781</v>
      </c>
    </row>
    <row r="289" spans="1:100">
      <c r="A289" s="3" t="s">
        <v>5876</v>
      </c>
      <c r="B289" s="4" t="s">
        <v>5877</v>
      </c>
      <c r="C289">
        <v>9.8565049684405501</v>
      </c>
      <c r="D289">
        <v>117.94084160007201</v>
      </c>
      <c r="E289">
        <f>-3.57318328872435</f>
        <v>-3.57318328872435</v>
      </c>
      <c r="F289" s="5">
        <v>2.15713615926293E-10</v>
      </c>
      <c r="G289" t="s">
        <v>4</v>
      </c>
      <c r="H289">
        <v>9.8565049684405501</v>
      </c>
      <c r="I289">
        <v>22.5816547083428</v>
      </c>
      <c r="J289">
        <f>-1.18745524006453</f>
        <v>-1.18745524006453</v>
      </c>
      <c r="K289">
        <v>5.9720298368206103E-2</v>
      </c>
      <c r="L289" t="s">
        <v>4</v>
      </c>
      <c r="M289">
        <v>117.94084160007201</v>
      </c>
      <c r="N289">
        <v>22.5816547083428</v>
      </c>
      <c r="O289">
        <v>2.38572804865982</v>
      </c>
      <c r="P289" s="5">
        <v>1.37041866423272E-5</v>
      </c>
      <c r="Q289" t="s">
        <v>4</v>
      </c>
      <c r="R289" s="4" t="s">
        <v>87</v>
      </c>
      <c r="S289" t="s">
        <v>4</v>
      </c>
      <c r="T289" t="s">
        <v>92</v>
      </c>
      <c r="U289" t="s">
        <v>92</v>
      </c>
      <c r="V289" t="s">
        <v>92</v>
      </c>
      <c r="W289" t="s">
        <v>92</v>
      </c>
      <c r="X289" t="s">
        <v>4</v>
      </c>
      <c r="Y289" t="s">
        <v>3267</v>
      </c>
      <c r="Z289" t="s">
        <v>3268</v>
      </c>
      <c r="AA289" t="s">
        <v>3269</v>
      </c>
      <c r="AB289" t="s">
        <v>4</v>
      </c>
      <c r="AC289" s="3" t="s">
        <v>5878</v>
      </c>
      <c r="AD289" t="s">
        <v>4</v>
      </c>
      <c r="AE289" s="4" t="s">
        <v>94</v>
      </c>
      <c r="AZ289" t="s">
        <v>4</v>
      </c>
      <c r="BA289" s="3" t="s">
        <v>95</v>
      </c>
      <c r="BB289" s="6" t="s">
        <v>95</v>
      </c>
      <c r="BC289" s="3" t="s">
        <v>95</v>
      </c>
      <c r="BD289" t="s">
        <v>4</v>
      </c>
      <c r="BE289">
        <v>2639</v>
      </c>
      <c r="BF289" t="s">
        <v>97</v>
      </c>
      <c r="BG289">
        <v>85.2273</v>
      </c>
      <c r="BH289">
        <v>97.159099999999995</v>
      </c>
      <c r="BI289">
        <v>85.795500000000004</v>
      </c>
      <c r="BJ289">
        <v>54.545499999999997</v>
      </c>
      <c r="BL289">
        <v>31.818200000000001</v>
      </c>
      <c r="BM289">
        <v>32.386400000000002</v>
      </c>
      <c r="BN289">
        <v>72.159099999999995</v>
      </c>
      <c r="BO289">
        <v>74.431799999999996</v>
      </c>
      <c r="BP289">
        <v>26.704499999999999</v>
      </c>
      <c r="CK289">
        <v>4</v>
      </c>
      <c r="CL289" t="s">
        <v>4</v>
      </c>
      <c r="CM289" t="s">
        <v>98</v>
      </c>
      <c r="CN289" t="s">
        <v>98</v>
      </c>
      <c r="CO289" t="s">
        <v>99</v>
      </c>
      <c r="CP289" t="s">
        <v>100</v>
      </c>
      <c r="CQ289">
        <v>288</v>
      </c>
      <c r="CR289" t="s">
        <v>100</v>
      </c>
      <c r="CS289" t="s">
        <v>100</v>
      </c>
      <c r="CT289" t="s">
        <v>152</v>
      </c>
      <c r="CU289" t="s">
        <v>102</v>
      </c>
      <c r="CV289" t="s">
        <v>100</v>
      </c>
    </row>
    <row r="290" spans="1:100">
      <c r="A290" s="3" t="s">
        <v>5879</v>
      </c>
      <c r="B290" s="4" t="s">
        <v>5880</v>
      </c>
      <c r="C290">
        <v>205.57111470317699</v>
      </c>
      <c r="D290">
        <v>4485.91034057876</v>
      </c>
      <c r="E290">
        <f>-4.44677700007383</f>
        <v>-4.4467770000738298</v>
      </c>
      <c r="F290" s="5">
        <v>3.3092800124653902E-14</v>
      </c>
      <c r="G290" t="s">
        <v>4</v>
      </c>
      <c r="H290">
        <v>205.57111470317699</v>
      </c>
      <c r="I290">
        <v>120.92617390028001</v>
      </c>
      <c r="J290">
        <v>0.76647344170726495</v>
      </c>
      <c r="K290">
        <v>0.235645558491654</v>
      </c>
      <c r="L290" t="s">
        <v>4</v>
      </c>
      <c r="M290">
        <v>4485.91034057876</v>
      </c>
      <c r="N290">
        <v>120.92617390028001</v>
      </c>
      <c r="O290">
        <v>5.2132504417810903</v>
      </c>
      <c r="P290" s="5">
        <v>1.4496718026230901E-19</v>
      </c>
      <c r="Q290" t="s">
        <v>4</v>
      </c>
      <c r="R290" s="4" t="s">
        <v>87</v>
      </c>
      <c r="S290" t="s">
        <v>4</v>
      </c>
      <c r="T290" t="s">
        <v>1926</v>
      </c>
      <c r="U290" t="s">
        <v>1927</v>
      </c>
      <c r="V290" t="s">
        <v>1928</v>
      </c>
      <c r="W290" t="s">
        <v>328</v>
      </c>
      <c r="X290" t="s">
        <v>4</v>
      </c>
      <c r="Y290" t="s">
        <v>1929</v>
      </c>
      <c r="Z290" t="s">
        <v>1930</v>
      </c>
      <c r="AA290" t="s">
        <v>1931</v>
      </c>
      <c r="AB290" t="s">
        <v>4</v>
      </c>
      <c r="AC290" s="3" t="s">
        <v>2483</v>
      </c>
      <c r="AD290" t="s">
        <v>4</v>
      </c>
      <c r="AE290" t="s">
        <v>5881</v>
      </c>
      <c r="AF290" t="s">
        <v>5882</v>
      </c>
      <c r="AG290" t="s">
        <v>5883</v>
      </c>
      <c r="AH290" t="s">
        <v>112</v>
      </c>
      <c r="AJ290" t="s">
        <v>5884</v>
      </c>
      <c r="AL290" t="s">
        <v>2488</v>
      </c>
      <c r="AM290" t="s">
        <v>2489</v>
      </c>
      <c r="AQ290" t="s">
        <v>2490</v>
      </c>
      <c r="AU290" t="s">
        <v>112</v>
      </c>
      <c r="AV290" t="s">
        <v>5885</v>
      </c>
      <c r="AW290" t="s">
        <v>114</v>
      </c>
      <c r="AX290" t="s">
        <v>1938</v>
      </c>
      <c r="AY290" t="s">
        <v>1939</v>
      </c>
      <c r="AZ290" t="s">
        <v>4</v>
      </c>
      <c r="BA290" s="3" t="s">
        <v>95</v>
      </c>
      <c r="BB290" s="6" t="s">
        <v>95</v>
      </c>
      <c r="BC290" s="3" t="s">
        <v>95</v>
      </c>
      <c r="BD290" t="s">
        <v>4</v>
      </c>
      <c r="BE290">
        <v>5689</v>
      </c>
      <c r="BF290" t="s">
        <v>386</v>
      </c>
      <c r="BG290">
        <v>76.1798</v>
      </c>
      <c r="BH290">
        <v>30.3371</v>
      </c>
      <c r="BI290">
        <v>72.584299999999999</v>
      </c>
      <c r="BJ290">
        <v>90.561800000000005</v>
      </c>
      <c r="BK290">
        <v>91.685400000000001</v>
      </c>
      <c r="BL290">
        <v>63.8202</v>
      </c>
      <c r="BM290">
        <v>79.325800000000001</v>
      </c>
      <c r="BN290">
        <v>89.213499999999996</v>
      </c>
      <c r="BO290">
        <v>90.786500000000004</v>
      </c>
      <c r="BP290">
        <v>77.752799999999993</v>
      </c>
      <c r="BQ290">
        <v>73.033699999999996</v>
      </c>
      <c r="BR290" t="s">
        <v>5886</v>
      </c>
      <c r="BS290">
        <v>79.101100000000002</v>
      </c>
      <c r="BU290" t="s">
        <v>5887</v>
      </c>
      <c r="BW290" t="s">
        <v>5888</v>
      </c>
      <c r="BX290">
        <v>83.146100000000004</v>
      </c>
      <c r="BY290">
        <v>51.9101</v>
      </c>
      <c r="BZ290">
        <v>83.595500000000001</v>
      </c>
      <c r="CA290" t="s">
        <v>5889</v>
      </c>
      <c r="CD290" t="s">
        <v>5890</v>
      </c>
      <c r="CE290" t="s">
        <v>5891</v>
      </c>
      <c r="CF290" t="s">
        <v>5892</v>
      </c>
      <c r="CG290" t="s">
        <v>5893</v>
      </c>
      <c r="CH290" t="s">
        <v>5894</v>
      </c>
      <c r="CI290">
        <v>39.775300000000001</v>
      </c>
      <c r="CK290">
        <v>7</v>
      </c>
      <c r="CL290" t="s">
        <v>4</v>
      </c>
      <c r="CM290" t="s">
        <v>5895</v>
      </c>
      <c r="CN290" t="s">
        <v>5896</v>
      </c>
      <c r="CO290" t="s">
        <v>5897</v>
      </c>
      <c r="CP290" t="s">
        <v>100</v>
      </c>
      <c r="CQ290">
        <v>289</v>
      </c>
      <c r="CR290" t="s">
        <v>100</v>
      </c>
      <c r="CS290" t="s">
        <v>100</v>
      </c>
      <c r="CT290" t="s">
        <v>152</v>
      </c>
      <c r="CU290" t="s">
        <v>102</v>
      </c>
      <c r="CV290" t="s">
        <v>100</v>
      </c>
    </row>
    <row r="291" spans="1:100">
      <c r="A291" s="3" t="s">
        <v>5898</v>
      </c>
      <c r="B291" s="4" t="s">
        <v>5899</v>
      </c>
      <c r="C291">
        <v>775.813156326078</v>
      </c>
      <c r="D291">
        <v>16523.111073571599</v>
      </c>
      <c r="E291">
        <f>-4.41256234689091</f>
        <v>-4.4125623468909101</v>
      </c>
      <c r="F291" s="5">
        <v>1.34450311769523E-5</v>
      </c>
      <c r="G291" t="s">
        <v>4</v>
      </c>
      <c r="H291">
        <v>775.813156326078</v>
      </c>
      <c r="I291">
        <v>483.932553628351</v>
      </c>
      <c r="J291">
        <v>0.68142990830311101</v>
      </c>
      <c r="K291">
        <v>0.53808140539041405</v>
      </c>
      <c r="L291" t="s">
        <v>4</v>
      </c>
      <c r="M291">
        <v>16523.111073571599</v>
      </c>
      <c r="N291">
        <v>483.932553628351</v>
      </c>
      <c r="O291">
        <v>5.0939922551940198</v>
      </c>
      <c r="P291" s="5">
        <v>1.6089036852197301E-7</v>
      </c>
      <c r="Q291" t="s">
        <v>4</v>
      </c>
      <c r="R291" s="4" t="s">
        <v>87</v>
      </c>
      <c r="S291" t="s">
        <v>4</v>
      </c>
      <c r="T291" t="s">
        <v>5900</v>
      </c>
      <c r="U291" t="s">
        <v>5901</v>
      </c>
      <c r="V291" t="s">
        <v>5902</v>
      </c>
      <c r="W291" t="s">
        <v>976</v>
      </c>
      <c r="X291" t="s">
        <v>4</v>
      </c>
      <c r="Y291" t="s">
        <v>5903</v>
      </c>
      <c r="Z291" t="s">
        <v>5904</v>
      </c>
      <c r="AA291" t="s">
        <v>5905</v>
      </c>
      <c r="AB291" t="s">
        <v>4</v>
      </c>
      <c r="AC291" s="3" t="s">
        <v>93</v>
      </c>
      <c r="AD291" t="s">
        <v>4</v>
      </c>
      <c r="AE291" t="s">
        <v>5906</v>
      </c>
      <c r="AF291" t="s">
        <v>5907</v>
      </c>
      <c r="AG291" t="s">
        <v>5908</v>
      </c>
      <c r="AH291" t="s">
        <v>112</v>
      </c>
      <c r="AJ291" t="s">
        <v>876</v>
      </c>
      <c r="AL291" t="s">
        <v>5909</v>
      </c>
      <c r="AM291" t="s">
        <v>302</v>
      </c>
      <c r="AQ291" t="s">
        <v>303</v>
      </c>
      <c r="AU291" t="s">
        <v>112</v>
      </c>
      <c r="AV291" t="s">
        <v>5910</v>
      </c>
      <c r="AW291" t="s">
        <v>114</v>
      </c>
      <c r="AX291" t="s">
        <v>5911</v>
      </c>
      <c r="AY291" t="s">
        <v>5912</v>
      </c>
      <c r="AZ291" t="s">
        <v>4</v>
      </c>
      <c r="BA291" s="3" t="s">
        <v>95</v>
      </c>
      <c r="BB291" s="6" t="s">
        <v>95</v>
      </c>
      <c r="BC291" s="3" t="s">
        <v>95</v>
      </c>
      <c r="BD291" t="s">
        <v>4</v>
      </c>
      <c r="BE291">
        <v>10165</v>
      </c>
      <c r="BF291" t="s">
        <v>169</v>
      </c>
      <c r="BG291">
        <v>96.658100000000005</v>
      </c>
      <c r="BI291">
        <v>74.5501</v>
      </c>
      <c r="BK291">
        <v>41.131100000000004</v>
      </c>
      <c r="BL291" t="s">
        <v>5913</v>
      </c>
      <c r="BM291" t="s">
        <v>5914</v>
      </c>
      <c r="BN291" t="s">
        <v>5915</v>
      </c>
      <c r="BO291">
        <v>37.789200000000001</v>
      </c>
      <c r="BQ291">
        <v>16.9666</v>
      </c>
      <c r="CB291">
        <v>23.907499999999999</v>
      </c>
      <c r="CC291">
        <v>19.7943</v>
      </c>
      <c r="CD291">
        <v>22.6221</v>
      </c>
      <c r="CE291" t="s">
        <v>5916</v>
      </c>
      <c r="CF291" t="s">
        <v>5917</v>
      </c>
      <c r="CG291">
        <v>24.678699999999999</v>
      </c>
      <c r="CH291">
        <v>24.678699999999999</v>
      </c>
      <c r="CI291">
        <v>24.678699999999999</v>
      </c>
      <c r="CK291">
        <v>9</v>
      </c>
      <c r="CL291" t="s">
        <v>4</v>
      </c>
      <c r="CM291" t="s">
        <v>98</v>
      </c>
      <c r="CN291" t="s">
        <v>98</v>
      </c>
      <c r="CO291" t="s">
        <v>99</v>
      </c>
      <c r="CP291" t="s">
        <v>100</v>
      </c>
      <c r="CQ291">
        <v>290</v>
      </c>
      <c r="CR291" t="s">
        <v>100</v>
      </c>
      <c r="CS291" t="s">
        <v>100</v>
      </c>
      <c r="CT291" t="s">
        <v>152</v>
      </c>
      <c r="CU291" t="s">
        <v>102</v>
      </c>
      <c r="CV291" t="s">
        <v>100</v>
      </c>
    </row>
    <row r="292" spans="1:100">
      <c r="A292" s="3" t="s">
        <v>5918</v>
      </c>
      <c r="B292" s="4" t="s">
        <v>5919</v>
      </c>
      <c r="C292">
        <v>95.740343707860703</v>
      </c>
      <c r="D292">
        <v>701.76696673178105</v>
      </c>
      <c r="E292">
        <f>-2.87353786384765</f>
        <v>-2.8735378638476501</v>
      </c>
      <c r="F292" s="5">
        <v>1.07601492833907E-16</v>
      </c>
      <c r="G292" t="s">
        <v>4</v>
      </c>
      <c r="H292">
        <v>95.740343707860703</v>
      </c>
      <c r="I292">
        <v>84.610292910673394</v>
      </c>
      <c r="J292">
        <v>0.170435193373911</v>
      </c>
      <c r="K292">
        <v>0.68546161174704801</v>
      </c>
      <c r="L292" t="s">
        <v>4</v>
      </c>
      <c r="M292">
        <v>701.76696673178105</v>
      </c>
      <c r="N292">
        <v>84.610292910673394</v>
      </c>
      <c r="O292">
        <v>3.0439730572215602</v>
      </c>
      <c r="P292" s="5">
        <v>2.3820397171286398E-18</v>
      </c>
      <c r="Q292" t="s">
        <v>4</v>
      </c>
      <c r="R292" s="4" t="s">
        <v>87</v>
      </c>
      <c r="S292" t="s">
        <v>4</v>
      </c>
      <c r="T292" t="s">
        <v>92</v>
      </c>
      <c r="U292" t="s">
        <v>92</v>
      </c>
      <c r="V292" t="s">
        <v>92</v>
      </c>
      <c r="W292" t="s">
        <v>92</v>
      </c>
      <c r="X292" t="s">
        <v>4</v>
      </c>
      <c r="Y292" t="s">
        <v>5920</v>
      </c>
      <c r="Z292" t="s">
        <v>5921</v>
      </c>
      <c r="AA292" t="s">
        <v>5922</v>
      </c>
      <c r="AB292" t="s">
        <v>4</v>
      </c>
      <c r="AC292" s="3" t="s">
        <v>5923</v>
      </c>
      <c r="AD292" t="s">
        <v>4</v>
      </c>
      <c r="AE292" t="s">
        <v>5924</v>
      </c>
      <c r="AF292" t="s">
        <v>5925</v>
      </c>
      <c r="AG292" t="s">
        <v>5926</v>
      </c>
      <c r="AH292" t="s">
        <v>112</v>
      </c>
      <c r="AI292" t="s">
        <v>5927</v>
      </c>
      <c r="AU292" t="s">
        <v>112</v>
      </c>
      <c r="AV292" t="s">
        <v>5928</v>
      </c>
      <c r="AW292" t="s">
        <v>114</v>
      </c>
      <c r="AX292" t="s">
        <v>132</v>
      </c>
      <c r="AY292" t="s">
        <v>5929</v>
      </c>
      <c r="AZ292" t="s">
        <v>4</v>
      </c>
      <c r="BA292" s="3" t="s">
        <v>95</v>
      </c>
      <c r="BB292" s="6" t="s">
        <v>95</v>
      </c>
      <c r="BC292" s="3" t="s">
        <v>197</v>
      </c>
      <c r="BD292" t="s">
        <v>4</v>
      </c>
      <c r="BE292">
        <v>4227</v>
      </c>
      <c r="BF292" t="s">
        <v>112</v>
      </c>
      <c r="BG292">
        <v>80.208299999999994</v>
      </c>
      <c r="BH292">
        <v>59.672600000000003</v>
      </c>
      <c r="BI292">
        <v>77.976200000000006</v>
      </c>
      <c r="BJ292">
        <v>64.136899999999997</v>
      </c>
      <c r="BK292" t="s">
        <v>5930</v>
      </c>
      <c r="BL292">
        <v>26.339300000000001</v>
      </c>
      <c r="BM292">
        <v>37.053600000000003</v>
      </c>
      <c r="BN292">
        <v>52.083300000000001</v>
      </c>
      <c r="BP292">
        <v>44.791699999999999</v>
      </c>
      <c r="BW292">
        <v>34.226199999999999</v>
      </c>
      <c r="BX292">
        <v>36.458300000000001</v>
      </c>
      <c r="BY292" t="s">
        <v>5931</v>
      </c>
      <c r="BZ292">
        <v>27.827400000000001</v>
      </c>
      <c r="CA292">
        <v>37.797600000000003</v>
      </c>
      <c r="CB292" t="s">
        <v>5932</v>
      </c>
      <c r="CG292" t="s">
        <v>5933</v>
      </c>
      <c r="CH292" t="s">
        <v>5934</v>
      </c>
      <c r="CI292" t="s">
        <v>5935</v>
      </c>
      <c r="CK292">
        <v>5</v>
      </c>
      <c r="CL292" t="s">
        <v>4</v>
      </c>
      <c r="CM292" t="s">
        <v>5936</v>
      </c>
      <c r="CN292" t="s">
        <v>5937</v>
      </c>
      <c r="CO292" t="s">
        <v>663</v>
      </c>
      <c r="CP292" t="s">
        <v>100</v>
      </c>
      <c r="CQ292">
        <v>291</v>
      </c>
      <c r="CR292" t="s">
        <v>100</v>
      </c>
      <c r="CS292" t="s">
        <v>100</v>
      </c>
      <c r="CT292" t="s">
        <v>152</v>
      </c>
      <c r="CU292" t="s">
        <v>102</v>
      </c>
      <c r="CV292" t="s">
        <v>100</v>
      </c>
    </row>
    <row r="293" spans="1:100">
      <c r="A293" s="3" t="s">
        <v>5938</v>
      </c>
      <c r="B293" s="4" t="s">
        <v>5939</v>
      </c>
      <c r="C293">
        <v>125.949555740449</v>
      </c>
      <c r="D293">
        <v>1511.60637705457</v>
      </c>
      <c r="E293">
        <f>-3.58457759108711</f>
        <v>-3.5845775910871098</v>
      </c>
      <c r="F293">
        <v>3.4744673144477899E-4</v>
      </c>
      <c r="G293" t="s">
        <v>4</v>
      </c>
      <c r="H293">
        <v>125.949555740449</v>
      </c>
      <c r="I293">
        <v>174.64287945113301</v>
      </c>
      <c r="J293">
        <f>0.469425299857842</f>
        <v>0.46942529985784198</v>
      </c>
      <c r="K293">
        <v>0.67167077405891196</v>
      </c>
      <c r="L293" t="s">
        <v>4</v>
      </c>
      <c r="M293">
        <v>1511.60637705457</v>
      </c>
      <c r="N293">
        <v>174.64287945113301</v>
      </c>
      <c r="O293">
        <v>3.11515229122926</v>
      </c>
      <c r="P293">
        <v>1.35328788644457E-3</v>
      </c>
      <c r="Q293" t="s">
        <v>4</v>
      </c>
      <c r="R293" s="4" t="s">
        <v>87</v>
      </c>
      <c r="S293" t="s">
        <v>4</v>
      </c>
      <c r="T293" t="s">
        <v>5940</v>
      </c>
      <c r="U293" t="s">
        <v>5941</v>
      </c>
      <c r="V293" t="s">
        <v>5942</v>
      </c>
      <c r="W293" t="s">
        <v>203</v>
      </c>
      <c r="X293" t="s">
        <v>4</v>
      </c>
      <c r="Y293" t="s">
        <v>5943</v>
      </c>
      <c r="Z293" t="s">
        <v>5944</v>
      </c>
      <c r="AA293" t="s">
        <v>5945</v>
      </c>
      <c r="AB293" t="s">
        <v>4</v>
      </c>
      <c r="AC293" s="3" t="s">
        <v>5946</v>
      </c>
      <c r="AD293" t="s">
        <v>4</v>
      </c>
      <c r="AE293" t="s">
        <v>5947</v>
      </c>
      <c r="AF293" t="s">
        <v>5948</v>
      </c>
      <c r="AG293" t="s">
        <v>5949</v>
      </c>
      <c r="AH293" t="s">
        <v>112</v>
      </c>
      <c r="AJ293" t="s">
        <v>5950</v>
      </c>
      <c r="AK293" t="s">
        <v>5951</v>
      </c>
      <c r="AL293" t="s">
        <v>5952</v>
      </c>
      <c r="AQ293" t="s">
        <v>4780</v>
      </c>
      <c r="AU293" t="s">
        <v>112</v>
      </c>
      <c r="AV293" t="s">
        <v>5953</v>
      </c>
      <c r="AW293" t="s">
        <v>114</v>
      </c>
      <c r="AX293" t="s">
        <v>144</v>
      </c>
      <c r="AY293" t="s">
        <v>5954</v>
      </c>
      <c r="AZ293" t="s">
        <v>4</v>
      </c>
      <c r="BA293" s="3" t="s">
        <v>95</v>
      </c>
      <c r="BB293" t="s">
        <v>96</v>
      </c>
      <c r="BC293" s="3" t="s">
        <v>95</v>
      </c>
      <c r="BD293" t="s">
        <v>4</v>
      </c>
      <c r="BE293">
        <v>7851</v>
      </c>
      <c r="BF293" t="s">
        <v>213</v>
      </c>
      <c r="BG293">
        <v>31.336400000000001</v>
      </c>
      <c r="BJ293">
        <v>72.580600000000004</v>
      </c>
      <c r="BK293">
        <v>73.271900000000002</v>
      </c>
      <c r="BL293">
        <v>78.340999999999994</v>
      </c>
      <c r="BM293">
        <v>77.649799999999999</v>
      </c>
      <c r="BN293">
        <v>76.036900000000003</v>
      </c>
      <c r="BP293">
        <v>50.921700000000001</v>
      </c>
      <c r="BQ293">
        <v>44.930900000000001</v>
      </c>
      <c r="BR293">
        <v>44.47</v>
      </c>
      <c r="BS293">
        <v>27.4194</v>
      </c>
      <c r="BW293">
        <v>43.317999999999998</v>
      </c>
      <c r="BX293">
        <v>43.087600000000002</v>
      </c>
      <c r="BY293">
        <v>14.2857</v>
      </c>
      <c r="CA293">
        <v>41.244199999999999</v>
      </c>
      <c r="CG293" t="s">
        <v>5955</v>
      </c>
      <c r="CH293" t="s">
        <v>5956</v>
      </c>
      <c r="CI293" t="s">
        <v>5957</v>
      </c>
      <c r="CK293">
        <v>8</v>
      </c>
      <c r="CL293" t="s">
        <v>4</v>
      </c>
      <c r="CM293" t="s">
        <v>5958</v>
      </c>
      <c r="CN293" t="s">
        <v>5959</v>
      </c>
      <c r="CO293" t="s">
        <v>663</v>
      </c>
      <c r="CP293" t="s">
        <v>100</v>
      </c>
      <c r="CQ293">
        <v>292</v>
      </c>
      <c r="CR293" t="s">
        <v>100</v>
      </c>
      <c r="CS293" t="s">
        <v>100</v>
      </c>
      <c r="CT293" t="s">
        <v>152</v>
      </c>
      <c r="CU293" t="s">
        <v>102</v>
      </c>
      <c r="CV293" t="s">
        <v>100</v>
      </c>
    </row>
    <row r="294" spans="1:100">
      <c r="A294" s="3" t="s">
        <v>5960</v>
      </c>
      <c r="B294" s="4" t="s">
        <v>5961</v>
      </c>
      <c r="C294">
        <v>130.30551522678999</v>
      </c>
      <c r="D294">
        <v>1992.5886701219499</v>
      </c>
      <c r="E294">
        <f>-3.93357571980273</f>
        <v>-3.9335757198027301</v>
      </c>
      <c r="F294" s="5">
        <v>2.0643945557578298E-12</v>
      </c>
      <c r="G294" t="s">
        <v>4</v>
      </c>
      <c r="H294">
        <v>130.30551522678999</v>
      </c>
      <c r="I294">
        <v>86.020568651170393</v>
      </c>
      <c r="J294">
        <v>0.60696942118623098</v>
      </c>
      <c r="K294">
        <v>0.331222595535272</v>
      </c>
      <c r="L294" t="s">
        <v>4</v>
      </c>
      <c r="M294">
        <v>1992.5886701219499</v>
      </c>
      <c r="N294">
        <v>86.020568651170393</v>
      </c>
      <c r="O294">
        <v>4.5405451409889599</v>
      </c>
      <c r="P294" s="5">
        <v>1.83562748421271E-16</v>
      </c>
      <c r="Q294" t="s">
        <v>4</v>
      </c>
      <c r="R294" s="4" t="s">
        <v>87</v>
      </c>
      <c r="S294" t="s">
        <v>4</v>
      </c>
      <c r="T294" t="s">
        <v>2243</v>
      </c>
      <c r="U294" t="s">
        <v>2244</v>
      </c>
      <c r="V294" t="s">
        <v>2245</v>
      </c>
      <c r="W294" t="s">
        <v>123</v>
      </c>
      <c r="X294" t="s">
        <v>4</v>
      </c>
      <c r="Y294" t="s">
        <v>2796</v>
      </c>
      <c r="Z294" t="s">
        <v>2797</v>
      </c>
      <c r="AA294" t="s">
        <v>2798</v>
      </c>
      <c r="AB294" t="s">
        <v>4</v>
      </c>
      <c r="AC294" s="3" t="s">
        <v>5962</v>
      </c>
      <c r="AD294" t="s">
        <v>4</v>
      </c>
      <c r="AE294" t="s">
        <v>5963</v>
      </c>
      <c r="AF294" t="s">
        <v>5964</v>
      </c>
      <c r="AG294" t="s">
        <v>5965</v>
      </c>
      <c r="AH294" t="s">
        <v>112</v>
      </c>
      <c r="AU294" t="s">
        <v>112</v>
      </c>
      <c r="AV294" t="s">
        <v>2803</v>
      </c>
      <c r="AW294" t="s">
        <v>114</v>
      </c>
      <c r="AX294" t="s">
        <v>144</v>
      </c>
      <c r="AY294" t="s">
        <v>2804</v>
      </c>
      <c r="AZ294" t="s">
        <v>4</v>
      </c>
      <c r="BA294" s="3" t="s">
        <v>95</v>
      </c>
      <c r="BB294" s="6" t="s">
        <v>95</v>
      </c>
      <c r="BC294" s="3" t="s">
        <v>95</v>
      </c>
      <c r="BD294" t="s">
        <v>4</v>
      </c>
      <c r="BE294">
        <v>7856</v>
      </c>
      <c r="BF294" t="s">
        <v>213</v>
      </c>
      <c r="BG294">
        <v>96.480900000000005</v>
      </c>
      <c r="BI294">
        <v>53.665700000000001</v>
      </c>
      <c r="BJ294">
        <v>65.102599999999995</v>
      </c>
      <c r="BK294">
        <v>56.598199999999999</v>
      </c>
      <c r="BM294">
        <v>42.815300000000001</v>
      </c>
      <c r="BN294">
        <v>51.906199999999998</v>
      </c>
      <c r="BO294">
        <v>56.891500000000001</v>
      </c>
      <c r="BP294">
        <v>38.123199999999997</v>
      </c>
      <c r="BQ294">
        <v>31.378299999999999</v>
      </c>
      <c r="BR294">
        <v>31.671600000000002</v>
      </c>
      <c r="BS294">
        <v>31.378299999999999</v>
      </c>
      <c r="BT294">
        <v>31.378299999999999</v>
      </c>
      <c r="BU294">
        <v>31.9648</v>
      </c>
      <c r="BV294" t="s">
        <v>5966</v>
      </c>
      <c r="BW294">
        <v>30.791799999999999</v>
      </c>
      <c r="BX294">
        <v>33.431100000000001</v>
      </c>
      <c r="BZ294">
        <v>32.8446</v>
      </c>
      <c r="CA294">
        <v>31.671600000000002</v>
      </c>
      <c r="CB294">
        <v>10.2639</v>
      </c>
      <c r="CC294">
        <v>26.686199999999999</v>
      </c>
      <c r="CD294">
        <v>29.6188</v>
      </c>
      <c r="CF294">
        <v>31.9648</v>
      </c>
      <c r="CG294" t="s">
        <v>5967</v>
      </c>
      <c r="CH294" t="s">
        <v>5968</v>
      </c>
      <c r="CI294">
        <v>7.3313800000000002</v>
      </c>
      <c r="CJ294" t="s">
        <v>5969</v>
      </c>
      <c r="CK294">
        <v>8</v>
      </c>
      <c r="CL294" t="s">
        <v>4</v>
      </c>
      <c r="CM294" t="s">
        <v>2809</v>
      </c>
      <c r="CN294" t="s">
        <v>5970</v>
      </c>
      <c r="CO294" t="s">
        <v>1218</v>
      </c>
      <c r="CP294" t="s">
        <v>100</v>
      </c>
      <c r="CQ294">
        <v>293</v>
      </c>
      <c r="CR294" t="s">
        <v>100</v>
      </c>
      <c r="CS294" t="s">
        <v>100</v>
      </c>
      <c r="CT294" t="s">
        <v>152</v>
      </c>
      <c r="CU294" t="s">
        <v>102</v>
      </c>
      <c r="CV294" t="s">
        <v>100</v>
      </c>
    </row>
    <row r="295" spans="1:100">
      <c r="A295" s="3" t="s">
        <v>5971</v>
      </c>
      <c r="B295" s="4" t="s">
        <v>5972</v>
      </c>
      <c r="C295">
        <v>44.112612869578399</v>
      </c>
      <c r="D295">
        <v>193.29670086108001</v>
      </c>
      <c r="E295">
        <f>-2.12528512423336</f>
        <v>-2.1252851242333599</v>
      </c>
      <c r="F295" s="5">
        <v>2.6110299678169102E-7</v>
      </c>
      <c r="G295" t="s">
        <v>4</v>
      </c>
      <c r="H295">
        <v>44.112612869578399</v>
      </c>
      <c r="I295">
        <v>9.4879373825382007</v>
      </c>
      <c r="J295">
        <v>2.1757940875927302</v>
      </c>
      <c r="K295" s="5">
        <v>3.6125810740271999E-5</v>
      </c>
      <c r="L295" t="s">
        <v>4</v>
      </c>
      <c r="M295">
        <v>193.29670086108001</v>
      </c>
      <c r="N295">
        <v>9.4879373825382007</v>
      </c>
      <c r="O295">
        <v>4.3010792118260897</v>
      </c>
      <c r="P295" s="5">
        <v>4.9599707180279897E-18</v>
      </c>
      <c r="Q295" t="s">
        <v>4</v>
      </c>
      <c r="R295" s="4" t="s">
        <v>87</v>
      </c>
      <c r="S295" t="s">
        <v>4</v>
      </c>
      <c r="T295" t="s">
        <v>5973</v>
      </c>
      <c r="U295" t="s">
        <v>5974</v>
      </c>
      <c r="V295" t="s">
        <v>5975</v>
      </c>
      <c r="W295" t="s">
        <v>91</v>
      </c>
      <c r="X295" t="s">
        <v>4</v>
      </c>
      <c r="Y295" t="s">
        <v>870</v>
      </c>
      <c r="Z295" t="s">
        <v>871</v>
      </c>
      <c r="AA295" t="s">
        <v>872</v>
      </c>
      <c r="AB295" t="s">
        <v>4</v>
      </c>
      <c r="AC295" s="3" t="s">
        <v>5976</v>
      </c>
      <c r="AD295" t="s">
        <v>4</v>
      </c>
      <c r="AE295" t="s">
        <v>873</v>
      </c>
      <c r="AF295" t="s">
        <v>5977</v>
      </c>
      <c r="AG295" t="s">
        <v>5978</v>
      </c>
      <c r="AH295" t="s">
        <v>112</v>
      </c>
      <c r="AJ295" t="s">
        <v>876</v>
      </c>
      <c r="AL295" t="s">
        <v>877</v>
      </c>
      <c r="AM295" t="s">
        <v>878</v>
      </c>
      <c r="AQ295" t="s">
        <v>879</v>
      </c>
      <c r="AU295" t="s">
        <v>112</v>
      </c>
      <c r="AV295" t="s">
        <v>880</v>
      </c>
      <c r="AW295" t="s">
        <v>114</v>
      </c>
      <c r="AX295" t="s">
        <v>881</v>
      </c>
      <c r="AY295" t="s">
        <v>882</v>
      </c>
      <c r="AZ295" t="s">
        <v>4</v>
      </c>
      <c r="BA295" s="3" t="s">
        <v>95</v>
      </c>
      <c r="BB295" t="s">
        <v>96</v>
      </c>
      <c r="BC295" s="3" t="s">
        <v>95</v>
      </c>
      <c r="BD295" t="s">
        <v>4</v>
      </c>
      <c r="BE295">
        <v>7859</v>
      </c>
      <c r="BF295" t="s">
        <v>213</v>
      </c>
      <c r="BG295">
        <v>69.053700000000006</v>
      </c>
      <c r="BI295">
        <v>81.585700000000003</v>
      </c>
      <c r="BJ295">
        <v>51.662399999999998</v>
      </c>
      <c r="BM295">
        <v>50.383600000000001</v>
      </c>
      <c r="BN295">
        <v>50.127899999999997</v>
      </c>
      <c r="BO295" t="s">
        <v>5979</v>
      </c>
      <c r="CC295" t="s">
        <v>5980</v>
      </c>
      <c r="CD295" t="s">
        <v>5981</v>
      </c>
      <c r="CG295" t="s">
        <v>5982</v>
      </c>
      <c r="CH295" t="s">
        <v>5983</v>
      </c>
      <c r="CI295" t="s">
        <v>5984</v>
      </c>
      <c r="CK295">
        <v>8</v>
      </c>
      <c r="CL295" t="s">
        <v>4</v>
      </c>
      <c r="CM295" t="s">
        <v>98</v>
      </c>
      <c r="CN295" t="s">
        <v>98</v>
      </c>
      <c r="CO295" t="s">
        <v>99</v>
      </c>
      <c r="CP295" t="s">
        <v>100</v>
      </c>
      <c r="CQ295">
        <v>294</v>
      </c>
      <c r="CR295" t="s">
        <v>100</v>
      </c>
      <c r="CS295" t="s">
        <v>101</v>
      </c>
      <c r="CT295" t="s">
        <v>152</v>
      </c>
      <c r="CU295" t="s">
        <v>102</v>
      </c>
      <c r="CV295" t="s">
        <v>100</v>
      </c>
    </row>
    <row r="296" spans="1:100">
      <c r="A296" s="3" t="s">
        <v>5985</v>
      </c>
      <c r="B296" s="4" t="s">
        <v>5986</v>
      </c>
      <c r="C296">
        <v>173.16022577011501</v>
      </c>
      <c r="D296">
        <v>1742.94646209242</v>
      </c>
      <c r="E296">
        <f>-3.32997043752116</f>
        <v>-3.3299704375211601</v>
      </c>
      <c r="F296" s="5">
        <v>7.9785377533548496E-14</v>
      </c>
      <c r="G296" t="s">
        <v>4</v>
      </c>
      <c r="H296">
        <v>173.16022577011501</v>
      </c>
      <c r="I296">
        <v>59.389629170365303</v>
      </c>
      <c r="J296">
        <v>1.54819841562664</v>
      </c>
      <c r="K296">
        <v>1.2169519427686799E-3</v>
      </c>
      <c r="L296" t="s">
        <v>4</v>
      </c>
      <c r="M296">
        <v>1742.94646209242</v>
      </c>
      <c r="N296">
        <v>59.389629170365303</v>
      </c>
      <c r="O296">
        <v>4.8781688531478</v>
      </c>
      <c r="P296" s="5">
        <v>1.38343627306772E-27</v>
      </c>
      <c r="Q296" t="s">
        <v>4</v>
      </c>
      <c r="R296" s="4" t="s">
        <v>87</v>
      </c>
      <c r="S296" t="s">
        <v>4</v>
      </c>
      <c r="T296" t="s">
        <v>5987</v>
      </c>
      <c r="U296" t="s">
        <v>5988</v>
      </c>
      <c r="V296" t="s">
        <v>5989</v>
      </c>
      <c r="W296" t="s">
        <v>1915</v>
      </c>
      <c r="X296" t="s">
        <v>4</v>
      </c>
      <c r="Y296" t="s">
        <v>5990</v>
      </c>
      <c r="Z296" t="s">
        <v>5991</v>
      </c>
      <c r="AA296" t="s">
        <v>5992</v>
      </c>
      <c r="AB296" t="s">
        <v>4</v>
      </c>
      <c r="AC296" s="3" t="s">
        <v>1962</v>
      </c>
      <c r="AD296" t="s">
        <v>4</v>
      </c>
      <c r="AE296" t="s">
        <v>5993</v>
      </c>
      <c r="AF296" t="s">
        <v>5994</v>
      </c>
      <c r="AG296" t="s">
        <v>5995</v>
      </c>
      <c r="AH296" t="s">
        <v>314</v>
      </c>
      <c r="AU296" t="s">
        <v>112</v>
      </c>
      <c r="AV296" t="s">
        <v>5996</v>
      </c>
      <c r="AW296" t="s">
        <v>114</v>
      </c>
      <c r="AX296" t="s">
        <v>132</v>
      </c>
      <c r="AY296" t="s">
        <v>3410</v>
      </c>
      <c r="AZ296" t="s">
        <v>4</v>
      </c>
      <c r="BA296" s="3" t="s">
        <v>95</v>
      </c>
      <c r="BB296" s="6" t="s">
        <v>95</v>
      </c>
      <c r="BC296" s="3" t="s">
        <v>95</v>
      </c>
      <c r="BD296" t="s">
        <v>4</v>
      </c>
      <c r="BE296">
        <v>10175</v>
      </c>
      <c r="BF296" t="s">
        <v>169</v>
      </c>
      <c r="BG296">
        <v>98.39</v>
      </c>
      <c r="BI296">
        <v>91.592100000000002</v>
      </c>
      <c r="BJ296">
        <v>86.046499999999995</v>
      </c>
      <c r="BL296">
        <v>79.069800000000001</v>
      </c>
      <c r="BN296">
        <v>77.280900000000003</v>
      </c>
      <c r="BO296">
        <v>55.098399999999998</v>
      </c>
      <c r="BP296">
        <v>51.341700000000003</v>
      </c>
      <c r="BR296">
        <v>10.9123</v>
      </c>
      <c r="BS296">
        <v>9.6601099999999995</v>
      </c>
      <c r="CB296">
        <v>9.4812200000000004</v>
      </c>
      <c r="CG296">
        <v>12.880100000000001</v>
      </c>
      <c r="CH296">
        <v>13.2379</v>
      </c>
      <c r="CI296">
        <v>13.4168</v>
      </c>
      <c r="CJ296">
        <v>12.1646</v>
      </c>
      <c r="CK296">
        <v>9</v>
      </c>
      <c r="CL296" t="s">
        <v>4</v>
      </c>
      <c r="CM296" t="s">
        <v>98</v>
      </c>
      <c r="CN296" t="s">
        <v>98</v>
      </c>
      <c r="CO296" t="s">
        <v>99</v>
      </c>
      <c r="CP296" t="s">
        <v>100</v>
      </c>
      <c r="CQ296">
        <v>295</v>
      </c>
      <c r="CR296" t="s">
        <v>100</v>
      </c>
      <c r="CS296" s="7" t="s">
        <v>101</v>
      </c>
      <c r="CT296" t="s">
        <v>152</v>
      </c>
      <c r="CU296" t="s">
        <v>102</v>
      </c>
      <c r="CV296" t="s">
        <v>100</v>
      </c>
    </row>
    <row r="297" spans="1:100">
      <c r="A297" s="3" t="s">
        <v>5997</v>
      </c>
      <c r="B297" s="4" t="s">
        <v>5998</v>
      </c>
      <c r="C297">
        <v>1231.4275832513299</v>
      </c>
      <c r="D297">
        <v>19702.277102616299</v>
      </c>
      <c r="E297">
        <f>-3.99988800491569</f>
        <v>-3.99988800491569</v>
      </c>
      <c r="F297" s="5">
        <v>7.8715452893406603E-17</v>
      </c>
      <c r="G297" t="s">
        <v>4</v>
      </c>
      <c r="H297">
        <v>1231.4275832513299</v>
      </c>
      <c r="I297">
        <v>697.94324838131195</v>
      </c>
      <c r="J297">
        <v>0.81948729531896303</v>
      </c>
      <c r="K297">
        <v>0.113449753367127</v>
      </c>
      <c r="L297" t="s">
        <v>4</v>
      </c>
      <c r="M297">
        <v>19702.277102616299</v>
      </c>
      <c r="N297">
        <v>697.94324838131195</v>
      </c>
      <c r="O297">
        <v>4.8193753002346602</v>
      </c>
      <c r="P297" s="5">
        <v>8.6987428279739396E-25</v>
      </c>
      <c r="Q297" t="s">
        <v>4</v>
      </c>
      <c r="R297" s="4" t="s">
        <v>87</v>
      </c>
      <c r="S297" t="s">
        <v>4</v>
      </c>
      <c r="T297" t="s">
        <v>2243</v>
      </c>
      <c r="U297" t="s">
        <v>2244</v>
      </c>
      <c r="V297" t="s">
        <v>2245</v>
      </c>
      <c r="W297" t="s">
        <v>123</v>
      </c>
      <c r="X297" t="s">
        <v>4</v>
      </c>
      <c r="Y297" t="s">
        <v>5999</v>
      </c>
      <c r="Z297" t="s">
        <v>6000</v>
      </c>
      <c r="AA297" t="s">
        <v>6001</v>
      </c>
      <c r="AB297" t="s">
        <v>4</v>
      </c>
      <c r="AC297" s="3" t="s">
        <v>93</v>
      </c>
      <c r="AD297" t="s">
        <v>4</v>
      </c>
      <c r="AE297" s="4" t="s">
        <v>94</v>
      </c>
      <c r="AZ297" t="s">
        <v>4</v>
      </c>
      <c r="BA297" s="3" t="s">
        <v>95</v>
      </c>
      <c r="BB297" s="6" t="s">
        <v>95</v>
      </c>
      <c r="BC297" s="3" t="s">
        <v>95</v>
      </c>
      <c r="BD297" t="s">
        <v>4</v>
      </c>
      <c r="BE297">
        <v>7876</v>
      </c>
      <c r="BF297" t="s">
        <v>213</v>
      </c>
      <c r="BG297">
        <v>76.640100000000004</v>
      </c>
      <c r="BI297">
        <v>49.294899999999998</v>
      </c>
      <c r="BJ297">
        <v>42.427999999999997</v>
      </c>
      <c r="BK297">
        <v>27.651700000000002</v>
      </c>
      <c r="BM297">
        <v>31.821000000000002</v>
      </c>
      <c r="BN297">
        <v>32.372799999999998</v>
      </c>
      <c r="BO297">
        <v>34.396099999999997</v>
      </c>
      <c r="CK297">
        <v>8</v>
      </c>
      <c r="CL297" t="s">
        <v>4</v>
      </c>
      <c r="CM297" t="s">
        <v>98</v>
      </c>
      <c r="CN297" t="s">
        <v>98</v>
      </c>
      <c r="CO297" t="s">
        <v>99</v>
      </c>
      <c r="CP297" t="s">
        <v>100</v>
      </c>
      <c r="CQ297">
        <v>296</v>
      </c>
      <c r="CR297" t="s">
        <v>100</v>
      </c>
      <c r="CS297" t="s">
        <v>100</v>
      </c>
      <c r="CT297" t="s">
        <v>152</v>
      </c>
      <c r="CU297" t="s">
        <v>102</v>
      </c>
      <c r="CV297" t="s">
        <v>100</v>
      </c>
    </row>
    <row r="298" spans="1:100">
      <c r="A298" s="3" t="s">
        <v>6002</v>
      </c>
      <c r="B298" s="4" t="s">
        <v>6003</v>
      </c>
      <c r="C298">
        <v>81.766320855343096</v>
      </c>
      <c r="D298">
        <v>1892.1273676176399</v>
      </c>
      <c r="E298">
        <f>-4.53102000605731</f>
        <v>-4.53102000605731</v>
      </c>
      <c r="F298" s="5">
        <v>3.9704933848273902E-13</v>
      </c>
      <c r="G298" t="s">
        <v>4</v>
      </c>
      <c r="H298">
        <v>81.766320855343096</v>
      </c>
      <c r="I298">
        <v>59.204703616899998</v>
      </c>
      <c r="J298">
        <v>0.47175485788093402</v>
      </c>
      <c r="K298">
        <v>0.51139120756686296</v>
      </c>
      <c r="L298" t="s">
        <v>4</v>
      </c>
      <c r="M298">
        <v>1892.1273676176399</v>
      </c>
      <c r="N298">
        <v>59.204703616899998</v>
      </c>
      <c r="O298">
        <v>5.0027748639382503</v>
      </c>
      <c r="P298" s="5">
        <v>5.57304514349263E-16</v>
      </c>
      <c r="Q298" t="s">
        <v>4</v>
      </c>
      <c r="R298" s="4" t="s">
        <v>87</v>
      </c>
      <c r="S298" t="s">
        <v>4</v>
      </c>
      <c r="T298" t="s">
        <v>92</v>
      </c>
      <c r="U298" t="s">
        <v>92</v>
      </c>
      <c r="V298" t="s">
        <v>92</v>
      </c>
      <c r="W298" t="s">
        <v>92</v>
      </c>
      <c r="X298" t="s">
        <v>4</v>
      </c>
      <c r="Y298" t="s">
        <v>92</v>
      </c>
      <c r="Z298" t="s">
        <v>92</v>
      </c>
      <c r="AA298" t="s">
        <v>92</v>
      </c>
      <c r="AB298" t="s">
        <v>4</v>
      </c>
      <c r="AC298" s="3" t="s">
        <v>93</v>
      </c>
      <c r="AD298" t="s">
        <v>4</v>
      </c>
      <c r="AE298" s="4" t="s">
        <v>94</v>
      </c>
      <c r="AZ298" t="s">
        <v>4</v>
      </c>
      <c r="BA298" s="3" t="s">
        <v>95</v>
      </c>
      <c r="BB298" s="6" t="s">
        <v>95</v>
      </c>
      <c r="BC298" s="3" t="s">
        <v>95</v>
      </c>
      <c r="BD298" t="s">
        <v>4</v>
      </c>
      <c r="BE298">
        <v>1994</v>
      </c>
      <c r="BF298" t="s">
        <v>148</v>
      </c>
      <c r="BG298">
        <v>98.679900000000004</v>
      </c>
      <c r="BH298">
        <v>100</v>
      </c>
      <c r="BI298">
        <v>46.534700000000001</v>
      </c>
      <c r="BJ298">
        <v>75.247500000000002</v>
      </c>
      <c r="BK298" t="s">
        <v>6004</v>
      </c>
      <c r="BM298" t="s">
        <v>6005</v>
      </c>
      <c r="BN298">
        <v>70.627099999999999</v>
      </c>
      <c r="CK298">
        <v>3</v>
      </c>
      <c r="CL298" t="s">
        <v>4</v>
      </c>
      <c r="CM298" t="s">
        <v>98</v>
      </c>
      <c r="CN298" t="s">
        <v>98</v>
      </c>
      <c r="CO298" t="s">
        <v>99</v>
      </c>
      <c r="CP298" t="s">
        <v>100</v>
      </c>
      <c r="CQ298">
        <v>297</v>
      </c>
      <c r="CR298" t="s">
        <v>100</v>
      </c>
      <c r="CS298" t="s">
        <v>100</v>
      </c>
      <c r="CT298" t="s">
        <v>152</v>
      </c>
      <c r="CU298" t="s">
        <v>102</v>
      </c>
      <c r="CV298" t="s">
        <v>100</v>
      </c>
    </row>
    <row r="299" spans="1:100">
      <c r="A299" s="3" t="s">
        <v>6006</v>
      </c>
      <c r="B299" s="4" t="s">
        <v>6007</v>
      </c>
      <c r="C299">
        <v>178.17266419193299</v>
      </c>
      <c r="D299">
        <v>1951.55071679754</v>
      </c>
      <c r="E299">
        <f>-3.45243785599124</f>
        <v>-3.4524378559912399</v>
      </c>
      <c r="F299" s="5">
        <v>6.63469087544919E-8</v>
      </c>
      <c r="G299" t="s">
        <v>4</v>
      </c>
      <c r="H299">
        <v>178.17266419193299</v>
      </c>
      <c r="I299">
        <v>127.12466455628299</v>
      </c>
      <c r="J299">
        <v>0.48779082426967801</v>
      </c>
      <c r="K299">
        <v>0.49397858491075403</v>
      </c>
      <c r="L299" t="s">
        <v>4</v>
      </c>
      <c r="M299">
        <v>1951.55071679754</v>
      </c>
      <c r="N299">
        <v>127.12466455628299</v>
      </c>
      <c r="O299">
        <v>3.9402286802609199</v>
      </c>
      <c r="P299" s="5">
        <v>2.3644578648333898E-10</v>
      </c>
      <c r="Q299" t="s">
        <v>4</v>
      </c>
      <c r="R299" s="4" t="s">
        <v>87</v>
      </c>
      <c r="S299" t="s">
        <v>4</v>
      </c>
      <c r="T299" t="s">
        <v>6008</v>
      </c>
      <c r="U299" t="s">
        <v>6009</v>
      </c>
      <c r="V299" t="s">
        <v>6010</v>
      </c>
      <c r="W299" t="s">
        <v>328</v>
      </c>
      <c r="X299" t="s">
        <v>4</v>
      </c>
      <c r="Y299" t="s">
        <v>6011</v>
      </c>
      <c r="Z299" t="s">
        <v>6012</v>
      </c>
      <c r="AA299" t="s">
        <v>6013</v>
      </c>
      <c r="AB299" t="s">
        <v>4</v>
      </c>
      <c r="AC299" s="3" t="s">
        <v>6014</v>
      </c>
      <c r="AD299" t="s">
        <v>4</v>
      </c>
      <c r="AE299" t="s">
        <v>6015</v>
      </c>
      <c r="AF299" t="s">
        <v>6016</v>
      </c>
      <c r="AG299" t="s">
        <v>6017</v>
      </c>
      <c r="AH299" t="s">
        <v>112</v>
      </c>
      <c r="AU299" t="s">
        <v>112</v>
      </c>
      <c r="AV299" t="s">
        <v>6018</v>
      </c>
      <c r="AW299" t="s">
        <v>114</v>
      </c>
      <c r="AX299" t="s">
        <v>1308</v>
      </c>
      <c r="AY299" t="s">
        <v>6019</v>
      </c>
      <c r="AZ299" t="s">
        <v>4</v>
      </c>
      <c r="BA299" s="3" t="s">
        <v>95</v>
      </c>
      <c r="BB299" s="6" t="s">
        <v>95</v>
      </c>
      <c r="BC299" s="3" t="s">
        <v>95</v>
      </c>
      <c r="BD299" t="s">
        <v>4</v>
      </c>
      <c r="BE299">
        <v>10179</v>
      </c>
      <c r="BF299" t="s">
        <v>169</v>
      </c>
      <c r="BG299">
        <v>98.641300000000001</v>
      </c>
      <c r="BH299">
        <v>100</v>
      </c>
      <c r="BI299" t="s">
        <v>6020</v>
      </c>
      <c r="BJ299">
        <v>72.826099999999997</v>
      </c>
      <c r="BK299" t="s">
        <v>6021</v>
      </c>
      <c r="BL299">
        <v>59.782600000000002</v>
      </c>
      <c r="BM299">
        <v>59.510899999999999</v>
      </c>
      <c r="BN299">
        <v>59.782600000000002</v>
      </c>
      <c r="BO299">
        <v>64.402199999999993</v>
      </c>
      <c r="BP299">
        <v>28.804300000000001</v>
      </c>
      <c r="BQ299" t="s">
        <v>6022</v>
      </c>
      <c r="BR299">
        <v>27.989100000000001</v>
      </c>
      <c r="BS299">
        <v>24.728300000000001</v>
      </c>
      <c r="BT299">
        <v>11.9565</v>
      </c>
      <c r="BU299">
        <v>22.554300000000001</v>
      </c>
      <c r="BV299" t="s">
        <v>6023</v>
      </c>
      <c r="BW299">
        <v>25.543500000000002</v>
      </c>
      <c r="BX299">
        <v>27.445699999999999</v>
      </c>
      <c r="BZ299">
        <v>22.282599999999999</v>
      </c>
      <c r="CA299">
        <v>27.1739</v>
      </c>
      <c r="CB299">
        <v>11.684799999999999</v>
      </c>
      <c r="CC299">
        <v>25.271699999999999</v>
      </c>
      <c r="CD299">
        <v>27.1739</v>
      </c>
      <c r="CE299">
        <v>19.293500000000002</v>
      </c>
      <c r="CF299">
        <v>24.456499999999998</v>
      </c>
      <c r="CG299" t="s">
        <v>6024</v>
      </c>
      <c r="CH299" t="s">
        <v>6025</v>
      </c>
      <c r="CI299" t="s">
        <v>6026</v>
      </c>
      <c r="CJ299">
        <v>23.913</v>
      </c>
      <c r="CK299">
        <v>9</v>
      </c>
      <c r="CL299" t="s">
        <v>4</v>
      </c>
      <c r="CM299" t="s">
        <v>6027</v>
      </c>
      <c r="CN299" t="s">
        <v>6028</v>
      </c>
      <c r="CO299" t="s">
        <v>219</v>
      </c>
      <c r="CP299" t="s">
        <v>100</v>
      </c>
      <c r="CQ299">
        <v>298</v>
      </c>
      <c r="CR299" t="s">
        <v>100</v>
      </c>
      <c r="CS299" t="s">
        <v>100</v>
      </c>
      <c r="CT299" t="s">
        <v>152</v>
      </c>
      <c r="CU299" t="s">
        <v>102</v>
      </c>
      <c r="CV299" t="s">
        <v>100</v>
      </c>
    </row>
    <row r="300" spans="1:100">
      <c r="A300" s="3" t="s">
        <v>6029</v>
      </c>
      <c r="B300" s="4" t="s">
        <v>6030</v>
      </c>
      <c r="C300">
        <v>176.034292531408</v>
      </c>
      <c r="D300">
        <v>3071.9352015910499</v>
      </c>
      <c r="E300">
        <f>-4.12434160541311</f>
        <v>-4.1243416054131101</v>
      </c>
      <c r="F300" s="5">
        <v>1.6023773375318001E-15</v>
      </c>
      <c r="G300" t="s">
        <v>4</v>
      </c>
      <c r="H300">
        <v>176.034292531408</v>
      </c>
      <c r="I300">
        <v>134.94730040761101</v>
      </c>
      <c r="J300">
        <v>0.38589488257918297</v>
      </c>
      <c r="K300">
        <v>0.51497910837052496</v>
      </c>
      <c r="L300" t="s">
        <v>4</v>
      </c>
      <c r="M300">
        <v>3071.9352015910499</v>
      </c>
      <c r="N300">
        <v>134.94730040761101</v>
      </c>
      <c r="O300">
        <v>4.5102364879922998</v>
      </c>
      <c r="P300" s="5">
        <v>9.2871515841625007E-19</v>
      </c>
      <c r="Q300" t="s">
        <v>4</v>
      </c>
      <c r="R300" s="4" t="s">
        <v>87</v>
      </c>
      <c r="S300" t="s">
        <v>4</v>
      </c>
      <c r="T300" t="s">
        <v>2325</v>
      </c>
      <c r="U300" t="s">
        <v>2326</v>
      </c>
      <c r="V300" t="s">
        <v>2327</v>
      </c>
      <c r="W300" t="s">
        <v>203</v>
      </c>
      <c r="X300" t="s">
        <v>4</v>
      </c>
      <c r="Y300" t="s">
        <v>3403</v>
      </c>
      <c r="Z300" t="s">
        <v>3404</v>
      </c>
      <c r="AA300" t="s">
        <v>3405</v>
      </c>
      <c r="AB300" t="s">
        <v>4</v>
      </c>
      <c r="AC300" s="3" t="s">
        <v>207</v>
      </c>
      <c r="AD300" t="s">
        <v>4</v>
      </c>
      <c r="AE300" t="s">
        <v>3406</v>
      </c>
      <c r="AF300" t="s">
        <v>6031</v>
      </c>
      <c r="AG300" t="s">
        <v>2197</v>
      </c>
      <c r="AH300" t="s">
        <v>314</v>
      </c>
      <c r="AU300" t="s">
        <v>112</v>
      </c>
      <c r="AV300" t="s">
        <v>3409</v>
      </c>
      <c r="AW300" t="s">
        <v>114</v>
      </c>
      <c r="AX300" t="s">
        <v>132</v>
      </c>
      <c r="AY300" t="s">
        <v>3410</v>
      </c>
      <c r="AZ300" t="s">
        <v>4</v>
      </c>
      <c r="BA300" s="3" t="s">
        <v>95</v>
      </c>
      <c r="BB300" s="6" t="s">
        <v>95</v>
      </c>
      <c r="BC300" s="3" t="s">
        <v>95</v>
      </c>
      <c r="BD300" t="s">
        <v>4</v>
      </c>
      <c r="BE300">
        <v>7885</v>
      </c>
      <c r="BF300" t="s">
        <v>213</v>
      </c>
      <c r="BG300">
        <v>73.841999999999999</v>
      </c>
      <c r="BI300">
        <v>79.563999999999993</v>
      </c>
      <c r="BK300">
        <v>39.237099999999998</v>
      </c>
      <c r="BL300">
        <v>24.523199999999999</v>
      </c>
      <c r="BM300">
        <v>52.5886</v>
      </c>
      <c r="BN300">
        <v>52.860999999999997</v>
      </c>
      <c r="BQ300">
        <v>17.711200000000002</v>
      </c>
      <c r="BS300">
        <v>17.1662</v>
      </c>
      <c r="BX300">
        <v>17.438700000000001</v>
      </c>
      <c r="CA300">
        <v>19.073599999999999</v>
      </c>
      <c r="CG300">
        <v>21.5259</v>
      </c>
      <c r="CH300">
        <v>21.253399999999999</v>
      </c>
      <c r="CI300">
        <v>20.163499999999999</v>
      </c>
      <c r="CJ300" t="s">
        <v>6032</v>
      </c>
      <c r="CK300">
        <v>8</v>
      </c>
      <c r="CL300" t="s">
        <v>4</v>
      </c>
      <c r="CM300" t="s">
        <v>6033</v>
      </c>
      <c r="CN300" t="s">
        <v>6034</v>
      </c>
      <c r="CO300" t="s">
        <v>99</v>
      </c>
      <c r="CP300" t="s">
        <v>100</v>
      </c>
      <c r="CQ300">
        <v>299</v>
      </c>
      <c r="CR300" t="s">
        <v>100</v>
      </c>
      <c r="CS300" t="s">
        <v>100</v>
      </c>
      <c r="CT300" t="s">
        <v>152</v>
      </c>
      <c r="CU300" t="s">
        <v>102</v>
      </c>
      <c r="CV300" t="s">
        <v>100</v>
      </c>
    </row>
    <row r="301" spans="1:100">
      <c r="A301" s="3" t="s">
        <v>6035</v>
      </c>
      <c r="B301" s="4" t="s">
        <v>6036</v>
      </c>
      <c r="C301">
        <v>494.401013166307</v>
      </c>
      <c r="D301">
        <v>2107.3903518662</v>
      </c>
      <c r="E301">
        <f>-2.0922639850508</f>
        <v>-2.0922639850508</v>
      </c>
      <c r="F301" s="5">
        <v>1.16701448452507E-32</v>
      </c>
      <c r="G301" t="s">
        <v>4</v>
      </c>
      <c r="H301">
        <v>494.401013166307</v>
      </c>
      <c r="I301">
        <v>134.78875207857999</v>
      </c>
      <c r="J301">
        <v>1.88362720151437</v>
      </c>
      <c r="K301" s="5">
        <v>3.5913842195610401E-22</v>
      </c>
      <c r="L301" t="s">
        <v>4</v>
      </c>
      <c r="M301">
        <v>2107.3903518662</v>
      </c>
      <c r="N301">
        <v>134.78875207857999</v>
      </c>
      <c r="O301">
        <v>3.9758911865651601</v>
      </c>
      <c r="P301" s="5">
        <v>1.0224598342496301E-97</v>
      </c>
      <c r="Q301" t="s">
        <v>4</v>
      </c>
      <c r="R301" s="4" t="s">
        <v>87</v>
      </c>
      <c r="S301" t="s">
        <v>4</v>
      </c>
      <c r="T301" t="s">
        <v>92</v>
      </c>
      <c r="U301" t="s">
        <v>92</v>
      </c>
      <c r="V301" t="s">
        <v>92</v>
      </c>
      <c r="W301" t="s">
        <v>92</v>
      </c>
      <c r="X301" t="s">
        <v>4</v>
      </c>
      <c r="Y301" t="s">
        <v>6037</v>
      </c>
      <c r="Z301" t="s">
        <v>6038</v>
      </c>
      <c r="AA301" t="s">
        <v>6039</v>
      </c>
      <c r="AB301" t="s">
        <v>4</v>
      </c>
      <c r="AC301" s="3" t="s">
        <v>93</v>
      </c>
      <c r="AD301" t="s">
        <v>4</v>
      </c>
      <c r="AE301" s="4" t="s">
        <v>94</v>
      </c>
      <c r="AZ301" t="s">
        <v>4</v>
      </c>
      <c r="BA301" s="3" t="s">
        <v>115</v>
      </c>
      <c r="BB301" s="6" t="s">
        <v>95</v>
      </c>
      <c r="BC301" s="3" t="s">
        <v>95</v>
      </c>
      <c r="BD301" t="s">
        <v>4</v>
      </c>
      <c r="BE301">
        <v>1233</v>
      </c>
      <c r="BF301" t="s">
        <v>151</v>
      </c>
      <c r="BG301">
        <v>92.024500000000003</v>
      </c>
      <c r="BH301" t="s">
        <v>6040</v>
      </c>
      <c r="BI301">
        <v>87.269900000000007</v>
      </c>
      <c r="BJ301">
        <v>71.165599999999998</v>
      </c>
      <c r="BK301">
        <v>63.650300000000001</v>
      </c>
      <c r="BL301" t="s">
        <v>6041</v>
      </c>
      <c r="BM301">
        <v>58.435600000000001</v>
      </c>
      <c r="BN301">
        <v>58.282200000000003</v>
      </c>
      <c r="BO301">
        <v>59.049100000000003</v>
      </c>
      <c r="CK301">
        <v>2</v>
      </c>
      <c r="CL301" t="s">
        <v>4</v>
      </c>
      <c r="CM301" t="s">
        <v>98</v>
      </c>
      <c r="CN301" t="s">
        <v>98</v>
      </c>
      <c r="CO301" t="s">
        <v>99</v>
      </c>
      <c r="CP301" t="s">
        <v>100</v>
      </c>
      <c r="CQ301">
        <v>300</v>
      </c>
      <c r="CR301" t="s">
        <v>100</v>
      </c>
      <c r="CS301" s="7" t="s">
        <v>101</v>
      </c>
      <c r="CT301" t="s">
        <v>152</v>
      </c>
      <c r="CU301" t="s">
        <v>102</v>
      </c>
      <c r="CV301" t="s">
        <v>100</v>
      </c>
    </row>
    <row r="302" spans="1:100">
      <c r="A302" s="3" t="s">
        <v>6042</v>
      </c>
      <c r="B302" s="4" t="s">
        <v>6043</v>
      </c>
      <c r="C302">
        <v>112.649795141962</v>
      </c>
      <c r="D302">
        <v>2190.18077077403</v>
      </c>
      <c r="E302">
        <f>-4.27958199707371</f>
        <v>-4.2795819970737101</v>
      </c>
      <c r="F302" s="5">
        <v>2.80251273564495E-11</v>
      </c>
      <c r="G302" t="s">
        <v>4</v>
      </c>
      <c r="H302">
        <v>112.649795141962</v>
      </c>
      <c r="I302">
        <v>39.1053917217289</v>
      </c>
      <c r="J302">
        <v>1.54942996693145</v>
      </c>
      <c r="K302">
        <v>2.5510052909609102E-2</v>
      </c>
      <c r="L302" t="s">
        <v>4</v>
      </c>
      <c r="M302">
        <v>2190.18077077403</v>
      </c>
      <c r="N302">
        <v>39.1053917217289</v>
      </c>
      <c r="O302">
        <v>5.8290119640051596</v>
      </c>
      <c r="P302" s="5">
        <v>8.2053882596210999E-20</v>
      </c>
      <c r="Q302" t="s">
        <v>4</v>
      </c>
      <c r="R302" s="4" t="s">
        <v>87</v>
      </c>
      <c r="S302" t="s">
        <v>4</v>
      </c>
      <c r="T302" t="s">
        <v>92</v>
      </c>
      <c r="U302" t="s">
        <v>92</v>
      </c>
      <c r="V302" t="s">
        <v>92</v>
      </c>
      <c r="W302" t="s">
        <v>92</v>
      </c>
      <c r="X302" t="s">
        <v>4</v>
      </c>
      <c r="Y302" t="s">
        <v>92</v>
      </c>
      <c r="Z302" t="s">
        <v>92</v>
      </c>
      <c r="AA302" t="s">
        <v>92</v>
      </c>
      <c r="AB302" t="s">
        <v>4</v>
      </c>
      <c r="AC302" s="3" t="s">
        <v>93</v>
      </c>
      <c r="AD302" t="s">
        <v>4</v>
      </c>
      <c r="AE302" s="4" t="s">
        <v>94</v>
      </c>
      <c r="AZ302" t="s">
        <v>4</v>
      </c>
      <c r="BA302" s="3" t="s">
        <v>95</v>
      </c>
      <c r="BB302" s="6" t="s">
        <v>95</v>
      </c>
      <c r="BC302" s="3" t="s">
        <v>95</v>
      </c>
      <c r="BD302" t="s">
        <v>4</v>
      </c>
      <c r="BE302">
        <v>2004</v>
      </c>
      <c r="BF302" t="s">
        <v>148</v>
      </c>
      <c r="BG302">
        <v>56.756799999999998</v>
      </c>
      <c r="BH302">
        <v>63.963999999999999</v>
      </c>
      <c r="BI302">
        <v>90.090100000000007</v>
      </c>
      <c r="BJ302">
        <v>38.738700000000001</v>
      </c>
      <c r="BK302">
        <v>64.864900000000006</v>
      </c>
      <c r="BM302">
        <v>64.864900000000006</v>
      </c>
      <c r="BN302">
        <v>66.216200000000001</v>
      </c>
      <c r="BO302" t="s">
        <v>6044</v>
      </c>
      <c r="CK302">
        <v>3</v>
      </c>
      <c r="CL302" t="s">
        <v>4</v>
      </c>
      <c r="CM302" t="s">
        <v>98</v>
      </c>
      <c r="CN302" t="s">
        <v>98</v>
      </c>
      <c r="CO302" t="s">
        <v>99</v>
      </c>
      <c r="CP302" t="s">
        <v>100</v>
      </c>
      <c r="CQ302">
        <v>301</v>
      </c>
      <c r="CR302" t="s">
        <v>100</v>
      </c>
      <c r="CS302" s="7" t="s">
        <v>101</v>
      </c>
      <c r="CT302" t="s">
        <v>152</v>
      </c>
      <c r="CU302" t="s">
        <v>102</v>
      </c>
      <c r="CV302" t="s">
        <v>100</v>
      </c>
    </row>
    <row r="303" spans="1:100">
      <c r="A303" s="3" t="s">
        <v>6045</v>
      </c>
      <c r="B303" s="4" t="s">
        <v>6046</v>
      </c>
      <c r="C303">
        <v>41.124361704546402</v>
      </c>
      <c r="D303">
        <v>362.40650438350099</v>
      </c>
      <c r="E303">
        <f>-3.13603569860693</f>
        <v>-3.1360356986069302</v>
      </c>
      <c r="F303" s="5">
        <v>3.3658553160471098E-25</v>
      </c>
      <c r="G303" t="s">
        <v>4</v>
      </c>
      <c r="H303">
        <v>41.124361704546402</v>
      </c>
      <c r="I303">
        <v>11.9999172932507</v>
      </c>
      <c r="J303">
        <v>1.68875658598417</v>
      </c>
      <c r="K303" s="5">
        <v>7.4933458601804802E-5</v>
      </c>
      <c r="L303" t="s">
        <v>4</v>
      </c>
      <c r="M303">
        <v>362.40650438350099</v>
      </c>
      <c r="N303">
        <v>11.9999172932507</v>
      </c>
      <c r="O303">
        <v>4.8247922845911004</v>
      </c>
      <c r="P303" s="5">
        <v>5.5965957753583999E-35</v>
      </c>
      <c r="Q303" t="s">
        <v>4</v>
      </c>
      <c r="R303" s="4" t="s">
        <v>87</v>
      </c>
      <c r="S303" t="s">
        <v>4</v>
      </c>
      <c r="T303" t="s">
        <v>92</v>
      </c>
      <c r="U303" t="s">
        <v>92</v>
      </c>
      <c r="V303" t="s">
        <v>92</v>
      </c>
      <c r="W303" t="s">
        <v>92</v>
      </c>
      <c r="X303" t="s">
        <v>4</v>
      </c>
      <c r="Y303" t="s">
        <v>92</v>
      </c>
      <c r="Z303" t="s">
        <v>92</v>
      </c>
      <c r="AA303" t="s">
        <v>92</v>
      </c>
      <c r="AB303" t="s">
        <v>4</v>
      </c>
      <c r="AC303" s="3" t="s">
        <v>93</v>
      </c>
      <c r="AD303" t="s">
        <v>4</v>
      </c>
      <c r="AE303" s="4" t="s">
        <v>94</v>
      </c>
      <c r="AZ303" t="s">
        <v>4</v>
      </c>
      <c r="BA303" s="3" t="s">
        <v>95</v>
      </c>
      <c r="BB303" s="6" t="s">
        <v>95</v>
      </c>
      <c r="BC303" s="3" t="s">
        <v>197</v>
      </c>
      <c r="BD303" t="s">
        <v>4</v>
      </c>
      <c r="BE303">
        <v>2014</v>
      </c>
      <c r="BF303" t="s">
        <v>148</v>
      </c>
      <c r="BG303" t="s">
        <v>6047</v>
      </c>
      <c r="BH303">
        <v>100</v>
      </c>
      <c r="BJ303">
        <v>77.235799999999998</v>
      </c>
      <c r="BK303">
        <v>70.731700000000004</v>
      </c>
      <c r="BL303">
        <v>59.349600000000002</v>
      </c>
      <c r="BM303">
        <v>65.853700000000003</v>
      </c>
      <c r="BN303">
        <v>64.227599999999995</v>
      </c>
      <c r="BO303">
        <v>67.479699999999994</v>
      </c>
      <c r="CK303">
        <v>3</v>
      </c>
      <c r="CL303" t="s">
        <v>4</v>
      </c>
      <c r="CM303" t="s">
        <v>98</v>
      </c>
      <c r="CN303" t="s">
        <v>98</v>
      </c>
      <c r="CO303" t="s">
        <v>99</v>
      </c>
      <c r="CP303" t="s">
        <v>100</v>
      </c>
      <c r="CQ303">
        <v>302</v>
      </c>
      <c r="CR303" t="s">
        <v>100</v>
      </c>
      <c r="CS303" s="7" t="s">
        <v>101</v>
      </c>
      <c r="CT303" t="s">
        <v>152</v>
      </c>
      <c r="CU303" t="s">
        <v>102</v>
      </c>
      <c r="CV303" t="s">
        <v>100</v>
      </c>
    </row>
    <row r="304" spans="1:100">
      <c r="A304" s="3" t="s">
        <v>6048</v>
      </c>
      <c r="B304" s="4" t="s">
        <v>6049</v>
      </c>
      <c r="C304">
        <v>663.570669423651</v>
      </c>
      <c r="D304">
        <v>10647.4011276947</v>
      </c>
      <c r="E304">
        <f>-4.00391265115026</f>
        <v>-4.0039126511502596</v>
      </c>
      <c r="F304" s="5">
        <v>4.5712202997975596E-13</v>
      </c>
      <c r="G304" t="s">
        <v>4</v>
      </c>
      <c r="H304">
        <v>663.570669423651</v>
      </c>
      <c r="I304">
        <v>409.40342192835698</v>
      </c>
      <c r="J304">
        <v>0.69818611175476997</v>
      </c>
      <c r="K304">
        <v>0.24802223392952299</v>
      </c>
      <c r="L304" t="s">
        <v>4</v>
      </c>
      <c r="M304">
        <v>10647.4011276947</v>
      </c>
      <c r="N304">
        <v>409.40342192835698</v>
      </c>
      <c r="O304">
        <v>4.7020987629050204</v>
      </c>
      <c r="P304" s="5">
        <v>3.0165051538184899E-18</v>
      </c>
      <c r="Q304" t="s">
        <v>4</v>
      </c>
      <c r="R304" s="4" t="s">
        <v>87</v>
      </c>
      <c r="S304" t="s">
        <v>4</v>
      </c>
      <c r="T304" t="s">
        <v>88</v>
      </c>
      <c r="U304" t="s">
        <v>89</v>
      </c>
      <c r="V304" t="s">
        <v>90</v>
      </c>
      <c r="W304" t="s">
        <v>91</v>
      </c>
      <c r="X304" t="s">
        <v>4</v>
      </c>
      <c r="Y304" t="s">
        <v>92</v>
      </c>
      <c r="Z304" t="s">
        <v>92</v>
      </c>
      <c r="AA304" t="s">
        <v>92</v>
      </c>
      <c r="AB304" t="s">
        <v>4</v>
      </c>
      <c r="AC304" s="3" t="s">
        <v>93</v>
      </c>
      <c r="AD304" t="s">
        <v>4</v>
      </c>
      <c r="AE304" s="4" t="s">
        <v>94</v>
      </c>
      <c r="AZ304" t="s">
        <v>4</v>
      </c>
      <c r="BA304" s="3" t="s">
        <v>95</v>
      </c>
      <c r="BB304" t="s">
        <v>96</v>
      </c>
      <c r="BC304" s="3" t="s">
        <v>95</v>
      </c>
      <c r="BD304" t="s">
        <v>4</v>
      </c>
      <c r="BE304">
        <v>4267</v>
      </c>
      <c r="BF304" t="s">
        <v>112</v>
      </c>
      <c r="BG304">
        <v>98.848399999999998</v>
      </c>
      <c r="BH304">
        <v>49.904000000000003</v>
      </c>
      <c r="BI304" t="s">
        <v>6050</v>
      </c>
      <c r="BJ304">
        <v>22.648800000000001</v>
      </c>
      <c r="BK304">
        <v>47.408799999999999</v>
      </c>
      <c r="BL304">
        <v>12.0921</v>
      </c>
      <c r="BM304">
        <v>21.113199999999999</v>
      </c>
      <c r="BN304">
        <v>57.005800000000001</v>
      </c>
      <c r="BO304">
        <v>16.122800000000002</v>
      </c>
      <c r="BP304">
        <v>30.134399999999999</v>
      </c>
      <c r="BR304">
        <v>18.617999999999999</v>
      </c>
      <c r="CK304">
        <v>5</v>
      </c>
      <c r="CL304" t="s">
        <v>4</v>
      </c>
      <c r="CM304" t="s">
        <v>98</v>
      </c>
      <c r="CN304" t="s">
        <v>98</v>
      </c>
      <c r="CO304" t="s">
        <v>99</v>
      </c>
      <c r="CP304" t="s">
        <v>100</v>
      </c>
      <c r="CQ304">
        <v>303</v>
      </c>
      <c r="CR304" t="s">
        <v>100</v>
      </c>
      <c r="CS304" t="s">
        <v>100</v>
      </c>
      <c r="CT304" t="s">
        <v>152</v>
      </c>
      <c r="CU304" t="s">
        <v>102</v>
      </c>
      <c r="CV304" t="s">
        <v>100</v>
      </c>
    </row>
    <row r="305" spans="1:100">
      <c r="A305" s="3" t="s">
        <v>6051</v>
      </c>
      <c r="B305" s="4" t="s">
        <v>6052</v>
      </c>
      <c r="C305">
        <v>28.595196041527</v>
      </c>
      <c r="D305">
        <v>290.15441021656397</v>
      </c>
      <c r="E305">
        <f>-3.3408684145844</f>
        <v>-3.3408684145844001</v>
      </c>
      <c r="F305" s="5">
        <v>1.2402176804027399E-16</v>
      </c>
      <c r="G305" t="s">
        <v>4</v>
      </c>
      <c r="H305">
        <v>28.595196041527</v>
      </c>
      <c r="I305">
        <v>14.594643977949399</v>
      </c>
      <c r="J305">
        <v>0.99242054893655696</v>
      </c>
      <c r="K305">
        <v>5.4201837204784102E-2</v>
      </c>
      <c r="L305" t="s">
        <v>4</v>
      </c>
      <c r="M305">
        <v>290.15441021656397</v>
      </c>
      <c r="N305">
        <v>14.594643977949399</v>
      </c>
      <c r="O305">
        <v>4.3332889635209604</v>
      </c>
      <c r="P305" s="5">
        <v>1.65074507097272E-21</v>
      </c>
      <c r="Q305" t="s">
        <v>4</v>
      </c>
      <c r="R305" s="4" t="s">
        <v>87</v>
      </c>
      <c r="S305" t="s">
        <v>4</v>
      </c>
      <c r="T305" t="s">
        <v>88</v>
      </c>
      <c r="U305" t="s">
        <v>89</v>
      </c>
      <c r="V305" t="s">
        <v>90</v>
      </c>
      <c r="W305" t="s">
        <v>91</v>
      </c>
      <c r="X305" t="s">
        <v>4</v>
      </c>
      <c r="Y305" t="s">
        <v>1801</v>
      </c>
      <c r="Z305" t="s">
        <v>1802</v>
      </c>
      <c r="AA305" t="s">
        <v>1803</v>
      </c>
      <c r="AB305" t="s">
        <v>4</v>
      </c>
      <c r="AC305" s="3" t="s">
        <v>6053</v>
      </c>
      <c r="AD305" t="s">
        <v>4</v>
      </c>
      <c r="AE305" t="s">
        <v>6054</v>
      </c>
      <c r="AF305" t="s">
        <v>6055</v>
      </c>
      <c r="AG305" t="s">
        <v>6056</v>
      </c>
      <c r="AH305" t="s">
        <v>112</v>
      </c>
      <c r="AU305" t="s">
        <v>112</v>
      </c>
      <c r="AV305" t="s">
        <v>6057</v>
      </c>
      <c r="AW305" t="s">
        <v>114</v>
      </c>
      <c r="AX305" t="s">
        <v>596</v>
      </c>
      <c r="AY305" t="s">
        <v>3750</v>
      </c>
      <c r="AZ305" t="s">
        <v>4</v>
      </c>
      <c r="BA305" s="3" t="s">
        <v>95</v>
      </c>
      <c r="BB305" t="s">
        <v>96</v>
      </c>
      <c r="BC305" s="3" t="s">
        <v>197</v>
      </c>
      <c r="BD305" t="s">
        <v>4</v>
      </c>
      <c r="BE305">
        <v>267</v>
      </c>
      <c r="BF305" t="s">
        <v>322</v>
      </c>
      <c r="CK305">
        <v>1</v>
      </c>
      <c r="CL305" t="s">
        <v>4</v>
      </c>
      <c r="CM305" t="s">
        <v>98</v>
      </c>
      <c r="CN305" t="s">
        <v>98</v>
      </c>
      <c r="CO305" t="s">
        <v>99</v>
      </c>
      <c r="CP305" t="s">
        <v>100</v>
      </c>
      <c r="CQ305">
        <v>304</v>
      </c>
      <c r="CR305" t="s">
        <v>100</v>
      </c>
      <c r="CS305" t="s">
        <v>100</v>
      </c>
      <c r="CT305" t="s">
        <v>152</v>
      </c>
      <c r="CU305" t="s">
        <v>102</v>
      </c>
      <c r="CV305" t="s">
        <v>100</v>
      </c>
    </row>
    <row r="306" spans="1:100">
      <c r="A306" s="3" t="s">
        <v>6058</v>
      </c>
      <c r="B306" s="4" t="s">
        <v>6059</v>
      </c>
      <c r="C306">
        <v>10.2242778369748</v>
      </c>
      <c r="D306">
        <v>53.9702832542362</v>
      </c>
      <c r="E306">
        <f>-2.38772583625634</f>
        <v>-2.3877258362563398</v>
      </c>
      <c r="F306" s="5">
        <v>6.5301681894538695E-5</v>
      </c>
      <c r="G306" t="s">
        <v>4</v>
      </c>
      <c r="H306">
        <v>10.2242778369748</v>
      </c>
      <c r="I306">
        <v>0.67403550571184701</v>
      </c>
      <c r="J306">
        <v>3.5417590891494601</v>
      </c>
      <c r="K306">
        <v>5.03564287091078E-3</v>
      </c>
      <c r="L306" t="s">
        <v>4</v>
      </c>
      <c r="M306">
        <v>53.9702832542362</v>
      </c>
      <c r="N306">
        <v>0.67403550571184701</v>
      </c>
      <c r="O306">
        <v>5.9294849254058004</v>
      </c>
      <c r="P306" s="5">
        <v>6.6977742531235005E-7</v>
      </c>
      <c r="Q306" t="s">
        <v>4</v>
      </c>
      <c r="R306" s="4" t="s">
        <v>87</v>
      </c>
      <c r="S306" t="s">
        <v>4</v>
      </c>
      <c r="T306" t="s">
        <v>6060</v>
      </c>
      <c r="U306" t="s">
        <v>6061</v>
      </c>
      <c r="V306" t="s">
        <v>6062</v>
      </c>
      <c r="W306" t="s">
        <v>328</v>
      </c>
      <c r="X306" t="s">
        <v>4</v>
      </c>
      <c r="Y306" t="s">
        <v>6063</v>
      </c>
      <c r="Z306" t="s">
        <v>6064</v>
      </c>
      <c r="AA306" t="s">
        <v>6065</v>
      </c>
      <c r="AB306" t="s">
        <v>4</v>
      </c>
      <c r="AC306" s="3" t="s">
        <v>6066</v>
      </c>
      <c r="AD306" t="s">
        <v>4</v>
      </c>
      <c r="AE306" t="s">
        <v>6067</v>
      </c>
      <c r="AF306" t="s">
        <v>6068</v>
      </c>
      <c r="AG306" t="s">
        <v>6069</v>
      </c>
      <c r="AH306" t="s">
        <v>1936</v>
      </c>
      <c r="AU306" t="s">
        <v>112</v>
      </c>
      <c r="AV306" t="s">
        <v>6070</v>
      </c>
      <c r="AW306" t="s">
        <v>114</v>
      </c>
      <c r="AX306" t="s">
        <v>6071</v>
      </c>
      <c r="AY306" t="s">
        <v>6072</v>
      </c>
      <c r="AZ306" t="s">
        <v>4</v>
      </c>
      <c r="BA306" s="3" t="s">
        <v>95</v>
      </c>
      <c r="BB306" s="6" t="s">
        <v>95</v>
      </c>
      <c r="BC306" s="3" t="s">
        <v>95</v>
      </c>
      <c r="BD306" t="s">
        <v>4</v>
      </c>
      <c r="BE306">
        <v>2023</v>
      </c>
      <c r="BF306" t="s">
        <v>148</v>
      </c>
      <c r="BG306">
        <v>97.627099999999999</v>
      </c>
      <c r="BI306" t="s">
        <v>6073</v>
      </c>
      <c r="BJ306">
        <v>28.813600000000001</v>
      </c>
      <c r="BK306">
        <v>31.525400000000001</v>
      </c>
      <c r="BL306">
        <v>45.084699999999998</v>
      </c>
      <c r="BM306">
        <v>63.050800000000002</v>
      </c>
      <c r="BN306">
        <v>63.050800000000002</v>
      </c>
      <c r="BO306">
        <v>15.9322</v>
      </c>
      <c r="CK306">
        <v>3</v>
      </c>
      <c r="CL306" t="s">
        <v>4</v>
      </c>
      <c r="CM306" t="s">
        <v>98</v>
      </c>
      <c r="CN306" t="s">
        <v>98</v>
      </c>
      <c r="CO306" t="s">
        <v>99</v>
      </c>
      <c r="CP306" t="s">
        <v>100</v>
      </c>
      <c r="CQ306">
        <v>305</v>
      </c>
      <c r="CR306" t="s">
        <v>100</v>
      </c>
      <c r="CS306" t="s">
        <v>101</v>
      </c>
      <c r="CT306" t="s">
        <v>152</v>
      </c>
      <c r="CU306" t="s">
        <v>102</v>
      </c>
      <c r="CV306" t="s">
        <v>100</v>
      </c>
    </row>
    <row r="307" spans="1:100">
      <c r="A307" s="3" t="s">
        <v>6074</v>
      </c>
      <c r="B307" s="4" t="s">
        <v>6075</v>
      </c>
      <c r="C307">
        <v>22.6563596857996</v>
      </c>
      <c r="D307">
        <v>121.591259654136</v>
      </c>
      <c r="E307">
        <f>-2.41937100078436</f>
        <v>-2.4193710007843601</v>
      </c>
      <c r="F307">
        <v>4.2027946804379501E-3</v>
      </c>
      <c r="G307" t="s">
        <v>4</v>
      </c>
      <c r="H307">
        <v>22.6563596857996</v>
      </c>
      <c r="I307">
        <v>3.6925500316892998</v>
      </c>
      <c r="J307">
        <v>2.7151440262197801</v>
      </c>
      <c r="K307">
        <v>6.8607670456217297E-3</v>
      </c>
      <c r="L307" t="s">
        <v>4</v>
      </c>
      <c r="M307">
        <v>121.591259654136</v>
      </c>
      <c r="N307">
        <v>3.6925500316892998</v>
      </c>
      <c r="O307">
        <v>5.1345150270041398</v>
      </c>
      <c r="P307" s="5">
        <v>6.0302303938822699E-8</v>
      </c>
      <c r="Q307" t="s">
        <v>4</v>
      </c>
      <c r="R307" s="4" t="s">
        <v>87</v>
      </c>
      <c r="S307" t="s">
        <v>4</v>
      </c>
      <c r="T307" t="s">
        <v>92</v>
      </c>
      <c r="U307" t="s">
        <v>92</v>
      </c>
      <c r="V307" t="s">
        <v>92</v>
      </c>
      <c r="W307" t="s">
        <v>92</v>
      </c>
      <c r="X307" t="s">
        <v>4</v>
      </c>
      <c r="Y307" t="s">
        <v>92</v>
      </c>
      <c r="Z307" t="s">
        <v>92</v>
      </c>
      <c r="AA307" t="s">
        <v>92</v>
      </c>
      <c r="AB307" t="s">
        <v>4</v>
      </c>
      <c r="AC307" s="3" t="s">
        <v>93</v>
      </c>
      <c r="AD307" t="s">
        <v>4</v>
      </c>
      <c r="AE307" s="4" t="s">
        <v>94</v>
      </c>
      <c r="AZ307" t="s">
        <v>4</v>
      </c>
      <c r="BA307" s="3" t="s">
        <v>95</v>
      </c>
      <c r="BB307" s="6" t="s">
        <v>95</v>
      </c>
      <c r="BC307" s="3" t="s">
        <v>95</v>
      </c>
      <c r="BD307" t="s">
        <v>4</v>
      </c>
      <c r="BE307">
        <v>739</v>
      </c>
      <c r="BF307" t="s">
        <v>604</v>
      </c>
      <c r="BH307">
        <v>70.370400000000004</v>
      </c>
      <c r="CK307">
        <v>1.5</v>
      </c>
      <c r="CL307" t="s">
        <v>4</v>
      </c>
      <c r="CM307" t="s">
        <v>98</v>
      </c>
      <c r="CN307" t="s">
        <v>98</v>
      </c>
      <c r="CO307" t="s">
        <v>99</v>
      </c>
      <c r="CP307" t="s">
        <v>100</v>
      </c>
      <c r="CQ307">
        <v>306</v>
      </c>
      <c r="CR307" t="s">
        <v>100</v>
      </c>
      <c r="CS307" t="s">
        <v>101</v>
      </c>
      <c r="CT307" t="s">
        <v>152</v>
      </c>
      <c r="CU307" t="s">
        <v>102</v>
      </c>
      <c r="CV307" t="s">
        <v>100</v>
      </c>
    </row>
    <row r="308" spans="1:100">
      <c r="A308" s="3" t="s">
        <v>6076</v>
      </c>
      <c r="B308" s="4" t="s">
        <v>6077</v>
      </c>
      <c r="C308">
        <v>46.255408292052003</v>
      </c>
      <c r="D308">
        <v>437.02921573902898</v>
      </c>
      <c r="E308">
        <f>-3.23884479132381</f>
        <v>-3.2388447913238099</v>
      </c>
      <c r="F308" s="5">
        <v>2.3707955418282302E-9</v>
      </c>
      <c r="G308" t="s">
        <v>4</v>
      </c>
      <c r="H308">
        <v>46.255408292052003</v>
      </c>
      <c r="I308">
        <v>8.2493369676241404</v>
      </c>
      <c r="J308">
        <v>2.5280592020166499</v>
      </c>
      <c r="K308">
        <v>1.3226567346838499E-4</v>
      </c>
      <c r="L308" t="s">
        <v>4</v>
      </c>
      <c r="M308">
        <v>437.02921573902898</v>
      </c>
      <c r="N308">
        <v>8.2493369676241404</v>
      </c>
      <c r="O308">
        <v>5.7669039933404598</v>
      </c>
      <c r="P308" s="5">
        <v>2.16747438536074E-20</v>
      </c>
      <c r="Q308" t="s">
        <v>4</v>
      </c>
      <c r="R308" s="4" t="s">
        <v>87</v>
      </c>
      <c r="S308" t="s">
        <v>4</v>
      </c>
      <c r="T308" t="s">
        <v>88</v>
      </c>
      <c r="U308" t="s">
        <v>89</v>
      </c>
      <c r="V308" t="s">
        <v>90</v>
      </c>
      <c r="W308" t="s">
        <v>91</v>
      </c>
      <c r="X308" t="s">
        <v>4</v>
      </c>
      <c r="Y308" t="s">
        <v>92</v>
      </c>
      <c r="Z308" t="s">
        <v>92</v>
      </c>
      <c r="AA308" t="s">
        <v>92</v>
      </c>
      <c r="AB308" t="s">
        <v>4</v>
      </c>
      <c r="AC308" s="3" t="s">
        <v>93</v>
      </c>
      <c r="AD308" t="s">
        <v>4</v>
      </c>
      <c r="AE308" s="4" t="s">
        <v>94</v>
      </c>
      <c r="AZ308" t="s">
        <v>4</v>
      </c>
      <c r="BA308" s="3" t="s">
        <v>95</v>
      </c>
      <c r="BB308" t="s">
        <v>96</v>
      </c>
      <c r="BC308" s="3" t="s">
        <v>95</v>
      </c>
      <c r="BD308" t="s">
        <v>4</v>
      </c>
      <c r="BE308">
        <v>1251</v>
      </c>
      <c r="BF308" t="s">
        <v>151</v>
      </c>
      <c r="BH308">
        <v>62.307699999999997</v>
      </c>
      <c r="BJ308">
        <v>62.307699999999997</v>
      </c>
      <c r="BN308" t="s">
        <v>6078</v>
      </c>
      <c r="BO308">
        <v>37.307699999999997</v>
      </c>
      <c r="CK308">
        <v>2</v>
      </c>
      <c r="CL308" t="s">
        <v>4</v>
      </c>
      <c r="CM308" t="s">
        <v>98</v>
      </c>
      <c r="CN308" t="s">
        <v>98</v>
      </c>
      <c r="CO308" t="s">
        <v>99</v>
      </c>
      <c r="CP308" t="s">
        <v>100</v>
      </c>
      <c r="CQ308">
        <v>307</v>
      </c>
      <c r="CR308" t="s">
        <v>100</v>
      </c>
      <c r="CS308" t="s">
        <v>101</v>
      </c>
      <c r="CT308" t="s">
        <v>152</v>
      </c>
      <c r="CU308" t="s">
        <v>102</v>
      </c>
      <c r="CV308" t="s">
        <v>100</v>
      </c>
    </row>
    <row r="309" spans="1:100">
      <c r="A309" s="3" t="s">
        <v>6079</v>
      </c>
      <c r="B309" s="4" t="s">
        <v>6080</v>
      </c>
      <c r="C309">
        <v>29.956926802084599</v>
      </c>
      <c r="D309">
        <v>234.33252057087799</v>
      </c>
      <c r="E309">
        <f>-2.96658796718918</f>
        <v>-2.9665879671891799</v>
      </c>
      <c r="F309" s="5">
        <v>8.5298929621610697E-5</v>
      </c>
      <c r="G309" t="s">
        <v>4</v>
      </c>
      <c r="H309">
        <v>29.956926802084599</v>
      </c>
      <c r="I309">
        <v>5.5991466659163702</v>
      </c>
      <c r="J309">
        <v>2.3349505286687098</v>
      </c>
      <c r="K309">
        <v>7.4430742279162397E-3</v>
      </c>
      <c r="L309" t="s">
        <v>4</v>
      </c>
      <c r="M309">
        <v>234.33252057087799</v>
      </c>
      <c r="N309">
        <v>5.5991466659163702</v>
      </c>
      <c r="O309">
        <v>5.3015384958579004</v>
      </c>
      <c r="P309" s="5">
        <v>8.2715794838022794E-11</v>
      </c>
      <c r="Q309" t="s">
        <v>4</v>
      </c>
      <c r="R309" s="4" t="s">
        <v>87</v>
      </c>
      <c r="S309" t="s">
        <v>4</v>
      </c>
      <c r="T309" t="s">
        <v>88</v>
      </c>
      <c r="U309" t="s">
        <v>89</v>
      </c>
      <c r="V309" t="s">
        <v>90</v>
      </c>
      <c r="W309" t="s">
        <v>91</v>
      </c>
      <c r="X309" t="s">
        <v>4</v>
      </c>
      <c r="Y309" t="s">
        <v>92</v>
      </c>
      <c r="Z309" t="s">
        <v>92</v>
      </c>
      <c r="AA309" t="s">
        <v>92</v>
      </c>
      <c r="AB309" t="s">
        <v>4</v>
      </c>
      <c r="AC309" s="3" t="s">
        <v>93</v>
      </c>
      <c r="AD309" t="s">
        <v>4</v>
      </c>
      <c r="AE309" s="4" t="s">
        <v>94</v>
      </c>
      <c r="AZ309" t="s">
        <v>4</v>
      </c>
      <c r="BA309" s="3" t="s">
        <v>95</v>
      </c>
      <c r="BB309" t="s">
        <v>96</v>
      </c>
      <c r="BC309" s="3" t="s">
        <v>95</v>
      </c>
      <c r="BD309" t="s">
        <v>4</v>
      </c>
      <c r="BE309">
        <v>2694</v>
      </c>
      <c r="BF309" t="s">
        <v>97</v>
      </c>
      <c r="BG309">
        <v>98.095200000000006</v>
      </c>
      <c r="BH309">
        <v>85.714299999999994</v>
      </c>
      <c r="BJ309">
        <v>65.714299999999994</v>
      </c>
      <c r="BK309">
        <v>71.428600000000003</v>
      </c>
      <c r="BL309">
        <v>54.285699999999999</v>
      </c>
      <c r="BM309">
        <v>68.571399999999997</v>
      </c>
      <c r="BN309">
        <v>69.523799999999994</v>
      </c>
      <c r="BO309">
        <v>74.285700000000006</v>
      </c>
      <c r="CK309">
        <v>4</v>
      </c>
      <c r="CL309" t="s">
        <v>4</v>
      </c>
      <c r="CM309" t="s">
        <v>98</v>
      </c>
      <c r="CN309" t="s">
        <v>98</v>
      </c>
      <c r="CO309" t="s">
        <v>99</v>
      </c>
      <c r="CP309" t="s">
        <v>100</v>
      </c>
      <c r="CQ309">
        <v>308</v>
      </c>
      <c r="CR309" t="s">
        <v>100</v>
      </c>
      <c r="CS309" t="s">
        <v>101</v>
      </c>
      <c r="CT309" t="s">
        <v>152</v>
      </c>
      <c r="CU309" t="s">
        <v>102</v>
      </c>
      <c r="CV309" t="s">
        <v>100</v>
      </c>
    </row>
    <row r="310" spans="1:100">
      <c r="A310" s="3" t="s">
        <v>6081</v>
      </c>
      <c r="B310" s="4" t="s">
        <v>6082</v>
      </c>
      <c r="C310">
        <v>263.49098069869501</v>
      </c>
      <c r="D310">
        <v>2694.6030481901398</v>
      </c>
      <c r="E310">
        <f>-3.35399230305166</f>
        <v>-3.3539923030516601</v>
      </c>
      <c r="F310" s="5">
        <v>2.5549516159850202E-31</v>
      </c>
      <c r="G310" t="s">
        <v>4</v>
      </c>
      <c r="H310">
        <v>263.49098069869501</v>
      </c>
      <c r="I310">
        <v>161.76281884379199</v>
      </c>
      <c r="J310">
        <v>0.71101761145439701</v>
      </c>
      <c r="K310">
        <v>2.59030377367871E-2</v>
      </c>
      <c r="L310" t="s">
        <v>4</v>
      </c>
      <c r="M310">
        <v>2694.6030481901398</v>
      </c>
      <c r="N310">
        <v>161.76281884379199</v>
      </c>
      <c r="O310">
        <v>4.0650099145060503</v>
      </c>
      <c r="P310" s="5">
        <v>1.47753159024995E-44</v>
      </c>
      <c r="Q310" t="s">
        <v>4</v>
      </c>
      <c r="R310" s="4" t="s">
        <v>87</v>
      </c>
      <c r="S310" t="s">
        <v>4</v>
      </c>
      <c r="T310" t="s">
        <v>88</v>
      </c>
      <c r="U310" t="s">
        <v>89</v>
      </c>
      <c r="V310" t="s">
        <v>90</v>
      </c>
      <c r="W310" t="s">
        <v>91</v>
      </c>
      <c r="X310" t="s">
        <v>4</v>
      </c>
      <c r="Y310" t="s">
        <v>92</v>
      </c>
      <c r="Z310" t="s">
        <v>92</v>
      </c>
      <c r="AA310" t="s">
        <v>92</v>
      </c>
      <c r="AB310" t="s">
        <v>4</v>
      </c>
      <c r="AC310" s="3" t="s">
        <v>93</v>
      </c>
      <c r="AD310" t="s">
        <v>4</v>
      </c>
      <c r="AE310" s="4" t="s">
        <v>94</v>
      </c>
      <c r="AZ310" t="s">
        <v>4</v>
      </c>
      <c r="BA310" s="3" t="s">
        <v>95</v>
      </c>
      <c r="BB310" t="s">
        <v>96</v>
      </c>
      <c r="BC310" s="3" t="s">
        <v>95</v>
      </c>
      <c r="BD310" t="s">
        <v>4</v>
      </c>
      <c r="BE310">
        <v>2699</v>
      </c>
      <c r="BF310" t="s">
        <v>97</v>
      </c>
      <c r="BG310">
        <v>97.196299999999994</v>
      </c>
      <c r="BH310">
        <v>72.429900000000004</v>
      </c>
      <c r="BI310">
        <v>90.186899999999994</v>
      </c>
      <c r="BJ310">
        <v>57.009300000000003</v>
      </c>
      <c r="BK310">
        <v>74.299099999999996</v>
      </c>
      <c r="BL310">
        <v>56.542099999999998</v>
      </c>
      <c r="BM310">
        <v>76.635499999999993</v>
      </c>
      <c r="BN310">
        <v>76.635499999999993</v>
      </c>
      <c r="CK310">
        <v>4</v>
      </c>
      <c r="CL310" t="s">
        <v>4</v>
      </c>
      <c r="CM310" t="s">
        <v>98</v>
      </c>
      <c r="CN310" t="s">
        <v>98</v>
      </c>
      <c r="CO310" t="s">
        <v>99</v>
      </c>
      <c r="CP310" t="s">
        <v>100</v>
      </c>
      <c r="CQ310">
        <v>309</v>
      </c>
      <c r="CR310" t="s">
        <v>100</v>
      </c>
      <c r="CS310" t="s">
        <v>100</v>
      </c>
      <c r="CT310" t="s">
        <v>152</v>
      </c>
      <c r="CU310" t="s">
        <v>102</v>
      </c>
      <c r="CV310" t="s">
        <v>100</v>
      </c>
    </row>
    <row r="311" spans="1:100">
      <c r="A311" s="3" t="s">
        <v>6083</v>
      </c>
      <c r="B311" s="4" t="s">
        <v>6084</v>
      </c>
      <c r="C311">
        <v>70.396176464950898</v>
      </c>
      <c r="D311">
        <v>322.21156876084501</v>
      </c>
      <c r="E311">
        <f>-2.19206443224838</f>
        <v>-2.19206443224838</v>
      </c>
      <c r="F311" s="5">
        <v>7.4572224051138906E-8</v>
      </c>
      <c r="G311" t="s">
        <v>4</v>
      </c>
      <c r="H311">
        <v>70.396176464950898</v>
      </c>
      <c r="I311">
        <v>36.802485880589799</v>
      </c>
      <c r="J311">
        <v>0.89869319383729396</v>
      </c>
      <c r="K311">
        <v>4.9315795772180399E-2</v>
      </c>
      <c r="L311" t="s">
        <v>4</v>
      </c>
      <c r="M311">
        <v>322.21156876084501</v>
      </c>
      <c r="N311">
        <v>36.802485880589799</v>
      </c>
      <c r="O311">
        <v>3.09075762608567</v>
      </c>
      <c r="P311" s="5">
        <v>1.12926821558335E-13</v>
      </c>
      <c r="Q311" t="s">
        <v>4</v>
      </c>
      <c r="R311" s="4" t="s">
        <v>87</v>
      </c>
      <c r="S311" t="s">
        <v>4</v>
      </c>
      <c r="T311" t="s">
        <v>92</v>
      </c>
      <c r="U311" t="s">
        <v>92</v>
      </c>
      <c r="V311" t="s">
        <v>92</v>
      </c>
      <c r="W311" t="s">
        <v>92</v>
      </c>
      <c r="X311" t="s">
        <v>4</v>
      </c>
      <c r="Y311" t="s">
        <v>92</v>
      </c>
      <c r="Z311" t="s">
        <v>92</v>
      </c>
      <c r="AA311" t="s">
        <v>92</v>
      </c>
      <c r="AB311" t="s">
        <v>4</v>
      </c>
      <c r="AC311" s="3" t="s">
        <v>93</v>
      </c>
      <c r="AD311" t="s">
        <v>4</v>
      </c>
      <c r="AE311" s="4" t="s">
        <v>94</v>
      </c>
      <c r="AZ311" t="s">
        <v>4</v>
      </c>
      <c r="BA311" s="3" t="s">
        <v>95</v>
      </c>
      <c r="BB311" s="6" t="s">
        <v>95</v>
      </c>
      <c r="BC311" s="3" t="s">
        <v>95</v>
      </c>
      <c r="BD311" t="s">
        <v>4</v>
      </c>
      <c r="BE311">
        <v>2036</v>
      </c>
      <c r="BF311" t="s">
        <v>148</v>
      </c>
      <c r="BG311">
        <v>87.732299999999995</v>
      </c>
      <c r="BH311">
        <v>65.427499999999995</v>
      </c>
      <c r="BI311">
        <v>73.605900000000005</v>
      </c>
      <c r="BJ311">
        <v>19.3309</v>
      </c>
      <c r="BK311">
        <v>52.044600000000003</v>
      </c>
      <c r="BL311">
        <v>30.4833</v>
      </c>
      <c r="BM311">
        <v>19.7026</v>
      </c>
      <c r="BN311">
        <v>61.338299999999997</v>
      </c>
      <c r="BO311">
        <v>60.966500000000003</v>
      </c>
      <c r="CK311">
        <v>3</v>
      </c>
      <c r="CL311" t="s">
        <v>4</v>
      </c>
      <c r="CM311" t="s">
        <v>98</v>
      </c>
      <c r="CN311" t="s">
        <v>98</v>
      </c>
      <c r="CO311" t="s">
        <v>99</v>
      </c>
      <c r="CP311" t="s">
        <v>100</v>
      </c>
      <c r="CQ311">
        <v>310</v>
      </c>
      <c r="CR311" t="s">
        <v>100</v>
      </c>
      <c r="CS311" t="s">
        <v>100</v>
      </c>
      <c r="CT311" t="s">
        <v>152</v>
      </c>
      <c r="CU311" t="s">
        <v>102</v>
      </c>
      <c r="CV311" t="s">
        <v>100</v>
      </c>
    </row>
    <row r="312" spans="1:100">
      <c r="A312" s="3" t="s">
        <v>6085</v>
      </c>
      <c r="B312" s="4" t="s">
        <v>6086</v>
      </c>
      <c r="C312">
        <v>993.93556619246203</v>
      </c>
      <c r="D312">
        <v>4981.2755113879703</v>
      </c>
      <c r="E312">
        <f>-2.32517619072659</f>
        <v>-2.32517619072659</v>
      </c>
      <c r="F312" s="5">
        <v>4.40621355759589E-8</v>
      </c>
      <c r="G312" t="s">
        <v>4</v>
      </c>
      <c r="H312">
        <v>993.93556619246203</v>
      </c>
      <c r="I312">
        <v>1166.96634548666</v>
      </c>
      <c r="J312">
        <f>0.23275964951304</f>
        <v>0.23275964951304001</v>
      </c>
      <c r="K312">
        <v>0.62782645075323096</v>
      </c>
      <c r="L312" t="s">
        <v>4</v>
      </c>
      <c r="M312">
        <v>4981.2755113879703</v>
      </c>
      <c r="N312">
        <v>1166.96634548666</v>
      </c>
      <c r="O312">
        <v>2.09241654121355</v>
      </c>
      <c r="P312" s="5">
        <v>4.5741037692276998E-7</v>
      </c>
      <c r="Q312" t="s">
        <v>4</v>
      </c>
      <c r="R312" s="4" t="s">
        <v>87</v>
      </c>
      <c r="S312" t="s">
        <v>4</v>
      </c>
      <c r="T312" t="s">
        <v>2757</v>
      </c>
      <c r="U312" t="s">
        <v>2758</v>
      </c>
      <c r="V312" t="s">
        <v>2759</v>
      </c>
      <c r="W312" t="s">
        <v>507</v>
      </c>
      <c r="X312" t="s">
        <v>4</v>
      </c>
      <c r="Y312" t="s">
        <v>2760</v>
      </c>
      <c r="Z312" t="s">
        <v>2761</v>
      </c>
      <c r="AA312" t="s">
        <v>2762</v>
      </c>
      <c r="AB312" t="s">
        <v>4</v>
      </c>
      <c r="AC312" s="3" t="s">
        <v>6087</v>
      </c>
      <c r="AD312" t="s">
        <v>4</v>
      </c>
      <c r="AE312" t="s">
        <v>2763</v>
      </c>
      <c r="AF312" t="s">
        <v>6088</v>
      </c>
      <c r="AG312" t="s">
        <v>6089</v>
      </c>
      <c r="AH312" t="s">
        <v>112</v>
      </c>
      <c r="AJ312" t="s">
        <v>2766</v>
      </c>
      <c r="AL312" t="s">
        <v>2767</v>
      </c>
      <c r="AM312" t="s">
        <v>2768</v>
      </c>
      <c r="AQ312" t="s">
        <v>2769</v>
      </c>
      <c r="AU312" t="s">
        <v>112</v>
      </c>
      <c r="AV312" t="s">
        <v>2770</v>
      </c>
      <c r="AW312" t="s">
        <v>114</v>
      </c>
      <c r="AX312" t="s">
        <v>1938</v>
      </c>
      <c r="AY312" t="s">
        <v>2771</v>
      </c>
      <c r="AZ312" t="s">
        <v>4</v>
      </c>
      <c r="BA312" s="3" t="s">
        <v>115</v>
      </c>
      <c r="BB312" s="6" t="s">
        <v>95</v>
      </c>
      <c r="BC312" s="3" t="s">
        <v>95</v>
      </c>
      <c r="BD312" t="s">
        <v>4</v>
      </c>
      <c r="BE312">
        <v>7922</v>
      </c>
      <c r="BF312" t="s">
        <v>213</v>
      </c>
      <c r="BG312">
        <v>94.117599999999996</v>
      </c>
      <c r="BH312">
        <v>5</v>
      </c>
      <c r="BI312">
        <v>90.2941</v>
      </c>
      <c r="BJ312">
        <v>92.058800000000005</v>
      </c>
      <c r="BK312">
        <v>90</v>
      </c>
      <c r="BL312">
        <v>90</v>
      </c>
      <c r="BM312">
        <v>78.235299999999995</v>
      </c>
      <c r="BN312">
        <v>90</v>
      </c>
      <c r="BO312">
        <v>5.8823499999999997</v>
      </c>
      <c r="BP312">
        <v>38.235300000000002</v>
      </c>
      <c r="BQ312">
        <v>66.764700000000005</v>
      </c>
      <c r="BR312" t="s">
        <v>6090</v>
      </c>
      <c r="BS312">
        <v>30</v>
      </c>
      <c r="BT312" t="s">
        <v>6091</v>
      </c>
      <c r="BU312">
        <v>62.352899999999998</v>
      </c>
      <c r="BV312" t="s">
        <v>6092</v>
      </c>
      <c r="BX312" t="s">
        <v>6093</v>
      </c>
      <c r="BY312">
        <v>0.88235300000000005</v>
      </c>
      <c r="BZ312">
        <v>65.2941</v>
      </c>
      <c r="CA312">
        <v>61.176499999999997</v>
      </c>
      <c r="CB312" t="s">
        <v>6094</v>
      </c>
      <c r="CC312">
        <v>67.941199999999995</v>
      </c>
      <c r="CD312" t="s">
        <v>6090</v>
      </c>
      <c r="CE312">
        <v>46.176499999999997</v>
      </c>
      <c r="CF312">
        <v>61.176499999999997</v>
      </c>
      <c r="CG312" t="s">
        <v>6095</v>
      </c>
      <c r="CH312">
        <v>63.529400000000003</v>
      </c>
      <c r="CI312">
        <v>63.529400000000003</v>
      </c>
      <c r="CK312">
        <v>8</v>
      </c>
      <c r="CL312" t="s">
        <v>4</v>
      </c>
      <c r="CM312" t="s">
        <v>2779</v>
      </c>
      <c r="CN312" t="s">
        <v>6096</v>
      </c>
      <c r="CO312" t="s">
        <v>219</v>
      </c>
      <c r="CP312" t="s">
        <v>100</v>
      </c>
      <c r="CQ312">
        <v>311</v>
      </c>
      <c r="CR312" t="s">
        <v>100</v>
      </c>
      <c r="CS312" t="s">
        <v>100</v>
      </c>
      <c r="CT312" t="s">
        <v>152</v>
      </c>
      <c r="CU312" t="s">
        <v>102</v>
      </c>
      <c r="CV312" t="s">
        <v>2781</v>
      </c>
    </row>
    <row r="313" spans="1:100">
      <c r="A313" s="3" t="s">
        <v>6097</v>
      </c>
      <c r="B313" s="4" t="s">
        <v>6098</v>
      </c>
      <c r="C313">
        <v>18.902327341954901</v>
      </c>
      <c r="D313">
        <v>152.854303852984</v>
      </c>
      <c r="E313">
        <f>-3.01294974129625</f>
        <v>-3.01294974129625</v>
      </c>
      <c r="F313" s="5">
        <v>7.1748237993144702E-7</v>
      </c>
      <c r="G313" t="s">
        <v>4</v>
      </c>
      <c r="H313">
        <v>18.902327341954901</v>
      </c>
      <c r="I313">
        <v>12.055380910259901</v>
      </c>
      <c r="J313">
        <v>0.59495709789714102</v>
      </c>
      <c r="K313">
        <v>0.41609745302978601</v>
      </c>
      <c r="L313" t="s">
        <v>4</v>
      </c>
      <c r="M313">
        <v>152.854303852984</v>
      </c>
      <c r="N313">
        <v>12.055380910259901</v>
      </c>
      <c r="O313">
        <v>3.6079068391933902</v>
      </c>
      <c r="P313" s="5">
        <v>1.1066230398771601E-8</v>
      </c>
      <c r="Q313" t="s">
        <v>4</v>
      </c>
      <c r="R313" s="4" t="s">
        <v>87</v>
      </c>
      <c r="S313" t="s">
        <v>4</v>
      </c>
      <c r="T313" t="s">
        <v>92</v>
      </c>
      <c r="U313" t="s">
        <v>92</v>
      </c>
      <c r="V313" t="s">
        <v>92</v>
      </c>
      <c r="W313" t="s">
        <v>92</v>
      </c>
      <c r="X313" t="s">
        <v>4</v>
      </c>
      <c r="Y313" t="s">
        <v>92</v>
      </c>
      <c r="Z313" t="s">
        <v>92</v>
      </c>
      <c r="AA313" t="s">
        <v>92</v>
      </c>
      <c r="AB313" t="s">
        <v>4</v>
      </c>
      <c r="AC313" s="3" t="s">
        <v>93</v>
      </c>
      <c r="AD313" t="s">
        <v>4</v>
      </c>
      <c r="AE313" s="4" t="s">
        <v>94</v>
      </c>
      <c r="AZ313" t="s">
        <v>4</v>
      </c>
      <c r="BA313" s="3" t="s">
        <v>95</v>
      </c>
      <c r="BB313" s="6" t="s">
        <v>95</v>
      </c>
      <c r="BC313" s="3" t="s">
        <v>95</v>
      </c>
      <c r="BD313" t="s">
        <v>4</v>
      </c>
      <c r="BE313">
        <v>4294</v>
      </c>
      <c r="BF313" t="s">
        <v>112</v>
      </c>
      <c r="BG313">
        <v>100</v>
      </c>
      <c r="BH313">
        <v>100</v>
      </c>
      <c r="BM313">
        <v>90</v>
      </c>
      <c r="BN313">
        <v>90</v>
      </c>
      <c r="BO313">
        <v>80</v>
      </c>
      <c r="BR313">
        <v>45.454500000000003</v>
      </c>
      <c r="CK313">
        <v>5</v>
      </c>
      <c r="CL313" t="s">
        <v>4</v>
      </c>
      <c r="CM313" t="s">
        <v>98</v>
      </c>
      <c r="CN313" t="s">
        <v>98</v>
      </c>
      <c r="CO313" t="s">
        <v>99</v>
      </c>
      <c r="CP313" t="s">
        <v>100</v>
      </c>
      <c r="CQ313">
        <v>312</v>
      </c>
      <c r="CR313" t="s">
        <v>100</v>
      </c>
      <c r="CS313" t="s">
        <v>100</v>
      </c>
      <c r="CT313" t="s">
        <v>152</v>
      </c>
      <c r="CU313" t="s">
        <v>102</v>
      </c>
      <c r="CV313" t="s">
        <v>100</v>
      </c>
    </row>
    <row r="314" spans="1:100">
      <c r="A314" s="3" t="s">
        <v>6099</v>
      </c>
      <c r="B314" s="4" t="s">
        <v>6100</v>
      </c>
      <c r="C314">
        <v>271.82193966041899</v>
      </c>
      <c r="D314">
        <v>4723.7158828635602</v>
      </c>
      <c r="E314">
        <f>-4.11893816727101</f>
        <v>-4.1189381672710104</v>
      </c>
      <c r="F314" s="5">
        <v>5.6922936465269398E-6</v>
      </c>
      <c r="G314" t="s">
        <v>4</v>
      </c>
      <c r="H314">
        <v>271.82193966041899</v>
      </c>
      <c r="I314">
        <v>156.73296222718</v>
      </c>
      <c r="J314">
        <v>0.796418301366139</v>
      </c>
      <c r="K314">
        <v>0.41703256923750298</v>
      </c>
      <c r="L314" t="s">
        <v>4</v>
      </c>
      <c r="M314">
        <v>4723.7158828635602</v>
      </c>
      <c r="N314">
        <v>156.73296222718</v>
      </c>
      <c r="O314">
        <v>4.9153564686371496</v>
      </c>
      <c r="P314" s="5">
        <v>1.7981918725865601E-8</v>
      </c>
      <c r="Q314" t="s">
        <v>4</v>
      </c>
      <c r="R314" s="4" t="s">
        <v>87</v>
      </c>
      <c r="S314" t="s">
        <v>4</v>
      </c>
      <c r="T314" t="s">
        <v>92</v>
      </c>
      <c r="U314" t="s">
        <v>92</v>
      </c>
      <c r="V314" t="s">
        <v>92</v>
      </c>
      <c r="W314" t="s">
        <v>92</v>
      </c>
      <c r="X314" t="s">
        <v>4</v>
      </c>
      <c r="Y314" t="s">
        <v>92</v>
      </c>
      <c r="Z314" t="s">
        <v>92</v>
      </c>
      <c r="AA314" t="s">
        <v>92</v>
      </c>
      <c r="AB314" t="s">
        <v>4</v>
      </c>
      <c r="AC314" s="3" t="s">
        <v>93</v>
      </c>
      <c r="AD314" t="s">
        <v>4</v>
      </c>
      <c r="AE314" s="4" t="s">
        <v>94</v>
      </c>
      <c r="AZ314" t="s">
        <v>4</v>
      </c>
      <c r="BA314" s="3" t="s">
        <v>95</v>
      </c>
      <c r="BB314" s="6" t="s">
        <v>95</v>
      </c>
      <c r="BC314" s="3" t="s">
        <v>197</v>
      </c>
      <c r="BD314" t="s">
        <v>4</v>
      </c>
      <c r="BE314">
        <v>1261</v>
      </c>
      <c r="BF314" t="s">
        <v>151</v>
      </c>
      <c r="BG314">
        <v>94.146299999999997</v>
      </c>
      <c r="BH314">
        <v>78.536600000000007</v>
      </c>
      <c r="BJ314">
        <v>27.3171</v>
      </c>
      <c r="BK314">
        <v>24.3902</v>
      </c>
      <c r="CK314">
        <v>2</v>
      </c>
      <c r="CL314" t="s">
        <v>4</v>
      </c>
      <c r="CM314" t="s">
        <v>98</v>
      </c>
      <c r="CN314" t="s">
        <v>98</v>
      </c>
      <c r="CO314" t="s">
        <v>99</v>
      </c>
      <c r="CP314" t="s">
        <v>100</v>
      </c>
      <c r="CQ314">
        <v>313</v>
      </c>
      <c r="CR314" t="s">
        <v>100</v>
      </c>
      <c r="CS314" t="s">
        <v>100</v>
      </c>
      <c r="CT314" t="s">
        <v>152</v>
      </c>
      <c r="CU314" t="s">
        <v>102</v>
      </c>
      <c r="CV314" t="s">
        <v>100</v>
      </c>
    </row>
    <row r="315" spans="1:100">
      <c r="A315" s="3" t="s">
        <v>6101</v>
      </c>
      <c r="B315" s="4" t="s">
        <v>6102</v>
      </c>
      <c r="C315">
        <v>83.877050986503306</v>
      </c>
      <c r="D315">
        <v>846.28739553579703</v>
      </c>
      <c r="E315">
        <f>-3.33238244754977</f>
        <v>-3.3323824475497701</v>
      </c>
      <c r="F315" s="5">
        <v>1.25691100578123E-8</v>
      </c>
      <c r="G315" t="s">
        <v>4</v>
      </c>
      <c r="H315">
        <v>83.877050986503306</v>
      </c>
      <c r="I315">
        <v>20.495825208960198</v>
      </c>
      <c r="J315">
        <v>2.0802458998200302</v>
      </c>
      <c r="K315">
        <v>1.1496211637948099E-3</v>
      </c>
      <c r="L315" t="s">
        <v>4</v>
      </c>
      <c r="M315">
        <v>846.28739553579703</v>
      </c>
      <c r="N315">
        <v>20.495825208960198</v>
      </c>
      <c r="O315">
        <v>5.4126283473698003</v>
      </c>
      <c r="P315" s="5">
        <v>2.25281894155092E-19</v>
      </c>
      <c r="Q315" t="s">
        <v>4</v>
      </c>
      <c r="R315" s="4" t="s">
        <v>87</v>
      </c>
      <c r="S315" t="s">
        <v>4</v>
      </c>
      <c r="T315" t="s">
        <v>92</v>
      </c>
      <c r="U315" t="s">
        <v>92</v>
      </c>
      <c r="V315" t="s">
        <v>92</v>
      </c>
      <c r="W315" t="s">
        <v>92</v>
      </c>
      <c r="X315" t="s">
        <v>4</v>
      </c>
      <c r="Y315" t="s">
        <v>92</v>
      </c>
      <c r="Z315" t="s">
        <v>92</v>
      </c>
      <c r="AA315" t="s">
        <v>92</v>
      </c>
      <c r="AB315" t="s">
        <v>4</v>
      </c>
      <c r="AC315" s="3" t="s">
        <v>93</v>
      </c>
      <c r="AD315" t="s">
        <v>4</v>
      </c>
      <c r="AE315" s="4" t="s">
        <v>94</v>
      </c>
      <c r="AZ315" t="s">
        <v>4</v>
      </c>
      <c r="BA315" s="3" t="s">
        <v>95</v>
      </c>
      <c r="BB315" s="6" t="s">
        <v>95</v>
      </c>
      <c r="BC315" s="3" t="s">
        <v>95</v>
      </c>
      <c r="BD315" t="s">
        <v>4</v>
      </c>
      <c r="BE315">
        <v>2040</v>
      </c>
      <c r="BF315" t="s">
        <v>148</v>
      </c>
      <c r="BG315">
        <v>100</v>
      </c>
      <c r="BH315">
        <v>85.074600000000004</v>
      </c>
      <c r="BI315">
        <v>88.059700000000007</v>
      </c>
      <c r="BK315">
        <v>80.596999999999994</v>
      </c>
      <c r="BN315">
        <v>68.656700000000001</v>
      </c>
      <c r="BO315">
        <v>80.596999999999994</v>
      </c>
      <c r="CK315">
        <v>3</v>
      </c>
      <c r="CL315" t="s">
        <v>4</v>
      </c>
      <c r="CM315" t="s">
        <v>98</v>
      </c>
      <c r="CN315" t="s">
        <v>98</v>
      </c>
      <c r="CO315" t="s">
        <v>99</v>
      </c>
      <c r="CP315" t="s">
        <v>100</v>
      </c>
      <c r="CQ315">
        <v>314</v>
      </c>
      <c r="CR315" t="s">
        <v>100</v>
      </c>
      <c r="CS315" t="s">
        <v>101</v>
      </c>
      <c r="CT315" t="s">
        <v>152</v>
      </c>
      <c r="CU315" t="s">
        <v>102</v>
      </c>
      <c r="CV315" t="s">
        <v>100</v>
      </c>
    </row>
    <row r="316" spans="1:100">
      <c r="A316" s="3" t="s">
        <v>6103</v>
      </c>
      <c r="B316" s="4" t="s">
        <v>6104</v>
      </c>
      <c r="C316">
        <v>91.217604748361097</v>
      </c>
      <c r="D316">
        <v>2259.9504490300901</v>
      </c>
      <c r="E316">
        <f>-4.63049930427003</f>
        <v>-4.63049930427003</v>
      </c>
      <c r="F316" s="5">
        <v>7.8862982418889802E-7</v>
      </c>
      <c r="G316" t="s">
        <v>4</v>
      </c>
      <c r="H316">
        <v>91.217604748361097</v>
      </c>
      <c r="I316">
        <v>56.2925423055378</v>
      </c>
      <c r="J316">
        <v>0.70623758312946205</v>
      </c>
      <c r="K316">
        <v>0.49765377556887902</v>
      </c>
      <c r="L316" t="s">
        <v>4</v>
      </c>
      <c r="M316">
        <v>2259.9504490300901</v>
      </c>
      <c r="N316">
        <v>56.2925423055378</v>
      </c>
      <c r="O316">
        <v>5.33673688739949</v>
      </c>
      <c r="P316" s="5">
        <v>4.5494822199986296E-9</v>
      </c>
      <c r="Q316" t="s">
        <v>4</v>
      </c>
      <c r="R316" s="4" t="s">
        <v>87</v>
      </c>
      <c r="S316" t="s">
        <v>4</v>
      </c>
      <c r="T316" t="s">
        <v>88</v>
      </c>
      <c r="U316" t="s">
        <v>89</v>
      </c>
      <c r="V316" t="s">
        <v>90</v>
      </c>
      <c r="W316" t="s">
        <v>91</v>
      </c>
      <c r="X316" t="s">
        <v>4</v>
      </c>
      <c r="Y316" t="s">
        <v>92</v>
      </c>
      <c r="Z316" t="s">
        <v>92</v>
      </c>
      <c r="AA316" t="s">
        <v>92</v>
      </c>
      <c r="AB316" t="s">
        <v>4</v>
      </c>
      <c r="AC316" s="3" t="s">
        <v>93</v>
      </c>
      <c r="AD316" t="s">
        <v>4</v>
      </c>
      <c r="AE316" t="s">
        <v>6105</v>
      </c>
      <c r="AF316" t="s">
        <v>6106</v>
      </c>
      <c r="AG316" t="s">
        <v>656</v>
      </c>
      <c r="AH316" t="s">
        <v>112</v>
      </c>
      <c r="AU316" t="s">
        <v>112</v>
      </c>
      <c r="AV316" t="s">
        <v>6107</v>
      </c>
      <c r="AW316" t="s">
        <v>114</v>
      </c>
      <c r="AZ316" t="s">
        <v>4</v>
      </c>
      <c r="BA316" s="3" t="s">
        <v>95</v>
      </c>
      <c r="BB316" t="s">
        <v>96</v>
      </c>
      <c r="BC316" s="3" t="s">
        <v>197</v>
      </c>
      <c r="BD316" t="s">
        <v>4</v>
      </c>
      <c r="BE316">
        <v>4299</v>
      </c>
      <c r="BF316" t="s">
        <v>112</v>
      </c>
      <c r="BG316">
        <v>68.279600000000002</v>
      </c>
      <c r="BI316">
        <v>62.903199999999998</v>
      </c>
      <c r="BJ316">
        <v>56.989199999999997</v>
      </c>
      <c r="BK316">
        <v>55.376300000000001</v>
      </c>
      <c r="BM316">
        <v>60.752699999999997</v>
      </c>
      <c r="BN316">
        <v>48.924700000000001</v>
      </c>
      <c r="BO316">
        <v>56.451599999999999</v>
      </c>
      <c r="BP316">
        <v>34.4086</v>
      </c>
      <c r="BR316">
        <v>29.032299999999999</v>
      </c>
      <c r="BS316">
        <v>27.957000000000001</v>
      </c>
      <c r="CK316">
        <v>5</v>
      </c>
      <c r="CL316" t="s">
        <v>4</v>
      </c>
      <c r="CM316" t="s">
        <v>98</v>
      </c>
      <c r="CN316" t="s">
        <v>98</v>
      </c>
      <c r="CO316" t="s">
        <v>99</v>
      </c>
      <c r="CP316" t="s">
        <v>100</v>
      </c>
      <c r="CQ316">
        <v>315</v>
      </c>
      <c r="CR316" t="s">
        <v>100</v>
      </c>
      <c r="CS316" t="s">
        <v>100</v>
      </c>
      <c r="CT316" t="s">
        <v>152</v>
      </c>
      <c r="CU316" t="s">
        <v>102</v>
      </c>
      <c r="CV316" t="s">
        <v>100</v>
      </c>
    </row>
    <row r="317" spans="1:100">
      <c r="A317" s="3" t="s">
        <v>6108</v>
      </c>
      <c r="B317" s="4" t="s">
        <v>6109</v>
      </c>
      <c r="C317">
        <v>87.895759030325905</v>
      </c>
      <c r="D317">
        <v>1043.2593184096399</v>
      </c>
      <c r="E317">
        <f>-3.56875135582385</f>
        <v>-3.5687513558238502</v>
      </c>
      <c r="F317" s="5">
        <v>1.5772912235526201E-19</v>
      </c>
      <c r="G317" t="s">
        <v>4</v>
      </c>
      <c r="H317">
        <v>87.895759030325905</v>
      </c>
      <c r="I317">
        <v>45.434037510366302</v>
      </c>
      <c r="J317">
        <v>0.979715999473043</v>
      </c>
      <c r="K317">
        <v>2.90571951215896E-2</v>
      </c>
      <c r="L317" t="s">
        <v>4</v>
      </c>
      <c r="M317">
        <v>1043.2593184096399</v>
      </c>
      <c r="N317">
        <v>45.434037510366302</v>
      </c>
      <c r="O317">
        <v>4.5484673552968902</v>
      </c>
      <c r="P317" s="5">
        <v>5.3621699934875102E-29</v>
      </c>
      <c r="Q317" t="s">
        <v>4</v>
      </c>
      <c r="R317" s="4" t="s">
        <v>87</v>
      </c>
      <c r="S317" t="s">
        <v>4</v>
      </c>
      <c r="T317" t="s">
        <v>88</v>
      </c>
      <c r="U317" t="s">
        <v>89</v>
      </c>
      <c r="V317" t="s">
        <v>90</v>
      </c>
      <c r="W317" t="s">
        <v>91</v>
      </c>
      <c r="X317" t="s">
        <v>4</v>
      </c>
      <c r="Y317" t="s">
        <v>6110</v>
      </c>
      <c r="Z317" t="s">
        <v>6111</v>
      </c>
      <c r="AA317" t="s">
        <v>6111</v>
      </c>
      <c r="AB317" t="s">
        <v>4</v>
      </c>
      <c r="AC317" s="3" t="s">
        <v>6112</v>
      </c>
      <c r="AD317" t="s">
        <v>4</v>
      </c>
      <c r="AE317" s="4" t="s">
        <v>94</v>
      </c>
      <c r="AZ317" t="s">
        <v>4</v>
      </c>
      <c r="BA317" s="3" t="s">
        <v>95</v>
      </c>
      <c r="BB317" t="s">
        <v>96</v>
      </c>
      <c r="BC317" s="3" t="s">
        <v>95</v>
      </c>
      <c r="BD317" t="s">
        <v>4</v>
      </c>
      <c r="BE317">
        <v>2711</v>
      </c>
      <c r="BF317" t="s">
        <v>97</v>
      </c>
      <c r="BG317">
        <v>98.8506</v>
      </c>
      <c r="BH317">
        <v>99.616900000000001</v>
      </c>
      <c r="BI317">
        <v>96.934899999999999</v>
      </c>
      <c r="BJ317">
        <v>90.421499999999995</v>
      </c>
      <c r="BK317">
        <v>75.095799999999997</v>
      </c>
      <c r="BM317">
        <v>64.367800000000003</v>
      </c>
      <c r="BN317">
        <v>86.206900000000005</v>
      </c>
      <c r="BO317">
        <v>30.2682</v>
      </c>
      <c r="BP317">
        <v>34.865900000000003</v>
      </c>
      <c r="CK317">
        <v>4</v>
      </c>
      <c r="CL317" t="s">
        <v>4</v>
      </c>
      <c r="CM317" t="s">
        <v>98</v>
      </c>
      <c r="CN317" t="s">
        <v>98</v>
      </c>
      <c r="CO317" t="s">
        <v>99</v>
      </c>
      <c r="CP317" t="s">
        <v>100</v>
      </c>
      <c r="CQ317">
        <v>316</v>
      </c>
      <c r="CR317" t="s">
        <v>100</v>
      </c>
      <c r="CS317" t="s">
        <v>100</v>
      </c>
      <c r="CT317" t="s">
        <v>152</v>
      </c>
      <c r="CU317" t="s">
        <v>102</v>
      </c>
      <c r="CV317" t="s">
        <v>100</v>
      </c>
    </row>
    <row r="318" spans="1:100">
      <c r="A318" s="3" t="s">
        <v>6113</v>
      </c>
      <c r="B318" s="4" t="s">
        <v>6114</v>
      </c>
      <c r="C318">
        <v>1154.8231829317599</v>
      </c>
      <c r="D318">
        <v>9259.8335711074105</v>
      </c>
      <c r="E318">
        <f>-3.00296257262533</f>
        <v>-3.00296257262533</v>
      </c>
      <c r="F318" s="5">
        <v>5.8412458019645601E-46</v>
      </c>
      <c r="G318" t="s">
        <v>4</v>
      </c>
      <c r="H318">
        <v>1154.8231829317599</v>
      </c>
      <c r="I318">
        <v>280.77246737073398</v>
      </c>
      <c r="J318">
        <v>2.0449989875564398</v>
      </c>
      <c r="K318" s="5">
        <v>1.05988766413302E-20</v>
      </c>
      <c r="L318" t="s">
        <v>4</v>
      </c>
      <c r="M318">
        <v>9259.8335711074105</v>
      </c>
      <c r="N318">
        <v>280.77246737073398</v>
      </c>
      <c r="O318">
        <v>5.0479615601817702</v>
      </c>
      <c r="P318" s="5">
        <v>1.64372014891535E-122</v>
      </c>
      <c r="Q318" t="s">
        <v>4</v>
      </c>
      <c r="R318" s="4" t="s">
        <v>87</v>
      </c>
      <c r="S318" t="s">
        <v>4</v>
      </c>
      <c r="T318" t="s">
        <v>92</v>
      </c>
      <c r="U318" t="s">
        <v>92</v>
      </c>
      <c r="V318" t="s">
        <v>92</v>
      </c>
      <c r="W318" t="s">
        <v>92</v>
      </c>
      <c r="X318" t="s">
        <v>4</v>
      </c>
      <c r="Y318" t="s">
        <v>6115</v>
      </c>
      <c r="Z318" t="s">
        <v>6116</v>
      </c>
      <c r="AA318" t="s">
        <v>6117</v>
      </c>
      <c r="AB318" t="s">
        <v>4</v>
      </c>
      <c r="AC318" s="3" t="s">
        <v>6118</v>
      </c>
      <c r="AD318" t="s">
        <v>4</v>
      </c>
      <c r="AE318" s="4" t="s">
        <v>94</v>
      </c>
      <c r="AZ318" t="s">
        <v>4</v>
      </c>
      <c r="BA318" s="3" t="s">
        <v>115</v>
      </c>
      <c r="BB318" s="6" t="s">
        <v>95</v>
      </c>
      <c r="BC318" s="3" t="s">
        <v>95</v>
      </c>
      <c r="BD318" t="s">
        <v>4</v>
      </c>
      <c r="BE318">
        <v>2712</v>
      </c>
      <c r="BF318" t="s">
        <v>97</v>
      </c>
      <c r="BG318">
        <v>75.064899999999994</v>
      </c>
      <c r="BH318">
        <v>81.948099999999997</v>
      </c>
      <c r="BI318">
        <v>84.675299999999993</v>
      </c>
      <c r="BJ318">
        <v>79.3506</v>
      </c>
      <c r="BK318">
        <v>87.9221</v>
      </c>
      <c r="BL318">
        <v>14.6753</v>
      </c>
      <c r="BM318">
        <v>91.039000000000001</v>
      </c>
      <c r="BN318">
        <v>91.428600000000003</v>
      </c>
      <c r="BO318">
        <v>90.259699999999995</v>
      </c>
      <c r="BP318" t="s">
        <v>6119</v>
      </c>
      <c r="CK318">
        <v>4</v>
      </c>
      <c r="CL318" t="s">
        <v>4</v>
      </c>
      <c r="CM318" t="s">
        <v>98</v>
      </c>
      <c r="CN318" t="s">
        <v>98</v>
      </c>
      <c r="CO318" t="s">
        <v>99</v>
      </c>
      <c r="CP318" t="s">
        <v>100</v>
      </c>
      <c r="CQ318">
        <v>317</v>
      </c>
      <c r="CR318" t="s">
        <v>100</v>
      </c>
      <c r="CS318" t="s">
        <v>101</v>
      </c>
      <c r="CT318" t="s">
        <v>152</v>
      </c>
      <c r="CU318" t="s">
        <v>102</v>
      </c>
      <c r="CV318" t="s">
        <v>100</v>
      </c>
    </row>
    <row r="319" spans="1:100">
      <c r="A319" s="3" t="s">
        <v>6120</v>
      </c>
      <c r="B319" s="4" t="s">
        <v>6121</v>
      </c>
      <c r="C319">
        <v>100.494620352309</v>
      </c>
      <c r="D319">
        <v>793.71119464210199</v>
      </c>
      <c r="E319">
        <f>-2.98043402532329</f>
        <v>-2.9804340253232899</v>
      </c>
      <c r="F319" s="5">
        <v>7.1426054544080606E-14</v>
      </c>
      <c r="G319" t="s">
        <v>4</v>
      </c>
      <c r="H319">
        <v>100.494620352309</v>
      </c>
      <c r="I319">
        <v>172.11484200987701</v>
      </c>
      <c r="J319">
        <f>0.780632501631154</f>
        <v>0.78063250163115405</v>
      </c>
      <c r="K319">
        <v>6.9425450347605402E-2</v>
      </c>
      <c r="L319" t="s">
        <v>4</v>
      </c>
      <c r="M319">
        <v>793.71119464210199</v>
      </c>
      <c r="N319">
        <v>172.11484200987701</v>
      </c>
      <c r="O319">
        <v>2.19980152369213</v>
      </c>
      <c r="P319" s="5">
        <v>2.4003453944290698E-8</v>
      </c>
      <c r="Q319" t="s">
        <v>4</v>
      </c>
      <c r="R319" s="4" t="s">
        <v>87</v>
      </c>
      <c r="S319" t="s">
        <v>4</v>
      </c>
      <c r="T319" t="s">
        <v>92</v>
      </c>
      <c r="U319" t="s">
        <v>92</v>
      </c>
      <c r="V319" t="s">
        <v>92</v>
      </c>
      <c r="W319" t="s">
        <v>92</v>
      </c>
      <c r="X319" t="s">
        <v>4</v>
      </c>
      <c r="Y319" t="s">
        <v>6122</v>
      </c>
      <c r="Z319" t="s">
        <v>6123</v>
      </c>
      <c r="AA319" t="s">
        <v>6124</v>
      </c>
      <c r="AB319" t="s">
        <v>4</v>
      </c>
      <c r="AC319" s="3" t="s">
        <v>93</v>
      </c>
      <c r="AD319" t="s">
        <v>4</v>
      </c>
      <c r="AE319" t="s">
        <v>6125</v>
      </c>
      <c r="AF319" t="s">
        <v>6126</v>
      </c>
      <c r="AG319" t="s">
        <v>6127</v>
      </c>
      <c r="AH319" t="s">
        <v>112</v>
      </c>
      <c r="AL319" t="s">
        <v>6128</v>
      </c>
      <c r="AQ319" t="s">
        <v>6129</v>
      </c>
      <c r="AU319" t="s">
        <v>112</v>
      </c>
      <c r="AV319" t="s">
        <v>6130</v>
      </c>
      <c r="AW319" t="s">
        <v>114</v>
      </c>
      <c r="AX319" t="s">
        <v>132</v>
      </c>
      <c r="AY319" t="s">
        <v>6131</v>
      </c>
      <c r="AZ319" t="s">
        <v>4</v>
      </c>
      <c r="BA319" s="3" t="s">
        <v>115</v>
      </c>
      <c r="BB319" s="6" t="s">
        <v>95</v>
      </c>
      <c r="BC319" s="3" t="s">
        <v>95</v>
      </c>
      <c r="BD319" t="s">
        <v>4</v>
      </c>
      <c r="BE319">
        <v>4310</v>
      </c>
      <c r="BF319" t="s">
        <v>112</v>
      </c>
      <c r="BH319">
        <v>98.615899999999996</v>
      </c>
      <c r="CK319">
        <v>5</v>
      </c>
      <c r="CL319" t="s">
        <v>4</v>
      </c>
      <c r="CM319" t="s">
        <v>98</v>
      </c>
      <c r="CN319" t="s">
        <v>98</v>
      </c>
      <c r="CO319" t="s">
        <v>99</v>
      </c>
      <c r="CP319" t="s">
        <v>100</v>
      </c>
      <c r="CQ319">
        <v>318</v>
      </c>
      <c r="CR319" t="s">
        <v>100</v>
      </c>
      <c r="CS319" t="s">
        <v>100</v>
      </c>
      <c r="CT319" t="s">
        <v>152</v>
      </c>
      <c r="CU319" t="s">
        <v>102</v>
      </c>
      <c r="CV319" t="s">
        <v>100</v>
      </c>
    </row>
    <row r="320" spans="1:100">
      <c r="A320" s="3" t="s">
        <v>6132</v>
      </c>
      <c r="B320" s="4" t="s">
        <v>6133</v>
      </c>
      <c r="C320">
        <v>1351.43007656129</v>
      </c>
      <c r="D320">
        <v>7149.4030910422898</v>
      </c>
      <c r="E320">
        <f>-2.40317726543318</f>
        <v>-2.4031772654331802</v>
      </c>
      <c r="F320" s="5">
        <v>8.7681893552904106E-11</v>
      </c>
      <c r="G320" t="s">
        <v>4</v>
      </c>
      <c r="H320">
        <v>1351.43007656129</v>
      </c>
      <c r="I320">
        <v>837.11086004748097</v>
      </c>
      <c r="J320">
        <v>0.69113309592384198</v>
      </c>
      <c r="K320">
        <v>7.8741827882346904E-2</v>
      </c>
      <c r="L320" t="s">
        <v>4</v>
      </c>
      <c r="M320">
        <v>7149.4030910422898</v>
      </c>
      <c r="N320">
        <v>837.11086004748097</v>
      </c>
      <c r="O320">
        <v>3.09431036135702</v>
      </c>
      <c r="P320" s="5">
        <v>7.9163113140246701E-18</v>
      </c>
      <c r="Q320" t="s">
        <v>4</v>
      </c>
      <c r="R320" s="4" t="s">
        <v>87</v>
      </c>
      <c r="S320" t="s">
        <v>4</v>
      </c>
      <c r="T320" t="s">
        <v>92</v>
      </c>
      <c r="U320" t="s">
        <v>92</v>
      </c>
      <c r="V320" t="s">
        <v>92</v>
      </c>
      <c r="W320" t="s">
        <v>92</v>
      </c>
      <c r="X320" t="s">
        <v>4</v>
      </c>
      <c r="Y320" t="s">
        <v>6134</v>
      </c>
      <c r="Z320" t="s">
        <v>6135</v>
      </c>
      <c r="AA320" t="s">
        <v>6136</v>
      </c>
      <c r="AB320" t="s">
        <v>4</v>
      </c>
      <c r="AC320" s="3" t="s">
        <v>6137</v>
      </c>
      <c r="AD320" t="s">
        <v>4</v>
      </c>
      <c r="AE320" s="4" t="s">
        <v>94</v>
      </c>
      <c r="AZ320" t="s">
        <v>4</v>
      </c>
      <c r="BA320" s="3" t="s">
        <v>95</v>
      </c>
      <c r="BB320" s="6" t="s">
        <v>95</v>
      </c>
      <c r="BC320" s="3" t="s">
        <v>95</v>
      </c>
      <c r="BD320" t="s">
        <v>4</v>
      </c>
      <c r="BE320">
        <v>2718</v>
      </c>
      <c r="BF320" t="s">
        <v>97</v>
      </c>
      <c r="BH320">
        <v>24.880400000000002</v>
      </c>
      <c r="BJ320" t="s">
        <v>6138</v>
      </c>
      <c r="BK320">
        <v>78.11</v>
      </c>
      <c r="BL320">
        <v>17.1053</v>
      </c>
      <c r="BM320">
        <v>58.492800000000003</v>
      </c>
      <c r="BN320">
        <v>31.818200000000001</v>
      </c>
      <c r="BO320">
        <v>11.244</v>
      </c>
      <c r="CK320">
        <v>4</v>
      </c>
      <c r="CL320" t="s">
        <v>4</v>
      </c>
      <c r="CM320" t="s">
        <v>98</v>
      </c>
      <c r="CN320" t="s">
        <v>98</v>
      </c>
      <c r="CO320" t="s">
        <v>99</v>
      </c>
      <c r="CP320" t="s">
        <v>100</v>
      </c>
      <c r="CQ320">
        <v>319</v>
      </c>
      <c r="CR320" t="s">
        <v>100</v>
      </c>
      <c r="CS320" t="s">
        <v>100</v>
      </c>
      <c r="CT320" t="s">
        <v>152</v>
      </c>
      <c r="CU320" t="s">
        <v>102</v>
      </c>
      <c r="CV320" t="s">
        <v>100</v>
      </c>
    </row>
    <row r="321" spans="1:100">
      <c r="A321" s="3" t="s">
        <v>6139</v>
      </c>
      <c r="B321" s="4" t="s">
        <v>6140</v>
      </c>
      <c r="C321">
        <v>49.040985575839201</v>
      </c>
      <c r="D321">
        <v>709.511805181098</v>
      </c>
      <c r="E321">
        <f>-3.85235734194196</f>
        <v>-3.8523573419419601</v>
      </c>
      <c r="F321" s="5">
        <v>1.23954961311939E-20</v>
      </c>
      <c r="G321" t="s">
        <v>4</v>
      </c>
      <c r="H321">
        <v>49.040985575839201</v>
      </c>
      <c r="I321">
        <v>30.310362515942298</v>
      </c>
      <c r="J321">
        <v>0.64461108965392599</v>
      </c>
      <c r="K321">
        <v>0.19204822339873101</v>
      </c>
      <c r="L321" t="s">
        <v>4</v>
      </c>
      <c r="M321">
        <v>709.511805181098</v>
      </c>
      <c r="N321">
        <v>30.310362515942298</v>
      </c>
      <c r="O321">
        <v>4.4969684315958904</v>
      </c>
      <c r="P321" s="5">
        <v>1.82011088166597E-25</v>
      </c>
      <c r="Q321" t="s">
        <v>4</v>
      </c>
      <c r="R321" s="4" t="s">
        <v>87</v>
      </c>
      <c r="S321" t="s">
        <v>4</v>
      </c>
      <c r="T321" t="s">
        <v>88</v>
      </c>
      <c r="U321" t="s">
        <v>89</v>
      </c>
      <c r="V321" t="s">
        <v>90</v>
      </c>
      <c r="W321" t="s">
        <v>91</v>
      </c>
      <c r="X321" t="s">
        <v>4</v>
      </c>
      <c r="Y321" t="s">
        <v>92</v>
      </c>
      <c r="Z321" t="s">
        <v>92</v>
      </c>
      <c r="AA321" t="s">
        <v>92</v>
      </c>
      <c r="AB321" t="s">
        <v>4</v>
      </c>
      <c r="AC321" s="3" t="s">
        <v>93</v>
      </c>
      <c r="AD321" t="s">
        <v>4</v>
      </c>
      <c r="AE321" s="4" t="s">
        <v>94</v>
      </c>
      <c r="AZ321" t="s">
        <v>4</v>
      </c>
      <c r="BA321" s="3" t="s">
        <v>95</v>
      </c>
      <c r="BB321" t="s">
        <v>96</v>
      </c>
      <c r="BC321" s="3" t="s">
        <v>95</v>
      </c>
      <c r="BD321" t="s">
        <v>4</v>
      </c>
      <c r="BE321">
        <v>2054</v>
      </c>
      <c r="BF321" t="s">
        <v>148</v>
      </c>
      <c r="BG321">
        <v>97.435900000000004</v>
      </c>
      <c r="BH321">
        <v>99.487200000000001</v>
      </c>
      <c r="BI321">
        <v>88.205100000000002</v>
      </c>
      <c r="BJ321">
        <v>74.871799999999993</v>
      </c>
      <c r="BK321">
        <v>66.153800000000004</v>
      </c>
      <c r="BL321">
        <v>53.846200000000003</v>
      </c>
      <c r="BM321">
        <v>64.615399999999994</v>
      </c>
      <c r="BN321">
        <v>64.102599999999995</v>
      </c>
      <c r="BO321">
        <v>64.615399999999994</v>
      </c>
      <c r="CK321">
        <v>3</v>
      </c>
      <c r="CL321" t="s">
        <v>4</v>
      </c>
      <c r="CM321" t="s">
        <v>98</v>
      </c>
      <c r="CN321" t="s">
        <v>98</v>
      </c>
      <c r="CO321" t="s">
        <v>99</v>
      </c>
      <c r="CP321" t="s">
        <v>100</v>
      </c>
      <c r="CQ321">
        <v>320</v>
      </c>
      <c r="CR321" t="s">
        <v>100</v>
      </c>
      <c r="CS321" t="s">
        <v>100</v>
      </c>
      <c r="CT321" t="s">
        <v>152</v>
      </c>
      <c r="CU321" t="s">
        <v>102</v>
      </c>
      <c r="CV321" t="s">
        <v>100</v>
      </c>
    </row>
    <row r="322" spans="1:100">
      <c r="A322" s="3" t="s">
        <v>6141</v>
      </c>
      <c r="B322" s="4" t="s">
        <v>6142</v>
      </c>
      <c r="C322">
        <v>541.02439278810505</v>
      </c>
      <c r="D322">
        <v>12529.696314395</v>
      </c>
      <c r="E322">
        <f>-4.53317357595961</f>
        <v>-4.5331735759596103</v>
      </c>
      <c r="F322" s="5">
        <v>7.3726748319281296E-16</v>
      </c>
      <c r="G322" t="s">
        <v>4</v>
      </c>
      <c r="H322">
        <v>541.02439278810505</v>
      </c>
      <c r="I322">
        <v>732.89979742345997</v>
      </c>
      <c r="J322">
        <f>0.438861156205192</f>
        <v>0.438861156205192</v>
      </c>
      <c r="K322">
        <v>0.48947099315964299</v>
      </c>
      <c r="L322" t="s">
        <v>4</v>
      </c>
      <c r="M322">
        <v>12529.696314395</v>
      </c>
      <c r="N322">
        <v>732.89979742345997</v>
      </c>
      <c r="O322">
        <v>4.0943124197544201</v>
      </c>
      <c r="P322" s="5">
        <v>1.2144515870161299E-13</v>
      </c>
      <c r="Q322" t="s">
        <v>4</v>
      </c>
      <c r="R322" s="4" t="s">
        <v>87</v>
      </c>
      <c r="S322" t="s">
        <v>4</v>
      </c>
      <c r="T322" t="s">
        <v>92</v>
      </c>
      <c r="U322" t="s">
        <v>92</v>
      </c>
      <c r="V322" t="s">
        <v>92</v>
      </c>
      <c r="W322" t="s">
        <v>92</v>
      </c>
      <c r="X322" t="s">
        <v>4</v>
      </c>
      <c r="Y322" t="s">
        <v>2546</v>
      </c>
      <c r="Z322" t="s">
        <v>2547</v>
      </c>
      <c r="AA322" t="s">
        <v>2548</v>
      </c>
      <c r="AB322" t="s">
        <v>4</v>
      </c>
      <c r="AC322" s="3" t="s">
        <v>6143</v>
      </c>
      <c r="AD322" t="s">
        <v>4</v>
      </c>
      <c r="AE322" s="4" t="s">
        <v>94</v>
      </c>
      <c r="AZ322" t="s">
        <v>4</v>
      </c>
      <c r="BA322" s="3" t="s">
        <v>95</v>
      </c>
      <c r="BB322" s="6" t="s">
        <v>95</v>
      </c>
      <c r="BC322" s="3" t="s">
        <v>95</v>
      </c>
      <c r="BD322" t="s">
        <v>4</v>
      </c>
      <c r="BE322">
        <v>2719</v>
      </c>
      <c r="BF322" t="s">
        <v>97</v>
      </c>
      <c r="BH322">
        <v>77.752300000000005</v>
      </c>
      <c r="BJ322">
        <v>65.596299999999999</v>
      </c>
      <c r="BK322">
        <v>58.945</v>
      </c>
      <c r="BL322">
        <v>26.376100000000001</v>
      </c>
      <c r="BM322">
        <v>37.155999999999999</v>
      </c>
      <c r="BN322">
        <v>31.422000000000001</v>
      </c>
      <c r="BO322">
        <v>60.091700000000003</v>
      </c>
      <c r="BP322">
        <v>18.807300000000001</v>
      </c>
      <c r="CK322">
        <v>4</v>
      </c>
      <c r="CL322" t="s">
        <v>4</v>
      </c>
      <c r="CM322" t="s">
        <v>98</v>
      </c>
      <c r="CN322" t="s">
        <v>98</v>
      </c>
      <c r="CO322" t="s">
        <v>99</v>
      </c>
      <c r="CP322" t="s">
        <v>100</v>
      </c>
      <c r="CQ322">
        <v>321</v>
      </c>
      <c r="CR322" t="s">
        <v>100</v>
      </c>
      <c r="CS322" t="s">
        <v>100</v>
      </c>
      <c r="CT322" t="s">
        <v>152</v>
      </c>
      <c r="CU322" t="s">
        <v>102</v>
      </c>
      <c r="CV322" t="s">
        <v>100</v>
      </c>
    </row>
    <row r="323" spans="1:100">
      <c r="A323" s="3" t="s">
        <v>6144</v>
      </c>
      <c r="B323" s="4" t="s">
        <v>6145</v>
      </c>
      <c r="C323">
        <v>356.24571288101902</v>
      </c>
      <c r="D323">
        <v>1671.7711689453599</v>
      </c>
      <c r="E323">
        <f>-2.22999480418682</f>
        <v>-2.2299948041868198</v>
      </c>
      <c r="F323" s="5">
        <v>1.0151472197238201E-9</v>
      </c>
      <c r="G323" t="s">
        <v>4</v>
      </c>
      <c r="H323">
        <v>356.24571288101902</v>
      </c>
      <c r="I323">
        <v>277.37595697443101</v>
      </c>
      <c r="J323">
        <v>0.35679995433426698</v>
      </c>
      <c r="K323">
        <v>0.378293525051969</v>
      </c>
      <c r="L323" t="s">
        <v>4</v>
      </c>
      <c r="M323">
        <v>1671.7711689453599</v>
      </c>
      <c r="N323">
        <v>277.37595697443101</v>
      </c>
      <c r="O323">
        <v>2.5867947585210902</v>
      </c>
      <c r="P323" s="5">
        <v>4.3942476805208401E-13</v>
      </c>
      <c r="Q323" t="s">
        <v>4</v>
      </c>
      <c r="R323" s="4" t="s">
        <v>87</v>
      </c>
      <c r="S323" t="s">
        <v>4</v>
      </c>
      <c r="T323" t="s">
        <v>120</v>
      </c>
      <c r="U323" t="s">
        <v>121</v>
      </c>
      <c r="V323" t="s">
        <v>122</v>
      </c>
      <c r="W323" t="s">
        <v>123</v>
      </c>
      <c r="X323" t="s">
        <v>4</v>
      </c>
      <c r="Y323" t="s">
        <v>6146</v>
      </c>
      <c r="Z323" t="s">
        <v>6147</v>
      </c>
      <c r="AA323" t="s">
        <v>6148</v>
      </c>
      <c r="AB323" t="s">
        <v>4</v>
      </c>
      <c r="AC323" s="3" t="s">
        <v>6149</v>
      </c>
      <c r="AD323" t="s">
        <v>4</v>
      </c>
      <c r="AE323" t="s">
        <v>6150</v>
      </c>
      <c r="AF323" t="s">
        <v>6151</v>
      </c>
      <c r="AG323" t="s">
        <v>6152</v>
      </c>
      <c r="AH323" t="s">
        <v>282</v>
      </c>
      <c r="AU323" t="s">
        <v>112</v>
      </c>
      <c r="AV323" t="s">
        <v>6153</v>
      </c>
      <c r="AW323" t="s">
        <v>114</v>
      </c>
      <c r="AX323" t="s">
        <v>2157</v>
      </c>
      <c r="AY323" t="s">
        <v>6154</v>
      </c>
      <c r="AZ323" t="s">
        <v>4</v>
      </c>
      <c r="BA323" s="3" t="s">
        <v>95</v>
      </c>
      <c r="BB323" s="6" t="s">
        <v>95</v>
      </c>
      <c r="BC323" s="3" t="s">
        <v>95</v>
      </c>
      <c r="BD323" t="s">
        <v>4</v>
      </c>
      <c r="BE323">
        <v>7939</v>
      </c>
      <c r="BF323" t="s">
        <v>213</v>
      </c>
      <c r="BG323">
        <v>92.101900000000001</v>
      </c>
      <c r="BH323">
        <v>77.834400000000002</v>
      </c>
      <c r="BI323">
        <v>72.993600000000001</v>
      </c>
      <c r="BJ323">
        <v>35.9236</v>
      </c>
      <c r="BK323">
        <v>50.3185</v>
      </c>
      <c r="BL323">
        <v>45.732500000000002</v>
      </c>
      <c r="BM323">
        <v>51.974499999999999</v>
      </c>
      <c r="BN323">
        <v>52.866199999999999</v>
      </c>
      <c r="BP323" t="s">
        <v>6155</v>
      </c>
      <c r="BX323">
        <v>21.273900000000001</v>
      </c>
      <c r="BZ323">
        <v>16.815300000000001</v>
      </c>
      <c r="CA323">
        <v>22.9299</v>
      </c>
      <c r="CB323">
        <v>18.8535</v>
      </c>
      <c r="CC323" t="s">
        <v>6156</v>
      </c>
      <c r="CD323">
        <v>22.0382</v>
      </c>
      <c r="CE323">
        <v>21.019100000000002</v>
      </c>
      <c r="CF323">
        <v>21.656099999999999</v>
      </c>
      <c r="CI323">
        <v>19.1083</v>
      </c>
      <c r="CK323">
        <v>8</v>
      </c>
      <c r="CL323" t="s">
        <v>4</v>
      </c>
      <c r="CM323" t="s">
        <v>6157</v>
      </c>
      <c r="CN323" t="s">
        <v>6158</v>
      </c>
      <c r="CO323" t="s">
        <v>99</v>
      </c>
      <c r="CP323" t="s">
        <v>100</v>
      </c>
      <c r="CQ323">
        <v>322</v>
      </c>
      <c r="CR323" t="s">
        <v>100</v>
      </c>
      <c r="CS323" t="s">
        <v>100</v>
      </c>
      <c r="CT323" t="s">
        <v>152</v>
      </c>
      <c r="CU323" t="s">
        <v>102</v>
      </c>
      <c r="CV323" t="s">
        <v>100</v>
      </c>
    </row>
    <row r="324" spans="1:100">
      <c r="A324" s="3" t="s">
        <v>6159</v>
      </c>
      <c r="B324" s="4" t="s">
        <v>6160</v>
      </c>
      <c r="C324">
        <v>92.703189969609795</v>
      </c>
      <c r="D324">
        <v>991.53774336548395</v>
      </c>
      <c r="E324">
        <f>-3.41488945935542</f>
        <v>-3.41488945935542</v>
      </c>
      <c r="F324" s="5">
        <v>2.2643433242028899E-39</v>
      </c>
      <c r="G324" t="s">
        <v>4</v>
      </c>
      <c r="H324">
        <v>92.703189969609795</v>
      </c>
      <c r="I324">
        <v>152.20712653508301</v>
      </c>
      <c r="J324">
        <f>0.70665620403694</f>
        <v>0.70665620403693996</v>
      </c>
      <c r="K324">
        <v>1.46498506969958E-2</v>
      </c>
      <c r="L324" t="s">
        <v>4</v>
      </c>
      <c r="M324">
        <v>991.53774336548395</v>
      </c>
      <c r="N324">
        <v>152.20712653508301</v>
      </c>
      <c r="O324">
        <v>2.70823325531848</v>
      </c>
      <c r="P324" s="5">
        <v>1.4379607054391699E-25</v>
      </c>
      <c r="Q324" t="s">
        <v>4</v>
      </c>
      <c r="R324" s="4" t="s">
        <v>87</v>
      </c>
      <c r="S324" t="s">
        <v>4</v>
      </c>
      <c r="T324" t="s">
        <v>460</v>
      </c>
      <c r="U324" t="s">
        <v>461</v>
      </c>
      <c r="V324" t="s">
        <v>462</v>
      </c>
      <c r="W324" t="s">
        <v>123</v>
      </c>
      <c r="X324" t="s">
        <v>4</v>
      </c>
      <c r="Y324" t="s">
        <v>463</v>
      </c>
      <c r="Z324" t="s">
        <v>464</v>
      </c>
      <c r="AA324" t="s">
        <v>465</v>
      </c>
      <c r="AB324" t="s">
        <v>4</v>
      </c>
      <c r="AC324" s="3" t="s">
        <v>6161</v>
      </c>
      <c r="AD324" t="s">
        <v>4</v>
      </c>
      <c r="AE324" t="s">
        <v>6162</v>
      </c>
      <c r="AF324" t="s">
        <v>6163</v>
      </c>
      <c r="AG324" t="s">
        <v>479</v>
      </c>
      <c r="AH324" t="s">
        <v>112</v>
      </c>
      <c r="AL324" t="s">
        <v>6164</v>
      </c>
      <c r="AQ324" t="s">
        <v>1003</v>
      </c>
      <c r="AU324" t="s">
        <v>112</v>
      </c>
      <c r="AV324" t="s">
        <v>6165</v>
      </c>
      <c r="AW324" t="s">
        <v>114</v>
      </c>
      <c r="AX324" t="s">
        <v>371</v>
      </c>
      <c r="AY324" t="s">
        <v>6166</v>
      </c>
      <c r="AZ324" t="s">
        <v>4</v>
      </c>
      <c r="BA324" s="3" t="s">
        <v>95</v>
      </c>
      <c r="BB324" s="6" t="s">
        <v>95</v>
      </c>
      <c r="BC324" s="3" t="s">
        <v>95</v>
      </c>
      <c r="BD324" t="s">
        <v>4</v>
      </c>
      <c r="BE324">
        <v>5715</v>
      </c>
      <c r="BF324" t="s">
        <v>386</v>
      </c>
      <c r="BG324">
        <v>92.463800000000006</v>
      </c>
      <c r="BH324">
        <v>80.289900000000003</v>
      </c>
      <c r="BJ324">
        <v>76.811599999999999</v>
      </c>
      <c r="BM324">
        <v>67.826099999999997</v>
      </c>
      <c r="BN324">
        <v>70.434799999999996</v>
      </c>
      <c r="BO324">
        <v>73.043499999999995</v>
      </c>
      <c r="BP324">
        <v>39.710099999999997</v>
      </c>
      <c r="BQ324">
        <v>23.7681</v>
      </c>
      <c r="BR324">
        <v>23.188400000000001</v>
      </c>
      <c r="BS324">
        <v>25.507200000000001</v>
      </c>
      <c r="BV324" t="s">
        <v>6167</v>
      </c>
      <c r="BW324">
        <v>31.594200000000001</v>
      </c>
      <c r="CB324">
        <v>21.739100000000001</v>
      </c>
      <c r="CC324" t="s">
        <v>6168</v>
      </c>
      <c r="CD324" t="s">
        <v>6169</v>
      </c>
      <c r="CE324">
        <v>20.289899999999999</v>
      </c>
      <c r="CF324" t="s">
        <v>6170</v>
      </c>
      <c r="CK324">
        <v>7</v>
      </c>
      <c r="CL324" t="s">
        <v>4</v>
      </c>
      <c r="CM324" t="s">
        <v>98</v>
      </c>
      <c r="CN324" t="s">
        <v>98</v>
      </c>
      <c r="CO324" t="s">
        <v>99</v>
      </c>
      <c r="CP324" t="s">
        <v>100</v>
      </c>
      <c r="CQ324">
        <v>323</v>
      </c>
      <c r="CR324" t="s">
        <v>100</v>
      </c>
      <c r="CS324" t="s">
        <v>100</v>
      </c>
      <c r="CT324" t="s">
        <v>152</v>
      </c>
      <c r="CU324" t="s">
        <v>102</v>
      </c>
      <c r="CV324" t="s">
        <v>100</v>
      </c>
    </row>
    <row r="325" spans="1:100">
      <c r="A325" s="3" t="s">
        <v>6171</v>
      </c>
      <c r="B325" s="4" t="s">
        <v>6172</v>
      </c>
      <c r="C325">
        <v>351.41711197826203</v>
      </c>
      <c r="D325">
        <v>3454.4130007325198</v>
      </c>
      <c r="E325">
        <f>-3.29634923424546</f>
        <v>-3.2963492342454601</v>
      </c>
      <c r="F325" s="5">
        <v>2.4245937517738302E-18</v>
      </c>
      <c r="G325" t="s">
        <v>4</v>
      </c>
      <c r="H325">
        <v>351.41711197826203</v>
      </c>
      <c r="I325">
        <v>174.16602629010001</v>
      </c>
      <c r="J325">
        <v>1.0033894746382801</v>
      </c>
      <c r="K325">
        <v>1.31207797340836E-2</v>
      </c>
      <c r="L325" t="s">
        <v>4</v>
      </c>
      <c r="M325">
        <v>3454.4130007325198</v>
      </c>
      <c r="N325">
        <v>174.16602629010001</v>
      </c>
      <c r="O325">
        <v>4.2997387088837398</v>
      </c>
      <c r="P325" s="5">
        <v>1.1871633559915801E-30</v>
      </c>
      <c r="Q325" t="s">
        <v>4</v>
      </c>
      <c r="R325" s="4" t="s">
        <v>87</v>
      </c>
      <c r="S325" t="s">
        <v>4</v>
      </c>
      <c r="T325" t="s">
        <v>92</v>
      </c>
      <c r="U325" t="s">
        <v>92</v>
      </c>
      <c r="V325" t="s">
        <v>92</v>
      </c>
      <c r="W325" t="s">
        <v>92</v>
      </c>
      <c r="X325" t="s">
        <v>4</v>
      </c>
      <c r="Y325" t="s">
        <v>6173</v>
      </c>
      <c r="Z325" t="s">
        <v>6174</v>
      </c>
      <c r="AA325" t="s">
        <v>6175</v>
      </c>
      <c r="AB325" t="s">
        <v>4</v>
      </c>
      <c r="AC325" s="3" t="s">
        <v>6176</v>
      </c>
      <c r="AD325" t="s">
        <v>4</v>
      </c>
      <c r="AE325" s="4" t="s">
        <v>94</v>
      </c>
      <c r="AZ325" t="s">
        <v>4</v>
      </c>
      <c r="BA325" s="3" t="s">
        <v>95</v>
      </c>
      <c r="BB325" s="6" t="s">
        <v>95</v>
      </c>
      <c r="BC325" s="3" t="s">
        <v>95</v>
      </c>
      <c r="BD325" t="s">
        <v>4</v>
      </c>
      <c r="BE325">
        <v>2729</v>
      </c>
      <c r="BF325" t="s">
        <v>97</v>
      </c>
      <c r="BG325">
        <v>99.698800000000006</v>
      </c>
      <c r="BH325">
        <v>89.457800000000006</v>
      </c>
      <c r="BI325">
        <v>85.542199999999994</v>
      </c>
      <c r="BJ325">
        <v>94.879499999999993</v>
      </c>
      <c r="BK325">
        <v>91.566299999999998</v>
      </c>
      <c r="BL325">
        <v>81.626499999999993</v>
      </c>
      <c r="BM325">
        <v>89.759</v>
      </c>
      <c r="BN325">
        <v>89.759</v>
      </c>
      <c r="BO325">
        <v>92.469899999999996</v>
      </c>
      <c r="BP325">
        <v>30.1205</v>
      </c>
      <c r="CK325">
        <v>4</v>
      </c>
      <c r="CL325" t="s">
        <v>4</v>
      </c>
      <c r="CM325" t="s">
        <v>98</v>
      </c>
      <c r="CN325" t="s">
        <v>98</v>
      </c>
      <c r="CO325" t="s">
        <v>99</v>
      </c>
      <c r="CP325" t="s">
        <v>100</v>
      </c>
      <c r="CQ325">
        <v>324</v>
      </c>
      <c r="CR325" t="s">
        <v>100</v>
      </c>
      <c r="CS325" s="7" t="s">
        <v>101</v>
      </c>
      <c r="CT325" t="s">
        <v>152</v>
      </c>
      <c r="CU325" t="s">
        <v>102</v>
      </c>
      <c r="CV325" t="s">
        <v>100</v>
      </c>
    </row>
    <row r="326" spans="1:100">
      <c r="A326" s="3" t="s">
        <v>6177</v>
      </c>
      <c r="B326" s="4" t="s">
        <v>6178</v>
      </c>
      <c r="C326">
        <v>54.562255739935701</v>
      </c>
      <c r="D326">
        <v>560.13537319082695</v>
      </c>
      <c r="E326">
        <f>-3.35858352777668</f>
        <v>-3.35858352777668</v>
      </c>
      <c r="F326" s="5">
        <v>1.6642327953248199E-6</v>
      </c>
      <c r="G326" t="s">
        <v>4</v>
      </c>
      <c r="H326">
        <v>54.562255739935701</v>
      </c>
      <c r="I326">
        <v>20.6366022768836</v>
      </c>
      <c r="J326">
        <v>1.43872781469859</v>
      </c>
      <c r="K326">
        <v>5.9717695706785798E-2</v>
      </c>
      <c r="L326" t="s">
        <v>4</v>
      </c>
      <c r="M326">
        <v>560.13537319082695</v>
      </c>
      <c r="N326">
        <v>20.6366022768836</v>
      </c>
      <c r="O326">
        <v>4.7973113424752798</v>
      </c>
      <c r="P326" s="5">
        <v>7.6959425461212098E-12</v>
      </c>
      <c r="Q326" t="s">
        <v>4</v>
      </c>
      <c r="R326" s="4" t="s">
        <v>87</v>
      </c>
      <c r="S326" t="s">
        <v>4</v>
      </c>
      <c r="T326" t="s">
        <v>92</v>
      </c>
      <c r="U326" t="s">
        <v>92</v>
      </c>
      <c r="V326" t="s">
        <v>92</v>
      </c>
      <c r="W326" t="s">
        <v>92</v>
      </c>
      <c r="X326" t="s">
        <v>4</v>
      </c>
      <c r="Y326" t="s">
        <v>92</v>
      </c>
      <c r="Z326" t="s">
        <v>92</v>
      </c>
      <c r="AA326" t="s">
        <v>92</v>
      </c>
      <c r="AB326" t="s">
        <v>4</v>
      </c>
      <c r="AC326" s="3" t="s">
        <v>93</v>
      </c>
      <c r="AD326" t="s">
        <v>4</v>
      </c>
      <c r="AE326" s="4" t="s">
        <v>94</v>
      </c>
      <c r="AZ326" t="s">
        <v>4</v>
      </c>
      <c r="BA326" s="3" t="s">
        <v>95</v>
      </c>
      <c r="BB326" s="6" t="s">
        <v>95</v>
      </c>
      <c r="BC326" s="3" t="s">
        <v>95</v>
      </c>
      <c r="BD326" t="s">
        <v>4</v>
      </c>
      <c r="BE326">
        <v>1279</v>
      </c>
      <c r="BF326" t="s">
        <v>151</v>
      </c>
      <c r="BG326">
        <v>93.118300000000005</v>
      </c>
      <c r="BH326">
        <v>83.870999999999995</v>
      </c>
      <c r="BJ326">
        <v>35.698900000000002</v>
      </c>
      <c r="BK326">
        <v>23.870999999999999</v>
      </c>
      <c r="BM326">
        <v>24.516100000000002</v>
      </c>
      <c r="BN326">
        <v>24.085999999999999</v>
      </c>
      <c r="CK326">
        <v>2</v>
      </c>
      <c r="CL326" t="s">
        <v>4</v>
      </c>
      <c r="CM326" t="s">
        <v>98</v>
      </c>
      <c r="CN326" t="s">
        <v>98</v>
      </c>
      <c r="CO326" t="s">
        <v>99</v>
      </c>
      <c r="CP326" t="s">
        <v>100</v>
      </c>
      <c r="CQ326">
        <v>325</v>
      </c>
      <c r="CR326" t="s">
        <v>100</v>
      </c>
      <c r="CS326" t="s">
        <v>100</v>
      </c>
      <c r="CT326" t="s">
        <v>152</v>
      </c>
      <c r="CU326" t="s">
        <v>102</v>
      </c>
      <c r="CV326" t="s">
        <v>100</v>
      </c>
    </row>
    <row r="327" spans="1:100">
      <c r="A327" s="3" t="s">
        <v>6179</v>
      </c>
      <c r="B327" s="4" t="s">
        <v>6180</v>
      </c>
      <c r="C327">
        <v>92.980155499025201</v>
      </c>
      <c r="D327">
        <v>1206.5674361998599</v>
      </c>
      <c r="E327">
        <f>-3.69706900360847</f>
        <v>-3.6970690036084699</v>
      </c>
      <c r="F327" s="5">
        <v>6.3957486709009904E-9</v>
      </c>
      <c r="G327" t="s">
        <v>4</v>
      </c>
      <c r="H327">
        <v>92.980155499025201</v>
      </c>
      <c r="I327">
        <v>46.8220209565307</v>
      </c>
      <c r="J327">
        <v>0.99344391697690204</v>
      </c>
      <c r="K327">
        <v>0.153171090193778</v>
      </c>
      <c r="L327" t="s">
        <v>4</v>
      </c>
      <c r="M327">
        <v>1206.5674361998599</v>
      </c>
      <c r="N327">
        <v>46.8220209565307</v>
      </c>
      <c r="O327">
        <v>4.6905129205853697</v>
      </c>
      <c r="P327" s="5">
        <v>8.34694878717942E-14</v>
      </c>
      <c r="Q327" t="s">
        <v>4</v>
      </c>
      <c r="R327" s="4" t="s">
        <v>87</v>
      </c>
      <c r="S327" t="s">
        <v>4</v>
      </c>
      <c r="T327" t="s">
        <v>92</v>
      </c>
      <c r="U327" t="s">
        <v>92</v>
      </c>
      <c r="V327" t="s">
        <v>92</v>
      </c>
      <c r="W327" t="s">
        <v>92</v>
      </c>
      <c r="X327" t="s">
        <v>4</v>
      </c>
      <c r="Y327" t="s">
        <v>92</v>
      </c>
      <c r="Z327" t="s">
        <v>92</v>
      </c>
      <c r="AA327" t="s">
        <v>92</v>
      </c>
      <c r="AB327" t="s">
        <v>4</v>
      </c>
      <c r="AC327" s="3" t="s">
        <v>93</v>
      </c>
      <c r="AD327" t="s">
        <v>4</v>
      </c>
      <c r="AE327" s="4" t="s">
        <v>94</v>
      </c>
      <c r="AZ327" t="s">
        <v>4</v>
      </c>
      <c r="BA327" s="3" t="s">
        <v>95</v>
      </c>
      <c r="BB327" s="6" t="s">
        <v>95</v>
      </c>
      <c r="BC327" s="3" t="s">
        <v>95</v>
      </c>
      <c r="BD327" t="s">
        <v>4</v>
      </c>
      <c r="BE327">
        <v>1280</v>
      </c>
      <c r="BF327" t="s">
        <v>151</v>
      </c>
      <c r="BG327">
        <v>95.700900000000004</v>
      </c>
      <c r="BI327" t="s">
        <v>6181</v>
      </c>
      <c r="CK327">
        <v>2</v>
      </c>
      <c r="CL327" t="s">
        <v>4</v>
      </c>
      <c r="CM327" t="s">
        <v>98</v>
      </c>
      <c r="CN327" t="s">
        <v>98</v>
      </c>
      <c r="CO327" t="s">
        <v>99</v>
      </c>
      <c r="CP327" t="s">
        <v>100</v>
      </c>
      <c r="CQ327">
        <v>326</v>
      </c>
      <c r="CR327" t="s">
        <v>100</v>
      </c>
      <c r="CS327" t="s">
        <v>100</v>
      </c>
      <c r="CT327" t="s">
        <v>152</v>
      </c>
      <c r="CU327" t="s">
        <v>102</v>
      </c>
      <c r="CV327" t="s">
        <v>100</v>
      </c>
    </row>
    <row r="328" spans="1:100">
      <c r="A328" s="3" t="s">
        <v>6182</v>
      </c>
      <c r="B328" s="4" t="s">
        <v>6183</v>
      </c>
      <c r="C328">
        <v>394.41153974473099</v>
      </c>
      <c r="D328">
        <v>5465.9872724686102</v>
      </c>
      <c r="E328">
        <f>-3.79212186472413</f>
        <v>-3.7921218647241299</v>
      </c>
      <c r="F328" s="5">
        <v>1.7736909118010299E-10</v>
      </c>
      <c r="G328" t="s">
        <v>4</v>
      </c>
      <c r="H328">
        <v>394.41153974473099</v>
      </c>
      <c r="I328">
        <v>207.995381401911</v>
      </c>
      <c r="J328">
        <v>0.91708878381910297</v>
      </c>
      <c r="K328">
        <v>0.151227083410956</v>
      </c>
      <c r="L328" t="s">
        <v>4</v>
      </c>
      <c r="M328">
        <v>5465.9872724686102</v>
      </c>
      <c r="N328">
        <v>207.995381401911</v>
      </c>
      <c r="O328">
        <v>4.7092106485432303</v>
      </c>
      <c r="P328" s="5">
        <v>4.1400978001492898E-16</v>
      </c>
      <c r="Q328" t="s">
        <v>4</v>
      </c>
      <c r="R328" s="4" t="s">
        <v>87</v>
      </c>
      <c r="S328" t="s">
        <v>4</v>
      </c>
      <c r="T328" t="s">
        <v>92</v>
      </c>
      <c r="U328" t="s">
        <v>92</v>
      </c>
      <c r="V328" t="s">
        <v>92</v>
      </c>
      <c r="W328" t="s">
        <v>92</v>
      </c>
      <c r="X328" t="s">
        <v>4</v>
      </c>
      <c r="Y328" t="s">
        <v>92</v>
      </c>
      <c r="Z328" t="s">
        <v>92</v>
      </c>
      <c r="AA328" t="s">
        <v>92</v>
      </c>
      <c r="AB328" t="s">
        <v>4</v>
      </c>
      <c r="AC328" s="3" t="s">
        <v>93</v>
      </c>
      <c r="AD328" t="s">
        <v>4</v>
      </c>
      <c r="AE328" s="4" t="s">
        <v>94</v>
      </c>
      <c r="AZ328" t="s">
        <v>4</v>
      </c>
      <c r="BA328" s="3" t="s">
        <v>95</v>
      </c>
      <c r="BB328" s="6" t="s">
        <v>95</v>
      </c>
      <c r="BC328" s="3" t="s">
        <v>95</v>
      </c>
      <c r="BD328" t="s">
        <v>4</v>
      </c>
      <c r="BE328">
        <v>2732</v>
      </c>
      <c r="BF328" t="s">
        <v>97</v>
      </c>
      <c r="BG328">
        <v>96.588499999999996</v>
      </c>
      <c r="BI328">
        <v>78.677999999999997</v>
      </c>
      <c r="BJ328">
        <v>57.356099999999998</v>
      </c>
      <c r="BK328">
        <v>51.172699999999999</v>
      </c>
      <c r="BL328" t="s">
        <v>6184</v>
      </c>
      <c r="BM328" t="s">
        <v>6185</v>
      </c>
      <c r="BN328" t="s">
        <v>6186</v>
      </c>
      <c r="BO328">
        <v>51.5991</v>
      </c>
      <c r="CK328">
        <v>4</v>
      </c>
      <c r="CL328" t="s">
        <v>4</v>
      </c>
      <c r="CM328" t="s">
        <v>98</v>
      </c>
      <c r="CN328" t="s">
        <v>98</v>
      </c>
      <c r="CO328" t="s">
        <v>99</v>
      </c>
      <c r="CP328" t="s">
        <v>100</v>
      </c>
      <c r="CQ328">
        <v>327</v>
      </c>
      <c r="CR328" t="s">
        <v>100</v>
      </c>
      <c r="CS328" t="s">
        <v>100</v>
      </c>
      <c r="CT328" t="s">
        <v>152</v>
      </c>
      <c r="CU328" t="s">
        <v>102</v>
      </c>
      <c r="CV328" t="s">
        <v>100</v>
      </c>
    </row>
    <row r="329" spans="1:100">
      <c r="A329" s="3" t="s">
        <v>6187</v>
      </c>
      <c r="B329" s="4" t="s">
        <v>6188</v>
      </c>
      <c r="C329">
        <v>244.08399499882401</v>
      </c>
      <c r="D329">
        <v>2684.3593861902</v>
      </c>
      <c r="E329">
        <f>-3.45909512566806</f>
        <v>-3.45909512566806</v>
      </c>
      <c r="F329" s="5">
        <v>1.08351977949358E-16</v>
      </c>
      <c r="G329" t="s">
        <v>4</v>
      </c>
      <c r="H329">
        <v>244.08399499882401</v>
      </c>
      <c r="I329">
        <v>182.78051711392101</v>
      </c>
      <c r="J329">
        <v>0.42130681338015202</v>
      </c>
      <c r="K329">
        <v>0.370134606307081</v>
      </c>
      <c r="L329" t="s">
        <v>4</v>
      </c>
      <c r="M329">
        <v>2684.3593861902</v>
      </c>
      <c r="N329">
        <v>182.78051711392101</v>
      </c>
      <c r="O329">
        <v>3.8804019390482098</v>
      </c>
      <c r="P329" s="5">
        <v>3.9962201487095503E-21</v>
      </c>
      <c r="Q329" t="s">
        <v>4</v>
      </c>
      <c r="R329" s="4" t="s">
        <v>87</v>
      </c>
      <c r="S329" t="s">
        <v>4</v>
      </c>
      <c r="T329" t="s">
        <v>92</v>
      </c>
      <c r="U329" t="s">
        <v>92</v>
      </c>
      <c r="V329" t="s">
        <v>92</v>
      </c>
      <c r="W329" t="s">
        <v>92</v>
      </c>
      <c r="X329" t="s">
        <v>4</v>
      </c>
      <c r="Y329" t="s">
        <v>92</v>
      </c>
      <c r="Z329" t="s">
        <v>92</v>
      </c>
      <c r="AA329" t="s">
        <v>92</v>
      </c>
      <c r="AB329" t="s">
        <v>4</v>
      </c>
      <c r="AC329" s="3" t="s">
        <v>93</v>
      </c>
      <c r="AD329" t="s">
        <v>4</v>
      </c>
      <c r="AE329" s="4" t="s">
        <v>94</v>
      </c>
      <c r="AZ329" t="s">
        <v>4</v>
      </c>
      <c r="BA329" s="3" t="s">
        <v>115</v>
      </c>
      <c r="BB329" s="6" t="s">
        <v>95</v>
      </c>
      <c r="BC329" s="3" t="s">
        <v>95</v>
      </c>
      <c r="BD329" t="s">
        <v>4</v>
      </c>
      <c r="BE329">
        <v>1284</v>
      </c>
      <c r="BF329" t="s">
        <v>151</v>
      </c>
      <c r="BG329">
        <v>69.738500000000002</v>
      </c>
      <c r="BH329">
        <v>58.1569</v>
      </c>
      <c r="BI329">
        <v>60.398499999999999</v>
      </c>
      <c r="BJ329">
        <v>42.963900000000002</v>
      </c>
      <c r="BK329">
        <v>24.159400000000002</v>
      </c>
      <c r="BL329">
        <v>35.367400000000004</v>
      </c>
      <c r="BM329">
        <v>37.110799999999998</v>
      </c>
      <c r="BN329">
        <v>36.9863</v>
      </c>
      <c r="BO329">
        <v>36.363599999999998</v>
      </c>
      <c r="CK329">
        <v>2</v>
      </c>
      <c r="CL329" t="s">
        <v>4</v>
      </c>
      <c r="CM329" t="s">
        <v>98</v>
      </c>
      <c r="CN329" t="s">
        <v>98</v>
      </c>
      <c r="CO329" t="s">
        <v>99</v>
      </c>
      <c r="CP329" t="s">
        <v>100</v>
      </c>
      <c r="CQ329">
        <v>328</v>
      </c>
      <c r="CR329" t="s">
        <v>100</v>
      </c>
      <c r="CS329" t="s">
        <v>100</v>
      </c>
      <c r="CT329" t="s">
        <v>152</v>
      </c>
      <c r="CU329" t="s">
        <v>102</v>
      </c>
      <c r="CV329" t="s">
        <v>100</v>
      </c>
    </row>
    <row r="330" spans="1:100">
      <c r="A330" s="3" t="s">
        <v>6189</v>
      </c>
      <c r="B330" s="4" t="s">
        <v>6190</v>
      </c>
      <c r="C330">
        <v>39.839025682872197</v>
      </c>
      <c r="D330">
        <v>473.93419099639101</v>
      </c>
      <c r="E330">
        <f>-3.56759122249792</f>
        <v>-3.5675912224979198</v>
      </c>
      <c r="F330" s="5">
        <v>9.3166315953782403E-20</v>
      </c>
      <c r="G330" t="s">
        <v>4</v>
      </c>
      <c r="H330">
        <v>39.839025682872197</v>
      </c>
      <c r="I330">
        <v>63.264325342227401</v>
      </c>
      <c r="J330">
        <f>0.669970554298041</f>
        <v>0.66997055429804098</v>
      </c>
      <c r="K330">
        <v>0.13265095277613401</v>
      </c>
      <c r="L330" t="s">
        <v>4</v>
      </c>
      <c r="M330">
        <v>473.93419099639101</v>
      </c>
      <c r="N330">
        <v>63.264325342227401</v>
      </c>
      <c r="O330">
        <v>2.8976206681998802</v>
      </c>
      <c r="P330" s="5">
        <v>1.16480137431397E-13</v>
      </c>
      <c r="Q330" t="s">
        <v>4</v>
      </c>
      <c r="R330" s="4" t="s">
        <v>87</v>
      </c>
      <c r="S330" t="s">
        <v>4</v>
      </c>
      <c r="T330" t="s">
        <v>6191</v>
      </c>
      <c r="U330" t="s">
        <v>6192</v>
      </c>
      <c r="V330" t="s">
        <v>6193</v>
      </c>
      <c r="W330" t="s">
        <v>328</v>
      </c>
      <c r="X330" t="s">
        <v>4</v>
      </c>
      <c r="Y330" t="s">
        <v>6194</v>
      </c>
      <c r="Z330" t="s">
        <v>6195</v>
      </c>
      <c r="AA330" t="s">
        <v>6196</v>
      </c>
      <c r="AB330" t="s">
        <v>4</v>
      </c>
      <c r="AC330" s="3" t="s">
        <v>93</v>
      </c>
      <c r="AD330" t="s">
        <v>4</v>
      </c>
      <c r="AE330" s="4" t="s">
        <v>94</v>
      </c>
      <c r="AZ330" t="s">
        <v>4</v>
      </c>
      <c r="BA330" s="3" t="s">
        <v>95</v>
      </c>
      <c r="BB330" t="s">
        <v>96</v>
      </c>
      <c r="BC330" s="3" t="s">
        <v>95</v>
      </c>
      <c r="BD330" t="s">
        <v>4</v>
      </c>
      <c r="BE330">
        <v>1286</v>
      </c>
      <c r="BF330" t="s">
        <v>151</v>
      </c>
      <c r="BG330">
        <v>46.721299999999999</v>
      </c>
      <c r="BI330">
        <v>42.349699999999999</v>
      </c>
      <c r="BJ330">
        <v>27.8689</v>
      </c>
      <c r="BL330">
        <v>26.776</v>
      </c>
      <c r="BM330">
        <v>29.508199999999999</v>
      </c>
      <c r="BN330">
        <v>28.688500000000001</v>
      </c>
      <c r="CK330">
        <v>2</v>
      </c>
      <c r="CL330" t="s">
        <v>4</v>
      </c>
      <c r="CM330" t="s">
        <v>98</v>
      </c>
      <c r="CN330" t="s">
        <v>98</v>
      </c>
      <c r="CO330" t="s">
        <v>99</v>
      </c>
      <c r="CP330" t="s">
        <v>100</v>
      </c>
      <c r="CQ330">
        <v>329</v>
      </c>
      <c r="CR330" t="s">
        <v>100</v>
      </c>
      <c r="CS330" t="s">
        <v>100</v>
      </c>
      <c r="CT330" t="s">
        <v>152</v>
      </c>
      <c r="CU330" t="s">
        <v>102</v>
      </c>
      <c r="CV330" t="s">
        <v>100</v>
      </c>
    </row>
    <row r="331" spans="1:100">
      <c r="A331" s="3" t="s">
        <v>6197</v>
      </c>
      <c r="B331" s="4" t="s">
        <v>6198</v>
      </c>
      <c r="C331">
        <v>269.47771231112603</v>
      </c>
      <c r="D331">
        <v>1330.3628486830301</v>
      </c>
      <c r="E331">
        <f>-2.30183187938308</f>
        <v>-2.3018318793830801</v>
      </c>
      <c r="F331" s="5">
        <v>5.1148925102933899E-32</v>
      </c>
      <c r="G331" t="s">
        <v>4</v>
      </c>
      <c r="H331">
        <v>269.47771231112603</v>
      </c>
      <c r="I331">
        <v>107.37354305422301</v>
      </c>
      <c r="J331">
        <v>1.3244368249184899</v>
      </c>
      <c r="K331" s="5">
        <v>1.80155335177408E-9</v>
      </c>
      <c r="L331" t="s">
        <v>4</v>
      </c>
      <c r="M331">
        <v>1330.3628486830301</v>
      </c>
      <c r="N331">
        <v>107.37354305422301</v>
      </c>
      <c r="O331">
        <v>3.62626870430157</v>
      </c>
      <c r="P331" s="5">
        <v>4.5178653388239897E-67</v>
      </c>
      <c r="Q331" t="s">
        <v>4</v>
      </c>
      <c r="R331" s="4" t="s">
        <v>87</v>
      </c>
      <c r="S331" t="s">
        <v>4</v>
      </c>
      <c r="T331" t="s">
        <v>92</v>
      </c>
      <c r="U331" t="s">
        <v>92</v>
      </c>
      <c r="V331" t="s">
        <v>92</v>
      </c>
      <c r="W331" t="s">
        <v>92</v>
      </c>
      <c r="X331" t="s">
        <v>4</v>
      </c>
      <c r="Y331" t="s">
        <v>6199</v>
      </c>
      <c r="Z331" t="s">
        <v>6200</v>
      </c>
      <c r="AA331" t="s">
        <v>6201</v>
      </c>
      <c r="AB331" t="s">
        <v>4</v>
      </c>
      <c r="AC331" s="3" t="s">
        <v>93</v>
      </c>
      <c r="AD331" t="s">
        <v>4</v>
      </c>
      <c r="AE331" s="4" t="s">
        <v>94</v>
      </c>
      <c r="AZ331" t="s">
        <v>4</v>
      </c>
      <c r="BA331" s="3" t="s">
        <v>95</v>
      </c>
      <c r="BB331" s="6" t="s">
        <v>95</v>
      </c>
      <c r="BC331" s="3" t="s">
        <v>95</v>
      </c>
      <c r="BD331" t="s">
        <v>4</v>
      </c>
      <c r="BE331">
        <v>2743</v>
      </c>
      <c r="BF331" t="s">
        <v>97</v>
      </c>
      <c r="BG331">
        <v>42.857100000000003</v>
      </c>
      <c r="BI331">
        <v>65.773799999999994</v>
      </c>
      <c r="BJ331">
        <v>22.023800000000001</v>
      </c>
      <c r="BM331">
        <v>20.535699999999999</v>
      </c>
      <c r="CK331">
        <v>4</v>
      </c>
      <c r="CL331" t="s">
        <v>4</v>
      </c>
      <c r="CM331" t="s">
        <v>98</v>
      </c>
      <c r="CN331" t="s">
        <v>98</v>
      </c>
      <c r="CO331" t="s">
        <v>99</v>
      </c>
      <c r="CP331" t="s">
        <v>100</v>
      </c>
      <c r="CQ331">
        <v>330</v>
      </c>
      <c r="CR331" t="s">
        <v>100</v>
      </c>
      <c r="CS331" s="7" t="s">
        <v>101</v>
      </c>
      <c r="CT331" t="s">
        <v>152</v>
      </c>
      <c r="CU331" t="s">
        <v>102</v>
      </c>
      <c r="CV331" t="s">
        <v>100</v>
      </c>
    </row>
    <row r="332" spans="1:100">
      <c r="A332" s="3" t="s">
        <v>6202</v>
      </c>
      <c r="B332" s="4" t="s">
        <v>6203</v>
      </c>
      <c r="C332">
        <v>338.28153675362898</v>
      </c>
      <c r="D332">
        <v>2972.0787075604198</v>
      </c>
      <c r="E332">
        <f>-3.13477227096879</f>
        <v>-3.13477227096879</v>
      </c>
      <c r="F332" s="5">
        <v>4.5552970469103E-21</v>
      </c>
      <c r="G332" t="s">
        <v>4</v>
      </c>
      <c r="H332">
        <v>338.28153675362898</v>
      </c>
      <c r="I332">
        <v>377.00327884465497</v>
      </c>
      <c r="J332">
        <f>0.148993416592415</f>
        <v>0.148993416592415</v>
      </c>
      <c r="K332">
        <v>0.70554250256011597</v>
      </c>
      <c r="L332" t="s">
        <v>4</v>
      </c>
      <c r="M332">
        <v>2972.0787075604198</v>
      </c>
      <c r="N332">
        <v>377.00327884465497</v>
      </c>
      <c r="O332">
        <v>2.9857788543763801</v>
      </c>
      <c r="P332" s="5">
        <v>1.1405393992614601E-19</v>
      </c>
      <c r="Q332" t="s">
        <v>4</v>
      </c>
      <c r="R332" s="4" t="s">
        <v>87</v>
      </c>
      <c r="S332" t="s">
        <v>4</v>
      </c>
      <c r="T332" t="s">
        <v>88</v>
      </c>
      <c r="U332" t="s">
        <v>89</v>
      </c>
      <c r="V332" t="s">
        <v>90</v>
      </c>
      <c r="W332" t="s">
        <v>91</v>
      </c>
      <c r="X332" t="s">
        <v>4</v>
      </c>
      <c r="Y332" t="s">
        <v>92</v>
      </c>
      <c r="Z332" t="s">
        <v>92</v>
      </c>
      <c r="AA332" t="s">
        <v>92</v>
      </c>
      <c r="AB332" t="s">
        <v>4</v>
      </c>
      <c r="AC332" s="3" t="s">
        <v>93</v>
      </c>
      <c r="AD332" t="s">
        <v>4</v>
      </c>
      <c r="AE332" s="4" t="s">
        <v>94</v>
      </c>
      <c r="AZ332" t="s">
        <v>4</v>
      </c>
      <c r="BA332" s="3" t="s">
        <v>95</v>
      </c>
      <c r="BB332" t="s">
        <v>96</v>
      </c>
      <c r="BC332" s="3" t="s">
        <v>95</v>
      </c>
      <c r="BD332" t="s">
        <v>4</v>
      </c>
      <c r="BE332">
        <v>4338</v>
      </c>
      <c r="BF332" t="s">
        <v>112</v>
      </c>
      <c r="BG332" t="s">
        <v>6204</v>
      </c>
      <c r="BI332">
        <v>90.740700000000004</v>
      </c>
      <c r="BJ332">
        <v>76.388900000000007</v>
      </c>
      <c r="BL332">
        <v>56.481499999999997</v>
      </c>
      <c r="BM332">
        <v>71.296300000000002</v>
      </c>
      <c r="BP332">
        <v>19.444400000000002</v>
      </c>
      <c r="CK332">
        <v>5</v>
      </c>
      <c r="CL332" t="s">
        <v>4</v>
      </c>
      <c r="CM332" t="s">
        <v>98</v>
      </c>
      <c r="CN332" t="s">
        <v>98</v>
      </c>
      <c r="CO332" t="s">
        <v>99</v>
      </c>
      <c r="CP332" t="s">
        <v>100</v>
      </c>
      <c r="CQ332">
        <v>331</v>
      </c>
      <c r="CR332" t="s">
        <v>100</v>
      </c>
      <c r="CS332" t="s">
        <v>100</v>
      </c>
      <c r="CT332" t="s">
        <v>152</v>
      </c>
      <c r="CU332" t="s">
        <v>102</v>
      </c>
      <c r="CV332" t="s">
        <v>100</v>
      </c>
    </row>
    <row r="333" spans="1:100">
      <c r="A333" s="3" t="s">
        <v>6205</v>
      </c>
      <c r="B333" s="4" t="s">
        <v>6206</v>
      </c>
      <c r="C333">
        <v>53.096101712972498</v>
      </c>
      <c r="D333">
        <v>222.91174584325199</v>
      </c>
      <c r="E333">
        <f>-2.07050039303185</f>
        <v>-2.0705003930318502</v>
      </c>
      <c r="F333">
        <v>1.7790145036217901E-3</v>
      </c>
      <c r="G333" t="s">
        <v>4</v>
      </c>
      <c r="H333">
        <v>53.096101712972498</v>
      </c>
      <c r="I333">
        <v>14.6403915922119</v>
      </c>
      <c r="J333">
        <v>1.9372786062771501</v>
      </c>
      <c r="K333">
        <v>6.3194166617499001E-3</v>
      </c>
      <c r="L333" t="s">
        <v>4</v>
      </c>
      <c r="M333">
        <v>222.91174584325199</v>
      </c>
      <c r="N333">
        <v>14.6403915922119</v>
      </c>
      <c r="O333">
        <v>4.0077789993090001</v>
      </c>
      <c r="P333" s="5">
        <v>2.05688338687223E-9</v>
      </c>
      <c r="Q333" t="s">
        <v>4</v>
      </c>
      <c r="R333" s="4" t="s">
        <v>87</v>
      </c>
      <c r="S333" t="s">
        <v>4</v>
      </c>
      <c r="T333" t="s">
        <v>2243</v>
      </c>
      <c r="U333" t="s">
        <v>2244</v>
      </c>
      <c r="V333" t="s">
        <v>2245</v>
      </c>
      <c r="W333" t="s">
        <v>123</v>
      </c>
      <c r="X333" t="s">
        <v>4</v>
      </c>
      <c r="Y333" t="s">
        <v>6207</v>
      </c>
      <c r="Z333" t="s">
        <v>6208</v>
      </c>
      <c r="AA333" t="s">
        <v>6209</v>
      </c>
      <c r="AB333" t="s">
        <v>4</v>
      </c>
      <c r="AC333" s="3" t="s">
        <v>6210</v>
      </c>
      <c r="AD333" t="s">
        <v>4</v>
      </c>
      <c r="AE333" t="s">
        <v>6211</v>
      </c>
      <c r="AF333" t="s">
        <v>6212</v>
      </c>
      <c r="AG333" t="s">
        <v>6213</v>
      </c>
      <c r="AH333" t="s">
        <v>112</v>
      </c>
      <c r="AU333" t="s">
        <v>112</v>
      </c>
      <c r="AV333" t="s">
        <v>6214</v>
      </c>
      <c r="AW333" t="s">
        <v>114</v>
      </c>
      <c r="AX333" t="s">
        <v>144</v>
      </c>
      <c r="AY333" t="s">
        <v>6215</v>
      </c>
      <c r="AZ333" t="s">
        <v>4</v>
      </c>
      <c r="BA333" s="3" t="s">
        <v>95</v>
      </c>
      <c r="BB333" s="6" t="s">
        <v>95</v>
      </c>
      <c r="BC333" s="3" t="s">
        <v>95</v>
      </c>
      <c r="BD333" t="s">
        <v>4</v>
      </c>
      <c r="BE333">
        <v>4339</v>
      </c>
      <c r="BF333" t="s">
        <v>112</v>
      </c>
      <c r="BG333">
        <v>99.636399999999995</v>
      </c>
      <c r="BH333">
        <v>100</v>
      </c>
      <c r="BI333">
        <v>98.545500000000004</v>
      </c>
      <c r="BJ333">
        <v>93.090900000000005</v>
      </c>
      <c r="BK333">
        <v>92.7273</v>
      </c>
      <c r="BL333">
        <v>56</v>
      </c>
      <c r="BM333">
        <v>53.454500000000003</v>
      </c>
      <c r="BN333">
        <v>85.818200000000004</v>
      </c>
      <c r="BO333">
        <v>89.454499999999996</v>
      </c>
      <c r="BP333">
        <v>65.090900000000005</v>
      </c>
      <c r="BR333" t="s">
        <v>6216</v>
      </c>
      <c r="BS333">
        <v>66.545500000000004</v>
      </c>
      <c r="BW333" t="s">
        <v>6217</v>
      </c>
      <c r="BX333" t="s">
        <v>6218</v>
      </c>
      <c r="BY333">
        <v>52.7273</v>
      </c>
      <c r="BZ333">
        <v>60.363599999999998</v>
      </c>
      <c r="CA333" t="s">
        <v>6219</v>
      </c>
      <c r="CK333">
        <v>5</v>
      </c>
      <c r="CL333" t="s">
        <v>4</v>
      </c>
      <c r="CM333" t="s">
        <v>6220</v>
      </c>
      <c r="CN333" t="s">
        <v>6219</v>
      </c>
      <c r="CO333" t="s">
        <v>1467</v>
      </c>
      <c r="CP333" t="s">
        <v>100</v>
      </c>
      <c r="CQ333">
        <v>332</v>
      </c>
      <c r="CR333" t="s">
        <v>100</v>
      </c>
      <c r="CS333" s="7" t="s">
        <v>101</v>
      </c>
      <c r="CT333" t="s">
        <v>152</v>
      </c>
      <c r="CU333" t="s">
        <v>102</v>
      </c>
      <c r="CV333" t="s">
        <v>100</v>
      </c>
    </row>
    <row r="334" spans="1:100">
      <c r="A334" s="3" t="s">
        <v>6221</v>
      </c>
      <c r="B334" s="4" t="s">
        <v>6222</v>
      </c>
      <c r="C334">
        <v>12.0041240810737</v>
      </c>
      <c r="D334">
        <v>184.76853675023699</v>
      </c>
      <c r="E334">
        <f>-3.93869880046892</f>
        <v>-3.9386988004689201</v>
      </c>
      <c r="F334" s="5">
        <v>5.69175304884092E-5</v>
      </c>
      <c r="G334" t="s">
        <v>4</v>
      </c>
      <c r="H334">
        <v>12.0041240810737</v>
      </c>
      <c r="I334">
        <v>15.8045045983779</v>
      </c>
      <c r="J334">
        <f>0.416546475495974</f>
        <v>0.41654647549597401</v>
      </c>
      <c r="K334">
        <v>0.71256103106485003</v>
      </c>
      <c r="L334" t="s">
        <v>4</v>
      </c>
      <c r="M334">
        <v>184.76853675023699</v>
      </c>
      <c r="N334">
        <v>15.8045045983779</v>
      </c>
      <c r="O334">
        <v>3.5221523249729398</v>
      </c>
      <c r="P334">
        <v>2.4508320045016601E-4</v>
      </c>
      <c r="Q334" t="s">
        <v>4</v>
      </c>
      <c r="R334" s="4" t="s">
        <v>87</v>
      </c>
      <c r="S334" t="s">
        <v>4</v>
      </c>
      <c r="T334" t="s">
        <v>92</v>
      </c>
      <c r="U334" t="s">
        <v>92</v>
      </c>
      <c r="V334" t="s">
        <v>92</v>
      </c>
      <c r="W334" t="s">
        <v>92</v>
      </c>
      <c r="X334" t="s">
        <v>4</v>
      </c>
      <c r="Y334" t="s">
        <v>92</v>
      </c>
      <c r="Z334" t="s">
        <v>92</v>
      </c>
      <c r="AA334" t="s">
        <v>92</v>
      </c>
      <c r="AB334" t="s">
        <v>4</v>
      </c>
      <c r="AC334" s="3" t="s">
        <v>93</v>
      </c>
      <c r="AD334" t="s">
        <v>4</v>
      </c>
      <c r="AE334" s="4" t="s">
        <v>94</v>
      </c>
      <c r="AZ334" t="s">
        <v>4</v>
      </c>
      <c r="BA334" s="3" t="s">
        <v>95</v>
      </c>
      <c r="BB334" s="6" t="s">
        <v>95</v>
      </c>
      <c r="BC334" s="3" t="s">
        <v>95</v>
      </c>
      <c r="BD334" t="s">
        <v>4</v>
      </c>
      <c r="BE334">
        <v>2459</v>
      </c>
      <c r="BF334" t="s">
        <v>97</v>
      </c>
      <c r="BG334">
        <v>50.413200000000003</v>
      </c>
      <c r="BJ334">
        <v>37.190100000000001</v>
      </c>
      <c r="BK334">
        <v>47.107399999999998</v>
      </c>
      <c r="BL334">
        <v>47.107399999999998</v>
      </c>
      <c r="BM334">
        <v>45.454500000000003</v>
      </c>
      <c r="BN334">
        <v>45.454500000000003</v>
      </c>
      <c r="BO334">
        <v>45.454500000000003</v>
      </c>
      <c r="CK334">
        <v>4</v>
      </c>
      <c r="CL334" t="s">
        <v>4</v>
      </c>
      <c r="CM334" t="s">
        <v>98</v>
      </c>
      <c r="CN334" t="s">
        <v>98</v>
      </c>
      <c r="CO334" t="s">
        <v>99</v>
      </c>
      <c r="CP334" t="s">
        <v>100</v>
      </c>
      <c r="CQ334">
        <v>333</v>
      </c>
      <c r="CR334" t="s">
        <v>100</v>
      </c>
      <c r="CS334" t="s">
        <v>100</v>
      </c>
      <c r="CT334" t="s">
        <v>152</v>
      </c>
      <c r="CU334" t="s">
        <v>102</v>
      </c>
      <c r="CV334" t="s">
        <v>100</v>
      </c>
    </row>
    <row r="335" spans="1:100">
      <c r="A335" s="3" t="s">
        <v>6223</v>
      </c>
      <c r="B335" s="4" t="s">
        <v>6224</v>
      </c>
      <c r="C335">
        <v>300.97690170786097</v>
      </c>
      <c r="D335">
        <v>2122.6866103318698</v>
      </c>
      <c r="E335">
        <f>-2.81820976590709</f>
        <v>-2.8182097659070902</v>
      </c>
      <c r="F335" s="5">
        <v>9.9165868658904302E-20</v>
      </c>
      <c r="G335" t="s">
        <v>4</v>
      </c>
      <c r="H335">
        <v>300.97690170786097</v>
      </c>
      <c r="I335">
        <v>82.952132075794395</v>
      </c>
      <c r="J335">
        <v>1.8300854304910401</v>
      </c>
      <c r="K335" s="5">
        <v>3.4302423498440598E-8</v>
      </c>
      <c r="L335" t="s">
        <v>4</v>
      </c>
      <c r="M335">
        <v>2122.6866103318698</v>
      </c>
      <c r="N335">
        <v>82.952132075794395</v>
      </c>
      <c r="O335">
        <v>4.6482951963981396</v>
      </c>
      <c r="P335" s="5">
        <v>2.2639776711196399E-48</v>
      </c>
      <c r="Q335" t="s">
        <v>4</v>
      </c>
      <c r="R335" s="4" t="s">
        <v>87</v>
      </c>
      <c r="S335" t="s">
        <v>4</v>
      </c>
      <c r="T335" t="s">
        <v>4635</v>
      </c>
      <c r="U335" t="s">
        <v>4636</v>
      </c>
      <c r="V335" t="s">
        <v>4637</v>
      </c>
      <c r="W335" t="s">
        <v>507</v>
      </c>
      <c r="X335" t="s">
        <v>4</v>
      </c>
      <c r="Y335" t="s">
        <v>6225</v>
      </c>
      <c r="Z335" t="s">
        <v>6226</v>
      </c>
      <c r="AA335" t="s">
        <v>6227</v>
      </c>
      <c r="AB335" t="s">
        <v>4</v>
      </c>
      <c r="AC335" s="3" t="s">
        <v>6228</v>
      </c>
      <c r="AD335" t="s">
        <v>4</v>
      </c>
      <c r="AE335" t="s">
        <v>6229</v>
      </c>
      <c r="AF335" t="s">
        <v>6230</v>
      </c>
      <c r="AG335" t="s">
        <v>6231</v>
      </c>
      <c r="AH335" t="s">
        <v>638</v>
      </c>
      <c r="AU335" t="s">
        <v>112</v>
      </c>
      <c r="AV335" t="s">
        <v>6232</v>
      </c>
      <c r="AW335" t="s">
        <v>114</v>
      </c>
      <c r="AX335" t="s">
        <v>144</v>
      </c>
      <c r="AY335" t="s">
        <v>4646</v>
      </c>
      <c r="AZ335" t="s">
        <v>4</v>
      </c>
      <c r="BA335" s="3" t="s">
        <v>115</v>
      </c>
      <c r="BB335" t="s">
        <v>96</v>
      </c>
      <c r="BC335" s="3" t="s">
        <v>197</v>
      </c>
      <c r="BD335" t="s">
        <v>4</v>
      </c>
      <c r="BE335">
        <v>5720</v>
      </c>
      <c r="BF335" t="s">
        <v>386</v>
      </c>
      <c r="BG335">
        <v>95.252200000000002</v>
      </c>
      <c r="BH335">
        <v>99.554900000000004</v>
      </c>
      <c r="BI335">
        <v>14.8368</v>
      </c>
      <c r="BK335">
        <v>65.875399999999999</v>
      </c>
      <c r="BL335">
        <v>43.620199999999997</v>
      </c>
      <c r="BM335">
        <v>75.222499999999997</v>
      </c>
      <c r="BN335">
        <v>77.151300000000006</v>
      </c>
      <c r="BO335">
        <v>72.255200000000002</v>
      </c>
      <c r="BQ335">
        <v>15.875400000000001</v>
      </c>
      <c r="BR335">
        <v>13.649900000000001</v>
      </c>
      <c r="BS335">
        <v>17.804200000000002</v>
      </c>
      <c r="BU335">
        <v>29.2285</v>
      </c>
      <c r="BV335" t="s">
        <v>6233</v>
      </c>
      <c r="BX335">
        <v>19.139500000000002</v>
      </c>
      <c r="BZ335">
        <v>7.1216600000000003</v>
      </c>
      <c r="CB335" t="s">
        <v>6234</v>
      </c>
      <c r="CC335">
        <v>8.9020799999999998</v>
      </c>
      <c r="CD335">
        <v>12.907999999999999</v>
      </c>
      <c r="CE335" t="s">
        <v>6235</v>
      </c>
      <c r="CK335">
        <v>7</v>
      </c>
      <c r="CL335" t="s">
        <v>4</v>
      </c>
      <c r="CM335" t="s">
        <v>98</v>
      </c>
      <c r="CN335" t="s">
        <v>98</v>
      </c>
      <c r="CO335" t="s">
        <v>99</v>
      </c>
      <c r="CP335" t="s">
        <v>100</v>
      </c>
      <c r="CQ335">
        <v>334</v>
      </c>
      <c r="CR335" t="s">
        <v>100</v>
      </c>
      <c r="CS335" s="7" t="s">
        <v>101</v>
      </c>
      <c r="CT335" t="s">
        <v>152</v>
      </c>
      <c r="CU335" t="s">
        <v>102</v>
      </c>
      <c r="CV335" t="s">
        <v>100</v>
      </c>
    </row>
    <row r="336" spans="1:100">
      <c r="A336" s="3" t="s">
        <v>6236</v>
      </c>
      <c r="B336" s="4" t="s">
        <v>6237</v>
      </c>
      <c r="C336">
        <v>51.317558890089899</v>
      </c>
      <c r="D336">
        <v>935.61350222436499</v>
      </c>
      <c r="E336">
        <f>-4.18713451153578</f>
        <v>-4.1871345115357803</v>
      </c>
      <c r="F336" s="5">
        <v>1.5003907345837901E-25</v>
      </c>
      <c r="G336" t="s">
        <v>4</v>
      </c>
      <c r="H336">
        <v>51.317558890089899</v>
      </c>
      <c r="I336">
        <v>28.011284511850199</v>
      </c>
      <c r="J336">
        <v>0.83889165333129401</v>
      </c>
      <c r="K336">
        <v>7.9920391513914099E-2</v>
      </c>
      <c r="L336" t="s">
        <v>4</v>
      </c>
      <c r="M336">
        <v>935.61350222436499</v>
      </c>
      <c r="N336">
        <v>28.011284511850199</v>
      </c>
      <c r="O336">
        <v>5.0260261648670799</v>
      </c>
      <c r="P336" s="5">
        <v>1.9624814851575901E-32</v>
      </c>
      <c r="Q336" t="s">
        <v>4</v>
      </c>
      <c r="R336" s="4" t="s">
        <v>87</v>
      </c>
      <c r="S336" t="s">
        <v>4</v>
      </c>
      <c r="T336" t="s">
        <v>2243</v>
      </c>
      <c r="U336" t="s">
        <v>2244</v>
      </c>
      <c r="V336" t="s">
        <v>2245</v>
      </c>
      <c r="W336" t="s">
        <v>123</v>
      </c>
      <c r="X336" t="s">
        <v>4</v>
      </c>
      <c r="Y336" t="s">
        <v>6238</v>
      </c>
      <c r="Z336" t="s">
        <v>6239</v>
      </c>
      <c r="AA336" t="s">
        <v>6240</v>
      </c>
      <c r="AB336" t="s">
        <v>4</v>
      </c>
      <c r="AC336" s="3" t="s">
        <v>6241</v>
      </c>
      <c r="AD336" t="s">
        <v>4</v>
      </c>
      <c r="AE336" t="s">
        <v>2800</v>
      </c>
      <c r="AF336" t="s">
        <v>6242</v>
      </c>
      <c r="AG336" t="s">
        <v>6243</v>
      </c>
      <c r="AH336" t="s">
        <v>112</v>
      </c>
      <c r="AU336" t="s">
        <v>112</v>
      </c>
      <c r="AV336" t="s">
        <v>2803</v>
      </c>
      <c r="AW336" t="s">
        <v>114</v>
      </c>
      <c r="AX336" t="s">
        <v>144</v>
      </c>
      <c r="AY336" t="s">
        <v>2804</v>
      </c>
      <c r="AZ336" t="s">
        <v>4</v>
      </c>
      <c r="BA336" s="3" t="s">
        <v>95</v>
      </c>
      <c r="BB336" s="6" t="s">
        <v>95</v>
      </c>
      <c r="BC336" s="3" t="s">
        <v>95</v>
      </c>
      <c r="BD336" t="s">
        <v>4</v>
      </c>
      <c r="BE336">
        <v>7977</v>
      </c>
      <c r="BF336" t="s">
        <v>213</v>
      </c>
      <c r="BG336">
        <v>93.0946</v>
      </c>
      <c r="BH336">
        <v>96.419399999999996</v>
      </c>
      <c r="BI336">
        <v>81.074200000000005</v>
      </c>
      <c r="BP336">
        <v>33.759599999999999</v>
      </c>
      <c r="BQ336">
        <v>33.503799999999998</v>
      </c>
      <c r="BR336">
        <v>31.457799999999999</v>
      </c>
      <c r="BS336">
        <v>29.155999999999999</v>
      </c>
      <c r="BT336">
        <v>30.178999999999998</v>
      </c>
      <c r="BU336">
        <v>29.411799999999999</v>
      </c>
      <c r="BV336" t="s">
        <v>6244</v>
      </c>
      <c r="BW336">
        <v>29.6675</v>
      </c>
      <c r="BX336">
        <v>33.248100000000001</v>
      </c>
      <c r="BZ336">
        <v>33.503799999999998</v>
      </c>
      <c r="CA336">
        <v>32.9923</v>
      </c>
      <c r="CB336">
        <v>10.2302</v>
      </c>
      <c r="CC336">
        <v>26.342700000000001</v>
      </c>
      <c r="CD336">
        <v>25.575399999999998</v>
      </c>
      <c r="CF336">
        <v>27.3657</v>
      </c>
      <c r="CG336" t="s">
        <v>6245</v>
      </c>
      <c r="CH336" t="s">
        <v>6246</v>
      </c>
      <c r="CI336">
        <v>7.4168799999999999</v>
      </c>
      <c r="CJ336" t="s">
        <v>6247</v>
      </c>
      <c r="CK336">
        <v>8</v>
      </c>
      <c r="CL336" t="s">
        <v>4</v>
      </c>
      <c r="CM336" t="s">
        <v>2809</v>
      </c>
      <c r="CN336" t="s">
        <v>6248</v>
      </c>
      <c r="CO336" t="s">
        <v>1218</v>
      </c>
      <c r="CP336" t="s">
        <v>100</v>
      </c>
      <c r="CQ336">
        <v>335</v>
      </c>
      <c r="CR336" t="s">
        <v>100</v>
      </c>
      <c r="CS336" t="s">
        <v>100</v>
      </c>
      <c r="CT336" t="s">
        <v>152</v>
      </c>
      <c r="CU336" t="s">
        <v>102</v>
      </c>
      <c r="CV336" t="s">
        <v>100</v>
      </c>
    </row>
    <row r="337" spans="1:100">
      <c r="A337" s="3" t="s">
        <v>6249</v>
      </c>
      <c r="B337" s="4" t="s">
        <v>6250</v>
      </c>
      <c r="C337">
        <v>162.602239436198</v>
      </c>
      <c r="D337">
        <v>1335.3293989629999</v>
      </c>
      <c r="E337">
        <f>-3.03806528505345</f>
        <v>-3.0380652850534502</v>
      </c>
      <c r="F337" s="5">
        <v>5.3590146199298499E-33</v>
      </c>
      <c r="G337" t="s">
        <v>4</v>
      </c>
      <c r="H337">
        <v>162.602239436198</v>
      </c>
      <c r="I337">
        <v>160.801883112013</v>
      </c>
      <c r="J337">
        <v>2.5159771446316401E-2</v>
      </c>
      <c r="K337">
        <v>0.93709472703627905</v>
      </c>
      <c r="L337" t="s">
        <v>4</v>
      </c>
      <c r="M337">
        <v>1335.3293989629999</v>
      </c>
      <c r="N337">
        <v>160.801883112013</v>
      </c>
      <c r="O337">
        <v>3.0632250564997601</v>
      </c>
      <c r="P337" s="5">
        <v>5.4842136025377998E-33</v>
      </c>
      <c r="Q337" t="s">
        <v>4</v>
      </c>
      <c r="R337" s="4" t="s">
        <v>87</v>
      </c>
      <c r="S337" t="s">
        <v>4</v>
      </c>
      <c r="T337" t="s">
        <v>6251</v>
      </c>
      <c r="U337" t="s">
        <v>6252</v>
      </c>
      <c r="V337" t="s">
        <v>6253</v>
      </c>
      <c r="W337" t="s">
        <v>203</v>
      </c>
      <c r="X337" t="s">
        <v>4</v>
      </c>
      <c r="Y337" t="s">
        <v>6254</v>
      </c>
      <c r="Z337" t="s">
        <v>6255</v>
      </c>
      <c r="AA337" t="s">
        <v>6256</v>
      </c>
      <c r="AB337" t="s">
        <v>4</v>
      </c>
      <c r="AC337" s="3" t="s">
        <v>6257</v>
      </c>
      <c r="AD337" t="s">
        <v>4</v>
      </c>
      <c r="AE337" t="s">
        <v>6258</v>
      </c>
      <c r="AF337" t="s">
        <v>6259</v>
      </c>
      <c r="AG337" t="s">
        <v>6260</v>
      </c>
      <c r="AH337" t="s">
        <v>112</v>
      </c>
      <c r="AU337" t="s">
        <v>112</v>
      </c>
      <c r="AV337" t="s">
        <v>6261</v>
      </c>
      <c r="AW337" t="s">
        <v>114</v>
      </c>
      <c r="AX337" t="s">
        <v>6262</v>
      </c>
      <c r="AY337" t="s">
        <v>6263</v>
      </c>
      <c r="AZ337" t="s">
        <v>4</v>
      </c>
      <c r="BA337" s="3" t="s">
        <v>95</v>
      </c>
      <c r="BB337" s="6" t="s">
        <v>95</v>
      </c>
      <c r="BC337" s="3" t="s">
        <v>95</v>
      </c>
      <c r="BD337" t="s">
        <v>4</v>
      </c>
      <c r="BE337">
        <v>5722</v>
      </c>
      <c r="BF337" t="s">
        <v>386</v>
      </c>
      <c r="BG337">
        <v>78.873199999999997</v>
      </c>
      <c r="BH337">
        <v>84.507000000000005</v>
      </c>
      <c r="BI337">
        <v>85.915499999999994</v>
      </c>
      <c r="BJ337">
        <v>72.535200000000003</v>
      </c>
      <c r="BL337">
        <v>66.901399999999995</v>
      </c>
      <c r="BM337">
        <v>68.309899999999999</v>
      </c>
      <c r="BN337">
        <v>75.352099999999993</v>
      </c>
      <c r="CK337">
        <v>7</v>
      </c>
      <c r="CL337" t="s">
        <v>4</v>
      </c>
      <c r="CM337" t="s">
        <v>98</v>
      </c>
      <c r="CN337" t="s">
        <v>98</v>
      </c>
      <c r="CO337" t="s">
        <v>99</v>
      </c>
      <c r="CP337" t="s">
        <v>100</v>
      </c>
      <c r="CQ337">
        <v>336</v>
      </c>
      <c r="CR337" t="s">
        <v>100</v>
      </c>
      <c r="CS337" t="s">
        <v>100</v>
      </c>
      <c r="CT337" t="s">
        <v>152</v>
      </c>
      <c r="CU337" t="s">
        <v>102</v>
      </c>
      <c r="CV337" t="s">
        <v>100</v>
      </c>
    </row>
    <row r="338" spans="1:100">
      <c r="A338" s="3" t="s">
        <v>6264</v>
      </c>
      <c r="B338" s="4" t="s">
        <v>6265</v>
      </c>
      <c r="C338">
        <v>959.16697378686399</v>
      </c>
      <c r="D338">
        <v>5160.5797419813598</v>
      </c>
      <c r="E338">
        <f>-2.4275479872307</f>
        <v>-2.4275479872307</v>
      </c>
      <c r="F338" s="5">
        <v>1.7865883495879701E-15</v>
      </c>
      <c r="G338" t="s">
        <v>4</v>
      </c>
      <c r="H338">
        <v>959.16697378686399</v>
      </c>
      <c r="I338">
        <v>425.342470040124</v>
      </c>
      <c r="J338">
        <v>1.16749680200538</v>
      </c>
      <c r="K338">
        <v>2.25852672663694E-4</v>
      </c>
      <c r="L338" t="s">
        <v>4</v>
      </c>
      <c r="M338">
        <v>5160.5797419813598</v>
      </c>
      <c r="N338">
        <v>425.342470040124</v>
      </c>
      <c r="O338">
        <v>3.5950447892360802</v>
      </c>
      <c r="P338" s="5">
        <v>2.61785212312991E-33</v>
      </c>
      <c r="Q338" t="s">
        <v>4</v>
      </c>
      <c r="R338" s="4" t="s">
        <v>87</v>
      </c>
      <c r="S338" t="s">
        <v>4</v>
      </c>
      <c r="T338" t="s">
        <v>2243</v>
      </c>
      <c r="U338" t="s">
        <v>2244</v>
      </c>
      <c r="V338" t="s">
        <v>2245</v>
      </c>
      <c r="W338" t="s">
        <v>123</v>
      </c>
      <c r="X338" t="s">
        <v>4</v>
      </c>
      <c r="Y338" t="s">
        <v>2647</v>
      </c>
      <c r="Z338" t="s">
        <v>2648</v>
      </c>
      <c r="AA338" t="s">
        <v>2649</v>
      </c>
      <c r="AB338" t="s">
        <v>4</v>
      </c>
      <c r="AC338" s="3" t="s">
        <v>2650</v>
      </c>
      <c r="AD338" t="s">
        <v>4</v>
      </c>
      <c r="AE338" t="s">
        <v>6266</v>
      </c>
      <c r="AF338" t="s">
        <v>6267</v>
      </c>
      <c r="AG338" t="s">
        <v>6268</v>
      </c>
      <c r="AH338" t="s">
        <v>386</v>
      </c>
      <c r="AU338" t="s">
        <v>112</v>
      </c>
      <c r="AV338" t="s">
        <v>6269</v>
      </c>
      <c r="AW338" t="s">
        <v>114</v>
      </c>
      <c r="AX338" t="s">
        <v>144</v>
      </c>
      <c r="AY338" t="s">
        <v>6270</v>
      </c>
      <c r="AZ338" t="s">
        <v>4</v>
      </c>
      <c r="BA338" s="3" t="s">
        <v>95</v>
      </c>
      <c r="BB338" s="6" t="s">
        <v>95</v>
      </c>
      <c r="BC338" s="3" t="s">
        <v>95</v>
      </c>
      <c r="BD338" t="s">
        <v>4</v>
      </c>
      <c r="BE338">
        <v>7991</v>
      </c>
      <c r="BF338" t="s">
        <v>213</v>
      </c>
      <c r="BG338">
        <v>96.988699999999994</v>
      </c>
      <c r="BH338">
        <v>70.7654</v>
      </c>
      <c r="BI338">
        <v>87.954800000000006</v>
      </c>
      <c r="BJ338">
        <v>43.161900000000003</v>
      </c>
      <c r="BK338">
        <v>58.092799999999997</v>
      </c>
      <c r="BL338">
        <v>55.834400000000002</v>
      </c>
      <c r="BM338">
        <v>65.119200000000006</v>
      </c>
      <c r="BN338">
        <v>66.373900000000006</v>
      </c>
      <c r="BQ338">
        <v>14.0527</v>
      </c>
      <c r="BR338" t="s">
        <v>6271</v>
      </c>
      <c r="BT338">
        <v>6.1480600000000001</v>
      </c>
      <c r="CB338">
        <v>5.6461699999999997</v>
      </c>
      <c r="CG338" t="s">
        <v>6272</v>
      </c>
      <c r="CH338" t="s">
        <v>6273</v>
      </c>
      <c r="CI338" t="s">
        <v>6274</v>
      </c>
      <c r="CK338">
        <v>8</v>
      </c>
      <c r="CL338" t="s">
        <v>4</v>
      </c>
      <c r="CM338" t="s">
        <v>98</v>
      </c>
      <c r="CN338" t="s">
        <v>98</v>
      </c>
      <c r="CO338" t="s">
        <v>99</v>
      </c>
      <c r="CP338" t="s">
        <v>100</v>
      </c>
      <c r="CQ338">
        <v>337</v>
      </c>
      <c r="CR338" t="s">
        <v>100</v>
      </c>
      <c r="CS338" s="7" t="s">
        <v>101</v>
      </c>
      <c r="CT338" t="s">
        <v>152</v>
      </c>
      <c r="CU338" t="s">
        <v>102</v>
      </c>
      <c r="CV338" t="s">
        <v>100</v>
      </c>
    </row>
    <row r="339" spans="1:100">
      <c r="A339" s="3" t="s">
        <v>6275</v>
      </c>
      <c r="B339" s="4" t="s">
        <v>6276</v>
      </c>
      <c r="C339">
        <v>117.425540664209</v>
      </c>
      <c r="D339">
        <v>1291.3477059050199</v>
      </c>
      <c r="E339">
        <f>-3.45817719844065</f>
        <v>-3.4581771984406502</v>
      </c>
      <c r="F339" s="5">
        <v>4.6464345275925102E-6</v>
      </c>
      <c r="G339" t="s">
        <v>4</v>
      </c>
      <c r="H339">
        <v>117.425540664209</v>
      </c>
      <c r="I339">
        <v>37.518245686127401</v>
      </c>
      <c r="J339">
        <v>1.6512259693162401</v>
      </c>
      <c r="K339">
        <v>3.7419024292523799E-2</v>
      </c>
      <c r="L339" t="s">
        <v>4</v>
      </c>
      <c r="M339">
        <v>1291.3477059050199</v>
      </c>
      <c r="N339">
        <v>37.518245686127401</v>
      </c>
      <c r="O339">
        <v>5.1094031677568896</v>
      </c>
      <c r="P339" s="5">
        <v>3.6896956713814502E-12</v>
      </c>
      <c r="Q339" t="s">
        <v>4</v>
      </c>
      <c r="R339" s="4" t="s">
        <v>87</v>
      </c>
      <c r="S339" t="s">
        <v>4</v>
      </c>
      <c r="T339" t="s">
        <v>92</v>
      </c>
      <c r="U339" t="s">
        <v>92</v>
      </c>
      <c r="V339" t="s">
        <v>92</v>
      </c>
      <c r="W339" t="s">
        <v>92</v>
      </c>
      <c r="X339" t="s">
        <v>4</v>
      </c>
      <c r="Y339" t="s">
        <v>92</v>
      </c>
      <c r="Z339" t="s">
        <v>92</v>
      </c>
      <c r="AA339" t="s">
        <v>92</v>
      </c>
      <c r="AB339" t="s">
        <v>4</v>
      </c>
      <c r="AC339" s="3" t="s">
        <v>93</v>
      </c>
      <c r="AD339" t="s">
        <v>4</v>
      </c>
      <c r="AE339" t="s">
        <v>6277</v>
      </c>
      <c r="AF339" t="s">
        <v>6278</v>
      </c>
      <c r="AG339" t="s">
        <v>6279</v>
      </c>
      <c r="AH339" t="s">
        <v>112</v>
      </c>
      <c r="AL339" t="s">
        <v>6280</v>
      </c>
      <c r="AM339" t="s">
        <v>1854</v>
      </c>
      <c r="AQ339" t="s">
        <v>879</v>
      </c>
      <c r="AU339" t="s">
        <v>112</v>
      </c>
      <c r="AV339" t="s">
        <v>6281</v>
      </c>
      <c r="AW339" t="s">
        <v>114</v>
      </c>
      <c r="AX339" t="s">
        <v>5688</v>
      </c>
      <c r="AY339" t="s">
        <v>6282</v>
      </c>
      <c r="AZ339" t="s">
        <v>4</v>
      </c>
      <c r="BA339" s="3" t="s">
        <v>95</v>
      </c>
      <c r="BB339" s="6" t="s">
        <v>95</v>
      </c>
      <c r="BC339" s="3" t="s">
        <v>95</v>
      </c>
      <c r="BD339" t="s">
        <v>4</v>
      </c>
      <c r="BE339">
        <v>2106</v>
      </c>
      <c r="BF339" t="s">
        <v>148</v>
      </c>
      <c r="BI339">
        <v>90.884</v>
      </c>
      <c r="BK339" t="s">
        <v>6283</v>
      </c>
      <c r="BL339">
        <v>16.5746</v>
      </c>
      <c r="BM339">
        <v>18.784500000000001</v>
      </c>
      <c r="BN339" t="s">
        <v>6284</v>
      </c>
      <c r="BO339">
        <v>72.928200000000004</v>
      </c>
      <c r="CK339">
        <v>3</v>
      </c>
      <c r="CL339" t="s">
        <v>4</v>
      </c>
      <c r="CM339" t="s">
        <v>98</v>
      </c>
      <c r="CN339" t="s">
        <v>98</v>
      </c>
      <c r="CO339" t="s">
        <v>99</v>
      </c>
      <c r="CP339" t="s">
        <v>100</v>
      </c>
      <c r="CQ339">
        <v>338</v>
      </c>
      <c r="CR339" t="s">
        <v>100</v>
      </c>
      <c r="CS339" s="7" t="s">
        <v>101</v>
      </c>
      <c r="CT339" t="s">
        <v>152</v>
      </c>
      <c r="CU339" t="s">
        <v>102</v>
      </c>
      <c r="CV339" t="s">
        <v>100</v>
      </c>
    </row>
    <row r="340" spans="1:100">
      <c r="A340" s="3" t="s">
        <v>6285</v>
      </c>
      <c r="B340" s="4" t="s">
        <v>6286</v>
      </c>
      <c r="C340">
        <v>194.89591170862201</v>
      </c>
      <c r="D340">
        <v>823.81742910980995</v>
      </c>
      <c r="E340">
        <f>-2.07779994610993</f>
        <v>-2.0777999461099301</v>
      </c>
      <c r="F340" s="5">
        <v>1.3006487107461501E-11</v>
      </c>
      <c r="G340" t="s">
        <v>4</v>
      </c>
      <c r="H340">
        <v>194.89591170862201</v>
      </c>
      <c r="I340">
        <v>109.585096158049</v>
      </c>
      <c r="J340">
        <v>0.84934238798080797</v>
      </c>
      <c r="K340">
        <v>1.0851624526475499E-2</v>
      </c>
      <c r="L340" t="s">
        <v>4</v>
      </c>
      <c r="M340">
        <v>823.81742910980995</v>
      </c>
      <c r="N340">
        <v>109.585096158049</v>
      </c>
      <c r="O340">
        <v>2.9271423340907399</v>
      </c>
      <c r="P340" s="5">
        <v>2.1269832599529899E-21</v>
      </c>
      <c r="Q340" t="s">
        <v>4</v>
      </c>
      <c r="R340" s="4" t="s">
        <v>87</v>
      </c>
      <c r="S340" t="s">
        <v>4</v>
      </c>
      <c r="T340" t="s">
        <v>2243</v>
      </c>
      <c r="U340" t="s">
        <v>2244</v>
      </c>
      <c r="V340" t="s">
        <v>2245</v>
      </c>
      <c r="W340" t="s">
        <v>123</v>
      </c>
      <c r="X340" t="s">
        <v>4</v>
      </c>
      <c r="Y340" t="s">
        <v>6287</v>
      </c>
      <c r="Z340" t="s">
        <v>6288</v>
      </c>
      <c r="AA340" t="s">
        <v>6289</v>
      </c>
      <c r="AB340" t="s">
        <v>4</v>
      </c>
      <c r="AC340" s="3" t="s">
        <v>2706</v>
      </c>
      <c r="AD340" t="s">
        <v>4</v>
      </c>
      <c r="AE340" t="s">
        <v>6290</v>
      </c>
      <c r="AF340" t="s">
        <v>6291</v>
      </c>
      <c r="AG340" t="s">
        <v>6292</v>
      </c>
      <c r="AH340" t="s">
        <v>112</v>
      </c>
      <c r="AJ340" t="s">
        <v>6293</v>
      </c>
      <c r="AL340" t="s">
        <v>6294</v>
      </c>
      <c r="AQ340" t="s">
        <v>2177</v>
      </c>
      <c r="AU340" t="s">
        <v>112</v>
      </c>
      <c r="AV340" t="s">
        <v>6295</v>
      </c>
      <c r="AW340" t="s">
        <v>114</v>
      </c>
      <c r="AX340" t="s">
        <v>144</v>
      </c>
      <c r="AY340" t="s">
        <v>6296</v>
      </c>
      <c r="AZ340" t="s">
        <v>4</v>
      </c>
      <c r="BA340" s="3" t="s">
        <v>95</v>
      </c>
      <c r="BB340" s="6" t="s">
        <v>95</v>
      </c>
      <c r="BC340" s="3" t="s">
        <v>95</v>
      </c>
      <c r="BD340" t="s">
        <v>4</v>
      </c>
      <c r="BE340">
        <v>4377</v>
      </c>
      <c r="BF340" t="s">
        <v>112</v>
      </c>
      <c r="BG340" t="s">
        <v>6297</v>
      </c>
      <c r="BJ340">
        <v>12.9717</v>
      </c>
      <c r="BK340">
        <v>35.377400000000002</v>
      </c>
      <c r="BL340">
        <v>15.3302</v>
      </c>
      <c r="BM340">
        <v>35.8491</v>
      </c>
      <c r="BN340">
        <v>36.792499999999997</v>
      </c>
      <c r="BO340">
        <v>36.792499999999997</v>
      </c>
      <c r="CK340">
        <v>5</v>
      </c>
      <c r="CL340" t="s">
        <v>4</v>
      </c>
      <c r="CM340" t="s">
        <v>98</v>
      </c>
      <c r="CN340" t="s">
        <v>98</v>
      </c>
      <c r="CO340" t="s">
        <v>99</v>
      </c>
      <c r="CP340" t="s">
        <v>100</v>
      </c>
      <c r="CQ340">
        <v>339</v>
      </c>
      <c r="CR340" t="s">
        <v>100</v>
      </c>
      <c r="CS340" t="s">
        <v>100</v>
      </c>
      <c r="CT340" t="s">
        <v>152</v>
      </c>
      <c r="CU340" t="s">
        <v>102</v>
      </c>
      <c r="CV340" t="s">
        <v>100</v>
      </c>
    </row>
    <row r="341" spans="1:100">
      <c r="A341" s="3" t="s">
        <v>6298</v>
      </c>
      <c r="B341" s="4" t="s">
        <v>6299</v>
      </c>
      <c r="C341">
        <v>108.91611041546101</v>
      </c>
      <c r="D341">
        <v>1299.5529554939701</v>
      </c>
      <c r="E341">
        <f>-3.57486680627642</f>
        <v>-3.57486680627642</v>
      </c>
      <c r="F341" s="5">
        <v>1.2736000071509201E-13</v>
      </c>
      <c r="G341" t="s">
        <v>4</v>
      </c>
      <c r="H341">
        <v>108.91611041546101</v>
      </c>
      <c r="I341">
        <v>56.999545027049102</v>
      </c>
      <c r="J341">
        <v>0.943917032636578</v>
      </c>
      <c r="K341">
        <v>7.6673633546446102E-2</v>
      </c>
      <c r="L341" t="s">
        <v>4</v>
      </c>
      <c r="M341">
        <v>1299.5529554939701</v>
      </c>
      <c r="N341">
        <v>56.999545027049102</v>
      </c>
      <c r="O341">
        <v>4.5187838389130004</v>
      </c>
      <c r="P341" s="5">
        <v>8.2807756940736399E-21</v>
      </c>
      <c r="Q341" t="s">
        <v>4</v>
      </c>
      <c r="R341" s="4" t="s">
        <v>87</v>
      </c>
      <c r="S341" t="s">
        <v>4</v>
      </c>
      <c r="T341" t="s">
        <v>2243</v>
      </c>
      <c r="U341" t="s">
        <v>2244</v>
      </c>
      <c r="V341" t="s">
        <v>2245</v>
      </c>
      <c r="W341" t="s">
        <v>123</v>
      </c>
      <c r="X341" t="s">
        <v>4</v>
      </c>
      <c r="Y341" t="s">
        <v>6287</v>
      </c>
      <c r="Z341" t="s">
        <v>6288</v>
      </c>
      <c r="AA341" t="s">
        <v>6289</v>
      </c>
      <c r="AB341" t="s">
        <v>4</v>
      </c>
      <c r="AC341" s="3" t="s">
        <v>2706</v>
      </c>
      <c r="AD341" t="s">
        <v>4</v>
      </c>
      <c r="AE341" t="s">
        <v>6290</v>
      </c>
      <c r="AF341" t="s">
        <v>6300</v>
      </c>
      <c r="AG341" t="s">
        <v>6301</v>
      </c>
      <c r="AH341" t="s">
        <v>112</v>
      </c>
      <c r="AJ341" t="s">
        <v>6293</v>
      </c>
      <c r="AL341" t="s">
        <v>6294</v>
      </c>
      <c r="AQ341" t="s">
        <v>2177</v>
      </c>
      <c r="AU341" t="s">
        <v>112</v>
      </c>
      <c r="AV341" t="s">
        <v>6295</v>
      </c>
      <c r="AW341" t="s">
        <v>114</v>
      </c>
      <c r="AX341" t="s">
        <v>144</v>
      </c>
      <c r="AY341" t="s">
        <v>6296</v>
      </c>
      <c r="AZ341" t="s">
        <v>4</v>
      </c>
      <c r="BA341" s="3" t="s">
        <v>95</v>
      </c>
      <c r="BB341" s="6" t="s">
        <v>95</v>
      </c>
      <c r="BC341" s="3" t="s">
        <v>95</v>
      </c>
      <c r="BD341" t="s">
        <v>4</v>
      </c>
      <c r="BE341">
        <v>4378</v>
      </c>
      <c r="BF341" t="s">
        <v>112</v>
      </c>
      <c r="BG341">
        <v>56.046500000000002</v>
      </c>
      <c r="BJ341">
        <v>21.860499999999998</v>
      </c>
      <c r="BK341">
        <v>41.162799999999997</v>
      </c>
      <c r="BL341">
        <v>13.7209</v>
      </c>
      <c r="BM341">
        <v>34.418599999999998</v>
      </c>
      <c r="BN341">
        <v>34.883699999999997</v>
      </c>
      <c r="BO341">
        <v>33.7209</v>
      </c>
      <c r="CK341">
        <v>5</v>
      </c>
      <c r="CL341" t="s">
        <v>4</v>
      </c>
      <c r="CM341" t="s">
        <v>98</v>
      </c>
      <c r="CN341" t="s">
        <v>98</v>
      </c>
      <c r="CO341" t="s">
        <v>99</v>
      </c>
      <c r="CP341" t="s">
        <v>100</v>
      </c>
      <c r="CQ341">
        <v>340</v>
      </c>
      <c r="CR341" t="s">
        <v>100</v>
      </c>
      <c r="CS341" t="s">
        <v>100</v>
      </c>
      <c r="CT341" t="s">
        <v>152</v>
      </c>
      <c r="CU341" t="s">
        <v>102</v>
      </c>
      <c r="CV341" t="s">
        <v>100</v>
      </c>
    </row>
    <row r="342" spans="1:100">
      <c r="A342" s="3" t="s">
        <v>6302</v>
      </c>
      <c r="B342" s="4" t="s">
        <v>6303</v>
      </c>
      <c r="C342">
        <v>898.24489154716605</v>
      </c>
      <c r="D342">
        <v>18659.208430616502</v>
      </c>
      <c r="E342">
        <f>-4.3765749893223</f>
        <v>-4.3765749893223003</v>
      </c>
      <c r="F342" s="5">
        <v>1.3005995162071499E-5</v>
      </c>
      <c r="G342" t="s">
        <v>4</v>
      </c>
      <c r="H342">
        <v>898.24489154716605</v>
      </c>
      <c r="I342">
        <v>424.09950050433702</v>
      </c>
      <c r="J342">
        <v>1.0835597721319601</v>
      </c>
      <c r="K342">
        <v>0.30885538929803702</v>
      </c>
      <c r="L342" t="s">
        <v>4</v>
      </c>
      <c r="M342">
        <v>18659.208430616502</v>
      </c>
      <c r="N342">
        <v>424.09950050433702</v>
      </c>
      <c r="O342">
        <v>5.4601347614542597</v>
      </c>
      <c r="P342" s="5">
        <v>1.28776202420857E-8</v>
      </c>
      <c r="Q342" t="s">
        <v>4</v>
      </c>
      <c r="R342" s="4" t="s">
        <v>87</v>
      </c>
      <c r="S342" t="s">
        <v>4</v>
      </c>
      <c r="T342" t="s">
        <v>92</v>
      </c>
      <c r="U342" t="s">
        <v>92</v>
      </c>
      <c r="V342" t="s">
        <v>92</v>
      </c>
      <c r="W342" t="s">
        <v>92</v>
      </c>
      <c r="X342" t="s">
        <v>4</v>
      </c>
      <c r="Y342" t="s">
        <v>92</v>
      </c>
      <c r="Z342" t="s">
        <v>92</v>
      </c>
      <c r="AA342" t="s">
        <v>92</v>
      </c>
      <c r="AB342" t="s">
        <v>4</v>
      </c>
      <c r="AC342" s="3" t="s">
        <v>93</v>
      </c>
      <c r="AD342" t="s">
        <v>4</v>
      </c>
      <c r="AE342" s="4" t="s">
        <v>94</v>
      </c>
      <c r="AZ342" t="s">
        <v>4</v>
      </c>
      <c r="BA342" s="3" t="s">
        <v>95</v>
      </c>
      <c r="BB342" s="6" t="s">
        <v>95</v>
      </c>
      <c r="BC342" s="3" t="s">
        <v>95</v>
      </c>
      <c r="BD342" t="s">
        <v>4</v>
      </c>
      <c r="BE342">
        <v>1323</v>
      </c>
      <c r="BF342" t="s">
        <v>151</v>
      </c>
      <c r="BG342">
        <v>99.539199999999994</v>
      </c>
      <c r="BH342" t="s">
        <v>6304</v>
      </c>
      <c r="BI342">
        <v>87.557599999999994</v>
      </c>
      <c r="BJ342" t="s">
        <v>6305</v>
      </c>
      <c r="CK342">
        <v>2</v>
      </c>
      <c r="CL342" t="s">
        <v>4</v>
      </c>
      <c r="CM342" t="s">
        <v>98</v>
      </c>
      <c r="CN342" t="s">
        <v>98</v>
      </c>
      <c r="CO342" t="s">
        <v>99</v>
      </c>
      <c r="CP342" t="s">
        <v>100</v>
      </c>
      <c r="CQ342">
        <v>341</v>
      </c>
      <c r="CR342" t="s">
        <v>100</v>
      </c>
      <c r="CS342" t="s">
        <v>100</v>
      </c>
      <c r="CT342" t="s">
        <v>152</v>
      </c>
      <c r="CU342" t="s">
        <v>102</v>
      </c>
      <c r="CV342" t="s">
        <v>100</v>
      </c>
    </row>
    <row r="343" spans="1:100">
      <c r="A343" s="3" t="s">
        <v>6306</v>
      </c>
      <c r="B343" s="4" t="s">
        <v>6307</v>
      </c>
      <c r="C343">
        <v>134.01074882092499</v>
      </c>
      <c r="D343">
        <v>1789.67371502892</v>
      </c>
      <c r="E343">
        <f>-3.73853604310165</f>
        <v>-3.7385360431016501</v>
      </c>
      <c r="F343" s="5">
        <v>1.1130420600043199E-7</v>
      </c>
      <c r="G343" t="s">
        <v>4</v>
      </c>
      <c r="H343">
        <v>134.01074882092499</v>
      </c>
      <c r="I343">
        <v>75.007751577769199</v>
      </c>
      <c r="J343">
        <v>0.83909486119701704</v>
      </c>
      <c r="K343">
        <v>0.27332580966526299</v>
      </c>
      <c r="L343" t="s">
        <v>4</v>
      </c>
      <c r="M343">
        <v>1789.67371502892</v>
      </c>
      <c r="N343">
        <v>75.007751577769199</v>
      </c>
      <c r="O343">
        <v>4.5776309042986698</v>
      </c>
      <c r="P343" s="5">
        <v>2.5199757747355101E-11</v>
      </c>
      <c r="Q343" t="s">
        <v>4</v>
      </c>
      <c r="R343" s="4" t="s">
        <v>87</v>
      </c>
      <c r="S343" t="s">
        <v>4</v>
      </c>
      <c r="T343" t="s">
        <v>88</v>
      </c>
      <c r="U343" t="s">
        <v>89</v>
      </c>
      <c r="V343" t="s">
        <v>90</v>
      </c>
      <c r="W343" t="s">
        <v>91</v>
      </c>
      <c r="X343" t="s">
        <v>4</v>
      </c>
      <c r="Y343" t="s">
        <v>92</v>
      </c>
      <c r="Z343" t="s">
        <v>92</v>
      </c>
      <c r="AA343" t="s">
        <v>92</v>
      </c>
      <c r="AB343" t="s">
        <v>4</v>
      </c>
      <c r="AC343" s="3" t="s">
        <v>93</v>
      </c>
      <c r="AD343" t="s">
        <v>4</v>
      </c>
      <c r="AE343" t="s">
        <v>6308</v>
      </c>
      <c r="AF343" t="s">
        <v>6309</v>
      </c>
      <c r="AG343" t="s">
        <v>788</v>
      </c>
      <c r="AH343" t="s">
        <v>638</v>
      </c>
      <c r="AU343" t="s">
        <v>112</v>
      </c>
      <c r="AV343" t="s">
        <v>6310</v>
      </c>
      <c r="AW343" t="s">
        <v>114</v>
      </c>
      <c r="AZ343" t="s">
        <v>4</v>
      </c>
      <c r="BA343" s="3" t="s">
        <v>95</v>
      </c>
      <c r="BB343" t="s">
        <v>96</v>
      </c>
      <c r="BC343" s="3" t="s">
        <v>95</v>
      </c>
      <c r="BD343" t="s">
        <v>4</v>
      </c>
      <c r="BE343">
        <v>2790</v>
      </c>
      <c r="BF343" t="s">
        <v>97</v>
      </c>
      <c r="BG343" t="s">
        <v>6311</v>
      </c>
      <c r="BI343">
        <v>35.410800000000002</v>
      </c>
      <c r="BJ343">
        <v>50.708199999999998</v>
      </c>
      <c r="BK343">
        <v>46.4589</v>
      </c>
      <c r="BL343">
        <v>51.8414</v>
      </c>
      <c r="BM343">
        <v>55.524099999999997</v>
      </c>
      <c r="BN343">
        <v>52.974499999999999</v>
      </c>
      <c r="BO343">
        <v>66.288899999999998</v>
      </c>
      <c r="BP343">
        <v>17.847000000000001</v>
      </c>
      <c r="CK343">
        <v>4</v>
      </c>
      <c r="CL343" t="s">
        <v>4</v>
      </c>
      <c r="CM343" t="s">
        <v>98</v>
      </c>
      <c r="CN343" t="s">
        <v>98</v>
      </c>
      <c r="CO343" t="s">
        <v>99</v>
      </c>
      <c r="CP343" t="s">
        <v>100</v>
      </c>
      <c r="CQ343">
        <v>342</v>
      </c>
      <c r="CR343" t="s">
        <v>100</v>
      </c>
      <c r="CS343" t="s">
        <v>100</v>
      </c>
      <c r="CT343" t="s">
        <v>152</v>
      </c>
      <c r="CU343" t="s">
        <v>102</v>
      </c>
      <c r="CV343" t="s">
        <v>100</v>
      </c>
    </row>
    <row r="344" spans="1:100">
      <c r="A344" s="3" t="s">
        <v>6312</v>
      </c>
      <c r="B344" s="4" t="s">
        <v>6313</v>
      </c>
      <c r="C344">
        <v>81.503370994500401</v>
      </c>
      <c r="D344">
        <v>873.06631981703504</v>
      </c>
      <c r="E344">
        <f>-3.42092851434494</f>
        <v>-3.4209285143449399</v>
      </c>
      <c r="F344" s="5">
        <v>2.6120582575592E-9</v>
      </c>
      <c r="G344" t="s">
        <v>4</v>
      </c>
      <c r="H344">
        <v>81.503370994500401</v>
      </c>
      <c r="I344">
        <v>16.289244638098499</v>
      </c>
      <c r="J344">
        <v>2.36947918141971</v>
      </c>
      <c r="K344">
        <v>2.0848697560500501E-4</v>
      </c>
      <c r="L344" t="s">
        <v>4</v>
      </c>
      <c r="M344">
        <v>873.06631981703504</v>
      </c>
      <c r="N344">
        <v>16.289244638098499</v>
      </c>
      <c r="O344">
        <v>5.7904076957646602</v>
      </c>
      <c r="P344" s="5">
        <v>8.1122531865674904E-22</v>
      </c>
      <c r="Q344" t="s">
        <v>4</v>
      </c>
      <c r="R344" s="4" t="s">
        <v>87</v>
      </c>
      <c r="S344" t="s">
        <v>4</v>
      </c>
      <c r="T344" t="s">
        <v>92</v>
      </c>
      <c r="U344" t="s">
        <v>92</v>
      </c>
      <c r="V344" t="s">
        <v>92</v>
      </c>
      <c r="W344" t="s">
        <v>92</v>
      </c>
      <c r="X344" t="s">
        <v>4</v>
      </c>
      <c r="Y344" t="s">
        <v>92</v>
      </c>
      <c r="Z344" t="s">
        <v>92</v>
      </c>
      <c r="AA344" t="s">
        <v>92</v>
      </c>
      <c r="AB344" t="s">
        <v>4</v>
      </c>
      <c r="AC344" s="3" t="s">
        <v>93</v>
      </c>
      <c r="AD344" t="s">
        <v>4</v>
      </c>
      <c r="AE344" s="4" t="s">
        <v>94</v>
      </c>
      <c r="AZ344" t="s">
        <v>4</v>
      </c>
      <c r="BA344" s="3" t="s">
        <v>95</v>
      </c>
      <c r="BB344" s="6" t="s">
        <v>95</v>
      </c>
      <c r="BC344" s="3" t="s">
        <v>95</v>
      </c>
      <c r="BD344" t="s">
        <v>4</v>
      </c>
      <c r="BE344">
        <v>810</v>
      </c>
      <c r="BF344" t="s">
        <v>604</v>
      </c>
      <c r="BG344">
        <v>85.593199999999996</v>
      </c>
      <c r="BH344">
        <v>89.830500000000001</v>
      </c>
      <c r="CK344">
        <v>1.5</v>
      </c>
      <c r="CL344" t="s">
        <v>4</v>
      </c>
      <c r="CM344" t="s">
        <v>98</v>
      </c>
      <c r="CN344" t="s">
        <v>98</v>
      </c>
      <c r="CO344" t="s">
        <v>99</v>
      </c>
      <c r="CP344" t="s">
        <v>100</v>
      </c>
      <c r="CQ344">
        <v>343</v>
      </c>
      <c r="CR344" t="s">
        <v>100</v>
      </c>
      <c r="CS344" t="s">
        <v>101</v>
      </c>
      <c r="CT344" t="s">
        <v>152</v>
      </c>
      <c r="CU344" t="s">
        <v>102</v>
      </c>
      <c r="CV344" t="s">
        <v>100</v>
      </c>
    </row>
    <row r="345" spans="1:100">
      <c r="A345" s="3" t="s">
        <v>6314</v>
      </c>
      <c r="B345" s="4" t="s">
        <v>6315</v>
      </c>
      <c r="C345">
        <v>81.6583872534991</v>
      </c>
      <c r="D345">
        <v>1094.7297050683201</v>
      </c>
      <c r="E345">
        <f>-3.74308001862523</f>
        <v>-3.7430800186252302</v>
      </c>
      <c r="F345" s="5">
        <v>1.2509248102815901E-27</v>
      </c>
      <c r="G345" t="s">
        <v>4</v>
      </c>
      <c r="H345">
        <v>81.6583872534991</v>
      </c>
      <c r="I345">
        <v>128.853840190439</v>
      </c>
      <c r="J345">
        <f>0.645608451797917</f>
        <v>0.64560845179791704</v>
      </c>
      <c r="K345">
        <v>9.3398787221750101E-2</v>
      </c>
      <c r="L345" t="s">
        <v>4</v>
      </c>
      <c r="M345">
        <v>1094.7297050683201</v>
      </c>
      <c r="N345">
        <v>128.853840190439</v>
      </c>
      <c r="O345">
        <v>3.0974715668273198</v>
      </c>
      <c r="P345" s="5">
        <v>1.30885745905655E-19</v>
      </c>
      <c r="Q345" t="s">
        <v>4</v>
      </c>
      <c r="R345" s="4" t="s">
        <v>87</v>
      </c>
      <c r="S345" t="s">
        <v>4</v>
      </c>
      <c r="T345" t="s">
        <v>3367</v>
      </c>
      <c r="U345" t="s">
        <v>3368</v>
      </c>
      <c r="V345" t="s">
        <v>3369</v>
      </c>
      <c r="W345" t="s">
        <v>328</v>
      </c>
      <c r="X345" t="s">
        <v>4</v>
      </c>
      <c r="Y345" t="s">
        <v>3370</v>
      </c>
      <c r="Z345" t="s">
        <v>3371</v>
      </c>
      <c r="AA345" t="s">
        <v>3372</v>
      </c>
      <c r="AB345" t="s">
        <v>4</v>
      </c>
      <c r="AC345" s="3" t="s">
        <v>6316</v>
      </c>
      <c r="AD345" t="s">
        <v>4</v>
      </c>
      <c r="AE345" t="s">
        <v>3373</v>
      </c>
      <c r="AF345" t="s">
        <v>6317</v>
      </c>
      <c r="AG345" t="s">
        <v>6318</v>
      </c>
      <c r="AH345" t="s">
        <v>386</v>
      </c>
      <c r="AU345" t="s">
        <v>112</v>
      </c>
      <c r="AV345" t="s">
        <v>3376</v>
      </c>
      <c r="AW345" t="s">
        <v>114</v>
      </c>
      <c r="AX345" t="s">
        <v>371</v>
      </c>
      <c r="AY345" t="s">
        <v>3377</v>
      </c>
      <c r="AZ345" t="s">
        <v>4</v>
      </c>
      <c r="BA345" s="3" t="s">
        <v>95</v>
      </c>
      <c r="BB345" s="6" t="s">
        <v>95</v>
      </c>
      <c r="BC345" s="3" t="s">
        <v>95</v>
      </c>
      <c r="BD345" t="s">
        <v>4</v>
      </c>
      <c r="BE345">
        <v>5735</v>
      </c>
      <c r="BF345" t="s">
        <v>386</v>
      </c>
      <c r="BG345">
        <v>95.054900000000004</v>
      </c>
      <c r="BH345">
        <v>91.483500000000006</v>
      </c>
      <c r="BK345">
        <v>79.670299999999997</v>
      </c>
      <c r="BQ345">
        <v>35.439599999999999</v>
      </c>
      <c r="BV345" t="s">
        <v>6319</v>
      </c>
      <c r="BX345">
        <v>32.4176</v>
      </c>
      <c r="CB345">
        <v>22.5275</v>
      </c>
      <c r="CE345">
        <v>25.549399999999999</v>
      </c>
      <c r="CK345">
        <v>7</v>
      </c>
      <c r="CL345" t="s">
        <v>4</v>
      </c>
      <c r="CM345" t="s">
        <v>98</v>
      </c>
      <c r="CN345" t="s">
        <v>98</v>
      </c>
      <c r="CO345" t="s">
        <v>99</v>
      </c>
      <c r="CP345" t="s">
        <v>100</v>
      </c>
      <c r="CQ345">
        <v>344</v>
      </c>
      <c r="CR345" t="s">
        <v>100</v>
      </c>
      <c r="CS345" t="s">
        <v>100</v>
      </c>
      <c r="CT345" t="s">
        <v>152</v>
      </c>
      <c r="CU345" t="s">
        <v>102</v>
      </c>
      <c r="CV345" t="s">
        <v>100</v>
      </c>
    </row>
    <row r="346" spans="1:100">
      <c r="A346" s="3" t="s">
        <v>6320</v>
      </c>
      <c r="B346" s="4" t="s">
        <v>6321</v>
      </c>
      <c r="C346">
        <v>48.120701823252404</v>
      </c>
      <c r="D346">
        <v>446.69800312994198</v>
      </c>
      <c r="E346">
        <f>-3.21102141739545</f>
        <v>-3.2110214173954499</v>
      </c>
      <c r="F346" s="5">
        <v>2.7325098847262E-8</v>
      </c>
      <c r="G346" t="s">
        <v>4</v>
      </c>
      <c r="H346">
        <v>48.120701823252404</v>
      </c>
      <c r="I346">
        <v>26.381659364579701</v>
      </c>
      <c r="J346">
        <v>0.85005810852309804</v>
      </c>
      <c r="K346">
        <v>0.19238871063283999</v>
      </c>
      <c r="L346" t="s">
        <v>4</v>
      </c>
      <c r="M346">
        <v>446.69800312994198</v>
      </c>
      <c r="N346">
        <v>26.381659364579701</v>
      </c>
      <c r="O346">
        <v>4.0610795259185499</v>
      </c>
      <c r="P346" s="5">
        <v>3.05639128217266E-12</v>
      </c>
      <c r="Q346" t="s">
        <v>4</v>
      </c>
      <c r="R346" s="4" t="s">
        <v>87</v>
      </c>
      <c r="S346" t="s">
        <v>4</v>
      </c>
      <c r="T346" t="s">
        <v>92</v>
      </c>
      <c r="U346" t="s">
        <v>92</v>
      </c>
      <c r="V346" t="s">
        <v>92</v>
      </c>
      <c r="W346" t="s">
        <v>92</v>
      </c>
      <c r="X346" t="s">
        <v>4</v>
      </c>
      <c r="Y346" t="s">
        <v>92</v>
      </c>
      <c r="Z346" t="s">
        <v>92</v>
      </c>
      <c r="AA346" t="s">
        <v>92</v>
      </c>
      <c r="AB346" t="s">
        <v>4</v>
      </c>
      <c r="AC346" s="3" t="s">
        <v>93</v>
      </c>
      <c r="AD346" t="s">
        <v>4</v>
      </c>
      <c r="AE346" s="4" t="s">
        <v>94</v>
      </c>
      <c r="AZ346" t="s">
        <v>4</v>
      </c>
      <c r="BA346" s="3" t="s">
        <v>95</v>
      </c>
      <c r="BB346" s="6" t="s">
        <v>95</v>
      </c>
      <c r="BC346" s="3" t="s">
        <v>95</v>
      </c>
      <c r="BD346" t="s">
        <v>4</v>
      </c>
      <c r="BE346">
        <v>1339</v>
      </c>
      <c r="BF346" t="s">
        <v>151</v>
      </c>
      <c r="BG346">
        <v>98.648700000000005</v>
      </c>
      <c r="BH346">
        <v>100</v>
      </c>
      <c r="BI346">
        <v>90.991</v>
      </c>
      <c r="BJ346">
        <v>73.423400000000001</v>
      </c>
      <c r="BK346">
        <v>40.540500000000002</v>
      </c>
      <c r="BL346">
        <v>54.054099999999998</v>
      </c>
      <c r="BM346">
        <v>61.261299999999999</v>
      </c>
      <c r="BN346">
        <v>61.261299999999999</v>
      </c>
      <c r="BO346">
        <v>59.9099</v>
      </c>
      <c r="CK346">
        <v>2</v>
      </c>
      <c r="CL346" t="s">
        <v>4</v>
      </c>
      <c r="CM346" t="s">
        <v>98</v>
      </c>
      <c r="CN346" t="s">
        <v>98</v>
      </c>
      <c r="CO346" t="s">
        <v>99</v>
      </c>
      <c r="CP346" t="s">
        <v>100</v>
      </c>
      <c r="CQ346">
        <v>345</v>
      </c>
      <c r="CR346" t="s">
        <v>100</v>
      </c>
      <c r="CS346" t="s">
        <v>100</v>
      </c>
      <c r="CT346" t="s">
        <v>152</v>
      </c>
      <c r="CU346" t="s">
        <v>102</v>
      </c>
      <c r="CV346" t="s">
        <v>100</v>
      </c>
    </row>
    <row r="347" spans="1:100">
      <c r="A347" s="3" t="s">
        <v>6322</v>
      </c>
      <c r="B347" s="4" t="s">
        <v>6323</v>
      </c>
      <c r="C347">
        <v>1901.9164379359299</v>
      </c>
      <c r="D347">
        <v>10906.3720269608</v>
      </c>
      <c r="E347">
        <f>-2.51962333228305</f>
        <v>-2.5196233322830501</v>
      </c>
      <c r="F347" s="5">
        <v>1.34045217962258E-57</v>
      </c>
      <c r="G347" t="s">
        <v>4</v>
      </c>
      <c r="H347">
        <v>1901.9164379359299</v>
      </c>
      <c r="I347">
        <v>1245.6303658117899</v>
      </c>
      <c r="J347">
        <v>0.61005151904392196</v>
      </c>
      <c r="K347">
        <v>2.7130371957883101E-4</v>
      </c>
      <c r="L347" t="s">
        <v>4</v>
      </c>
      <c r="M347">
        <v>10906.3720269608</v>
      </c>
      <c r="N347">
        <v>1245.6303658117899</v>
      </c>
      <c r="O347">
        <v>3.1296748513269699</v>
      </c>
      <c r="P347" s="5">
        <v>9.5450391697230104E-89</v>
      </c>
      <c r="Q347" t="s">
        <v>4</v>
      </c>
      <c r="R347" s="4" t="s">
        <v>87</v>
      </c>
      <c r="S347" t="s">
        <v>4</v>
      </c>
      <c r="T347" t="s">
        <v>684</v>
      </c>
      <c r="U347" t="s">
        <v>685</v>
      </c>
      <c r="V347" t="s">
        <v>686</v>
      </c>
      <c r="W347" t="s">
        <v>123</v>
      </c>
      <c r="X347" t="s">
        <v>4</v>
      </c>
      <c r="Y347" t="s">
        <v>6324</v>
      </c>
      <c r="Z347" t="s">
        <v>6325</v>
      </c>
      <c r="AA347" t="s">
        <v>6326</v>
      </c>
      <c r="AB347" t="s">
        <v>4</v>
      </c>
      <c r="AC347" s="3" t="s">
        <v>6327</v>
      </c>
      <c r="AD347" t="s">
        <v>4</v>
      </c>
      <c r="AE347" t="s">
        <v>6328</v>
      </c>
      <c r="AF347" t="s">
        <v>6329</v>
      </c>
      <c r="AG347" t="s">
        <v>6330</v>
      </c>
      <c r="AH347" t="s">
        <v>282</v>
      </c>
      <c r="AU347" t="s">
        <v>112</v>
      </c>
      <c r="AV347" t="s">
        <v>6331</v>
      </c>
      <c r="AW347" t="s">
        <v>114</v>
      </c>
      <c r="AX347" t="s">
        <v>536</v>
      </c>
      <c r="AY347" t="s">
        <v>6332</v>
      </c>
      <c r="AZ347" t="s">
        <v>4</v>
      </c>
      <c r="BA347" s="3" t="s">
        <v>95</v>
      </c>
      <c r="BB347" s="6" t="s">
        <v>95</v>
      </c>
      <c r="BC347" s="3" t="s">
        <v>95</v>
      </c>
      <c r="BD347" t="s">
        <v>4</v>
      </c>
      <c r="BE347">
        <v>5736</v>
      </c>
      <c r="BF347" t="s">
        <v>386</v>
      </c>
      <c r="BG347">
        <v>98.6631</v>
      </c>
      <c r="BH347">
        <v>37.433199999999999</v>
      </c>
      <c r="BI347">
        <v>96.123000000000005</v>
      </c>
      <c r="BJ347">
        <v>90.240600000000001</v>
      </c>
      <c r="BK347">
        <v>84.3583</v>
      </c>
      <c r="BL347">
        <v>67.647099999999995</v>
      </c>
      <c r="BM347">
        <v>86.898399999999995</v>
      </c>
      <c r="BN347">
        <v>86.764700000000005</v>
      </c>
      <c r="BO347">
        <v>86.898399999999995</v>
      </c>
      <c r="BV347" t="s">
        <v>6333</v>
      </c>
      <c r="CB347">
        <v>10.828900000000001</v>
      </c>
      <c r="CE347">
        <v>8.1550799999999999</v>
      </c>
      <c r="CF347" t="s">
        <v>6334</v>
      </c>
      <c r="CG347" t="s">
        <v>6335</v>
      </c>
      <c r="CH347" t="s">
        <v>6336</v>
      </c>
      <c r="CI347" t="s">
        <v>6337</v>
      </c>
      <c r="CK347">
        <v>7</v>
      </c>
      <c r="CL347" t="s">
        <v>4</v>
      </c>
      <c r="CM347" t="s">
        <v>98</v>
      </c>
      <c r="CN347" t="s">
        <v>98</v>
      </c>
      <c r="CO347" t="s">
        <v>99</v>
      </c>
      <c r="CP347" t="s">
        <v>100</v>
      </c>
      <c r="CQ347">
        <v>346</v>
      </c>
      <c r="CR347" t="s">
        <v>100</v>
      </c>
      <c r="CS347" t="s">
        <v>100</v>
      </c>
      <c r="CT347" t="s">
        <v>152</v>
      </c>
      <c r="CU347" t="s">
        <v>102</v>
      </c>
      <c r="CV347" t="s">
        <v>100</v>
      </c>
    </row>
    <row r="348" spans="1:100">
      <c r="A348" s="3" t="s">
        <v>6338</v>
      </c>
      <c r="B348" s="4" t="s">
        <v>6339</v>
      </c>
      <c r="C348">
        <v>102.701293170201</v>
      </c>
      <c r="D348">
        <v>780.54061569050702</v>
      </c>
      <c r="E348">
        <f>-2.92541586859205</f>
        <v>-2.9254158685920499</v>
      </c>
      <c r="F348" s="5">
        <v>4.9633770786766297E-7</v>
      </c>
      <c r="G348" t="s">
        <v>4</v>
      </c>
      <c r="H348">
        <v>102.701293170201</v>
      </c>
      <c r="I348">
        <v>13.633015049991901</v>
      </c>
      <c r="J348">
        <v>2.9274776820988802</v>
      </c>
      <c r="K348" s="5">
        <v>4.9479299773643397E-6</v>
      </c>
      <c r="L348" t="s">
        <v>4</v>
      </c>
      <c r="M348">
        <v>780.54061569050702</v>
      </c>
      <c r="N348">
        <v>13.633015049991901</v>
      </c>
      <c r="O348">
        <v>5.8528935506909301</v>
      </c>
      <c r="P348" s="5">
        <v>1.55082380903146E-21</v>
      </c>
      <c r="Q348" t="s">
        <v>4</v>
      </c>
      <c r="R348" s="4" t="s">
        <v>87</v>
      </c>
      <c r="S348" t="s">
        <v>4</v>
      </c>
      <c r="T348" t="s">
        <v>675</v>
      </c>
      <c r="U348" t="s">
        <v>676</v>
      </c>
      <c r="V348" t="s">
        <v>677</v>
      </c>
      <c r="W348" t="s">
        <v>123</v>
      </c>
      <c r="X348" t="s">
        <v>4</v>
      </c>
      <c r="Y348" t="s">
        <v>6340</v>
      </c>
      <c r="Z348" t="s">
        <v>6341</v>
      </c>
      <c r="AA348" t="s">
        <v>6342</v>
      </c>
      <c r="AB348" t="s">
        <v>4</v>
      </c>
      <c r="AC348" s="3" t="s">
        <v>93</v>
      </c>
      <c r="AD348" t="s">
        <v>4</v>
      </c>
      <c r="AE348" s="4" t="s">
        <v>94</v>
      </c>
      <c r="AZ348" t="s">
        <v>4</v>
      </c>
      <c r="BA348" s="3" t="s">
        <v>115</v>
      </c>
      <c r="BB348" s="6" t="s">
        <v>95</v>
      </c>
      <c r="BC348" s="3" t="s">
        <v>95</v>
      </c>
      <c r="BD348" t="s">
        <v>4</v>
      </c>
      <c r="BE348">
        <v>1350</v>
      </c>
      <c r="BF348" t="s">
        <v>151</v>
      </c>
      <c r="BG348">
        <v>84</v>
      </c>
      <c r="BH348">
        <v>85.333299999999994</v>
      </c>
      <c r="BI348">
        <v>84</v>
      </c>
      <c r="BJ348">
        <v>27.333300000000001</v>
      </c>
      <c r="BK348">
        <v>51.333300000000001</v>
      </c>
      <c r="CK348">
        <v>2</v>
      </c>
      <c r="CL348" t="s">
        <v>4</v>
      </c>
      <c r="CM348" t="s">
        <v>98</v>
      </c>
      <c r="CN348" t="s">
        <v>98</v>
      </c>
      <c r="CO348" t="s">
        <v>99</v>
      </c>
      <c r="CP348" t="s">
        <v>100</v>
      </c>
      <c r="CQ348">
        <v>347</v>
      </c>
      <c r="CR348" t="s">
        <v>100</v>
      </c>
      <c r="CS348" t="s">
        <v>101</v>
      </c>
      <c r="CT348" t="s">
        <v>152</v>
      </c>
      <c r="CU348" t="s">
        <v>102</v>
      </c>
      <c r="CV348" t="s">
        <v>100</v>
      </c>
    </row>
    <row r="349" spans="1:100">
      <c r="A349" s="3" t="s">
        <v>6343</v>
      </c>
      <c r="B349" s="4" t="s">
        <v>6344</v>
      </c>
      <c r="C349">
        <v>31.166748901248098</v>
      </c>
      <c r="D349">
        <v>81.416104427047898</v>
      </c>
      <c r="E349">
        <f>-1.38638845282273</f>
        <v>-1.3863884528227299</v>
      </c>
      <c r="F349">
        <v>2.32515925521792E-3</v>
      </c>
      <c r="G349" t="s">
        <v>4</v>
      </c>
      <c r="H349">
        <v>31.166748901248098</v>
      </c>
      <c r="I349">
        <v>1.4948873657459301</v>
      </c>
      <c r="J349">
        <v>4.1294188388864397</v>
      </c>
      <c r="K349" s="5">
        <v>2.9606016144737601E-6</v>
      </c>
      <c r="L349" t="s">
        <v>4</v>
      </c>
      <c r="M349">
        <v>81.416104427047898</v>
      </c>
      <c r="N349">
        <v>1.4948873657459301</v>
      </c>
      <c r="O349">
        <v>5.5158072917091703</v>
      </c>
      <c r="P349" s="5">
        <v>1.2241825513258499E-10</v>
      </c>
      <c r="Q349" t="s">
        <v>4</v>
      </c>
      <c r="R349" s="4" t="s">
        <v>87</v>
      </c>
      <c r="S349" t="s">
        <v>4</v>
      </c>
      <c r="T349" t="s">
        <v>420</v>
      </c>
      <c r="U349" t="s">
        <v>421</v>
      </c>
      <c r="V349" t="s">
        <v>422</v>
      </c>
      <c r="W349" t="s">
        <v>91</v>
      </c>
      <c r="X349" t="s">
        <v>4</v>
      </c>
      <c r="Y349" t="s">
        <v>6345</v>
      </c>
      <c r="Z349" t="s">
        <v>6346</v>
      </c>
      <c r="AA349" t="s">
        <v>6347</v>
      </c>
      <c r="AB349" t="s">
        <v>4</v>
      </c>
      <c r="AC349" s="3" t="s">
        <v>93</v>
      </c>
      <c r="AD349" t="s">
        <v>4</v>
      </c>
      <c r="AE349" s="4" t="s">
        <v>94</v>
      </c>
      <c r="AZ349" t="s">
        <v>4</v>
      </c>
      <c r="BA349" s="3" t="s">
        <v>95</v>
      </c>
      <c r="BB349" t="s">
        <v>96</v>
      </c>
      <c r="BC349" s="3" t="s">
        <v>95</v>
      </c>
      <c r="BD349" t="s">
        <v>4</v>
      </c>
      <c r="BE349">
        <v>1775</v>
      </c>
      <c r="BF349" t="s">
        <v>151</v>
      </c>
      <c r="BG349">
        <v>64.938999999999993</v>
      </c>
      <c r="BH349">
        <v>78.0488</v>
      </c>
      <c r="BJ349">
        <v>20.7317</v>
      </c>
      <c r="BM349">
        <v>9.4512199999999993</v>
      </c>
      <c r="BN349" t="s">
        <v>6348</v>
      </c>
      <c r="BO349">
        <v>15.5488</v>
      </c>
      <c r="CK349">
        <v>2</v>
      </c>
      <c r="CL349" t="s">
        <v>4</v>
      </c>
      <c r="CM349" t="s">
        <v>98</v>
      </c>
      <c r="CN349" t="s">
        <v>98</v>
      </c>
      <c r="CO349" t="s">
        <v>99</v>
      </c>
      <c r="CP349" t="s">
        <v>100</v>
      </c>
      <c r="CQ349" s="7">
        <v>349</v>
      </c>
      <c r="CR349" t="s">
        <v>100</v>
      </c>
      <c r="CS349" t="s">
        <v>101</v>
      </c>
      <c r="CT349" t="s">
        <v>152</v>
      </c>
      <c r="CU349" t="s">
        <v>102</v>
      </c>
      <c r="CV349" t="s">
        <v>100</v>
      </c>
    </row>
    <row r="350" spans="1:100">
      <c r="A350" s="3" t="s">
        <v>6349</v>
      </c>
      <c r="B350" s="4" t="s">
        <v>6350</v>
      </c>
      <c r="C350">
        <v>147.37219958069201</v>
      </c>
      <c r="D350">
        <v>503.08419080700298</v>
      </c>
      <c r="E350">
        <f>-1.76951897659909</f>
        <v>-1.76951897659909</v>
      </c>
      <c r="F350" s="5">
        <v>4.2866967111280398E-11</v>
      </c>
      <c r="G350" t="s">
        <v>4</v>
      </c>
      <c r="H350">
        <v>147.37219958069201</v>
      </c>
      <c r="I350">
        <v>12.886854705583</v>
      </c>
      <c r="J350">
        <v>3.4919814453478399</v>
      </c>
      <c r="K350" s="5">
        <v>3.7862109654052398E-20</v>
      </c>
      <c r="L350" t="s">
        <v>4</v>
      </c>
      <c r="M350">
        <v>503.08419080700298</v>
      </c>
      <c r="N350">
        <v>12.886854705583</v>
      </c>
      <c r="O350">
        <v>5.2615004219469199</v>
      </c>
      <c r="P350" s="5">
        <v>2.0191265840645101E-45</v>
      </c>
      <c r="Q350" t="s">
        <v>4</v>
      </c>
      <c r="R350" s="4" t="s">
        <v>87</v>
      </c>
      <c r="S350" t="s">
        <v>4</v>
      </c>
      <c r="T350" t="s">
        <v>92</v>
      </c>
      <c r="U350" t="s">
        <v>92</v>
      </c>
      <c r="V350" t="s">
        <v>92</v>
      </c>
      <c r="W350" t="s">
        <v>92</v>
      </c>
      <c r="X350" t="s">
        <v>4</v>
      </c>
      <c r="Y350" t="s">
        <v>2731</v>
      </c>
      <c r="Z350" t="s">
        <v>2732</v>
      </c>
      <c r="AA350" t="s">
        <v>2733</v>
      </c>
      <c r="AB350" t="s">
        <v>4</v>
      </c>
      <c r="AC350" s="3" t="s">
        <v>93</v>
      </c>
      <c r="AD350" t="s">
        <v>4</v>
      </c>
      <c r="AE350" t="s">
        <v>2735</v>
      </c>
      <c r="AF350" t="s">
        <v>6351</v>
      </c>
      <c r="AG350" t="s">
        <v>6352</v>
      </c>
      <c r="AH350" t="s">
        <v>112</v>
      </c>
      <c r="AK350" t="s">
        <v>2738</v>
      </c>
      <c r="AL350" t="s">
        <v>2739</v>
      </c>
      <c r="AM350" t="s">
        <v>2740</v>
      </c>
      <c r="AN350" t="s">
        <v>2741</v>
      </c>
      <c r="AO350" t="s">
        <v>2742</v>
      </c>
      <c r="AP350" t="s">
        <v>2743</v>
      </c>
      <c r="AQ350" t="s">
        <v>2744</v>
      </c>
      <c r="AU350" t="s">
        <v>112</v>
      </c>
      <c r="AV350" t="s">
        <v>2745</v>
      </c>
      <c r="AW350" t="s">
        <v>114</v>
      </c>
      <c r="AX350" t="s">
        <v>2746</v>
      </c>
      <c r="AY350" t="s">
        <v>2747</v>
      </c>
      <c r="AZ350" t="s">
        <v>4</v>
      </c>
      <c r="BA350" s="3" t="s">
        <v>95</v>
      </c>
      <c r="BB350" s="6" t="s">
        <v>95</v>
      </c>
      <c r="BC350" s="3" t="s">
        <v>95</v>
      </c>
      <c r="BD350" t="s">
        <v>4</v>
      </c>
      <c r="BE350">
        <v>10882</v>
      </c>
      <c r="BF350" t="s">
        <v>169</v>
      </c>
      <c r="BG350">
        <v>65.384600000000006</v>
      </c>
      <c r="BI350">
        <v>69.658100000000005</v>
      </c>
      <c r="BJ350">
        <v>69.230800000000002</v>
      </c>
      <c r="BK350">
        <v>67.948700000000002</v>
      </c>
      <c r="BL350" t="s">
        <v>2748</v>
      </c>
      <c r="BM350">
        <v>68.376099999999994</v>
      </c>
      <c r="BN350">
        <v>67.5214</v>
      </c>
      <c r="BO350">
        <v>68.803399999999996</v>
      </c>
      <c r="BP350">
        <v>60.256399999999999</v>
      </c>
      <c r="BQ350">
        <v>54.700899999999997</v>
      </c>
      <c r="BR350">
        <v>58.119700000000002</v>
      </c>
      <c r="BS350">
        <v>58.119700000000002</v>
      </c>
      <c r="BT350">
        <v>51.709400000000002</v>
      </c>
      <c r="BU350">
        <v>57.265000000000001</v>
      </c>
      <c r="BV350" t="s">
        <v>6353</v>
      </c>
      <c r="BW350">
        <v>54.700899999999997</v>
      </c>
      <c r="BX350" t="s">
        <v>6354</v>
      </c>
      <c r="BZ350">
        <v>58.974400000000003</v>
      </c>
      <c r="CA350">
        <v>55.1282</v>
      </c>
      <c r="CC350">
        <v>51.2821</v>
      </c>
      <c r="CD350" t="s">
        <v>6355</v>
      </c>
      <c r="CE350">
        <v>50</v>
      </c>
      <c r="CF350" t="s">
        <v>6356</v>
      </c>
      <c r="CG350">
        <v>51.709400000000002</v>
      </c>
      <c r="CH350">
        <v>51.709400000000002</v>
      </c>
      <c r="CI350">
        <v>55.555599999999998</v>
      </c>
      <c r="CJ350">
        <v>45.726500000000001</v>
      </c>
      <c r="CK350">
        <v>9</v>
      </c>
      <c r="CL350" t="s">
        <v>4</v>
      </c>
      <c r="CM350" t="s">
        <v>2753</v>
      </c>
      <c r="CN350" t="s">
        <v>6357</v>
      </c>
      <c r="CO350" t="s">
        <v>219</v>
      </c>
      <c r="CP350" t="s">
        <v>100</v>
      </c>
      <c r="CQ350" s="7">
        <v>350</v>
      </c>
      <c r="CR350" t="s">
        <v>100</v>
      </c>
      <c r="CS350" t="s">
        <v>101</v>
      </c>
      <c r="CT350" t="s">
        <v>152</v>
      </c>
      <c r="CU350" t="s">
        <v>102</v>
      </c>
      <c r="CV350" t="s">
        <v>100</v>
      </c>
    </row>
    <row r="351" spans="1:100">
      <c r="A351" s="3" t="s">
        <v>6358</v>
      </c>
      <c r="B351" s="4" t="s">
        <v>6359</v>
      </c>
      <c r="C351">
        <v>31.785149191049701</v>
      </c>
      <c r="D351">
        <v>102.471153784097</v>
      </c>
      <c r="E351">
        <f>-1.68744748002671</f>
        <v>-1.6874474800267101</v>
      </c>
      <c r="F351">
        <v>3.1895763319614703E-2</v>
      </c>
      <c r="G351" t="s">
        <v>4</v>
      </c>
      <c r="H351">
        <v>31.785149191049701</v>
      </c>
      <c r="I351">
        <v>3.0679388565877401</v>
      </c>
      <c r="J351">
        <v>3.4806750420234902</v>
      </c>
      <c r="K351">
        <v>3.3118820600902202E-4</v>
      </c>
      <c r="L351" t="s">
        <v>4</v>
      </c>
      <c r="M351">
        <v>102.471153784097</v>
      </c>
      <c r="N351">
        <v>3.0679388565877401</v>
      </c>
      <c r="O351">
        <v>5.1681225220502096</v>
      </c>
      <c r="P351" s="5">
        <v>2.8872217047898901E-8</v>
      </c>
      <c r="Q351" t="s">
        <v>4</v>
      </c>
      <c r="R351" s="4" t="s">
        <v>87</v>
      </c>
      <c r="S351" t="s">
        <v>4</v>
      </c>
      <c r="T351" t="s">
        <v>92</v>
      </c>
      <c r="U351" t="s">
        <v>92</v>
      </c>
      <c r="V351" t="s">
        <v>92</v>
      </c>
      <c r="W351" t="s">
        <v>92</v>
      </c>
      <c r="X351" t="s">
        <v>4</v>
      </c>
      <c r="Y351" t="s">
        <v>92</v>
      </c>
      <c r="Z351" t="s">
        <v>92</v>
      </c>
      <c r="AA351" t="s">
        <v>92</v>
      </c>
      <c r="AB351" t="s">
        <v>4</v>
      </c>
      <c r="AC351" s="3" t="s">
        <v>93</v>
      </c>
      <c r="AD351" t="s">
        <v>4</v>
      </c>
      <c r="AE351" s="4" t="s">
        <v>94</v>
      </c>
      <c r="AZ351" t="s">
        <v>4</v>
      </c>
      <c r="BA351" s="3" t="s">
        <v>95</v>
      </c>
      <c r="BB351" s="6" t="s">
        <v>95</v>
      </c>
      <c r="BC351" s="3" t="s">
        <v>95</v>
      </c>
      <c r="BD351" t="s">
        <v>4</v>
      </c>
      <c r="BE351">
        <v>1118</v>
      </c>
      <c r="BF351" t="s">
        <v>151</v>
      </c>
      <c r="BG351">
        <v>86.868700000000004</v>
      </c>
      <c r="BH351">
        <v>34.343400000000003</v>
      </c>
      <c r="BJ351">
        <v>29.797999999999998</v>
      </c>
      <c r="CK351">
        <v>2</v>
      </c>
      <c r="CL351" t="s">
        <v>4</v>
      </c>
      <c r="CM351" t="s">
        <v>98</v>
      </c>
      <c r="CN351" t="s">
        <v>98</v>
      </c>
      <c r="CO351" t="s">
        <v>99</v>
      </c>
      <c r="CP351" t="s">
        <v>100</v>
      </c>
      <c r="CQ351" s="7">
        <v>351</v>
      </c>
      <c r="CR351" t="s">
        <v>100</v>
      </c>
      <c r="CS351" t="s">
        <v>101</v>
      </c>
      <c r="CT351" t="s">
        <v>152</v>
      </c>
      <c r="CU351" t="s">
        <v>102</v>
      </c>
      <c r="CV351" t="s">
        <v>100</v>
      </c>
    </row>
    <row r="352" spans="1:100">
      <c r="A352" s="3" t="s">
        <v>6360</v>
      </c>
      <c r="B352" s="4" t="s">
        <v>6361</v>
      </c>
      <c r="C352">
        <v>40.789167812550303</v>
      </c>
      <c r="D352">
        <v>151.38703391013101</v>
      </c>
      <c r="E352">
        <f>-1.8931859715824</f>
        <v>-1.8931859715824</v>
      </c>
      <c r="F352" s="5">
        <v>4.8488241556001202E-5</v>
      </c>
      <c r="G352" t="s">
        <v>4</v>
      </c>
      <c r="H352">
        <v>40.789167812550303</v>
      </c>
      <c r="I352">
        <v>3.9574429458481899</v>
      </c>
      <c r="J352">
        <v>3.21230308505565</v>
      </c>
      <c r="K352" s="5">
        <v>1.4442762216249999E-6</v>
      </c>
      <c r="L352" t="s">
        <v>4</v>
      </c>
      <c r="M352">
        <v>151.38703391013101</v>
      </c>
      <c r="N352">
        <v>3.9574429458481899</v>
      </c>
      <c r="O352">
        <v>5.1054890566380502</v>
      </c>
      <c r="P352" s="5">
        <v>1.57106124710438E-15</v>
      </c>
      <c r="Q352" t="s">
        <v>4</v>
      </c>
      <c r="R352" s="4" t="s">
        <v>87</v>
      </c>
      <c r="S352" t="s">
        <v>4</v>
      </c>
      <c r="T352" t="s">
        <v>2988</v>
      </c>
      <c r="U352" t="s">
        <v>2989</v>
      </c>
      <c r="V352" t="s">
        <v>2990</v>
      </c>
      <c r="W352" t="s">
        <v>203</v>
      </c>
      <c r="X352" t="s">
        <v>4</v>
      </c>
      <c r="Y352" t="s">
        <v>6362</v>
      </c>
      <c r="Z352" t="s">
        <v>6363</v>
      </c>
      <c r="AA352" t="s">
        <v>6364</v>
      </c>
      <c r="AB352" t="s">
        <v>4</v>
      </c>
      <c r="AC352" s="3" t="s">
        <v>6365</v>
      </c>
      <c r="AD352" t="s">
        <v>4</v>
      </c>
      <c r="AE352" t="s">
        <v>2995</v>
      </c>
      <c r="AF352" t="s">
        <v>6366</v>
      </c>
      <c r="AG352" t="s">
        <v>6367</v>
      </c>
      <c r="AH352" t="s">
        <v>386</v>
      </c>
      <c r="AU352" t="s">
        <v>112</v>
      </c>
      <c r="AV352" t="s">
        <v>2998</v>
      </c>
      <c r="AW352" t="s">
        <v>114</v>
      </c>
      <c r="AX352" t="s">
        <v>536</v>
      </c>
      <c r="AY352" t="s">
        <v>2999</v>
      </c>
      <c r="AZ352" t="s">
        <v>4</v>
      </c>
      <c r="BA352" s="3" t="s">
        <v>95</v>
      </c>
      <c r="BB352" s="6" t="s">
        <v>95</v>
      </c>
      <c r="BC352" s="3" t="s">
        <v>197</v>
      </c>
      <c r="BD352" t="s">
        <v>4</v>
      </c>
      <c r="BE352">
        <v>8264</v>
      </c>
      <c r="BF352" t="s">
        <v>213</v>
      </c>
      <c r="BJ352">
        <v>68.732399999999998</v>
      </c>
      <c r="BK352">
        <v>68.450699999999998</v>
      </c>
      <c r="BQ352" t="s">
        <v>6368</v>
      </c>
      <c r="BS352">
        <v>23.380299999999998</v>
      </c>
      <c r="CG352" t="s">
        <v>6369</v>
      </c>
      <c r="CH352" t="s">
        <v>6370</v>
      </c>
      <c r="CK352">
        <v>8</v>
      </c>
      <c r="CL352" t="s">
        <v>4</v>
      </c>
      <c r="CM352" t="s">
        <v>98</v>
      </c>
      <c r="CN352" t="s">
        <v>98</v>
      </c>
      <c r="CO352" t="s">
        <v>99</v>
      </c>
      <c r="CP352" t="s">
        <v>100</v>
      </c>
      <c r="CQ352" s="7">
        <v>352</v>
      </c>
      <c r="CR352" t="s">
        <v>100</v>
      </c>
      <c r="CS352" t="s">
        <v>101</v>
      </c>
      <c r="CT352" t="s">
        <v>152</v>
      </c>
      <c r="CU352" t="s">
        <v>102</v>
      </c>
      <c r="CV352" t="s">
        <v>100</v>
      </c>
    </row>
    <row r="353" spans="1:100">
      <c r="A353" s="3" t="s">
        <v>6371</v>
      </c>
      <c r="B353" s="4" t="s">
        <v>6372</v>
      </c>
      <c r="C353">
        <v>2224.8367368065401</v>
      </c>
      <c r="D353">
        <v>8467.7528347455791</v>
      </c>
      <c r="E353">
        <f>-1.92825098070699</f>
        <v>-1.9282509807069901</v>
      </c>
      <c r="F353" s="5">
        <v>9.1906723076374305E-9</v>
      </c>
      <c r="G353" t="s">
        <v>4</v>
      </c>
      <c r="H353">
        <v>2224.8367368065401</v>
      </c>
      <c r="I353">
        <v>253.61631608101399</v>
      </c>
      <c r="J353">
        <v>3.1316947378777402</v>
      </c>
      <c r="K353" s="5">
        <v>1.85451502606158E-21</v>
      </c>
      <c r="L353" t="s">
        <v>4</v>
      </c>
      <c r="M353">
        <v>8467.7528347455791</v>
      </c>
      <c r="N353">
        <v>253.61631608101399</v>
      </c>
      <c r="O353">
        <v>5.0599457185847401</v>
      </c>
      <c r="P353" s="5">
        <v>9.9504220666297704E-55</v>
      </c>
      <c r="Q353" t="s">
        <v>4</v>
      </c>
      <c r="R353" s="4" t="s">
        <v>87</v>
      </c>
      <c r="S353" t="s">
        <v>4</v>
      </c>
      <c r="T353" t="s">
        <v>2340</v>
      </c>
      <c r="U353" t="s">
        <v>2341</v>
      </c>
      <c r="V353" t="s">
        <v>2342</v>
      </c>
      <c r="W353" t="s">
        <v>328</v>
      </c>
      <c r="X353" t="s">
        <v>4</v>
      </c>
      <c r="Y353" t="s">
        <v>2343</v>
      </c>
      <c r="Z353" t="s">
        <v>2344</v>
      </c>
      <c r="AA353" t="s">
        <v>2345</v>
      </c>
      <c r="AB353" t="s">
        <v>4</v>
      </c>
      <c r="AC353" s="3" t="s">
        <v>2346</v>
      </c>
      <c r="AD353" t="s">
        <v>4</v>
      </c>
      <c r="AE353" t="s">
        <v>2347</v>
      </c>
      <c r="AF353" t="s">
        <v>6373</v>
      </c>
      <c r="AG353" t="s">
        <v>6374</v>
      </c>
      <c r="AH353" t="s">
        <v>282</v>
      </c>
      <c r="AU353" t="s">
        <v>112</v>
      </c>
      <c r="AV353" t="s">
        <v>2349</v>
      </c>
      <c r="AW353" t="s">
        <v>114</v>
      </c>
      <c r="AX353" t="s">
        <v>144</v>
      </c>
      <c r="AY353" t="s">
        <v>2350</v>
      </c>
      <c r="AZ353" t="s">
        <v>4</v>
      </c>
      <c r="BA353" s="3" t="s">
        <v>95</v>
      </c>
      <c r="BB353" s="6" t="s">
        <v>95</v>
      </c>
      <c r="BC353" s="3" t="s">
        <v>197</v>
      </c>
      <c r="BD353" t="s">
        <v>4</v>
      </c>
      <c r="BE353">
        <v>8345</v>
      </c>
      <c r="BF353" t="s">
        <v>213</v>
      </c>
      <c r="BK353">
        <v>50.371499999999997</v>
      </c>
      <c r="BP353" t="s">
        <v>6375</v>
      </c>
      <c r="BT353">
        <v>17.2363</v>
      </c>
      <c r="BU353">
        <v>19.4651</v>
      </c>
      <c r="BV353" t="s">
        <v>6376</v>
      </c>
      <c r="BW353" t="s">
        <v>6377</v>
      </c>
      <c r="BX353">
        <v>19.613700000000001</v>
      </c>
      <c r="BZ353">
        <v>7.7266000000000004</v>
      </c>
      <c r="CA353">
        <v>16.9391</v>
      </c>
      <c r="CB353">
        <v>15.898999999999999</v>
      </c>
      <c r="CF353">
        <v>12.927199999999999</v>
      </c>
      <c r="CK353">
        <v>8</v>
      </c>
      <c r="CL353" t="s">
        <v>4</v>
      </c>
      <c r="CM353" t="s">
        <v>2354</v>
      </c>
      <c r="CN353" t="s">
        <v>6378</v>
      </c>
      <c r="CO353" t="s">
        <v>1218</v>
      </c>
      <c r="CP353" t="s">
        <v>100</v>
      </c>
      <c r="CQ353" s="7">
        <v>353</v>
      </c>
      <c r="CR353" t="s">
        <v>100</v>
      </c>
      <c r="CS353" t="s">
        <v>101</v>
      </c>
      <c r="CT353" t="s">
        <v>152</v>
      </c>
      <c r="CU353" t="s">
        <v>102</v>
      </c>
      <c r="CV353" t="s">
        <v>100</v>
      </c>
    </row>
    <row r="354" spans="1:100">
      <c r="A354" s="3" t="s">
        <v>6379</v>
      </c>
      <c r="B354" s="4" t="s">
        <v>6380</v>
      </c>
      <c r="C354">
        <v>75.8658461330146</v>
      </c>
      <c r="D354">
        <v>260.73335517289399</v>
      </c>
      <c r="E354">
        <f>-1.7801857173301</f>
        <v>-1.7801857173300999</v>
      </c>
      <c r="F354">
        <v>1.03937557708184E-4</v>
      </c>
      <c r="G354" t="s">
        <v>4</v>
      </c>
      <c r="H354">
        <v>75.8658461330146</v>
      </c>
      <c r="I354">
        <v>7.6933780217489396</v>
      </c>
      <c r="J354">
        <v>3.2476193945556702</v>
      </c>
      <c r="K354" s="5">
        <v>1.0974829157574499E-8</v>
      </c>
      <c r="L354" t="s">
        <v>4</v>
      </c>
      <c r="M354">
        <v>260.73335517289399</v>
      </c>
      <c r="N354">
        <v>7.6933780217489396</v>
      </c>
      <c r="O354">
        <v>5.0278051118857698</v>
      </c>
      <c r="P354" s="5">
        <v>7.39770469909051E-20</v>
      </c>
      <c r="Q354" t="s">
        <v>4</v>
      </c>
      <c r="R354" s="4" t="s">
        <v>87</v>
      </c>
      <c r="S354" t="s">
        <v>4</v>
      </c>
      <c r="T354" t="s">
        <v>6381</v>
      </c>
      <c r="U354" t="s">
        <v>6382</v>
      </c>
      <c r="V354" t="s">
        <v>6383</v>
      </c>
      <c r="W354" t="s">
        <v>123</v>
      </c>
      <c r="X354" t="s">
        <v>4</v>
      </c>
      <c r="Y354" t="s">
        <v>6384</v>
      </c>
      <c r="Z354" t="s">
        <v>6385</v>
      </c>
      <c r="AA354" t="s">
        <v>6386</v>
      </c>
      <c r="AB354" t="s">
        <v>4</v>
      </c>
      <c r="AC354" s="3" t="s">
        <v>6387</v>
      </c>
      <c r="AD354" t="s">
        <v>4</v>
      </c>
      <c r="AE354" t="s">
        <v>6388</v>
      </c>
      <c r="AF354" t="s">
        <v>6389</v>
      </c>
      <c r="AG354" t="s">
        <v>6390</v>
      </c>
      <c r="AH354" t="s">
        <v>112</v>
      </c>
      <c r="AU354" t="s">
        <v>112</v>
      </c>
      <c r="AV354" t="s">
        <v>6391</v>
      </c>
      <c r="AW354" t="s">
        <v>114</v>
      </c>
      <c r="AX354" t="s">
        <v>881</v>
      </c>
      <c r="AY354" t="s">
        <v>6392</v>
      </c>
      <c r="AZ354" t="s">
        <v>4</v>
      </c>
      <c r="BA354" s="3" t="s">
        <v>95</v>
      </c>
      <c r="BB354" s="6" t="s">
        <v>95</v>
      </c>
      <c r="BC354" s="3" t="s">
        <v>197</v>
      </c>
      <c r="BD354" t="s">
        <v>4</v>
      </c>
      <c r="BE354">
        <v>8140</v>
      </c>
      <c r="BF354" t="s">
        <v>213</v>
      </c>
      <c r="BH354">
        <v>84.318799999999996</v>
      </c>
      <c r="BK354">
        <v>56.298200000000001</v>
      </c>
      <c r="BM354">
        <v>54.755800000000001</v>
      </c>
      <c r="BN354">
        <v>54.755800000000001</v>
      </c>
      <c r="BQ354">
        <v>17.7378</v>
      </c>
      <c r="BR354" t="s">
        <v>6393</v>
      </c>
      <c r="BT354">
        <v>18.251899999999999</v>
      </c>
      <c r="BV354" t="s">
        <v>6394</v>
      </c>
      <c r="BW354">
        <v>18.251899999999999</v>
      </c>
      <c r="BX354">
        <v>19.537299999999998</v>
      </c>
      <c r="BZ354">
        <v>20.308499999999999</v>
      </c>
      <c r="CA354">
        <v>20.051400000000001</v>
      </c>
      <c r="CI354">
        <v>13.624700000000001</v>
      </c>
      <c r="CK354">
        <v>8</v>
      </c>
      <c r="CL354" t="s">
        <v>4</v>
      </c>
      <c r="CM354" t="s">
        <v>6395</v>
      </c>
      <c r="CN354" t="s">
        <v>6396</v>
      </c>
      <c r="CO354" t="s">
        <v>663</v>
      </c>
      <c r="CP354" t="s">
        <v>100</v>
      </c>
      <c r="CQ354" s="7">
        <v>354</v>
      </c>
      <c r="CR354" t="s">
        <v>100</v>
      </c>
      <c r="CS354" t="s">
        <v>101</v>
      </c>
      <c r="CT354" t="s">
        <v>152</v>
      </c>
      <c r="CU354" t="s">
        <v>102</v>
      </c>
      <c r="CV354" t="s">
        <v>100</v>
      </c>
    </row>
    <row r="355" spans="1:100">
      <c r="A355" s="3" t="s">
        <v>6397</v>
      </c>
      <c r="B355" s="4" t="s">
        <v>6398</v>
      </c>
      <c r="C355">
        <v>261.074168047206</v>
      </c>
      <c r="D355">
        <v>768.83728222948196</v>
      </c>
      <c r="E355">
        <f>-1.55744163886146</f>
        <v>-1.55744163886146</v>
      </c>
      <c r="F355" s="5">
        <v>5.4877488378219803E-6</v>
      </c>
      <c r="G355" t="s">
        <v>4</v>
      </c>
      <c r="H355">
        <v>261.074168047206</v>
      </c>
      <c r="I355">
        <v>24.3222070896316</v>
      </c>
      <c r="J355">
        <v>3.4059649094425799</v>
      </c>
      <c r="K355" s="5">
        <v>6.5004404027421798E-19</v>
      </c>
      <c r="L355" t="s">
        <v>4</v>
      </c>
      <c r="M355">
        <v>768.83728222948196</v>
      </c>
      <c r="N355">
        <v>24.3222070896316</v>
      </c>
      <c r="O355">
        <v>4.9634065483040404</v>
      </c>
      <c r="P355" s="5">
        <v>1.41482910777432E-39</v>
      </c>
      <c r="Q355" t="s">
        <v>4</v>
      </c>
      <c r="R355" s="4" t="s">
        <v>87</v>
      </c>
      <c r="S355" t="s">
        <v>4</v>
      </c>
      <c r="T355" t="s">
        <v>88</v>
      </c>
      <c r="U355" t="s">
        <v>89</v>
      </c>
      <c r="V355" t="s">
        <v>90</v>
      </c>
      <c r="W355" t="s">
        <v>91</v>
      </c>
      <c r="X355" t="s">
        <v>4</v>
      </c>
      <c r="Y355" t="s">
        <v>6399</v>
      </c>
      <c r="Z355" t="s">
        <v>6400</v>
      </c>
      <c r="AA355" t="s">
        <v>6401</v>
      </c>
      <c r="AB355" t="s">
        <v>4</v>
      </c>
      <c r="AC355" s="3" t="s">
        <v>3828</v>
      </c>
      <c r="AD355" t="s">
        <v>4</v>
      </c>
      <c r="AE355" t="s">
        <v>3829</v>
      </c>
      <c r="AF355" t="s">
        <v>6402</v>
      </c>
      <c r="AG355" t="s">
        <v>6403</v>
      </c>
      <c r="AH355" t="s">
        <v>112</v>
      </c>
      <c r="AU355" t="s">
        <v>112</v>
      </c>
      <c r="AV355" t="s">
        <v>3832</v>
      </c>
      <c r="AW355" t="s">
        <v>114</v>
      </c>
      <c r="AZ355" t="s">
        <v>4</v>
      </c>
      <c r="BA355" s="3" t="s">
        <v>95</v>
      </c>
      <c r="BB355" t="s">
        <v>96</v>
      </c>
      <c r="BC355" s="3" t="s">
        <v>95</v>
      </c>
      <c r="BD355" t="s">
        <v>4</v>
      </c>
      <c r="BE355">
        <v>1080</v>
      </c>
      <c r="BF355" t="s">
        <v>151</v>
      </c>
      <c r="BG355">
        <v>42.586799999999997</v>
      </c>
      <c r="BH355">
        <v>57.097799999999999</v>
      </c>
      <c r="CK355">
        <v>2</v>
      </c>
      <c r="CL355" t="s">
        <v>4</v>
      </c>
      <c r="CM355" t="s">
        <v>98</v>
      </c>
      <c r="CN355" t="s">
        <v>98</v>
      </c>
      <c r="CO355" t="s">
        <v>99</v>
      </c>
      <c r="CP355" t="s">
        <v>100</v>
      </c>
      <c r="CQ355" s="7">
        <v>355</v>
      </c>
      <c r="CR355" t="s">
        <v>100</v>
      </c>
      <c r="CS355" t="s">
        <v>101</v>
      </c>
      <c r="CT355" t="s">
        <v>152</v>
      </c>
      <c r="CU355" t="s">
        <v>102</v>
      </c>
      <c r="CV355" t="s">
        <v>100</v>
      </c>
    </row>
    <row r="356" spans="1:100">
      <c r="A356" s="3" t="s">
        <v>6404</v>
      </c>
      <c r="B356" s="4" t="s">
        <v>6405</v>
      </c>
      <c r="C356">
        <v>3325.1214246872601</v>
      </c>
      <c r="D356">
        <v>9866.6387883057105</v>
      </c>
      <c r="E356">
        <f>-1.56928707095019</f>
        <v>-1.56928707095019</v>
      </c>
      <c r="F356" s="5">
        <v>2.47086387258301E-9</v>
      </c>
      <c r="G356" t="s">
        <v>4</v>
      </c>
      <c r="H356">
        <v>3325.1214246872601</v>
      </c>
      <c r="I356">
        <v>315.46627212315502</v>
      </c>
      <c r="J356">
        <v>3.39400010636037</v>
      </c>
      <c r="K356" s="5">
        <v>1.69354093262693E-39</v>
      </c>
      <c r="L356" t="s">
        <v>4</v>
      </c>
      <c r="M356">
        <v>9866.6387883057105</v>
      </c>
      <c r="N356">
        <v>315.46627212315502</v>
      </c>
      <c r="O356">
        <v>4.9632871773105602</v>
      </c>
      <c r="P356" s="5">
        <v>1.02620160600834E-83</v>
      </c>
      <c r="Q356" t="s">
        <v>4</v>
      </c>
      <c r="R356" s="4" t="s">
        <v>87</v>
      </c>
      <c r="S356" t="s">
        <v>4</v>
      </c>
      <c r="T356" t="s">
        <v>92</v>
      </c>
      <c r="U356" t="s">
        <v>92</v>
      </c>
      <c r="V356" t="s">
        <v>92</v>
      </c>
      <c r="W356" t="s">
        <v>92</v>
      </c>
      <c r="X356" t="s">
        <v>4</v>
      </c>
      <c r="Y356" t="s">
        <v>92</v>
      </c>
      <c r="Z356" t="s">
        <v>92</v>
      </c>
      <c r="AA356" t="s">
        <v>92</v>
      </c>
      <c r="AB356" t="s">
        <v>4</v>
      </c>
      <c r="AC356" s="3" t="s">
        <v>93</v>
      </c>
      <c r="AD356" t="s">
        <v>4</v>
      </c>
      <c r="AE356" t="s">
        <v>6406</v>
      </c>
      <c r="AF356" t="s">
        <v>6407</v>
      </c>
      <c r="AG356" t="s">
        <v>4209</v>
      </c>
      <c r="AH356" t="s">
        <v>112</v>
      </c>
      <c r="AU356" t="s">
        <v>112</v>
      </c>
      <c r="AV356" t="s">
        <v>6408</v>
      </c>
      <c r="AW356" t="s">
        <v>114</v>
      </c>
      <c r="AZ356" t="s">
        <v>4</v>
      </c>
      <c r="BA356" s="3" t="s">
        <v>95</v>
      </c>
      <c r="BB356" s="6" t="s">
        <v>95</v>
      </c>
      <c r="BC356" s="3" t="s">
        <v>197</v>
      </c>
      <c r="BD356" t="s">
        <v>4</v>
      </c>
      <c r="BE356">
        <v>2939</v>
      </c>
      <c r="BF356" t="s">
        <v>97</v>
      </c>
      <c r="BG356">
        <v>96.666700000000006</v>
      </c>
      <c r="BH356">
        <v>91.25</v>
      </c>
      <c r="BI356">
        <v>83.333299999999994</v>
      </c>
      <c r="BJ356">
        <v>73.333299999999994</v>
      </c>
      <c r="BK356">
        <v>70</v>
      </c>
      <c r="BL356">
        <v>61.25</v>
      </c>
      <c r="BM356">
        <v>64.583299999999994</v>
      </c>
      <c r="BN356">
        <v>64.583299999999994</v>
      </c>
      <c r="BO356">
        <v>57.916699999999999</v>
      </c>
      <c r="CK356">
        <v>4</v>
      </c>
      <c r="CL356" t="s">
        <v>4</v>
      </c>
      <c r="CM356" t="s">
        <v>98</v>
      </c>
      <c r="CN356" t="s">
        <v>98</v>
      </c>
      <c r="CO356" t="s">
        <v>99</v>
      </c>
      <c r="CP356" t="s">
        <v>100</v>
      </c>
      <c r="CQ356" s="7">
        <v>356</v>
      </c>
      <c r="CR356" t="s">
        <v>100</v>
      </c>
      <c r="CS356" t="s">
        <v>101</v>
      </c>
      <c r="CT356" t="s">
        <v>152</v>
      </c>
      <c r="CU356" t="s">
        <v>102</v>
      </c>
      <c r="CV356" t="s">
        <v>100</v>
      </c>
    </row>
    <row r="357" spans="1:100">
      <c r="A357" s="3" t="s">
        <v>6409</v>
      </c>
      <c r="B357" s="4" t="s">
        <v>6410</v>
      </c>
      <c r="C357">
        <v>39.650172566309699</v>
      </c>
      <c r="D357">
        <v>127.340576591681</v>
      </c>
      <c r="E357">
        <f>-1.68159703261923</f>
        <v>-1.68159703261923</v>
      </c>
      <c r="F357">
        <v>2.9236924060246799E-3</v>
      </c>
      <c r="G357" t="s">
        <v>4</v>
      </c>
      <c r="H357">
        <v>39.650172566309699</v>
      </c>
      <c r="I357">
        <v>4.36658553740115</v>
      </c>
      <c r="J357">
        <v>3.2388179366337</v>
      </c>
      <c r="K357" s="5">
        <v>1.13064843652379E-5</v>
      </c>
      <c r="L357" t="s">
        <v>4</v>
      </c>
      <c r="M357">
        <v>127.340576591681</v>
      </c>
      <c r="N357">
        <v>4.36658553740115</v>
      </c>
      <c r="O357">
        <v>4.9204149692529402</v>
      </c>
      <c r="P357" s="5">
        <v>4.0758920453174904E-12</v>
      </c>
      <c r="Q357" t="s">
        <v>4</v>
      </c>
      <c r="R357" s="4" t="s">
        <v>87</v>
      </c>
      <c r="S357" t="s">
        <v>4</v>
      </c>
      <c r="T357" t="s">
        <v>460</v>
      </c>
      <c r="U357" t="s">
        <v>461</v>
      </c>
      <c r="V357" t="s">
        <v>462</v>
      </c>
      <c r="W357" t="s">
        <v>123</v>
      </c>
      <c r="X357" t="s">
        <v>4</v>
      </c>
      <c r="Y357" t="s">
        <v>463</v>
      </c>
      <c r="Z357" t="s">
        <v>464</v>
      </c>
      <c r="AA357" t="s">
        <v>465</v>
      </c>
      <c r="AB357" t="s">
        <v>4</v>
      </c>
      <c r="AC357" s="3" t="s">
        <v>93</v>
      </c>
      <c r="AD357" t="s">
        <v>4</v>
      </c>
      <c r="AE357" t="s">
        <v>6411</v>
      </c>
      <c r="AF357" t="s">
        <v>6412</v>
      </c>
      <c r="AG357" t="s">
        <v>6413</v>
      </c>
      <c r="AH357" t="s">
        <v>169</v>
      </c>
      <c r="AU357" t="s">
        <v>112</v>
      </c>
      <c r="AV357" t="s">
        <v>470</v>
      </c>
      <c r="AW357" t="s">
        <v>114</v>
      </c>
      <c r="AX357" t="s">
        <v>144</v>
      </c>
      <c r="AY357" t="s">
        <v>471</v>
      </c>
      <c r="AZ357" t="s">
        <v>4</v>
      </c>
      <c r="BA357" s="3" t="s">
        <v>95</v>
      </c>
      <c r="BB357" s="6" t="s">
        <v>95</v>
      </c>
      <c r="BC357" s="3" t="s">
        <v>197</v>
      </c>
      <c r="BD357" t="s">
        <v>4</v>
      </c>
      <c r="BE357">
        <v>5828</v>
      </c>
      <c r="BF357" t="s">
        <v>386</v>
      </c>
      <c r="BJ357">
        <v>14.2</v>
      </c>
      <c r="BL357">
        <v>6.8</v>
      </c>
      <c r="BR357">
        <v>9.6</v>
      </c>
      <c r="BV357">
        <v>5.6</v>
      </c>
      <c r="BW357">
        <v>7.2</v>
      </c>
      <c r="CC357">
        <v>9.4</v>
      </c>
      <c r="CD357">
        <v>8.8000000000000007</v>
      </c>
      <c r="CG357" t="s">
        <v>6414</v>
      </c>
      <c r="CH357" t="s">
        <v>6415</v>
      </c>
      <c r="CI357" t="s">
        <v>6416</v>
      </c>
      <c r="CK357">
        <v>7</v>
      </c>
      <c r="CL357" t="s">
        <v>4</v>
      </c>
      <c r="CM357" t="s">
        <v>98</v>
      </c>
      <c r="CN357" t="s">
        <v>98</v>
      </c>
      <c r="CO357" t="s">
        <v>99</v>
      </c>
      <c r="CP357" t="s">
        <v>100</v>
      </c>
      <c r="CQ357" s="7">
        <v>357</v>
      </c>
      <c r="CR357" t="s">
        <v>100</v>
      </c>
      <c r="CS357" t="s">
        <v>101</v>
      </c>
      <c r="CT357" t="s">
        <v>152</v>
      </c>
      <c r="CU357" t="s">
        <v>102</v>
      </c>
      <c r="CV357" t="s">
        <v>100</v>
      </c>
    </row>
    <row r="358" spans="1:100">
      <c r="A358" s="3" t="s">
        <v>6417</v>
      </c>
      <c r="B358" s="4" t="s">
        <v>6418</v>
      </c>
      <c r="C358">
        <v>330.158032819666</v>
      </c>
      <c r="D358">
        <v>836.95414584192997</v>
      </c>
      <c r="E358">
        <f>-1.34255138398994</f>
        <v>-1.3425513839899399</v>
      </c>
      <c r="F358" s="5">
        <v>2.08779442774271E-12</v>
      </c>
      <c r="G358" t="s">
        <v>4</v>
      </c>
      <c r="H358">
        <v>330.158032819666</v>
      </c>
      <c r="I358">
        <v>27.286714636108499</v>
      </c>
      <c r="J358">
        <v>3.5657914562971298</v>
      </c>
      <c r="K358" s="5">
        <v>5.7223633505570201E-42</v>
      </c>
      <c r="L358" t="s">
        <v>4</v>
      </c>
      <c r="M358">
        <v>836.95414584192997</v>
      </c>
      <c r="N358">
        <v>27.286714636108499</v>
      </c>
      <c r="O358">
        <v>4.9083428402870801</v>
      </c>
      <c r="P358" s="5">
        <v>7.1933708163757997E-80</v>
      </c>
      <c r="Q358" t="s">
        <v>4</v>
      </c>
      <c r="R358" s="4" t="s">
        <v>87</v>
      </c>
      <c r="S358" t="s">
        <v>4</v>
      </c>
      <c r="T358" t="s">
        <v>6419</v>
      </c>
      <c r="U358" t="s">
        <v>6420</v>
      </c>
      <c r="V358" t="s">
        <v>6421</v>
      </c>
      <c r="W358" t="s">
        <v>507</v>
      </c>
      <c r="X358" t="s">
        <v>4</v>
      </c>
      <c r="Y358" t="s">
        <v>6422</v>
      </c>
      <c r="Z358" t="s">
        <v>6423</v>
      </c>
      <c r="AA358" t="s">
        <v>6424</v>
      </c>
      <c r="AB358" t="s">
        <v>4</v>
      </c>
      <c r="AC358" s="3" t="s">
        <v>6425</v>
      </c>
      <c r="AD358" t="s">
        <v>4</v>
      </c>
      <c r="AE358" t="s">
        <v>6426</v>
      </c>
      <c r="AF358" t="s">
        <v>6427</v>
      </c>
      <c r="AG358" t="s">
        <v>564</v>
      </c>
      <c r="AH358" t="s">
        <v>112</v>
      </c>
      <c r="AL358" t="s">
        <v>6428</v>
      </c>
      <c r="AM358" t="s">
        <v>6429</v>
      </c>
      <c r="AQ358" t="s">
        <v>6430</v>
      </c>
      <c r="AU358" t="s">
        <v>112</v>
      </c>
      <c r="AV358" t="s">
        <v>6431</v>
      </c>
      <c r="AW358" t="s">
        <v>114</v>
      </c>
      <c r="AX358" t="s">
        <v>2139</v>
      </c>
      <c r="AY358" t="s">
        <v>6432</v>
      </c>
      <c r="AZ358" t="s">
        <v>4</v>
      </c>
      <c r="BA358" s="3" t="s">
        <v>95</v>
      </c>
      <c r="BB358" s="6" t="s">
        <v>95</v>
      </c>
      <c r="BC358" s="3" t="s">
        <v>95</v>
      </c>
      <c r="BD358" t="s">
        <v>4</v>
      </c>
      <c r="BE358">
        <v>262</v>
      </c>
      <c r="BF358" t="s">
        <v>322</v>
      </c>
      <c r="CK358">
        <v>1</v>
      </c>
      <c r="CL358" t="s">
        <v>4</v>
      </c>
      <c r="CM358" t="s">
        <v>98</v>
      </c>
      <c r="CN358" t="s">
        <v>98</v>
      </c>
      <c r="CO358" t="s">
        <v>99</v>
      </c>
      <c r="CP358" t="s">
        <v>100</v>
      </c>
      <c r="CQ358" s="7">
        <v>358</v>
      </c>
      <c r="CR358" t="s">
        <v>100</v>
      </c>
      <c r="CS358" t="s">
        <v>101</v>
      </c>
      <c r="CT358" t="s">
        <v>152</v>
      </c>
      <c r="CU358" t="s">
        <v>102</v>
      </c>
      <c r="CV358" t="s">
        <v>100</v>
      </c>
    </row>
    <row r="359" spans="1:100">
      <c r="A359" s="3" t="s">
        <v>6433</v>
      </c>
      <c r="B359" s="4" t="s">
        <v>6434</v>
      </c>
      <c r="C359">
        <v>25.001747842641599</v>
      </c>
      <c r="D359">
        <v>81.327249024592405</v>
      </c>
      <c r="E359">
        <f>-1.69959097080111</f>
        <v>-1.6995909708011101</v>
      </c>
      <c r="F359">
        <v>4.2025260988708003E-3</v>
      </c>
      <c r="G359" t="s">
        <v>4</v>
      </c>
      <c r="H359">
        <v>25.001747842641599</v>
      </c>
      <c r="I359">
        <v>2.7561882887467402</v>
      </c>
      <c r="J359">
        <v>3.18302068593403</v>
      </c>
      <c r="K359">
        <v>1.6970686648566099E-4</v>
      </c>
      <c r="L359" t="s">
        <v>4</v>
      </c>
      <c r="M359">
        <v>81.327249024592405</v>
      </c>
      <c r="N359">
        <v>2.7561882887467402</v>
      </c>
      <c r="O359">
        <v>4.8826116567351301</v>
      </c>
      <c r="P359" s="5">
        <v>1.5913986590655301E-9</v>
      </c>
      <c r="Q359" t="s">
        <v>4</v>
      </c>
      <c r="R359" s="4" t="s">
        <v>87</v>
      </c>
      <c r="S359" t="s">
        <v>4</v>
      </c>
      <c r="T359" t="s">
        <v>92</v>
      </c>
      <c r="U359" t="s">
        <v>92</v>
      </c>
      <c r="V359" t="s">
        <v>92</v>
      </c>
      <c r="W359" t="s">
        <v>92</v>
      </c>
      <c r="X359" t="s">
        <v>4</v>
      </c>
      <c r="Y359" t="s">
        <v>92</v>
      </c>
      <c r="Z359" t="s">
        <v>92</v>
      </c>
      <c r="AA359" t="s">
        <v>92</v>
      </c>
      <c r="AB359" t="s">
        <v>4</v>
      </c>
      <c r="AC359" s="3" t="s">
        <v>93</v>
      </c>
      <c r="AD359" t="s">
        <v>4</v>
      </c>
      <c r="AE359" t="s">
        <v>6435</v>
      </c>
      <c r="AF359" t="s">
        <v>6436</v>
      </c>
      <c r="AG359" t="s">
        <v>6437</v>
      </c>
      <c r="AH359" t="s">
        <v>112</v>
      </c>
      <c r="AU359" t="s">
        <v>112</v>
      </c>
      <c r="AV359" t="s">
        <v>6438</v>
      </c>
      <c r="AW359" t="s">
        <v>114</v>
      </c>
      <c r="AZ359" t="s">
        <v>4</v>
      </c>
      <c r="BA359" s="3" t="s">
        <v>115</v>
      </c>
      <c r="BB359" s="6" t="s">
        <v>95</v>
      </c>
      <c r="BC359" s="3" t="s">
        <v>95</v>
      </c>
      <c r="BD359" t="s">
        <v>4</v>
      </c>
      <c r="BE359">
        <v>5497</v>
      </c>
      <c r="BF359" t="s">
        <v>386</v>
      </c>
      <c r="BG359">
        <v>88.938000000000002</v>
      </c>
      <c r="BH359">
        <v>92.035399999999996</v>
      </c>
      <c r="BL359">
        <v>81.858400000000003</v>
      </c>
      <c r="BM359">
        <v>84.070800000000006</v>
      </c>
      <c r="BN359">
        <v>83.628299999999996</v>
      </c>
      <c r="BO359">
        <v>78.761099999999999</v>
      </c>
      <c r="BQ359">
        <v>42.477899999999998</v>
      </c>
      <c r="BR359">
        <v>47.787599999999998</v>
      </c>
      <c r="BS359">
        <v>46.017699999999998</v>
      </c>
      <c r="BU359">
        <v>34.513300000000001</v>
      </c>
      <c r="BX359">
        <v>41.5929</v>
      </c>
      <c r="BZ359">
        <v>25.2212</v>
      </c>
      <c r="CA359">
        <v>39.823</v>
      </c>
      <c r="CB359">
        <v>23.893799999999999</v>
      </c>
      <c r="CF359">
        <v>29.203499999999998</v>
      </c>
      <c r="CK359">
        <v>7</v>
      </c>
      <c r="CL359" t="s">
        <v>4</v>
      </c>
      <c r="CM359" t="s">
        <v>6439</v>
      </c>
      <c r="CN359" t="s">
        <v>6440</v>
      </c>
      <c r="CO359" t="s">
        <v>99</v>
      </c>
      <c r="CP359" t="s">
        <v>100</v>
      </c>
      <c r="CQ359" s="7">
        <v>359</v>
      </c>
      <c r="CR359" t="s">
        <v>100</v>
      </c>
      <c r="CS359" t="s">
        <v>101</v>
      </c>
      <c r="CT359" t="s">
        <v>152</v>
      </c>
      <c r="CU359" t="s">
        <v>102</v>
      </c>
      <c r="CV359" t="s">
        <v>100</v>
      </c>
    </row>
    <row r="360" spans="1:100">
      <c r="A360" s="3" t="s">
        <v>6441</v>
      </c>
      <c r="B360" s="4" t="s">
        <v>6442</v>
      </c>
      <c r="C360">
        <v>1496.96184882394</v>
      </c>
      <c r="D360">
        <v>4781.85683805181</v>
      </c>
      <c r="E360">
        <f>-1.67534365311954</f>
        <v>-1.67534365311954</v>
      </c>
      <c r="F360" s="5">
        <v>4.0414469727536599E-13</v>
      </c>
      <c r="G360" t="s">
        <v>4</v>
      </c>
      <c r="H360">
        <v>1496.96184882394</v>
      </c>
      <c r="I360">
        <v>166.93026490128099</v>
      </c>
      <c r="J360">
        <v>3.1775234568739901</v>
      </c>
      <c r="K360" s="5">
        <v>3.3087270903546902E-41</v>
      </c>
      <c r="L360" t="s">
        <v>4</v>
      </c>
      <c r="M360">
        <v>4781.85683805181</v>
      </c>
      <c r="N360">
        <v>166.93026490128099</v>
      </c>
      <c r="O360">
        <v>4.8528671099935297</v>
      </c>
      <c r="P360" s="5">
        <v>1.83899379622289E-95</v>
      </c>
      <c r="Q360" t="s">
        <v>4</v>
      </c>
      <c r="R360" s="4" t="s">
        <v>87</v>
      </c>
      <c r="S360" t="s">
        <v>4</v>
      </c>
      <c r="T360" t="s">
        <v>92</v>
      </c>
      <c r="U360" t="s">
        <v>92</v>
      </c>
      <c r="V360" t="s">
        <v>92</v>
      </c>
      <c r="W360" t="s">
        <v>92</v>
      </c>
      <c r="X360" t="s">
        <v>4</v>
      </c>
      <c r="Y360" t="s">
        <v>92</v>
      </c>
      <c r="Z360" t="s">
        <v>92</v>
      </c>
      <c r="AA360" t="s">
        <v>92</v>
      </c>
      <c r="AB360" t="s">
        <v>4</v>
      </c>
      <c r="AC360" s="3" t="s">
        <v>6443</v>
      </c>
      <c r="AD360" t="s">
        <v>4</v>
      </c>
      <c r="AE360" s="4" t="s">
        <v>94</v>
      </c>
      <c r="AZ360" t="s">
        <v>4</v>
      </c>
      <c r="BA360" s="3" t="s">
        <v>95</v>
      </c>
      <c r="BB360" s="6" t="s">
        <v>95</v>
      </c>
      <c r="BC360" s="3" t="s">
        <v>95</v>
      </c>
      <c r="BD360" t="s">
        <v>4</v>
      </c>
      <c r="BE360">
        <v>2857</v>
      </c>
      <c r="BF360" t="s">
        <v>97</v>
      </c>
      <c r="BG360" t="s">
        <v>6444</v>
      </c>
      <c r="BH360">
        <v>99.743600000000001</v>
      </c>
      <c r="BI360">
        <v>88.7179</v>
      </c>
      <c r="BJ360">
        <v>68.7179</v>
      </c>
      <c r="BK360">
        <v>63.846200000000003</v>
      </c>
      <c r="BL360" t="s">
        <v>6445</v>
      </c>
      <c r="BO360">
        <v>63.589700000000001</v>
      </c>
      <c r="BP360">
        <v>25.384599999999999</v>
      </c>
      <c r="CK360">
        <v>4</v>
      </c>
      <c r="CL360" t="s">
        <v>4</v>
      </c>
      <c r="CM360" t="s">
        <v>98</v>
      </c>
      <c r="CN360" t="s">
        <v>98</v>
      </c>
      <c r="CO360" t="s">
        <v>99</v>
      </c>
      <c r="CP360" t="s">
        <v>100</v>
      </c>
      <c r="CQ360" s="7">
        <v>360</v>
      </c>
      <c r="CR360" t="s">
        <v>100</v>
      </c>
      <c r="CS360" t="s">
        <v>101</v>
      </c>
      <c r="CT360" t="s">
        <v>152</v>
      </c>
      <c r="CU360" t="s">
        <v>102</v>
      </c>
      <c r="CV360" t="s">
        <v>100</v>
      </c>
    </row>
    <row r="361" spans="1:100">
      <c r="A361" s="3" t="s">
        <v>6446</v>
      </c>
      <c r="B361" s="4" t="s">
        <v>6447</v>
      </c>
      <c r="C361">
        <v>259.31052770236403</v>
      </c>
      <c r="D361">
        <v>1847.5461609010699</v>
      </c>
      <c r="E361">
        <f>-2.83271180724037</f>
        <v>-2.8327118072403699</v>
      </c>
      <c r="F361">
        <v>3.6514343514081997E-2</v>
      </c>
      <c r="G361" t="s">
        <v>4</v>
      </c>
      <c r="H361">
        <v>259.31052770236403</v>
      </c>
      <c r="I361">
        <v>73.717710860282807</v>
      </c>
      <c r="J361">
        <v>1.81456504831275</v>
      </c>
      <c r="K361">
        <v>0.18065678591895401</v>
      </c>
      <c r="L361" t="s">
        <v>4</v>
      </c>
      <c r="M361">
        <v>1847.5461609010699</v>
      </c>
      <c r="N361">
        <v>73.717710860282807</v>
      </c>
      <c r="O361">
        <v>4.6472768555531196</v>
      </c>
      <c r="P361">
        <v>2.3964172465054499E-4</v>
      </c>
      <c r="Q361" t="s">
        <v>4</v>
      </c>
      <c r="R361" s="4" t="s">
        <v>87</v>
      </c>
      <c r="S361" t="s">
        <v>4</v>
      </c>
      <c r="T361" t="s">
        <v>92</v>
      </c>
      <c r="U361" t="s">
        <v>92</v>
      </c>
      <c r="V361" t="s">
        <v>92</v>
      </c>
      <c r="W361" t="s">
        <v>92</v>
      </c>
      <c r="X361" t="s">
        <v>4</v>
      </c>
      <c r="Y361" t="s">
        <v>6448</v>
      </c>
      <c r="Z361" t="s">
        <v>6449</v>
      </c>
      <c r="AA361" t="s">
        <v>6450</v>
      </c>
      <c r="AB361" t="s">
        <v>4</v>
      </c>
      <c r="AC361" s="3" t="s">
        <v>93</v>
      </c>
      <c r="AD361" t="s">
        <v>4</v>
      </c>
      <c r="AE361" t="s">
        <v>6451</v>
      </c>
      <c r="AF361" t="s">
        <v>6452</v>
      </c>
      <c r="AG361" t="s">
        <v>429</v>
      </c>
      <c r="AH361" t="s">
        <v>112</v>
      </c>
      <c r="AU361" t="s">
        <v>112</v>
      </c>
      <c r="AV361" t="s">
        <v>6453</v>
      </c>
      <c r="AW361" t="s">
        <v>114</v>
      </c>
      <c r="AZ361" t="s">
        <v>4</v>
      </c>
      <c r="BA361" s="3" t="s">
        <v>95</v>
      </c>
      <c r="BB361" s="6" t="s">
        <v>95</v>
      </c>
      <c r="BC361" s="3" t="s">
        <v>197</v>
      </c>
      <c r="BD361" t="s">
        <v>4</v>
      </c>
      <c r="BE361">
        <v>3774</v>
      </c>
      <c r="BF361" t="s">
        <v>112</v>
      </c>
      <c r="BG361">
        <v>97.575800000000001</v>
      </c>
      <c r="BI361">
        <v>80.606099999999998</v>
      </c>
      <c r="BJ361">
        <v>58.7879</v>
      </c>
      <c r="BK361">
        <v>60</v>
      </c>
      <c r="BP361" t="s">
        <v>6454</v>
      </c>
      <c r="BR361">
        <v>31.5152</v>
      </c>
      <c r="BS361" t="s">
        <v>6455</v>
      </c>
      <c r="BW361" t="s">
        <v>6456</v>
      </c>
      <c r="BX361" t="s">
        <v>6457</v>
      </c>
      <c r="BY361">
        <v>32.7273</v>
      </c>
      <c r="CA361" t="s">
        <v>6458</v>
      </c>
      <c r="CK361">
        <v>5</v>
      </c>
      <c r="CL361" t="s">
        <v>4</v>
      </c>
      <c r="CM361" t="s">
        <v>6459</v>
      </c>
      <c r="CN361" t="s">
        <v>6460</v>
      </c>
      <c r="CO361" t="s">
        <v>6461</v>
      </c>
      <c r="CP361" t="s">
        <v>100</v>
      </c>
      <c r="CQ361" s="7">
        <v>361</v>
      </c>
      <c r="CR361" t="s">
        <v>100</v>
      </c>
      <c r="CS361" t="s">
        <v>100</v>
      </c>
      <c r="CT361" t="s">
        <v>152</v>
      </c>
      <c r="CU361" t="s">
        <v>102</v>
      </c>
      <c r="CV361" t="s">
        <v>100</v>
      </c>
    </row>
    <row r="362" spans="1:100">
      <c r="A362" s="3" t="s">
        <v>6462</v>
      </c>
      <c r="B362" s="4" t="s">
        <v>6463</v>
      </c>
      <c r="C362">
        <v>105.44823258289701</v>
      </c>
      <c r="D362">
        <v>274.30232509067298</v>
      </c>
      <c r="E362">
        <f>-1.38254395766479</f>
        <v>-1.38254395766479</v>
      </c>
      <c r="F362">
        <v>1.2954031513346599E-4</v>
      </c>
      <c r="G362" t="s">
        <v>4</v>
      </c>
      <c r="H362">
        <v>105.44823258289701</v>
      </c>
      <c r="I362">
        <v>11.348582295625601</v>
      </c>
      <c r="J362">
        <v>3.24355145822922</v>
      </c>
      <c r="K362" s="5">
        <v>1.15802969502195E-12</v>
      </c>
      <c r="L362" t="s">
        <v>4</v>
      </c>
      <c r="M362">
        <v>274.30232509067298</v>
      </c>
      <c r="N362">
        <v>11.348582295625601</v>
      </c>
      <c r="O362">
        <v>4.6260954158940102</v>
      </c>
      <c r="P362" s="5">
        <v>3.1717416188136299E-25</v>
      </c>
      <c r="Q362" t="s">
        <v>4</v>
      </c>
      <c r="R362" s="4" t="s">
        <v>87</v>
      </c>
      <c r="S362" t="s">
        <v>4</v>
      </c>
      <c r="T362" t="s">
        <v>92</v>
      </c>
      <c r="U362" t="s">
        <v>92</v>
      </c>
      <c r="V362" t="s">
        <v>92</v>
      </c>
      <c r="W362" t="s">
        <v>92</v>
      </c>
      <c r="X362" t="s">
        <v>4</v>
      </c>
      <c r="Y362" t="s">
        <v>742</v>
      </c>
      <c r="Z362" t="s">
        <v>743</v>
      </c>
      <c r="AA362" t="s">
        <v>744</v>
      </c>
      <c r="AB362" t="s">
        <v>4</v>
      </c>
      <c r="AC362" s="3" t="s">
        <v>93</v>
      </c>
      <c r="AD362" t="s">
        <v>4</v>
      </c>
      <c r="AE362" s="4" t="s">
        <v>94</v>
      </c>
      <c r="AZ362" t="s">
        <v>4</v>
      </c>
      <c r="BA362" s="3" t="s">
        <v>95</v>
      </c>
      <c r="BB362" s="6" t="s">
        <v>95</v>
      </c>
      <c r="BC362" s="3" t="s">
        <v>95</v>
      </c>
      <c r="BD362" t="s">
        <v>4</v>
      </c>
      <c r="BE362">
        <v>1322</v>
      </c>
      <c r="BF362" t="s">
        <v>151</v>
      </c>
      <c r="BG362">
        <v>72.197299999999998</v>
      </c>
      <c r="BI362">
        <v>39.013500000000001</v>
      </c>
      <c r="CK362">
        <v>2</v>
      </c>
      <c r="CL362" t="s">
        <v>4</v>
      </c>
      <c r="CM362" t="s">
        <v>98</v>
      </c>
      <c r="CN362" t="s">
        <v>98</v>
      </c>
      <c r="CO362" t="s">
        <v>99</v>
      </c>
      <c r="CP362" t="s">
        <v>100</v>
      </c>
      <c r="CQ362" s="7">
        <v>362</v>
      </c>
      <c r="CR362" t="s">
        <v>100</v>
      </c>
      <c r="CS362" t="s">
        <v>101</v>
      </c>
      <c r="CT362" t="s">
        <v>152</v>
      </c>
      <c r="CU362" t="s">
        <v>102</v>
      </c>
      <c r="CV362" t="s">
        <v>100</v>
      </c>
    </row>
    <row r="363" spans="1:100">
      <c r="A363" s="3" t="s">
        <v>6464</v>
      </c>
      <c r="B363" s="4" t="s">
        <v>6465</v>
      </c>
      <c r="C363">
        <v>157.18974808363299</v>
      </c>
      <c r="D363">
        <v>569.11692486998902</v>
      </c>
      <c r="E363">
        <f>-1.85545732653774</f>
        <v>-1.8554573265377401</v>
      </c>
      <c r="F363" s="5">
        <v>3.0910582893736301E-11</v>
      </c>
      <c r="G363" t="s">
        <v>4</v>
      </c>
      <c r="H363">
        <v>157.18974808363299</v>
      </c>
      <c r="I363">
        <v>23.769720753226999</v>
      </c>
      <c r="J363">
        <v>2.7315067698286102</v>
      </c>
      <c r="K363" s="5">
        <v>1.3934656593274201E-15</v>
      </c>
      <c r="L363" t="s">
        <v>4</v>
      </c>
      <c r="M363">
        <v>569.11692486998902</v>
      </c>
      <c r="N363">
        <v>23.769720753226999</v>
      </c>
      <c r="O363">
        <v>4.5869640963663496</v>
      </c>
      <c r="P363" s="5">
        <v>3.4202398774037799E-43</v>
      </c>
      <c r="Q363" t="s">
        <v>4</v>
      </c>
      <c r="R363" s="4" t="s">
        <v>87</v>
      </c>
      <c r="S363" t="s">
        <v>4</v>
      </c>
      <c r="T363" t="s">
        <v>3202</v>
      </c>
      <c r="U363" t="s">
        <v>3203</v>
      </c>
      <c r="V363" t="s">
        <v>3204</v>
      </c>
      <c r="W363" t="s">
        <v>328</v>
      </c>
      <c r="X363" t="s">
        <v>4</v>
      </c>
      <c r="Y363" t="s">
        <v>3205</v>
      </c>
      <c r="Z363" t="s">
        <v>3206</v>
      </c>
      <c r="AA363" t="s">
        <v>3207</v>
      </c>
      <c r="AB363" t="s">
        <v>4</v>
      </c>
      <c r="AC363" s="3" t="s">
        <v>6466</v>
      </c>
      <c r="AD363" t="s">
        <v>4</v>
      </c>
      <c r="AE363" t="s">
        <v>6467</v>
      </c>
      <c r="AF363" t="s">
        <v>6468</v>
      </c>
      <c r="AG363" t="s">
        <v>6469</v>
      </c>
      <c r="AH363" t="s">
        <v>112</v>
      </c>
      <c r="AI363" t="s">
        <v>6470</v>
      </c>
      <c r="AU363" t="s">
        <v>112</v>
      </c>
      <c r="AV363" t="s">
        <v>6471</v>
      </c>
      <c r="AW363" t="s">
        <v>114</v>
      </c>
      <c r="AX363" t="s">
        <v>909</v>
      </c>
      <c r="AY363" t="s">
        <v>3213</v>
      </c>
      <c r="AZ363" t="s">
        <v>4</v>
      </c>
      <c r="BA363" s="3" t="s">
        <v>95</v>
      </c>
      <c r="BB363" t="s">
        <v>96</v>
      </c>
      <c r="BC363" s="3" t="s">
        <v>95</v>
      </c>
      <c r="BD363" t="s">
        <v>4</v>
      </c>
      <c r="BE363">
        <v>3852</v>
      </c>
      <c r="BF363" t="s">
        <v>112</v>
      </c>
      <c r="BG363">
        <v>95.781599999999997</v>
      </c>
      <c r="BH363">
        <v>60.049599999999998</v>
      </c>
      <c r="BI363">
        <v>91.811400000000006</v>
      </c>
      <c r="BJ363">
        <v>77.419399999999996</v>
      </c>
      <c r="BK363">
        <v>77.419399999999996</v>
      </c>
      <c r="BL363">
        <v>17.866</v>
      </c>
      <c r="BM363">
        <v>67.493799999999993</v>
      </c>
      <c r="BN363">
        <v>79.652600000000007</v>
      </c>
      <c r="BO363">
        <v>25.310199999999998</v>
      </c>
      <c r="BP363">
        <v>42.183599999999998</v>
      </c>
      <c r="CG363" t="s">
        <v>6472</v>
      </c>
      <c r="CH363" t="s">
        <v>6473</v>
      </c>
      <c r="CI363" t="s">
        <v>6474</v>
      </c>
      <c r="CK363">
        <v>5</v>
      </c>
      <c r="CL363" t="s">
        <v>4</v>
      </c>
      <c r="CM363" t="s">
        <v>98</v>
      </c>
      <c r="CN363" t="s">
        <v>98</v>
      </c>
      <c r="CO363" t="s">
        <v>99</v>
      </c>
      <c r="CP363" t="s">
        <v>100</v>
      </c>
      <c r="CQ363" s="7">
        <v>363</v>
      </c>
      <c r="CR363" t="s">
        <v>100</v>
      </c>
      <c r="CS363" t="s">
        <v>101</v>
      </c>
      <c r="CT363" t="s">
        <v>152</v>
      </c>
      <c r="CU363" t="s">
        <v>102</v>
      </c>
      <c r="CV363" t="s">
        <v>100</v>
      </c>
    </row>
    <row r="364" spans="1:100">
      <c r="A364" s="3" t="s">
        <v>6475</v>
      </c>
      <c r="B364" s="4" t="s">
        <v>6476</v>
      </c>
      <c r="C364">
        <v>362.00706933963801</v>
      </c>
      <c r="D364">
        <v>843.39520117719098</v>
      </c>
      <c r="E364">
        <f>-1.2199413979123</f>
        <v>-1.2199413979122999</v>
      </c>
      <c r="F364" s="5">
        <v>4.7971005558331599E-5</v>
      </c>
      <c r="G364" t="s">
        <v>4</v>
      </c>
      <c r="H364">
        <v>362.00706933963801</v>
      </c>
      <c r="I364">
        <v>33.764743455996303</v>
      </c>
      <c r="J364">
        <v>3.3552373699593598</v>
      </c>
      <c r="K364" s="5">
        <v>1.3659976913369199E-24</v>
      </c>
      <c r="L364" t="s">
        <v>4</v>
      </c>
      <c r="M364">
        <v>843.39520117719098</v>
      </c>
      <c r="N364">
        <v>33.764743455996303</v>
      </c>
      <c r="O364">
        <v>4.57517876787165</v>
      </c>
      <c r="P364" s="5">
        <v>2.3612825072255401E-45</v>
      </c>
      <c r="Q364" t="s">
        <v>4</v>
      </c>
      <c r="R364" s="4" t="s">
        <v>87</v>
      </c>
      <c r="S364" t="s">
        <v>4</v>
      </c>
      <c r="T364" t="s">
        <v>200</v>
      </c>
      <c r="U364" t="s">
        <v>201</v>
      </c>
      <c r="V364" t="s">
        <v>202</v>
      </c>
      <c r="W364" t="s">
        <v>203</v>
      </c>
      <c r="X364" t="s">
        <v>4</v>
      </c>
      <c r="Y364" t="s">
        <v>204</v>
      </c>
      <c r="Z364" t="s">
        <v>205</v>
      </c>
      <c r="AA364" t="s">
        <v>206</v>
      </c>
      <c r="AB364" t="s">
        <v>4</v>
      </c>
      <c r="AC364" s="3" t="s">
        <v>6477</v>
      </c>
      <c r="AD364" t="s">
        <v>4</v>
      </c>
      <c r="AE364" t="s">
        <v>6478</v>
      </c>
      <c r="AF364" t="s">
        <v>6479</v>
      </c>
      <c r="AG364" t="s">
        <v>6480</v>
      </c>
      <c r="AH364" t="s">
        <v>112</v>
      </c>
      <c r="AJ364" t="s">
        <v>6481</v>
      </c>
      <c r="AK364" t="s">
        <v>6482</v>
      </c>
      <c r="AL364" t="s">
        <v>6483</v>
      </c>
      <c r="AM364" t="s">
        <v>6484</v>
      </c>
      <c r="AN364" t="s">
        <v>6485</v>
      </c>
      <c r="AQ364" t="s">
        <v>6486</v>
      </c>
      <c r="AU364" t="s">
        <v>112</v>
      </c>
      <c r="AV364" t="s">
        <v>6487</v>
      </c>
      <c r="AW364" t="s">
        <v>114</v>
      </c>
      <c r="AX364" t="s">
        <v>345</v>
      </c>
      <c r="AY364" t="s">
        <v>212</v>
      </c>
      <c r="AZ364" t="s">
        <v>4</v>
      </c>
      <c r="BA364" s="3" t="s">
        <v>95</v>
      </c>
      <c r="BB364" s="6" t="s">
        <v>95</v>
      </c>
      <c r="BC364" s="3" t="s">
        <v>95</v>
      </c>
      <c r="BD364" t="s">
        <v>4</v>
      </c>
      <c r="BE364">
        <v>10225</v>
      </c>
      <c r="BF364" t="s">
        <v>169</v>
      </c>
      <c r="BG364">
        <v>98.466300000000004</v>
      </c>
      <c r="BH364">
        <v>100</v>
      </c>
      <c r="BI364" t="s">
        <v>6488</v>
      </c>
      <c r="BJ364">
        <v>89.570499999999996</v>
      </c>
      <c r="BK364">
        <v>86.503100000000003</v>
      </c>
      <c r="BL364">
        <v>86.809799999999996</v>
      </c>
      <c r="BM364">
        <v>86.503100000000003</v>
      </c>
      <c r="BN364">
        <v>86.503100000000003</v>
      </c>
      <c r="BO364">
        <v>85.582800000000006</v>
      </c>
      <c r="BP364">
        <v>33.128799999999998</v>
      </c>
      <c r="BU364">
        <v>53.374200000000002</v>
      </c>
      <c r="BV364" t="s">
        <v>6489</v>
      </c>
      <c r="BW364" t="s">
        <v>6490</v>
      </c>
      <c r="BX364">
        <v>51.226999999999997</v>
      </c>
      <c r="BZ364">
        <v>50.920200000000001</v>
      </c>
      <c r="CB364">
        <v>44.171799999999998</v>
      </c>
      <c r="CJ364">
        <v>42.024500000000003</v>
      </c>
      <c r="CK364">
        <v>9</v>
      </c>
      <c r="CL364" t="s">
        <v>4</v>
      </c>
      <c r="CM364" t="s">
        <v>98</v>
      </c>
      <c r="CN364" t="s">
        <v>98</v>
      </c>
      <c r="CO364" t="s">
        <v>99</v>
      </c>
      <c r="CP364" t="s">
        <v>100</v>
      </c>
      <c r="CQ364" s="7">
        <v>364</v>
      </c>
      <c r="CR364" t="s">
        <v>100</v>
      </c>
      <c r="CS364" t="s">
        <v>101</v>
      </c>
      <c r="CT364" t="s">
        <v>152</v>
      </c>
      <c r="CU364" t="s">
        <v>102</v>
      </c>
      <c r="CV364" t="s">
        <v>100</v>
      </c>
    </row>
    <row r="365" spans="1:100">
      <c r="A365" s="3" t="s">
        <v>6491</v>
      </c>
      <c r="B365" s="4" t="s">
        <v>6492</v>
      </c>
      <c r="C365">
        <v>323.81492161208899</v>
      </c>
      <c r="D365">
        <v>1187.1310680292399</v>
      </c>
      <c r="E365">
        <f>-1.87416435255747</f>
        <v>-1.87416435255747</v>
      </c>
      <c r="F365" s="5">
        <v>6.3072848605487497E-7</v>
      </c>
      <c r="G365" t="s">
        <v>4</v>
      </c>
      <c r="H365">
        <v>323.81492161208899</v>
      </c>
      <c r="I365">
        <v>49.978390645927099</v>
      </c>
      <c r="J365">
        <v>2.6626564492921698</v>
      </c>
      <c r="K365" s="5">
        <v>8.7773255614444299E-12</v>
      </c>
      <c r="L365" t="s">
        <v>4</v>
      </c>
      <c r="M365">
        <v>1187.1310680292399</v>
      </c>
      <c r="N365">
        <v>49.978390645927099</v>
      </c>
      <c r="O365">
        <v>4.5368208018496299</v>
      </c>
      <c r="P365" s="5">
        <v>9.0437061721499497E-33</v>
      </c>
      <c r="Q365" t="s">
        <v>4</v>
      </c>
      <c r="R365" s="4" t="s">
        <v>87</v>
      </c>
      <c r="S365" t="s">
        <v>4</v>
      </c>
      <c r="T365" t="s">
        <v>2243</v>
      </c>
      <c r="U365" t="s">
        <v>2244</v>
      </c>
      <c r="V365" t="s">
        <v>2245</v>
      </c>
      <c r="W365" t="s">
        <v>123</v>
      </c>
      <c r="X365" t="s">
        <v>4</v>
      </c>
      <c r="Y365" t="s">
        <v>2647</v>
      </c>
      <c r="Z365" t="s">
        <v>2648</v>
      </c>
      <c r="AA365" t="s">
        <v>2649</v>
      </c>
      <c r="AB365" t="s">
        <v>4</v>
      </c>
      <c r="AC365" s="3" t="s">
        <v>93</v>
      </c>
      <c r="AD365" t="s">
        <v>4</v>
      </c>
      <c r="AE365" t="s">
        <v>6493</v>
      </c>
      <c r="AF365" t="s">
        <v>6494</v>
      </c>
      <c r="AG365" t="s">
        <v>6495</v>
      </c>
      <c r="AH365" t="s">
        <v>386</v>
      </c>
      <c r="AU365" t="s">
        <v>112</v>
      </c>
      <c r="AV365" t="s">
        <v>6496</v>
      </c>
      <c r="AW365" t="s">
        <v>114</v>
      </c>
      <c r="AX365" t="s">
        <v>144</v>
      </c>
      <c r="AY365" t="s">
        <v>6497</v>
      </c>
      <c r="AZ365" t="s">
        <v>4</v>
      </c>
      <c r="BA365" s="3" t="s">
        <v>95</v>
      </c>
      <c r="BB365" s="6" t="s">
        <v>95</v>
      </c>
      <c r="BC365" s="3" t="s">
        <v>95</v>
      </c>
      <c r="BD365" t="s">
        <v>4</v>
      </c>
      <c r="BE365">
        <v>2660</v>
      </c>
      <c r="BF365" t="s">
        <v>97</v>
      </c>
      <c r="BG365">
        <v>21.4815</v>
      </c>
      <c r="BI365">
        <v>48.148099999999999</v>
      </c>
      <c r="BJ365">
        <v>40.740699999999997</v>
      </c>
      <c r="BK365">
        <v>44.444400000000002</v>
      </c>
      <c r="BM365">
        <v>41.481499999999997</v>
      </c>
      <c r="BN365">
        <v>70.740700000000004</v>
      </c>
      <c r="BO365">
        <v>27.036999999999999</v>
      </c>
      <c r="BP365" t="s">
        <v>6498</v>
      </c>
      <c r="CK365">
        <v>4</v>
      </c>
      <c r="CL365" t="s">
        <v>4</v>
      </c>
      <c r="CM365" t="s">
        <v>98</v>
      </c>
      <c r="CN365" t="s">
        <v>98</v>
      </c>
      <c r="CO365" t="s">
        <v>99</v>
      </c>
      <c r="CP365" t="s">
        <v>100</v>
      </c>
      <c r="CQ365" s="7">
        <v>365</v>
      </c>
      <c r="CR365" t="s">
        <v>100</v>
      </c>
      <c r="CS365" t="s">
        <v>101</v>
      </c>
      <c r="CT365" t="s">
        <v>152</v>
      </c>
      <c r="CU365" t="s">
        <v>102</v>
      </c>
      <c r="CV365" t="s">
        <v>100</v>
      </c>
    </row>
    <row r="366" spans="1:100">
      <c r="A366" s="3" t="s">
        <v>6499</v>
      </c>
      <c r="B366" s="4" t="s">
        <v>6500</v>
      </c>
      <c r="C366">
        <v>866.52006857325205</v>
      </c>
      <c r="D366">
        <v>2334.8194258711401</v>
      </c>
      <c r="E366">
        <f>-1.42970568126371</f>
        <v>-1.4297056812637099</v>
      </c>
      <c r="F366" s="5">
        <v>2.9749340640598002E-10</v>
      </c>
      <c r="G366" t="s">
        <v>4</v>
      </c>
      <c r="H366">
        <v>866.52006857325205</v>
      </c>
      <c r="I366">
        <v>100.247296618604</v>
      </c>
      <c r="J366">
        <v>3.0987704033249202</v>
      </c>
      <c r="K366" s="5">
        <v>2.5143507676555601E-38</v>
      </c>
      <c r="L366" t="s">
        <v>4</v>
      </c>
      <c r="M366">
        <v>2334.8194258711401</v>
      </c>
      <c r="N366">
        <v>100.247296618604</v>
      </c>
      <c r="O366">
        <v>4.5284760845886298</v>
      </c>
      <c r="P366" s="5">
        <v>1.93212391070551E-81</v>
      </c>
      <c r="Q366" t="s">
        <v>4</v>
      </c>
      <c r="R366" s="4" t="s">
        <v>87</v>
      </c>
      <c r="S366" t="s">
        <v>4</v>
      </c>
      <c r="T366" t="s">
        <v>92</v>
      </c>
      <c r="U366" t="s">
        <v>92</v>
      </c>
      <c r="V366" t="s">
        <v>92</v>
      </c>
      <c r="W366" t="s">
        <v>92</v>
      </c>
      <c r="X366" t="s">
        <v>4</v>
      </c>
      <c r="Y366" t="s">
        <v>92</v>
      </c>
      <c r="Z366" t="s">
        <v>92</v>
      </c>
      <c r="AA366" t="s">
        <v>92</v>
      </c>
      <c r="AB366" t="s">
        <v>4</v>
      </c>
      <c r="AC366" s="3" t="s">
        <v>93</v>
      </c>
      <c r="AD366" t="s">
        <v>4</v>
      </c>
      <c r="AE366" t="s">
        <v>6501</v>
      </c>
      <c r="AF366" t="s">
        <v>6502</v>
      </c>
      <c r="AG366" t="s">
        <v>6503</v>
      </c>
      <c r="AH366" t="s">
        <v>112</v>
      </c>
      <c r="AU366" t="s">
        <v>112</v>
      </c>
      <c r="AV366" t="s">
        <v>6504</v>
      </c>
      <c r="AW366" t="s">
        <v>114</v>
      </c>
      <c r="AX366" t="s">
        <v>144</v>
      </c>
      <c r="AY366" t="s">
        <v>6505</v>
      </c>
      <c r="AZ366" t="s">
        <v>4</v>
      </c>
      <c r="BA366" s="3" t="s">
        <v>115</v>
      </c>
      <c r="BB366" s="6" t="s">
        <v>95</v>
      </c>
      <c r="BC366" s="3" t="s">
        <v>95</v>
      </c>
      <c r="BD366" t="s">
        <v>4</v>
      </c>
      <c r="BE366">
        <v>4760</v>
      </c>
      <c r="BF366" t="s">
        <v>282</v>
      </c>
      <c r="BG366">
        <v>71.400000000000006</v>
      </c>
      <c r="BH366">
        <v>39.6</v>
      </c>
      <c r="BI366">
        <v>89.8</v>
      </c>
      <c r="BJ366">
        <v>80.599999999999994</v>
      </c>
      <c r="BK366">
        <v>79.2</v>
      </c>
      <c r="BM366">
        <v>47</v>
      </c>
      <c r="BN366">
        <v>80.599999999999994</v>
      </c>
      <c r="BO366">
        <v>83.8</v>
      </c>
      <c r="BQ366">
        <v>28</v>
      </c>
      <c r="BT366">
        <v>15.4</v>
      </c>
      <c r="BX366">
        <v>30.2</v>
      </c>
      <c r="BZ366">
        <v>30.6</v>
      </c>
      <c r="CA366">
        <v>17.399999999999999</v>
      </c>
      <c r="CC366">
        <v>17</v>
      </c>
      <c r="CD366">
        <v>20.6</v>
      </c>
      <c r="CK366">
        <v>6</v>
      </c>
      <c r="CL366" t="s">
        <v>4</v>
      </c>
      <c r="CM366" t="s">
        <v>6506</v>
      </c>
      <c r="CN366" t="s">
        <v>6507</v>
      </c>
      <c r="CO366" t="s">
        <v>99</v>
      </c>
      <c r="CP366" t="s">
        <v>100</v>
      </c>
      <c r="CQ366" s="7">
        <v>366</v>
      </c>
      <c r="CR366" t="s">
        <v>100</v>
      </c>
      <c r="CS366" t="s">
        <v>101</v>
      </c>
      <c r="CT366" t="s">
        <v>152</v>
      </c>
      <c r="CU366" t="s">
        <v>102</v>
      </c>
      <c r="CV366" t="s">
        <v>100</v>
      </c>
    </row>
    <row r="367" spans="1:100">
      <c r="A367" s="3" t="s">
        <v>6508</v>
      </c>
      <c r="B367" s="4" t="s">
        <v>6509</v>
      </c>
      <c r="C367">
        <v>1177.5561699289501</v>
      </c>
      <c r="D367">
        <v>2378.11765632484</v>
      </c>
      <c r="E367">
        <f>-1.01427984005556</f>
        <v>-1.0142798400555599</v>
      </c>
      <c r="F367">
        <v>5.12547200050293E-3</v>
      </c>
      <c r="G367" t="s">
        <v>4</v>
      </c>
      <c r="H367">
        <v>1177.5561699289501</v>
      </c>
      <c r="I367">
        <v>107.83738582145401</v>
      </c>
      <c r="J367">
        <v>3.4497319902701502</v>
      </c>
      <c r="K367" s="5">
        <v>1.4916942568627499E-23</v>
      </c>
      <c r="L367" t="s">
        <v>4</v>
      </c>
      <c r="M367">
        <v>2378.11765632484</v>
      </c>
      <c r="N367">
        <v>107.83738582145401</v>
      </c>
      <c r="O367">
        <v>4.4640118303257097</v>
      </c>
      <c r="P367" s="5">
        <v>5.4178668456684601E-39</v>
      </c>
      <c r="Q367" t="s">
        <v>4</v>
      </c>
      <c r="R367" s="4" t="s">
        <v>87</v>
      </c>
      <c r="S367" t="s">
        <v>4</v>
      </c>
      <c r="T367" t="s">
        <v>92</v>
      </c>
      <c r="U367" t="s">
        <v>92</v>
      </c>
      <c r="V367" t="s">
        <v>92</v>
      </c>
      <c r="W367" t="s">
        <v>92</v>
      </c>
      <c r="X367" t="s">
        <v>4</v>
      </c>
      <c r="Y367" t="s">
        <v>92</v>
      </c>
      <c r="Z367" t="s">
        <v>92</v>
      </c>
      <c r="AA367" t="s">
        <v>92</v>
      </c>
      <c r="AB367" t="s">
        <v>4</v>
      </c>
      <c r="AC367" s="3" t="s">
        <v>93</v>
      </c>
      <c r="AD367" t="s">
        <v>4</v>
      </c>
      <c r="AE367" s="4" t="s">
        <v>94</v>
      </c>
      <c r="AZ367" t="s">
        <v>4</v>
      </c>
      <c r="BA367" s="3" t="s">
        <v>115</v>
      </c>
      <c r="BB367" s="6" t="s">
        <v>95</v>
      </c>
      <c r="BC367" s="3" t="s">
        <v>95</v>
      </c>
      <c r="BD367" t="s">
        <v>4</v>
      </c>
      <c r="BE367">
        <v>2110</v>
      </c>
      <c r="BF367" t="s">
        <v>148</v>
      </c>
      <c r="BG367">
        <v>95.897400000000005</v>
      </c>
      <c r="BH367">
        <v>60.512799999999999</v>
      </c>
      <c r="BI367">
        <v>88.7179</v>
      </c>
      <c r="BJ367">
        <v>70.256399999999999</v>
      </c>
      <c r="BK367">
        <v>56.410299999999999</v>
      </c>
      <c r="BL367" t="s">
        <v>6510</v>
      </c>
      <c r="BM367" t="s">
        <v>6511</v>
      </c>
      <c r="BN367" t="s">
        <v>6511</v>
      </c>
      <c r="BO367">
        <v>55.384599999999999</v>
      </c>
      <c r="CK367">
        <v>3</v>
      </c>
      <c r="CL367" t="s">
        <v>4</v>
      </c>
      <c r="CM367" t="s">
        <v>98</v>
      </c>
      <c r="CN367" t="s">
        <v>98</v>
      </c>
      <c r="CO367" t="s">
        <v>99</v>
      </c>
      <c r="CP367" t="s">
        <v>100</v>
      </c>
      <c r="CQ367" s="7">
        <v>367</v>
      </c>
      <c r="CR367" t="s">
        <v>100</v>
      </c>
      <c r="CS367" t="s">
        <v>101</v>
      </c>
      <c r="CT367" t="s">
        <v>152</v>
      </c>
      <c r="CU367" t="s">
        <v>102</v>
      </c>
      <c r="CV367" t="s">
        <v>100</v>
      </c>
    </row>
    <row r="368" spans="1:100">
      <c r="A368" s="3" t="s">
        <v>6512</v>
      </c>
      <c r="B368" s="4" t="s">
        <v>6513</v>
      </c>
      <c r="C368">
        <v>25.913115667582002</v>
      </c>
      <c r="D368">
        <v>87.690484440956297</v>
      </c>
      <c r="E368">
        <f>-1.7554112111538</f>
        <v>-1.7554112111538001</v>
      </c>
      <c r="F368">
        <v>1.3130041425420201E-3</v>
      </c>
      <c r="G368" t="s">
        <v>4</v>
      </c>
      <c r="H368">
        <v>25.913115667582002</v>
      </c>
      <c r="I368">
        <v>3.7732808337133501</v>
      </c>
      <c r="J368">
        <v>2.7031837312426399</v>
      </c>
      <c r="K368">
        <v>2.69534186409042E-4</v>
      </c>
      <c r="L368" t="s">
        <v>4</v>
      </c>
      <c r="M368">
        <v>87.690484440956297</v>
      </c>
      <c r="N368">
        <v>3.7732808337133501</v>
      </c>
      <c r="O368">
        <v>4.4585949423964397</v>
      </c>
      <c r="P368" s="5">
        <v>2.4814130629394602E-10</v>
      </c>
      <c r="Q368" t="s">
        <v>4</v>
      </c>
      <c r="R368" s="4" t="s">
        <v>87</v>
      </c>
      <c r="S368" t="s">
        <v>4</v>
      </c>
      <c r="T368" t="s">
        <v>92</v>
      </c>
      <c r="U368" t="s">
        <v>92</v>
      </c>
      <c r="V368" t="s">
        <v>92</v>
      </c>
      <c r="W368" t="s">
        <v>92</v>
      </c>
      <c r="X368" t="s">
        <v>4</v>
      </c>
      <c r="Y368" t="s">
        <v>92</v>
      </c>
      <c r="Z368" t="s">
        <v>92</v>
      </c>
      <c r="AA368" t="s">
        <v>92</v>
      </c>
      <c r="AB368" t="s">
        <v>4</v>
      </c>
      <c r="AC368" s="3" t="s">
        <v>93</v>
      </c>
      <c r="AD368" t="s">
        <v>4</v>
      </c>
      <c r="AE368" t="s">
        <v>2783</v>
      </c>
      <c r="AF368" t="s">
        <v>6514</v>
      </c>
      <c r="AG368" t="s">
        <v>6515</v>
      </c>
      <c r="AH368" t="s">
        <v>112</v>
      </c>
      <c r="AI368" t="s">
        <v>2786</v>
      </c>
      <c r="AJ368" t="s">
        <v>2787</v>
      </c>
      <c r="AU368" t="s">
        <v>112</v>
      </c>
      <c r="AV368" t="s">
        <v>2788</v>
      </c>
      <c r="AW368" t="s">
        <v>114</v>
      </c>
      <c r="AX368" t="s">
        <v>2789</v>
      </c>
      <c r="AY368" t="s">
        <v>2790</v>
      </c>
      <c r="AZ368" t="s">
        <v>4</v>
      </c>
      <c r="BA368" s="3" t="s">
        <v>115</v>
      </c>
      <c r="BB368" s="6" t="s">
        <v>95</v>
      </c>
      <c r="BC368" s="3" t="s">
        <v>95</v>
      </c>
      <c r="BD368" t="s">
        <v>4</v>
      </c>
      <c r="BE368">
        <v>1812</v>
      </c>
      <c r="BF368" t="s">
        <v>148</v>
      </c>
      <c r="BG368" t="s">
        <v>6516</v>
      </c>
      <c r="BO368">
        <v>64.903800000000004</v>
      </c>
      <c r="CK368">
        <v>3</v>
      </c>
      <c r="CL368" t="s">
        <v>4</v>
      </c>
      <c r="CM368" t="s">
        <v>98</v>
      </c>
      <c r="CN368" t="s">
        <v>98</v>
      </c>
      <c r="CO368" t="s">
        <v>99</v>
      </c>
      <c r="CP368" t="s">
        <v>100</v>
      </c>
      <c r="CQ368" s="7">
        <v>368</v>
      </c>
      <c r="CR368" t="s">
        <v>100</v>
      </c>
      <c r="CS368" t="s">
        <v>101</v>
      </c>
      <c r="CT368" t="s">
        <v>152</v>
      </c>
      <c r="CU368" t="s">
        <v>102</v>
      </c>
      <c r="CV368" t="s">
        <v>100</v>
      </c>
    </row>
    <row r="369" spans="1:100">
      <c r="A369" s="3" t="s">
        <v>6517</v>
      </c>
      <c r="B369" s="4" t="s">
        <v>6518</v>
      </c>
      <c r="C369">
        <v>472.04990803546002</v>
      </c>
      <c r="D369">
        <v>1231.08763469732</v>
      </c>
      <c r="E369">
        <f>-1.38199284354212</f>
        <v>-1.38199284354212</v>
      </c>
      <c r="F369" s="5">
        <v>1.12490131188609E-8</v>
      </c>
      <c r="G369" t="s">
        <v>4</v>
      </c>
      <c r="H369">
        <v>472.04990803546002</v>
      </c>
      <c r="I369">
        <v>57.4163876493866</v>
      </c>
      <c r="J369">
        <v>3.0158274211340199</v>
      </c>
      <c r="K369" s="5">
        <v>8.2673928206392506E-30</v>
      </c>
      <c r="L369" t="s">
        <v>4</v>
      </c>
      <c r="M369">
        <v>1231.08763469732</v>
      </c>
      <c r="N369">
        <v>57.4163876493866</v>
      </c>
      <c r="O369">
        <v>4.39782026467614</v>
      </c>
      <c r="P369" s="5">
        <v>4.8428419223940198E-63</v>
      </c>
      <c r="Q369" t="s">
        <v>4</v>
      </c>
      <c r="R369" s="4" t="s">
        <v>87</v>
      </c>
      <c r="S369" t="s">
        <v>4</v>
      </c>
      <c r="T369" t="s">
        <v>92</v>
      </c>
      <c r="U369" t="s">
        <v>92</v>
      </c>
      <c r="V369" t="s">
        <v>92</v>
      </c>
      <c r="W369" t="s">
        <v>92</v>
      </c>
      <c r="X369" t="s">
        <v>4</v>
      </c>
      <c r="Y369" t="s">
        <v>92</v>
      </c>
      <c r="Z369" t="s">
        <v>92</v>
      </c>
      <c r="AA369" t="s">
        <v>92</v>
      </c>
      <c r="AB369" t="s">
        <v>4</v>
      </c>
      <c r="AC369" s="3" t="s">
        <v>93</v>
      </c>
      <c r="AD369" t="s">
        <v>4</v>
      </c>
      <c r="AE369" s="4" t="s">
        <v>94</v>
      </c>
      <c r="AZ369" t="s">
        <v>4</v>
      </c>
      <c r="BA369" s="3" t="s">
        <v>115</v>
      </c>
      <c r="BB369" s="6" t="s">
        <v>95</v>
      </c>
      <c r="BC369" s="3" t="s">
        <v>95</v>
      </c>
      <c r="BD369" t="s">
        <v>4</v>
      </c>
      <c r="BE369">
        <v>1546</v>
      </c>
      <c r="BF369" t="s">
        <v>151</v>
      </c>
      <c r="BG369">
        <v>98.373999999999995</v>
      </c>
      <c r="BH369">
        <v>99.186999999999998</v>
      </c>
      <c r="BI369">
        <v>91.869900000000001</v>
      </c>
      <c r="BJ369">
        <v>74.796700000000001</v>
      </c>
      <c r="BK369">
        <v>70.731700000000004</v>
      </c>
      <c r="BL369">
        <v>57.723599999999998</v>
      </c>
      <c r="BM369" t="s">
        <v>6519</v>
      </c>
      <c r="BN369" t="s">
        <v>6520</v>
      </c>
      <c r="BO369">
        <v>61.788600000000002</v>
      </c>
      <c r="CK369">
        <v>2</v>
      </c>
      <c r="CL369" t="s">
        <v>4</v>
      </c>
      <c r="CM369" t="s">
        <v>98</v>
      </c>
      <c r="CN369" t="s">
        <v>98</v>
      </c>
      <c r="CO369" t="s">
        <v>99</v>
      </c>
      <c r="CP369" t="s">
        <v>100</v>
      </c>
      <c r="CQ369" s="7">
        <v>369</v>
      </c>
      <c r="CR369" t="s">
        <v>100</v>
      </c>
      <c r="CS369" t="s">
        <v>101</v>
      </c>
      <c r="CT369" t="s">
        <v>152</v>
      </c>
      <c r="CU369" t="s">
        <v>102</v>
      </c>
      <c r="CV369" t="s">
        <v>100</v>
      </c>
    </row>
    <row r="370" spans="1:100">
      <c r="A370" s="3" t="s">
        <v>6521</v>
      </c>
      <c r="B370" s="4" t="s">
        <v>6522</v>
      </c>
      <c r="C370">
        <v>42.451501478234299</v>
      </c>
      <c r="D370">
        <v>91.759828481112606</v>
      </c>
      <c r="E370">
        <f>-1.10811252755334</f>
        <v>-1.1081125275533401</v>
      </c>
      <c r="F370">
        <v>2.0217625369977399E-2</v>
      </c>
      <c r="G370" t="s">
        <v>4</v>
      </c>
      <c r="H370">
        <v>42.451501478234299</v>
      </c>
      <c r="I370">
        <v>3.9574429458481899</v>
      </c>
      <c r="J370">
        <v>3.27404297485214</v>
      </c>
      <c r="K370" s="5">
        <v>6.5813933497166004E-7</v>
      </c>
      <c r="L370" t="s">
        <v>4</v>
      </c>
      <c r="M370">
        <v>91.759828481112606</v>
      </c>
      <c r="N370">
        <v>3.9574429458481899</v>
      </c>
      <c r="O370">
        <v>4.3821555024054799</v>
      </c>
      <c r="P370" s="5">
        <v>7.0985055119092699E-12</v>
      </c>
      <c r="Q370" t="s">
        <v>4</v>
      </c>
      <c r="R370" s="4" t="s">
        <v>87</v>
      </c>
      <c r="S370" t="s">
        <v>4</v>
      </c>
      <c r="T370" t="s">
        <v>6523</v>
      </c>
      <c r="U370" t="s">
        <v>6524</v>
      </c>
      <c r="V370" t="s">
        <v>6525</v>
      </c>
      <c r="W370" t="s">
        <v>328</v>
      </c>
      <c r="X370" t="s">
        <v>4</v>
      </c>
      <c r="Y370" t="s">
        <v>6526</v>
      </c>
      <c r="Z370" t="s">
        <v>6527</v>
      </c>
      <c r="AA370" t="s">
        <v>6528</v>
      </c>
      <c r="AB370" t="s">
        <v>4</v>
      </c>
      <c r="AC370" s="3" t="s">
        <v>6529</v>
      </c>
      <c r="AD370" t="s">
        <v>4</v>
      </c>
      <c r="AE370" t="s">
        <v>6530</v>
      </c>
      <c r="AF370" t="s">
        <v>6531</v>
      </c>
      <c r="AG370" t="s">
        <v>6532</v>
      </c>
      <c r="AH370" t="s">
        <v>314</v>
      </c>
      <c r="AU370" t="s">
        <v>112</v>
      </c>
      <c r="AV370" t="s">
        <v>6533</v>
      </c>
      <c r="AW370" t="s">
        <v>114</v>
      </c>
      <c r="AX370" t="s">
        <v>1308</v>
      </c>
      <c r="AY370" t="s">
        <v>6534</v>
      </c>
      <c r="AZ370" t="s">
        <v>4</v>
      </c>
      <c r="BA370" s="3" t="s">
        <v>115</v>
      </c>
      <c r="BB370" s="6" t="s">
        <v>95</v>
      </c>
      <c r="BC370" s="3" t="s">
        <v>95</v>
      </c>
      <c r="BD370" t="s">
        <v>4</v>
      </c>
      <c r="BE370">
        <v>8341</v>
      </c>
      <c r="BF370" t="s">
        <v>213</v>
      </c>
      <c r="BG370">
        <v>99.450500000000005</v>
      </c>
      <c r="BH370">
        <v>63.7363</v>
      </c>
      <c r="BI370">
        <v>97.802199999999999</v>
      </c>
      <c r="BJ370">
        <v>86.2637</v>
      </c>
      <c r="BR370">
        <v>1.0989</v>
      </c>
      <c r="BS370" t="s">
        <v>6535</v>
      </c>
      <c r="BW370">
        <v>12.6374</v>
      </c>
      <c r="BX370">
        <v>1.64835</v>
      </c>
      <c r="BY370">
        <v>0.54945100000000002</v>
      </c>
      <c r="CA370" t="s">
        <v>6536</v>
      </c>
      <c r="CB370">
        <v>1.64835</v>
      </c>
      <c r="CE370">
        <v>17.5824</v>
      </c>
      <c r="CF370" t="s">
        <v>6537</v>
      </c>
      <c r="CG370" t="s">
        <v>6538</v>
      </c>
      <c r="CH370" t="s">
        <v>6539</v>
      </c>
      <c r="CI370" t="s">
        <v>6540</v>
      </c>
      <c r="CK370">
        <v>8</v>
      </c>
      <c r="CL370" t="s">
        <v>4</v>
      </c>
      <c r="CM370" t="s">
        <v>6541</v>
      </c>
      <c r="CN370" t="s">
        <v>6542</v>
      </c>
      <c r="CO370" t="s">
        <v>99</v>
      </c>
      <c r="CP370" t="s">
        <v>100</v>
      </c>
      <c r="CQ370" s="7">
        <v>370</v>
      </c>
      <c r="CR370" t="s">
        <v>100</v>
      </c>
      <c r="CS370" t="s">
        <v>101</v>
      </c>
      <c r="CT370" t="s">
        <v>152</v>
      </c>
      <c r="CU370" t="s">
        <v>102</v>
      </c>
      <c r="CV370" t="s">
        <v>100</v>
      </c>
    </row>
    <row r="371" spans="1:100">
      <c r="A371" s="3" t="s">
        <v>6543</v>
      </c>
      <c r="B371" s="4" t="s">
        <v>6544</v>
      </c>
      <c r="C371">
        <v>1148.82625877444</v>
      </c>
      <c r="D371">
        <v>2499.1775191018901</v>
      </c>
      <c r="E371">
        <f>-1.12096884254977</f>
        <v>-1.1209688425497699</v>
      </c>
      <c r="F371" s="5">
        <v>3.0123889609812001E-7</v>
      </c>
      <c r="G371" t="s">
        <v>4</v>
      </c>
      <c r="H371">
        <v>1148.82625877444</v>
      </c>
      <c r="I371">
        <v>119.241289242877</v>
      </c>
      <c r="J371">
        <v>3.2547978110373701</v>
      </c>
      <c r="K371" s="5">
        <v>4.9672950274912998E-47</v>
      </c>
      <c r="L371" t="s">
        <v>4</v>
      </c>
      <c r="M371">
        <v>2499.1775191018901</v>
      </c>
      <c r="N371">
        <v>119.241289242877</v>
      </c>
      <c r="O371">
        <v>4.3757666535871502</v>
      </c>
      <c r="P371" s="5">
        <v>8.2987954510710905E-85</v>
      </c>
      <c r="Q371" t="s">
        <v>4</v>
      </c>
      <c r="R371" s="4" t="s">
        <v>87</v>
      </c>
      <c r="S371" t="s">
        <v>4</v>
      </c>
      <c r="T371" t="s">
        <v>684</v>
      </c>
      <c r="U371" t="s">
        <v>685</v>
      </c>
      <c r="V371" t="s">
        <v>686</v>
      </c>
      <c r="W371" t="s">
        <v>123</v>
      </c>
      <c r="X371" t="s">
        <v>4</v>
      </c>
      <c r="Y371" t="s">
        <v>3163</v>
      </c>
      <c r="Z371" t="s">
        <v>3164</v>
      </c>
      <c r="AA371" t="s">
        <v>3165</v>
      </c>
      <c r="AB371" t="s">
        <v>4</v>
      </c>
      <c r="AC371" s="3" t="s">
        <v>93</v>
      </c>
      <c r="AD371" t="s">
        <v>4</v>
      </c>
      <c r="AE371" t="s">
        <v>6545</v>
      </c>
      <c r="AF371" t="s">
        <v>6546</v>
      </c>
      <c r="AG371" t="s">
        <v>6547</v>
      </c>
      <c r="AH371" t="s">
        <v>112</v>
      </c>
      <c r="AJ371" t="s">
        <v>5070</v>
      </c>
      <c r="AL371" t="s">
        <v>5071</v>
      </c>
      <c r="AM371" t="s">
        <v>5072</v>
      </c>
      <c r="AQ371" t="s">
        <v>303</v>
      </c>
      <c r="AU371" t="s">
        <v>112</v>
      </c>
      <c r="AV371" t="s">
        <v>5073</v>
      </c>
      <c r="AW371" t="s">
        <v>114</v>
      </c>
      <c r="AX371" t="s">
        <v>144</v>
      </c>
      <c r="AY371" t="s">
        <v>5074</v>
      </c>
      <c r="AZ371" t="s">
        <v>4</v>
      </c>
      <c r="BA371" s="3" t="s">
        <v>95</v>
      </c>
      <c r="BB371" s="6" t="s">
        <v>95</v>
      </c>
      <c r="BC371" s="3" t="s">
        <v>95</v>
      </c>
      <c r="BD371" t="s">
        <v>4</v>
      </c>
      <c r="BE371">
        <v>4183</v>
      </c>
      <c r="BF371" t="s">
        <v>112</v>
      </c>
      <c r="BG371">
        <v>95.907899999999998</v>
      </c>
      <c r="BH371">
        <v>66.496200000000002</v>
      </c>
      <c r="BI371">
        <v>86.956500000000005</v>
      </c>
      <c r="BJ371">
        <v>56.265999999999998</v>
      </c>
      <c r="BK371">
        <v>50.639400000000002</v>
      </c>
      <c r="BL371">
        <v>15.089499999999999</v>
      </c>
      <c r="BM371" t="s">
        <v>6548</v>
      </c>
      <c r="BN371" t="s">
        <v>6549</v>
      </c>
      <c r="BO371">
        <v>47.058799999999998</v>
      </c>
      <c r="BP371">
        <v>21.994900000000001</v>
      </c>
      <c r="CG371" t="s">
        <v>6550</v>
      </c>
      <c r="CH371" t="s">
        <v>6551</v>
      </c>
      <c r="CI371">
        <v>13.299200000000001</v>
      </c>
      <c r="CK371">
        <v>5</v>
      </c>
      <c r="CL371" t="s">
        <v>4</v>
      </c>
      <c r="CM371" t="s">
        <v>98</v>
      </c>
      <c r="CN371" t="s">
        <v>98</v>
      </c>
      <c r="CO371" t="s">
        <v>99</v>
      </c>
      <c r="CP371" t="s">
        <v>100</v>
      </c>
      <c r="CQ371" s="7">
        <v>371</v>
      </c>
      <c r="CR371" t="s">
        <v>100</v>
      </c>
      <c r="CS371" t="s">
        <v>101</v>
      </c>
      <c r="CT371" t="s">
        <v>152</v>
      </c>
      <c r="CU371" t="s">
        <v>102</v>
      </c>
      <c r="CV371" t="s">
        <v>100</v>
      </c>
    </row>
    <row r="372" spans="1:100">
      <c r="A372" s="3" t="s">
        <v>6552</v>
      </c>
      <c r="B372" s="4" t="s">
        <v>6553</v>
      </c>
      <c r="C372">
        <v>66.780895066742701</v>
      </c>
      <c r="D372">
        <v>185.283761373196</v>
      </c>
      <c r="E372">
        <f>-1.47352104854074</f>
        <v>-1.47352104854074</v>
      </c>
      <c r="F372">
        <v>3.21830590864655E-4</v>
      </c>
      <c r="G372" t="s">
        <v>4</v>
      </c>
      <c r="H372">
        <v>66.780895066742701</v>
      </c>
      <c r="I372">
        <v>7.9643102223066702</v>
      </c>
      <c r="J372">
        <v>2.9003942576131001</v>
      </c>
      <c r="K372" s="5">
        <v>2.0398815686242E-8</v>
      </c>
      <c r="L372" t="s">
        <v>4</v>
      </c>
      <c r="M372">
        <v>185.283761373196</v>
      </c>
      <c r="N372">
        <v>7.9643102223066702</v>
      </c>
      <c r="O372">
        <v>4.3739153061538296</v>
      </c>
      <c r="P372" s="5">
        <v>2.5235162068484101E-18</v>
      </c>
      <c r="Q372" t="s">
        <v>4</v>
      </c>
      <c r="R372" s="4" t="s">
        <v>87</v>
      </c>
      <c r="S372" t="s">
        <v>4</v>
      </c>
      <c r="T372" t="s">
        <v>92</v>
      </c>
      <c r="U372" t="s">
        <v>92</v>
      </c>
      <c r="V372" t="s">
        <v>92</v>
      </c>
      <c r="W372" t="s">
        <v>92</v>
      </c>
      <c r="X372" t="s">
        <v>4</v>
      </c>
      <c r="Y372" t="s">
        <v>92</v>
      </c>
      <c r="Z372" t="s">
        <v>92</v>
      </c>
      <c r="AA372" t="s">
        <v>92</v>
      </c>
      <c r="AB372" t="s">
        <v>4</v>
      </c>
      <c r="AC372" s="3" t="s">
        <v>93</v>
      </c>
      <c r="AD372" t="s">
        <v>4</v>
      </c>
      <c r="AE372" s="4" t="s">
        <v>94</v>
      </c>
      <c r="AZ372" t="s">
        <v>4</v>
      </c>
      <c r="BA372" s="3" t="s">
        <v>115</v>
      </c>
      <c r="BB372" s="6" t="s">
        <v>95</v>
      </c>
      <c r="BC372" s="3" t="s">
        <v>95</v>
      </c>
      <c r="BD372" t="s">
        <v>4</v>
      </c>
      <c r="BE372">
        <v>1565</v>
      </c>
      <c r="BF372" t="s">
        <v>151</v>
      </c>
      <c r="BG372">
        <v>99.112399999999994</v>
      </c>
      <c r="BI372">
        <v>89.053299999999993</v>
      </c>
      <c r="CK372">
        <v>2</v>
      </c>
      <c r="CL372" t="s">
        <v>4</v>
      </c>
      <c r="CM372" t="s">
        <v>98</v>
      </c>
      <c r="CN372" t="s">
        <v>98</v>
      </c>
      <c r="CO372" t="s">
        <v>99</v>
      </c>
      <c r="CP372" t="s">
        <v>100</v>
      </c>
      <c r="CQ372" s="7">
        <v>372</v>
      </c>
      <c r="CR372" t="s">
        <v>100</v>
      </c>
      <c r="CS372" t="s">
        <v>101</v>
      </c>
      <c r="CT372" t="s">
        <v>152</v>
      </c>
      <c r="CU372" t="s">
        <v>102</v>
      </c>
      <c r="CV372" t="s">
        <v>100</v>
      </c>
    </row>
    <row r="373" spans="1:100">
      <c r="A373" s="3" t="s">
        <v>6554</v>
      </c>
      <c r="B373" s="4" t="s">
        <v>6555</v>
      </c>
      <c r="C373">
        <v>32.397604530237899</v>
      </c>
      <c r="D373">
        <v>109.259913388797</v>
      </c>
      <c r="E373">
        <f>-1.74768050470761</f>
        <v>-1.74768050470761</v>
      </c>
      <c r="F373">
        <v>1.30688154027581E-3</v>
      </c>
      <c r="G373" t="s">
        <v>4</v>
      </c>
      <c r="H373">
        <v>32.397604530237899</v>
      </c>
      <c r="I373">
        <v>4.8216798500937301</v>
      </c>
      <c r="J373">
        <v>2.5669727599416601</v>
      </c>
      <c r="K373">
        <v>1.90388587726621E-4</v>
      </c>
      <c r="L373" t="s">
        <v>4</v>
      </c>
      <c r="M373">
        <v>109.259913388797</v>
      </c>
      <c r="N373">
        <v>4.8216798500937301</v>
      </c>
      <c r="O373">
        <v>4.3146532646492801</v>
      </c>
      <c r="P373" s="5">
        <v>4.1255542590387903E-11</v>
      </c>
      <c r="Q373" t="s">
        <v>4</v>
      </c>
      <c r="R373" s="4" t="s">
        <v>87</v>
      </c>
      <c r="S373" t="s">
        <v>4</v>
      </c>
      <c r="T373" t="s">
        <v>6556</v>
      </c>
      <c r="U373" t="s">
        <v>6557</v>
      </c>
      <c r="V373" t="s">
        <v>6558</v>
      </c>
      <c r="W373" t="s">
        <v>328</v>
      </c>
      <c r="X373" t="s">
        <v>4</v>
      </c>
      <c r="Y373" t="s">
        <v>6559</v>
      </c>
      <c r="Z373" t="s">
        <v>6560</v>
      </c>
      <c r="AA373" t="s">
        <v>6561</v>
      </c>
      <c r="AB373" t="s">
        <v>4</v>
      </c>
      <c r="AC373" s="3" t="s">
        <v>6562</v>
      </c>
      <c r="AD373" t="s">
        <v>4</v>
      </c>
      <c r="AE373" t="s">
        <v>6563</v>
      </c>
      <c r="AF373" t="s">
        <v>6564</v>
      </c>
      <c r="AG373" t="s">
        <v>6565</v>
      </c>
      <c r="AH373" t="s">
        <v>314</v>
      </c>
      <c r="AU373" t="s">
        <v>112</v>
      </c>
      <c r="AV373" t="s">
        <v>6566</v>
      </c>
      <c r="AW373" t="s">
        <v>114</v>
      </c>
      <c r="AX373" t="s">
        <v>4098</v>
      </c>
      <c r="AY373" t="s">
        <v>6567</v>
      </c>
      <c r="AZ373" t="s">
        <v>4</v>
      </c>
      <c r="BA373" s="3" t="s">
        <v>95</v>
      </c>
      <c r="BB373" s="6" t="s">
        <v>95</v>
      </c>
      <c r="BC373" s="3" t="s">
        <v>95</v>
      </c>
      <c r="BD373" t="s">
        <v>4</v>
      </c>
      <c r="BE373">
        <v>7201</v>
      </c>
      <c r="BF373" t="s">
        <v>213</v>
      </c>
      <c r="BG373">
        <v>92.280699999999996</v>
      </c>
      <c r="BH373">
        <v>37.192999999999998</v>
      </c>
      <c r="BI373">
        <v>78.596500000000006</v>
      </c>
      <c r="BJ373">
        <v>36.491199999999999</v>
      </c>
      <c r="BK373">
        <v>43.157899999999998</v>
      </c>
      <c r="BL373">
        <v>42.1053</v>
      </c>
      <c r="BM373">
        <v>43.157899999999998</v>
      </c>
      <c r="BN373">
        <v>43.157899999999998</v>
      </c>
      <c r="BO373">
        <v>47.017499999999998</v>
      </c>
      <c r="BP373">
        <v>32.631599999999999</v>
      </c>
      <c r="BQ373">
        <v>22.456099999999999</v>
      </c>
      <c r="BR373">
        <v>24.912299999999998</v>
      </c>
      <c r="BS373">
        <v>22.1053</v>
      </c>
      <c r="BT373">
        <v>27.368400000000001</v>
      </c>
      <c r="BV373" t="s">
        <v>6568</v>
      </c>
      <c r="BX373">
        <v>19.649100000000001</v>
      </c>
      <c r="BY373">
        <v>17.193000000000001</v>
      </c>
      <c r="BZ373">
        <v>18.947399999999998</v>
      </c>
      <c r="CA373">
        <v>18.947399999999998</v>
      </c>
      <c r="CD373">
        <v>24.2105</v>
      </c>
      <c r="CF373">
        <v>21.052600000000002</v>
      </c>
      <c r="CG373" t="s">
        <v>6569</v>
      </c>
      <c r="CH373" t="s">
        <v>6570</v>
      </c>
      <c r="CI373" t="s">
        <v>6571</v>
      </c>
      <c r="CK373">
        <v>8</v>
      </c>
      <c r="CL373" t="s">
        <v>4</v>
      </c>
      <c r="CM373" t="s">
        <v>6572</v>
      </c>
      <c r="CN373" t="s">
        <v>6573</v>
      </c>
      <c r="CO373" t="s">
        <v>99</v>
      </c>
      <c r="CP373" t="s">
        <v>100</v>
      </c>
      <c r="CQ373" s="7">
        <v>373</v>
      </c>
      <c r="CR373" t="s">
        <v>100</v>
      </c>
      <c r="CS373" t="s">
        <v>101</v>
      </c>
      <c r="CT373" t="s">
        <v>152</v>
      </c>
      <c r="CU373" t="s">
        <v>102</v>
      </c>
      <c r="CV373" t="s">
        <v>100</v>
      </c>
    </row>
    <row r="374" spans="1:100">
      <c r="A374" s="3" t="s">
        <v>6574</v>
      </c>
      <c r="B374" s="4" t="s">
        <v>6575</v>
      </c>
      <c r="C374">
        <v>204.78871082643499</v>
      </c>
      <c r="D374">
        <v>671.62512765653901</v>
      </c>
      <c r="E374">
        <f>-1.71336406251217</f>
        <v>-1.71336406251217</v>
      </c>
      <c r="F374" s="5">
        <v>1.0887968038196801E-5</v>
      </c>
      <c r="G374" t="s">
        <v>4</v>
      </c>
      <c r="H374">
        <v>204.78871082643499</v>
      </c>
      <c r="I374">
        <v>34.364646780536297</v>
      </c>
      <c r="J374">
        <v>2.5836006841558001</v>
      </c>
      <c r="K374" s="5">
        <v>3.7963018533793798E-10</v>
      </c>
      <c r="L374" t="s">
        <v>4</v>
      </c>
      <c r="M374">
        <v>671.62512765653901</v>
      </c>
      <c r="N374">
        <v>34.364646780536297</v>
      </c>
      <c r="O374">
        <v>4.2969647466679701</v>
      </c>
      <c r="P374" s="5">
        <v>9.6321092247333402E-27</v>
      </c>
      <c r="Q374" t="s">
        <v>4</v>
      </c>
      <c r="R374" s="4" t="s">
        <v>87</v>
      </c>
      <c r="S374" t="s">
        <v>4</v>
      </c>
      <c r="T374" t="s">
        <v>92</v>
      </c>
      <c r="U374" t="s">
        <v>92</v>
      </c>
      <c r="V374" t="s">
        <v>92</v>
      </c>
      <c r="W374" t="s">
        <v>92</v>
      </c>
      <c r="X374" t="s">
        <v>4</v>
      </c>
      <c r="Y374" t="s">
        <v>92</v>
      </c>
      <c r="Z374" t="s">
        <v>92</v>
      </c>
      <c r="AA374" t="s">
        <v>92</v>
      </c>
      <c r="AB374" t="s">
        <v>4</v>
      </c>
      <c r="AC374" s="3" t="s">
        <v>6576</v>
      </c>
      <c r="AD374" t="s">
        <v>4</v>
      </c>
      <c r="AE374" s="4" t="s">
        <v>94</v>
      </c>
      <c r="AZ374" t="s">
        <v>4</v>
      </c>
      <c r="BA374" s="3" t="s">
        <v>95</v>
      </c>
      <c r="BB374" s="6" t="s">
        <v>95</v>
      </c>
      <c r="BC374" s="3" t="s">
        <v>95</v>
      </c>
      <c r="BD374" t="s">
        <v>4</v>
      </c>
      <c r="BE374">
        <v>2055</v>
      </c>
      <c r="BF374" t="s">
        <v>148</v>
      </c>
      <c r="BG374">
        <v>98.016999999999996</v>
      </c>
      <c r="BH374">
        <v>44.334299999999999</v>
      </c>
      <c r="BI374">
        <v>95.467399999999998</v>
      </c>
      <c r="BJ374">
        <v>55.948999999999998</v>
      </c>
      <c r="BK374">
        <v>21.954699999999999</v>
      </c>
      <c r="BL374" t="s">
        <v>6577</v>
      </c>
      <c r="BM374">
        <v>46.4589</v>
      </c>
      <c r="BN374">
        <v>46.4589</v>
      </c>
      <c r="BO374">
        <v>49.433399999999999</v>
      </c>
      <c r="CK374">
        <v>3</v>
      </c>
      <c r="CL374" t="s">
        <v>4</v>
      </c>
      <c r="CM374" t="s">
        <v>98</v>
      </c>
      <c r="CN374" t="s">
        <v>98</v>
      </c>
      <c r="CO374" t="s">
        <v>99</v>
      </c>
      <c r="CP374" t="s">
        <v>100</v>
      </c>
      <c r="CQ374" s="7">
        <v>374</v>
      </c>
      <c r="CR374" t="s">
        <v>100</v>
      </c>
      <c r="CS374" t="s">
        <v>101</v>
      </c>
      <c r="CT374" t="s">
        <v>152</v>
      </c>
      <c r="CU374" t="s">
        <v>102</v>
      </c>
      <c r="CV374" t="s">
        <v>100</v>
      </c>
    </row>
    <row r="375" spans="1:100">
      <c r="A375" s="3" t="s">
        <v>6578</v>
      </c>
      <c r="B375" s="4" t="s">
        <v>6579</v>
      </c>
      <c r="C375">
        <v>498.003387413268</v>
      </c>
      <c r="D375">
        <v>1352.6419226759001</v>
      </c>
      <c r="E375">
        <f>-1.44084731590834</f>
        <v>-1.4408473159083399</v>
      </c>
      <c r="F375" s="5">
        <v>1.8926762059576E-14</v>
      </c>
      <c r="G375" t="s">
        <v>4</v>
      </c>
      <c r="H375">
        <v>498.003387413268</v>
      </c>
      <c r="I375">
        <v>67.699909706943998</v>
      </c>
      <c r="J375">
        <v>2.8537623827712699</v>
      </c>
      <c r="K375" s="5">
        <v>3.3336819513963701E-39</v>
      </c>
      <c r="L375" t="s">
        <v>4</v>
      </c>
      <c r="M375">
        <v>1352.6419226759001</v>
      </c>
      <c r="N375">
        <v>67.699909706943998</v>
      </c>
      <c r="O375">
        <v>4.2946096986796096</v>
      </c>
      <c r="P375" s="5">
        <v>6.9048460900945403E-89</v>
      </c>
      <c r="Q375" t="s">
        <v>4</v>
      </c>
      <c r="R375" s="4" t="s">
        <v>87</v>
      </c>
      <c r="S375" t="s">
        <v>4</v>
      </c>
      <c r="T375" t="s">
        <v>6580</v>
      </c>
      <c r="U375" t="s">
        <v>6581</v>
      </c>
      <c r="V375" t="s">
        <v>6582</v>
      </c>
      <c r="W375" t="s">
        <v>328</v>
      </c>
      <c r="X375" t="s">
        <v>4</v>
      </c>
      <c r="Y375" t="s">
        <v>6583</v>
      </c>
      <c r="Z375" t="s">
        <v>6584</v>
      </c>
      <c r="AA375" t="s">
        <v>6585</v>
      </c>
      <c r="AB375" t="s">
        <v>4</v>
      </c>
      <c r="AC375" s="3" t="s">
        <v>6586</v>
      </c>
      <c r="AD375" t="s">
        <v>4</v>
      </c>
      <c r="AE375" t="s">
        <v>6587</v>
      </c>
      <c r="AF375" t="s">
        <v>6588</v>
      </c>
      <c r="AG375" t="s">
        <v>6589</v>
      </c>
      <c r="AH375" t="s">
        <v>112</v>
      </c>
      <c r="AK375" t="s">
        <v>163</v>
      </c>
      <c r="AL375" t="s">
        <v>6590</v>
      </c>
      <c r="AM375" t="s">
        <v>6591</v>
      </c>
      <c r="AQ375" t="s">
        <v>6592</v>
      </c>
      <c r="AU375" t="s">
        <v>112</v>
      </c>
      <c r="AV375" t="s">
        <v>6593</v>
      </c>
      <c r="AW375" t="s">
        <v>114</v>
      </c>
      <c r="AX375" t="s">
        <v>167</v>
      </c>
      <c r="AY375" t="s">
        <v>212</v>
      </c>
      <c r="AZ375" t="s">
        <v>4</v>
      </c>
      <c r="BA375" s="3" t="s">
        <v>95</v>
      </c>
      <c r="BB375" s="6" t="s">
        <v>95</v>
      </c>
      <c r="BC375" s="3" t="s">
        <v>95</v>
      </c>
      <c r="BD375" t="s">
        <v>4</v>
      </c>
      <c r="BE375">
        <v>5308</v>
      </c>
      <c r="BF375" t="s">
        <v>386</v>
      </c>
      <c r="BG375">
        <v>100</v>
      </c>
      <c r="BH375">
        <v>100</v>
      </c>
      <c r="BI375">
        <v>93.75</v>
      </c>
      <c r="BJ375">
        <v>91.776300000000006</v>
      </c>
      <c r="BK375">
        <v>87.5</v>
      </c>
      <c r="BL375">
        <v>68.75</v>
      </c>
      <c r="BM375">
        <v>90.789500000000004</v>
      </c>
      <c r="BN375">
        <v>90.789500000000004</v>
      </c>
      <c r="BO375">
        <v>91.118399999999994</v>
      </c>
      <c r="BP375">
        <v>60.526299999999999</v>
      </c>
      <c r="BQ375">
        <v>60.197400000000002</v>
      </c>
      <c r="BR375" t="s">
        <v>6594</v>
      </c>
      <c r="BS375" t="s">
        <v>6595</v>
      </c>
      <c r="BW375">
        <v>55.592100000000002</v>
      </c>
      <c r="BX375" t="s">
        <v>6596</v>
      </c>
      <c r="BZ375">
        <v>41.447400000000002</v>
      </c>
      <c r="CA375">
        <v>52.960500000000003</v>
      </c>
      <c r="CB375">
        <v>28.947399999999998</v>
      </c>
      <c r="CE375">
        <v>53.289499999999997</v>
      </c>
      <c r="CG375">
        <v>63.486800000000002</v>
      </c>
      <c r="CH375">
        <v>61.513199999999998</v>
      </c>
      <c r="CI375">
        <v>59.539499999999997</v>
      </c>
      <c r="CK375">
        <v>7</v>
      </c>
      <c r="CL375" t="s">
        <v>4</v>
      </c>
      <c r="CM375" t="s">
        <v>6597</v>
      </c>
      <c r="CN375" t="s">
        <v>6598</v>
      </c>
      <c r="CO375" t="s">
        <v>219</v>
      </c>
      <c r="CP375" t="s">
        <v>100</v>
      </c>
      <c r="CQ375" s="7">
        <v>375</v>
      </c>
      <c r="CR375" t="s">
        <v>100</v>
      </c>
      <c r="CS375" t="s">
        <v>101</v>
      </c>
      <c r="CT375" t="s">
        <v>152</v>
      </c>
      <c r="CU375" t="s">
        <v>102</v>
      </c>
      <c r="CV375" t="s">
        <v>4823</v>
      </c>
    </row>
    <row r="376" spans="1:100">
      <c r="A376" s="3" t="s">
        <v>6599</v>
      </c>
      <c r="B376" s="4" t="s">
        <v>6600</v>
      </c>
      <c r="C376">
        <v>3927.4003572586998</v>
      </c>
      <c r="D376">
        <v>8472.2950196879301</v>
      </c>
      <c r="E376">
        <f>-1.10915273888114</f>
        <v>-1.10915273888114</v>
      </c>
      <c r="F376" s="5">
        <v>8.4326971597034096E-10</v>
      </c>
      <c r="G376" t="s">
        <v>4</v>
      </c>
      <c r="H376">
        <v>3927.4003572586998</v>
      </c>
      <c r="I376">
        <v>434.93164454239502</v>
      </c>
      <c r="J376">
        <v>3.1713508056716302</v>
      </c>
      <c r="K376" s="5">
        <v>2.23566682503245E-70</v>
      </c>
      <c r="L376" t="s">
        <v>4</v>
      </c>
      <c r="M376">
        <v>8472.2950196879301</v>
      </c>
      <c r="N376">
        <v>434.93164454239502</v>
      </c>
      <c r="O376">
        <v>4.2805035445527704</v>
      </c>
      <c r="P376" s="5">
        <v>7.1041583985751899E-128</v>
      </c>
      <c r="Q376" t="s">
        <v>4</v>
      </c>
      <c r="R376" s="4" t="s">
        <v>87</v>
      </c>
      <c r="S376" t="s">
        <v>4</v>
      </c>
      <c r="T376" t="s">
        <v>92</v>
      </c>
      <c r="U376" t="s">
        <v>92</v>
      </c>
      <c r="V376" t="s">
        <v>92</v>
      </c>
      <c r="W376" t="s">
        <v>92</v>
      </c>
      <c r="X376" t="s">
        <v>4</v>
      </c>
      <c r="Y376" t="s">
        <v>6601</v>
      </c>
      <c r="Z376" t="s">
        <v>6602</v>
      </c>
      <c r="AA376" t="s">
        <v>6603</v>
      </c>
      <c r="AB376" t="s">
        <v>4</v>
      </c>
      <c r="AC376" s="3" t="s">
        <v>6604</v>
      </c>
      <c r="AD376" t="s">
        <v>4</v>
      </c>
      <c r="AE376" t="s">
        <v>6605</v>
      </c>
      <c r="AF376" t="s">
        <v>834</v>
      </c>
      <c r="AG376" t="s">
        <v>6606</v>
      </c>
      <c r="AH376" t="s">
        <v>282</v>
      </c>
      <c r="AU376" t="s">
        <v>112</v>
      </c>
      <c r="AV376" t="s">
        <v>6607</v>
      </c>
      <c r="AW376" t="s">
        <v>114</v>
      </c>
      <c r="AX376" t="s">
        <v>6608</v>
      </c>
      <c r="AY376" t="s">
        <v>6609</v>
      </c>
      <c r="AZ376" t="s">
        <v>4</v>
      </c>
      <c r="BA376" s="3" t="s">
        <v>115</v>
      </c>
      <c r="BB376" s="6" t="s">
        <v>95</v>
      </c>
      <c r="BC376" s="3" t="s">
        <v>95</v>
      </c>
      <c r="BD376" t="s">
        <v>4</v>
      </c>
      <c r="BE376">
        <v>7464</v>
      </c>
      <c r="BF376" t="s">
        <v>213</v>
      </c>
      <c r="BG376">
        <v>83.983999999999995</v>
      </c>
      <c r="BI376" t="s">
        <v>6610</v>
      </c>
      <c r="BJ376">
        <v>69.269300000000001</v>
      </c>
      <c r="BK376">
        <v>67.968000000000004</v>
      </c>
      <c r="BN376" t="s">
        <v>6611</v>
      </c>
      <c r="BO376">
        <v>69.269300000000001</v>
      </c>
      <c r="BP376">
        <v>31.831800000000001</v>
      </c>
      <c r="BQ376" t="s">
        <v>6612</v>
      </c>
      <c r="BT376">
        <v>18.118099999999998</v>
      </c>
      <c r="BV376" t="s">
        <v>6613</v>
      </c>
      <c r="CB376">
        <v>13.513500000000001</v>
      </c>
      <c r="CC376">
        <v>17.517499999999998</v>
      </c>
      <c r="CD376">
        <v>17.517499999999998</v>
      </c>
      <c r="CG376">
        <v>12.4124</v>
      </c>
      <c r="CH376">
        <v>12.012</v>
      </c>
      <c r="CI376" t="s">
        <v>6614</v>
      </c>
      <c r="CK376">
        <v>8</v>
      </c>
      <c r="CL376" t="s">
        <v>4</v>
      </c>
      <c r="CM376" t="s">
        <v>98</v>
      </c>
      <c r="CN376" t="s">
        <v>98</v>
      </c>
      <c r="CO376" t="s">
        <v>99</v>
      </c>
      <c r="CP376" t="s">
        <v>100</v>
      </c>
      <c r="CQ376" s="7">
        <v>376</v>
      </c>
      <c r="CR376" t="s">
        <v>100</v>
      </c>
      <c r="CS376" t="s">
        <v>101</v>
      </c>
      <c r="CT376" t="s">
        <v>152</v>
      </c>
      <c r="CU376" t="s">
        <v>102</v>
      </c>
      <c r="CV376" t="s">
        <v>100</v>
      </c>
    </row>
    <row r="377" spans="1:100">
      <c r="A377" s="3" t="s">
        <v>6615</v>
      </c>
      <c r="B377" s="4" t="s">
        <v>6616</v>
      </c>
      <c r="C377">
        <v>1880.8591016139101</v>
      </c>
      <c r="D377">
        <v>3875.4508718839602</v>
      </c>
      <c r="E377">
        <f>-1.04336401231559</f>
        <v>-1.0433640123155901</v>
      </c>
      <c r="F377" s="5">
        <v>4.03904248947479E-6</v>
      </c>
      <c r="G377" t="s">
        <v>4</v>
      </c>
      <c r="H377">
        <v>1880.8591016139101</v>
      </c>
      <c r="I377">
        <v>200.385824466364</v>
      </c>
      <c r="J377">
        <v>3.23210646143963</v>
      </c>
      <c r="K377" s="5">
        <v>2.9428697379447102E-47</v>
      </c>
      <c r="L377" t="s">
        <v>4</v>
      </c>
      <c r="M377">
        <v>3875.4508718839602</v>
      </c>
      <c r="N377">
        <v>200.385824466364</v>
      </c>
      <c r="O377">
        <v>4.2754704737552203</v>
      </c>
      <c r="P377" s="5">
        <v>2.0627974608100999E-82</v>
      </c>
      <c r="Q377" t="s">
        <v>4</v>
      </c>
      <c r="R377" s="4" t="s">
        <v>87</v>
      </c>
      <c r="S377" t="s">
        <v>4</v>
      </c>
      <c r="T377" t="s">
        <v>6617</v>
      </c>
      <c r="U377" t="s">
        <v>6618</v>
      </c>
      <c r="V377" t="s">
        <v>6619</v>
      </c>
      <c r="W377" t="s">
        <v>328</v>
      </c>
      <c r="X377" t="s">
        <v>4</v>
      </c>
      <c r="Y377" t="s">
        <v>6620</v>
      </c>
      <c r="Z377" t="s">
        <v>6621</v>
      </c>
      <c r="AA377" t="s">
        <v>6622</v>
      </c>
      <c r="AB377" t="s">
        <v>4</v>
      </c>
      <c r="AC377" s="3" t="s">
        <v>6623</v>
      </c>
      <c r="AD377" t="s">
        <v>4</v>
      </c>
      <c r="AE377" t="s">
        <v>6624</v>
      </c>
      <c r="AF377" t="s">
        <v>834</v>
      </c>
      <c r="AG377" t="s">
        <v>6625</v>
      </c>
      <c r="AH377" t="s">
        <v>112</v>
      </c>
      <c r="AJ377" t="s">
        <v>6626</v>
      </c>
      <c r="AK377" t="s">
        <v>6627</v>
      </c>
      <c r="AL377" t="s">
        <v>6628</v>
      </c>
      <c r="AM377" t="s">
        <v>6629</v>
      </c>
      <c r="AN377" t="s">
        <v>6630</v>
      </c>
      <c r="AQ377" t="s">
        <v>6631</v>
      </c>
      <c r="AU377" t="s">
        <v>112</v>
      </c>
      <c r="AV377" t="s">
        <v>6632</v>
      </c>
      <c r="AW377" t="s">
        <v>114</v>
      </c>
      <c r="AX377" t="s">
        <v>733</v>
      </c>
      <c r="AY377" t="s">
        <v>6633</v>
      </c>
      <c r="AZ377" t="s">
        <v>4</v>
      </c>
      <c r="BA377" s="3" t="s">
        <v>95</v>
      </c>
      <c r="BB377" s="6" t="s">
        <v>95</v>
      </c>
      <c r="BC377" s="3" t="s">
        <v>95</v>
      </c>
      <c r="BD377" t="s">
        <v>4</v>
      </c>
      <c r="BE377">
        <v>9711</v>
      </c>
      <c r="BF377" t="s">
        <v>169</v>
      </c>
      <c r="BG377">
        <v>98.552300000000002</v>
      </c>
      <c r="BH377">
        <v>41.536700000000003</v>
      </c>
      <c r="BI377">
        <v>97.772800000000004</v>
      </c>
      <c r="BJ377">
        <v>93.986599999999996</v>
      </c>
      <c r="BK377">
        <v>88.084599999999995</v>
      </c>
      <c r="BL377">
        <v>26.0579</v>
      </c>
      <c r="BM377">
        <v>93.4298</v>
      </c>
      <c r="BN377">
        <v>93.541200000000003</v>
      </c>
      <c r="BO377">
        <v>93.763900000000007</v>
      </c>
      <c r="BP377">
        <v>69.710499999999996</v>
      </c>
      <c r="BQ377">
        <v>53.118000000000002</v>
      </c>
      <c r="BR377" t="s">
        <v>6634</v>
      </c>
      <c r="BS377">
        <v>62.360799999999998</v>
      </c>
      <c r="BT377">
        <v>55.122500000000002</v>
      </c>
      <c r="BU377">
        <v>60.690399999999997</v>
      </c>
      <c r="BV377" t="s">
        <v>6635</v>
      </c>
      <c r="BW377">
        <v>60.579099999999997</v>
      </c>
      <c r="BX377">
        <v>66.147000000000006</v>
      </c>
      <c r="BY377">
        <v>42.204900000000002</v>
      </c>
      <c r="BZ377">
        <v>67.706000000000003</v>
      </c>
      <c r="CA377">
        <v>66.592399999999998</v>
      </c>
      <c r="CB377" t="s">
        <v>6636</v>
      </c>
      <c r="CC377">
        <v>45.7684</v>
      </c>
      <c r="CD377">
        <v>54.899799999999999</v>
      </c>
      <c r="CE377">
        <v>49.331800000000001</v>
      </c>
      <c r="CF377">
        <v>53.897500000000001</v>
      </c>
      <c r="CG377">
        <v>14.476599999999999</v>
      </c>
      <c r="CH377">
        <v>14.587999999999999</v>
      </c>
      <c r="CI377">
        <v>55.902000000000001</v>
      </c>
      <c r="CJ377">
        <v>42.316299999999998</v>
      </c>
      <c r="CK377">
        <v>9</v>
      </c>
      <c r="CL377" t="s">
        <v>4</v>
      </c>
      <c r="CM377" t="s">
        <v>6637</v>
      </c>
      <c r="CN377" t="s">
        <v>6638</v>
      </c>
      <c r="CO377" t="s">
        <v>1218</v>
      </c>
      <c r="CP377" t="s">
        <v>100</v>
      </c>
      <c r="CQ377" s="7">
        <v>377</v>
      </c>
      <c r="CR377" t="s">
        <v>100</v>
      </c>
      <c r="CS377" t="s">
        <v>101</v>
      </c>
      <c r="CT377" t="s">
        <v>152</v>
      </c>
      <c r="CU377" t="s">
        <v>102</v>
      </c>
      <c r="CV377" t="s">
        <v>100</v>
      </c>
    </row>
    <row r="378" spans="1:100">
      <c r="A378" s="3" t="s">
        <v>6639</v>
      </c>
      <c r="B378" s="4" t="s">
        <v>6640</v>
      </c>
      <c r="C378">
        <v>46.303452912455803</v>
      </c>
      <c r="D378">
        <v>172.67526948301801</v>
      </c>
      <c r="E378">
        <f>-1.89647120769795</f>
        <v>-1.89647120769795</v>
      </c>
      <c r="F378">
        <v>2.0778851235251001E-4</v>
      </c>
      <c r="G378" t="s">
        <v>4</v>
      </c>
      <c r="H378">
        <v>46.303452912455803</v>
      </c>
      <c r="I378">
        <v>9.5540229348363894</v>
      </c>
      <c r="J378">
        <v>2.3090713241993899</v>
      </c>
      <c r="K378">
        <v>1.29610297733974E-4</v>
      </c>
      <c r="L378" t="s">
        <v>4</v>
      </c>
      <c r="M378">
        <v>172.67526948301801</v>
      </c>
      <c r="N378">
        <v>9.5540229348363894</v>
      </c>
      <c r="O378">
        <v>4.2055425318973398</v>
      </c>
      <c r="P378" s="5">
        <v>2.09187546851439E-13</v>
      </c>
      <c r="Q378" t="s">
        <v>4</v>
      </c>
      <c r="R378" s="4" t="s">
        <v>87</v>
      </c>
      <c r="S378" t="s">
        <v>4</v>
      </c>
      <c r="T378" t="s">
        <v>92</v>
      </c>
      <c r="U378" t="s">
        <v>92</v>
      </c>
      <c r="V378" t="s">
        <v>92</v>
      </c>
      <c r="W378" t="s">
        <v>92</v>
      </c>
      <c r="X378" t="s">
        <v>4</v>
      </c>
      <c r="Y378" t="s">
        <v>92</v>
      </c>
      <c r="Z378" t="s">
        <v>92</v>
      </c>
      <c r="AA378" t="s">
        <v>92</v>
      </c>
      <c r="AB378" t="s">
        <v>4</v>
      </c>
      <c r="AC378" s="3" t="s">
        <v>93</v>
      </c>
      <c r="AD378" t="s">
        <v>4</v>
      </c>
      <c r="AE378" s="4" t="s">
        <v>94</v>
      </c>
      <c r="AZ378" t="s">
        <v>4</v>
      </c>
      <c r="BA378" s="3" t="s">
        <v>95</v>
      </c>
      <c r="BB378" s="6" t="s">
        <v>95</v>
      </c>
      <c r="BC378" s="3" t="s">
        <v>197</v>
      </c>
      <c r="BD378" t="s">
        <v>4</v>
      </c>
      <c r="BE378">
        <v>3090</v>
      </c>
      <c r="BF378" t="s">
        <v>97</v>
      </c>
      <c r="BG378">
        <v>96.774199999999993</v>
      </c>
      <c r="BH378">
        <v>100</v>
      </c>
      <c r="BJ378">
        <v>82.258099999999999</v>
      </c>
      <c r="BK378">
        <v>75.806399999999996</v>
      </c>
      <c r="BL378">
        <v>75</v>
      </c>
      <c r="BM378">
        <v>78.225800000000007</v>
      </c>
      <c r="BO378">
        <v>67.741900000000001</v>
      </c>
      <c r="CK378">
        <v>4</v>
      </c>
      <c r="CL378" t="s">
        <v>4</v>
      </c>
      <c r="CM378" t="s">
        <v>98</v>
      </c>
      <c r="CN378" t="s">
        <v>98</v>
      </c>
      <c r="CO378" t="s">
        <v>99</v>
      </c>
      <c r="CP378" t="s">
        <v>100</v>
      </c>
      <c r="CQ378" s="7">
        <v>378</v>
      </c>
      <c r="CR378" t="s">
        <v>100</v>
      </c>
      <c r="CS378" t="s">
        <v>101</v>
      </c>
      <c r="CT378" t="s">
        <v>152</v>
      </c>
      <c r="CU378" t="s">
        <v>102</v>
      </c>
      <c r="CV378" t="s">
        <v>100</v>
      </c>
    </row>
    <row r="379" spans="1:100">
      <c r="A379" s="3" t="s">
        <v>6641</v>
      </c>
      <c r="B379" s="4" t="s">
        <v>6642</v>
      </c>
      <c r="C379">
        <v>53.726606674901397</v>
      </c>
      <c r="D379">
        <v>172.64497449528801</v>
      </c>
      <c r="E379">
        <f>-1.68600058268471</f>
        <v>-1.68600058268471</v>
      </c>
      <c r="F379">
        <v>2.4758497050080301E-4</v>
      </c>
      <c r="G379" t="s">
        <v>4</v>
      </c>
      <c r="H379">
        <v>53.726606674901397</v>
      </c>
      <c r="I379">
        <v>8.8825541060527193</v>
      </c>
      <c r="J379">
        <v>2.4917277763676302</v>
      </c>
      <c r="K379" s="5">
        <v>7.1665135033734698E-6</v>
      </c>
      <c r="L379" t="s">
        <v>4</v>
      </c>
      <c r="M379">
        <v>172.64497449528801</v>
      </c>
      <c r="N379">
        <v>8.8825541060527193</v>
      </c>
      <c r="O379">
        <v>4.17772835905234</v>
      </c>
      <c r="P379" s="5">
        <v>3.6828922619685099E-15</v>
      </c>
      <c r="Q379" t="s">
        <v>4</v>
      </c>
      <c r="R379" s="4" t="s">
        <v>87</v>
      </c>
      <c r="S379" t="s">
        <v>4</v>
      </c>
      <c r="T379" t="s">
        <v>460</v>
      </c>
      <c r="U379" t="s">
        <v>461</v>
      </c>
      <c r="V379" t="s">
        <v>462</v>
      </c>
      <c r="W379" t="s">
        <v>123</v>
      </c>
      <c r="X379" t="s">
        <v>4</v>
      </c>
      <c r="Y379" t="s">
        <v>6643</v>
      </c>
      <c r="Z379" t="s">
        <v>6644</v>
      </c>
      <c r="AA379" t="s">
        <v>6645</v>
      </c>
      <c r="AB379" t="s">
        <v>4</v>
      </c>
      <c r="AC379" s="3" t="s">
        <v>93</v>
      </c>
      <c r="AD379" t="s">
        <v>4</v>
      </c>
      <c r="AE379" t="s">
        <v>3190</v>
      </c>
      <c r="AF379" t="s">
        <v>6646</v>
      </c>
      <c r="AG379" t="s">
        <v>6647</v>
      </c>
      <c r="AH379" t="s">
        <v>112</v>
      </c>
      <c r="AJ379" t="s">
        <v>3193</v>
      </c>
      <c r="AK379" t="s">
        <v>3194</v>
      </c>
      <c r="AL379" t="s">
        <v>3195</v>
      </c>
      <c r="AM379" t="s">
        <v>3196</v>
      </c>
      <c r="AQ379" t="s">
        <v>3197</v>
      </c>
      <c r="AU379" t="s">
        <v>112</v>
      </c>
      <c r="AV379" t="s">
        <v>3198</v>
      </c>
      <c r="AW379" t="s">
        <v>114</v>
      </c>
      <c r="AX379" t="s">
        <v>2157</v>
      </c>
      <c r="AY379" t="s">
        <v>3199</v>
      </c>
      <c r="AZ379" t="s">
        <v>4</v>
      </c>
      <c r="BA379" s="3" t="s">
        <v>115</v>
      </c>
      <c r="BB379" s="6" t="s">
        <v>95</v>
      </c>
      <c r="BC379" s="3" t="s">
        <v>95</v>
      </c>
      <c r="BD379" t="s">
        <v>4</v>
      </c>
      <c r="BE379">
        <v>1588</v>
      </c>
      <c r="BF379" t="s">
        <v>151</v>
      </c>
      <c r="BG379">
        <v>63.157899999999998</v>
      </c>
      <c r="BJ379" t="s">
        <v>6648</v>
      </c>
      <c r="CK379">
        <v>2</v>
      </c>
      <c r="CL379" t="s">
        <v>4</v>
      </c>
      <c r="CM379" t="s">
        <v>98</v>
      </c>
      <c r="CN379" t="s">
        <v>98</v>
      </c>
      <c r="CO379" t="s">
        <v>99</v>
      </c>
      <c r="CP379" t="s">
        <v>100</v>
      </c>
      <c r="CQ379" s="7">
        <v>379</v>
      </c>
      <c r="CR379" t="s">
        <v>100</v>
      </c>
      <c r="CS379" t="s">
        <v>101</v>
      </c>
      <c r="CT379" t="s">
        <v>152</v>
      </c>
      <c r="CU379" t="s">
        <v>102</v>
      </c>
      <c r="CV379" t="s">
        <v>100</v>
      </c>
    </row>
    <row r="380" spans="1:100">
      <c r="A380" s="3" t="s">
        <v>6649</v>
      </c>
      <c r="B380" s="4" t="s">
        <v>6650</v>
      </c>
      <c r="C380">
        <v>152.943812359796</v>
      </c>
      <c r="D380">
        <v>609.15443676353095</v>
      </c>
      <c r="E380">
        <f>-1.99345773651245</f>
        <v>-1.99345773651245</v>
      </c>
      <c r="F380" s="5">
        <v>9.7710895473373404E-7</v>
      </c>
      <c r="G380" t="s">
        <v>4</v>
      </c>
      <c r="H380">
        <v>152.943812359796</v>
      </c>
      <c r="I380">
        <v>33.771342076848498</v>
      </c>
      <c r="J380">
        <v>2.1806427336761298</v>
      </c>
      <c r="K380" s="5">
        <v>5.8145252302029004E-7</v>
      </c>
      <c r="L380" t="s">
        <v>4</v>
      </c>
      <c r="M380">
        <v>609.15443676353095</v>
      </c>
      <c r="N380">
        <v>33.771342076848498</v>
      </c>
      <c r="O380">
        <v>4.1741004701885798</v>
      </c>
      <c r="P380" s="5">
        <v>2.4291483210036299E-23</v>
      </c>
      <c r="Q380" t="s">
        <v>4</v>
      </c>
      <c r="R380" s="4" t="s">
        <v>87</v>
      </c>
      <c r="S380" t="s">
        <v>4</v>
      </c>
      <c r="T380" t="s">
        <v>92</v>
      </c>
      <c r="U380" t="s">
        <v>92</v>
      </c>
      <c r="V380" t="s">
        <v>92</v>
      </c>
      <c r="W380" t="s">
        <v>92</v>
      </c>
      <c r="X380" t="s">
        <v>4</v>
      </c>
      <c r="Y380" t="s">
        <v>1355</v>
      </c>
      <c r="Z380" t="s">
        <v>1356</v>
      </c>
      <c r="AA380" t="s">
        <v>1357</v>
      </c>
      <c r="AB380" t="s">
        <v>4</v>
      </c>
      <c r="AC380" s="3" t="s">
        <v>93</v>
      </c>
      <c r="AD380" t="s">
        <v>4</v>
      </c>
      <c r="AE380" t="s">
        <v>6651</v>
      </c>
      <c r="AF380" t="s">
        <v>6652</v>
      </c>
      <c r="AG380" t="s">
        <v>6653</v>
      </c>
      <c r="AH380" t="s">
        <v>112</v>
      </c>
      <c r="AU380" t="s">
        <v>112</v>
      </c>
      <c r="AV380" t="s">
        <v>6654</v>
      </c>
      <c r="AW380" t="s">
        <v>114</v>
      </c>
      <c r="AX380" t="s">
        <v>144</v>
      </c>
      <c r="AY380" t="s">
        <v>1363</v>
      </c>
      <c r="AZ380" t="s">
        <v>4</v>
      </c>
      <c r="BA380" s="3" t="s">
        <v>95</v>
      </c>
      <c r="BB380" s="6" t="s">
        <v>95</v>
      </c>
      <c r="BC380" s="3" t="s">
        <v>95</v>
      </c>
      <c r="BD380" t="s">
        <v>4</v>
      </c>
      <c r="BE380">
        <v>4547</v>
      </c>
      <c r="BF380" t="s">
        <v>112</v>
      </c>
      <c r="BG380">
        <v>70.512799999999999</v>
      </c>
      <c r="BK380">
        <v>30.9955</v>
      </c>
      <c r="BN380">
        <v>30.165900000000001</v>
      </c>
      <c r="BO380">
        <v>30.618400000000001</v>
      </c>
      <c r="BQ380">
        <v>17.496200000000002</v>
      </c>
      <c r="BR380">
        <v>17.4208</v>
      </c>
      <c r="BS380">
        <v>19.532399999999999</v>
      </c>
      <c r="BT380">
        <v>16.5913</v>
      </c>
      <c r="BW380">
        <v>17.948699999999999</v>
      </c>
      <c r="BX380">
        <v>16.2896</v>
      </c>
      <c r="BY380">
        <v>12.4434</v>
      </c>
      <c r="BZ380" t="s">
        <v>6655</v>
      </c>
      <c r="CA380">
        <v>16.4404</v>
      </c>
      <c r="CF380" t="s">
        <v>6656</v>
      </c>
      <c r="CK380">
        <v>5</v>
      </c>
      <c r="CL380" t="s">
        <v>4</v>
      </c>
      <c r="CM380" t="s">
        <v>6657</v>
      </c>
      <c r="CN380" t="s">
        <v>6658</v>
      </c>
      <c r="CO380" t="s">
        <v>99</v>
      </c>
      <c r="CP380" t="s">
        <v>100</v>
      </c>
      <c r="CQ380" s="7">
        <v>380</v>
      </c>
      <c r="CR380" t="s">
        <v>100</v>
      </c>
      <c r="CS380" t="s">
        <v>101</v>
      </c>
      <c r="CT380" t="s">
        <v>152</v>
      </c>
      <c r="CU380" t="s">
        <v>102</v>
      </c>
      <c r="CV380" t="s">
        <v>100</v>
      </c>
    </row>
    <row r="381" spans="1:100">
      <c r="A381" s="3" t="s">
        <v>6659</v>
      </c>
      <c r="B381" s="4" t="s">
        <v>6660</v>
      </c>
      <c r="C381">
        <v>2720.71762449482</v>
      </c>
      <c r="D381">
        <v>6983.7496689892096</v>
      </c>
      <c r="E381">
        <f>-1.36012995490526</f>
        <v>-1.3601299549052599</v>
      </c>
      <c r="F381" s="5">
        <v>1.2463259163585599E-12</v>
      </c>
      <c r="G381" t="s">
        <v>4</v>
      </c>
      <c r="H381">
        <v>2720.71762449482</v>
      </c>
      <c r="I381">
        <v>385.49843978635499</v>
      </c>
      <c r="J381">
        <v>2.81137865422096</v>
      </c>
      <c r="K381" s="5">
        <v>7.0930348986390193E-49</v>
      </c>
      <c r="L381" t="s">
        <v>4</v>
      </c>
      <c r="M381">
        <v>6983.7496689892096</v>
      </c>
      <c r="N381">
        <v>385.49843978635499</v>
      </c>
      <c r="O381">
        <v>4.1715086091262199</v>
      </c>
      <c r="P381" s="5">
        <v>4.7089564240585199E-107</v>
      </c>
      <c r="Q381" t="s">
        <v>4</v>
      </c>
      <c r="R381" s="4" t="s">
        <v>87</v>
      </c>
      <c r="S381" t="s">
        <v>4</v>
      </c>
      <c r="T381" t="s">
        <v>92</v>
      </c>
      <c r="U381" t="s">
        <v>92</v>
      </c>
      <c r="V381" t="s">
        <v>92</v>
      </c>
      <c r="W381" t="s">
        <v>92</v>
      </c>
      <c r="X381" t="s">
        <v>4</v>
      </c>
      <c r="Y381" t="s">
        <v>92</v>
      </c>
      <c r="Z381" t="s">
        <v>92</v>
      </c>
      <c r="AA381" t="s">
        <v>92</v>
      </c>
      <c r="AB381" t="s">
        <v>4</v>
      </c>
      <c r="AC381" s="3" t="s">
        <v>93</v>
      </c>
      <c r="AD381" t="s">
        <v>4</v>
      </c>
      <c r="AE381" s="4" t="s">
        <v>94</v>
      </c>
      <c r="AZ381" t="s">
        <v>4</v>
      </c>
      <c r="BA381" s="3" t="s">
        <v>95</v>
      </c>
      <c r="BB381" s="6" t="s">
        <v>95</v>
      </c>
      <c r="BC381" s="3" t="s">
        <v>95</v>
      </c>
      <c r="BD381" t="s">
        <v>4</v>
      </c>
      <c r="BE381">
        <v>2124</v>
      </c>
      <c r="BF381" t="s">
        <v>148</v>
      </c>
      <c r="BG381">
        <v>97.262799999999999</v>
      </c>
      <c r="BH381" t="s">
        <v>6661</v>
      </c>
      <c r="BI381">
        <v>81.386899999999997</v>
      </c>
      <c r="BJ381">
        <v>48.905099999999997</v>
      </c>
      <c r="BK381">
        <v>60.5839</v>
      </c>
      <c r="BL381" t="s">
        <v>6662</v>
      </c>
      <c r="BM381" t="s">
        <v>6663</v>
      </c>
      <c r="BN381">
        <v>55.839399999999998</v>
      </c>
      <c r="BO381">
        <v>59.489100000000001</v>
      </c>
      <c r="CK381">
        <v>3</v>
      </c>
      <c r="CL381" t="s">
        <v>4</v>
      </c>
      <c r="CM381" t="s">
        <v>98</v>
      </c>
      <c r="CN381" t="s">
        <v>98</v>
      </c>
      <c r="CO381" t="s">
        <v>99</v>
      </c>
      <c r="CP381" t="s">
        <v>100</v>
      </c>
      <c r="CQ381" s="7">
        <v>381</v>
      </c>
      <c r="CR381" t="s">
        <v>100</v>
      </c>
      <c r="CS381" t="s">
        <v>101</v>
      </c>
      <c r="CT381" t="s">
        <v>152</v>
      </c>
      <c r="CU381" t="s">
        <v>102</v>
      </c>
      <c r="CV381" t="s">
        <v>100</v>
      </c>
    </row>
    <row r="382" spans="1:100">
      <c r="A382" s="3" t="s">
        <v>6664</v>
      </c>
      <c r="B382" s="4" t="s">
        <v>6665</v>
      </c>
      <c r="C382">
        <v>61.105739837606201</v>
      </c>
      <c r="D382">
        <v>138.14607941851099</v>
      </c>
      <c r="E382">
        <f>-1.18301088947643</f>
        <v>-1.18301088947643</v>
      </c>
      <c r="F382">
        <v>8.7762417405271905E-3</v>
      </c>
      <c r="G382" t="s">
        <v>4</v>
      </c>
      <c r="H382">
        <v>61.105739837606201</v>
      </c>
      <c r="I382">
        <v>7.3997453131044599</v>
      </c>
      <c r="J382">
        <v>2.9500804861177201</v>
      </c>
      <c r="K382" s="5">
        <v>1.09519738543495E-7</v>
      </c>
      <c r="L382" t="s">
        <v>4</v>
      </c>
      <c r="M382">
        <v>138.14607941851099</v>
      </c>
      <c r="N382">
        <v>7.3997453131044599</v>
      </c>
      <c r="O382">
        <v>4.1330913755941499</v>
      </c>
      <c r="P382" s="5">
        <v>1.84666174202362E-14</v>
      </c>
      <c r="Q382" t="s">
        <v>4</v>
      </c>
      <c r="R382" s="4" t="s">
        <v>87</v>
      </c>
      <c r="S382" t="s">
        <v>4</v>
      </c>
      <c r="T382" t="s">
        <v>460</v>
      </c>
      <c r="U382" t="s">
        <v>461</v>
      </c>
      <c r="V382" t="s">
        <v>462</v>
      </c>
      <c r="W382" t="s">
        <v>123</v>
      </c>
      <c r="X382" t="s">
        <v>4</v>
      </c>
      <c r="Y382" t="s">
        <v>6643</v>
      </c>
      <c r="Z382" t="s">
        <v>6644</v>
      </c>
      <c r="AA382" t="s">
        <v>6645</v>
      </c>
      <c r="AB382" t="s">
        <v>4</v>
      </c>
      <c r="AC382" s="3" t="s">
        <v>93</v>
      </c>
      <c r="AD382" t="s">
        <v>4</v>
      </c>
      <c r="AE382" t="s">
        <v>3190</v>
      </c>
      <c r="AF382" t="s">
        <v>6666</v>
      </c>
      <c r="AG382" t="s">
        <v>6667</v>
      </c>
      <c r="AH382" t="s">
        <v>112</v>
      </c>
      <c r="AJ382" t="s">
        <v>3193</v>
      </c>
      <c r="AK382" t="s">
        <v>3194</v>
      </c>
      <c r="AL382" t="s">
        <v>3195</v>
      </c>
      <c r="AM382" t="s">
        <v>3196</v>
      </c>
      <c r="AQ382" t="s">
        <v>3197</v>
      </c>
      <c r="AU382" t="s">
        <v>112</v>
      </c>
      <c r="AV382" t="s">
        <v>3198</v>
      </c>
      <c r="AW382" t="s">
        <v>114</v>
      </c>
      <c r="AX382" t="s">
        <v>2157</v>
      </c>
      <c r="AY382" t="s">
        <v>3199</v>
      </c>
      <c r="AZ382" t="s">
        <v>4</v>
      </c>
      <c r="BA382" s="3" t="s">
        <v>95</v>
      </c>
      <c r="BB382" s="6" t="s">
        <v>95</v>
      </c>
      <c r="BC382" s="3" t="s">
        <v>95</v>
      </c>
      <c r="BD382" t="s">
        <v>4</v>
      </c>
      <c r="BE382">
        <v>1695</v>
      </c>
      <c r="BF382" t="s">
        <v>151</v>
      </c>
      <c r="BG382">
        <v>95.510199999999998</v>
      </c>
      <c r="CK382">
        <v>2</v>
      </c>
      <c r="CL382" t="s">
        <v>4</v>
      </c>
      <c r="CM382" t="s">
        <v>98</v>
      </c>
      <c r="CN382" t="s">
        <v>98</v>
      </c>
      <c r="CO382" t="s">
        <v>99</v>
      </c>
      <c r="CP382" t="s">
        <v>100</v>
      </c>
      <c r="CQ382" s="7">
        <v>382</v>
      </c>
      <c r="CR382" t="s">
        <v>100</v>
      </c>
      <c r="CS382" t="s">
        <v>101</v>
      </c>
      <c r="CT382" t="s">
        <v>152</v>
      </c>
      <c r="CU382" t="s">
        <v>102</v>
      </c>
      <c r="CV382" t="s">
        <v>100</v>
      </c>
    </row>
    <row r="383" spans="1:100">
      <c r="A383" s="3" t="s">
        <v>6668</v>
      </c>
      <c r="B383" s="4" t="s">
        <v>6669</v>
      </c>
      <c r="C383">
        <v>602.61552564965496</v>
      </c>
      <c r="D383">
        <v>1502.73762833305</v>
      </c>
      <c r="E383">
        <f>-1.31761048911077</f>
        <v>-1.3176104891107701</v>
      </c>
      <c r="F383" s="5">
        <v>1.6825829248234199E-12</v>
      </c>
      <c r="G383" t="s">
        <v>4</v>
      </c>
      <c r="H383">
        <v>602.61552564965496</v>
      </c>
      <c r="I383">
        <v>85.5946223467176</v>
      </c>
      <c r="J383">
        <v>2.8060052349148901</v>
      </c>
      <c r="K383" s="5">
        <v>5.1034674055401301E-41</v>
      </c>
      <c r="L383" t="s">
        <v>4</v>
      </c>
      <c r="M383">
        <v>1502.73762833305</v>
      </c>
      <c r="N383">
        <v>85.5946223467176</v>
      </c>
      <c r="O383">
        <v>4.1236157240256599</v>
      </c>
      <c r="P383" s="5">
        <v>1.2886712389269201E-88</v>
      </c>
      <c r="Q383" t="s">
        <v>4</v>
      </c>
      <c r="R383" s="4" t="s">
        <v>87</v>
      </c>
      <c r="S383" t="s">
        <v>4</v>
      </c>
      <c r="T383" t="s">
        <v>92</v>
      </c>
      <c r="U383" t="s">
        <v>92</v>
      </c>
      <c r="V383" t="s">
        <v>92</v>
      </c>
      <c r="W383" t="s">
        <v>92</v>
      </c>
      <c r="X383" t="s">
        <v>4</v>
      </c>
      <c r="Y383" t="s">
        <v>92</v>
      </c>
      <c r="Z383" t="s">
        <v>92</v>
      </c>
      <c r="AA383" t="s">
        <v>92</v>
      </c>
      <c r="AB383" t="s">
        <v>4</v>
      </c>
      <c r="AC383" s="3" t="s">
        <v>93</v>
      </c>
      <c r="AD383" t="s">
        <v>4</v>
      </c>
      <c r="AE383" s="4" t="s">
        <v>94</v>
      </c>
      <c r="AZ383" t="s">
        <v>4</v>
      </c>
      <c r="BA383" s="3" t="s">
        <v>115</v>
      </c>
      <c r="BB383" s="6" t="s">
        <v>95</v>
      </c>
      <c r="BC383" s="3" t="s">
        <v>95</v>
      </c>
      <c r="BD383" t="s">
        <v>4</v>
      </c>
      <c r="BE383">
        <v>1295</v>
      </c>
      <c r="BF383" t="s">
        <v>151</v>
      </c>
      <c r="BG383">
        <v>81.355900000000005</v>
      </c>
      <c r="BH383">
        <v>93.644099999999995</v>
      </c>
      <c r="BI383">
        <v>88.983000000000004</v>
      </c>
      <c r="BJ383" t="s">
        <v>6670</v>
      </c>
      <c r="BK383">
        <v>68.644099999999995</v>
      </c>
      <c r="BL383">
        <v>20.338999999999999</v>
      </c>
      <c r="BM383">
        <v>50.847499999999997</v>
      </c>
      <c r="BN383">
        <v>69.067800000000005</v>
      </c>
      <c r="BO383">
        <v>68.644099999999995</v>
      </c>
      <c r="CK383">
        <v>2</v>
      </c>
      <c r="CL383" t="s">
        <v>4</v>
      </c>
      <c r="CM383" t="s">
        <v>98</v>
      </c>
      <c r="CN383" t="s">
        <v>98</v>
      </c>
      <c r="CO383" t="s">
        <v>99</v>
      </c>
      <c r="CP383" t="s">
        <v>100</v>
      </c>
      <c r="CQ383" s="7">
        <v>383</v>
      </c>
      <c r="CR383" t="s">
        <v>100</v>
      </c>
      <c r="CS383" t="s">
        <v>101</v>
      </c>
      <c r="CT383" t="s">
        <v>152</v>
      </c>
      <c r="CU383" t="s">
        <v>102</v>
      </c>
      <c r="CV383" t="s">
        <v>100</v>
      </c>
    </row>
    <row r="384" spans="1:100">
      <c r="A384" s="3" t="s">
        <v>6671</v>
      </c>
      <c r="B384" s="4" t="s">
        <v>6672</v>
      </c>
      <c r="C384">
        <v>288.20833266625402</v>
      </c>
      <c r="D384">
        <v>944.561271864986</v>
      </c>
      <c r="E384">
        <f>-1.71086810953357</f>
        <v>-1.71086810953357</v>
      </c>
      <c r="F384" s="5">
        <v>1.7722011300241301E-10</v>
      </c>
      <c r="G384" t="s">
        <v>4</v>
      </c>
      <c r="H384">
        <v>288.20833266625402</v>
      </c>
      <c r="I384">
        <v>53.050912151405001</v>
      </c>
      <c r="J384">
        <v>2.4091326410374299</v>
      </c>
      <c r="K384" s="5">
        <v>2.8086177177415298E-16</v>
      </c>
      <c r="L384" t="s">
        <v>4</v>
      </c>
      <c r="M384">
        <v>944.561271864986</v>
      </c>
      <c r="N384">
        <v>53.050912151405001</v>
      </c>
      <c r="O384">
        <v>4.1200007505710001</v>
      </c>
      <c r="P384" s="5">
        <v>1.45897420404816E-46</v>
      </c>
      <c r="Q384" t="s">
        <v>4</v>
      </c>
      <c r="R384" s="4" t="s">
        <v>87</v>
      </c>
      <c r="S384" t="s">
        <v>4</v>
      </c>
      <c r="T384" t="s">
        <v>200</v>
      </c>
      <c r="U384" t="s">
        <v>201</v>
      </c>
      <c r="V384" t="s">
        <v>202</v>
      </c>
      <c r="W384" t="s">
        <v>203</v>
      </c>
      <c r="X384" t="s">
        <v>4</v>
      </c>
      <c r="Y384" t="s">
        <v>204</v>
      </c>
      <c r="Z384" t="s">
        <v>205</v>
      </c>
      <c r="AA384" t="s">
        <v>206</v>
      </c>
      <c r="AB384" t="s">
        <v>4</v>
      </c>
      <c r="AC384" s="3" t="s">
        <v>207</v>
      </c>
      <c r="AD384" t="s">
        <v>4</v>
      </c>
      <c r="AE384" t="s">
        <v>6673</v>
      </c>
      <c r="AF384" t="s">
        <v>6674</v>
      </c>
      <c r="AG384" t="s">
        <v>6675</v>
      </c>
      <c r="AH384" t="s">
        <v>112</v>
      </c>
      <c r="AU384" t="s">
        <v>112</v>
      </c>
      <c r="AV384" t="s">
        <v>211</v>
      </c>
      <c r="AW384" t="s">
        <v>114</v>
      </c>
      <c r="AX384" t="s">
        <v>132</v>
      </c>
      <c r="AY384" t="s">
        <v>212</v>
      </c>
      <c r="AZ384" t="s">
        <v>4</v>
      </c>
      <c r="BA384" s="3" t="s">
        <v>95</v>
      </c>
      <c r="BB384" s="6" t="s">
        <v>95</v>
      </c>
      <c r="BC384" s="3" t="s">
        <v>95</v>
      </c>
      <c r="BD384" t="s">
        <v>4</v>
      </c>
      <c r="BE384">
        <v>10310</v>
      </c>
      <c r="BF384" t="s">
        <v>169</v>
      </c>
      <c r="BG384">
        <v>94.328400000000002</v>
      </c>
      <c r="BH384">
        <v>100</v>
      </c>
      <c r="BI384">
        <v>96.417900000000003</v>
      </c>
      <c r="BK384">
        <v>66.268699999999995</v>
      </c>
      <c r="BP384" t="s">
        <v>6676</v>
      </c>
      <c r="BR384">
        <v>37.014899999999997</v>
      </c>
      <c r="BS384" t="s">
        <v>6677</v>
      </c>
      <c r="BT384">
        <v>39.104500000000002</v>
      </c>
      <c r="BU384">
        <v>40.597000000000001</v>
      </c>
      <c r="BV384" t="s">
        <v>6678</v>
      </c>
      <c r="BW384">
        <v>37.313400000000001</v>
      </c>
      <c r="BX384" t="s">
        <v>6679</v>
      </c>
      <c r="BZ384" t="s">
        <v>6680</v>
      </c>
      <c r="CA384">
        <v>39.402999999999999</v>
      </c>
      <c r="CB384">
        <v>24.477599999999999</v>
      </c>
      <c r="CC384">
        <v>32.238799999999998</v>
      </c>
      <c r="CD384" t="s">
        <v>6681</v>
      </c>
      <c r="CE384" t="s">
        <v>6682</v>
      </c>
      <c r="CF384" t="s">
        <v>6683</v>
      </c>
      <c r="CG384">
        <v>37.014899999999997</v>
      </c>
      <c r="CH384">
        <v>34.626899999999999</v>
      </c>
      <c r="CI384">
        <v>39.104500000000002</v>
      </c>
      <c r="CJ384">
        <v>34.029899999999998</v>
      </c>
      <c r="CK384">
        <v>9</v>
      </c>
      <c r="CL384" t="s">
        <v>4</v>
      </c>
      <c r="CM384" t="s">
        <v>233</v>
      </c>
      <c r="CN384" t="s">
        <v>6684</v>
      </c>
      <c r="CO384" t="s">
        <v>219</v>
      </c>
      <c r="CP384" t="s">
        <v>100</v>
      </c>
      <c r="CQ384" s="7">
        <v>384</v>
      </c>
      <c r="CR384" t="s">
        <v>100</v>
      </c>
      <c r="CS384" t="s">
        <v>101</v>
      </c>
      <c r="CT384" t="s">
        <v>152</v>
      </c>
      <c r="CU384" t="s">
        <v>102</v>
      </c>
      <c r="CV384" t="s">
        <v>235</v>
      </c>
    </row>
    <row r="385" spans="1:100">
      <c r="A385" s="3" t="s">
        <v>6685</v>
      </c>
      <c r="B385" s="4" t="s">
        <v>6686</v>
      </c>
      <c r="C385">
        <v>267.85249532786798</v>
      </c>
      <c r="D385">
        <v>1044.58593906585</v>
      </c>
      <c r="E385">
        <f>-1.96265636729307</f>
        <v>-1.9626563672930699</v>
      </c>
      <c r="F385" s="5">
        <v>3.5231997065598801E-9</v>
      </c>
      <c r="G385" t="s">
        <v>4</v>
      </c>
      <c r="H385">
        <v>267.85249532786798</v>
      </c>
      <c r="I385">
        <v>61.0225141907421</v>
      </c>
      <c r="J385">
        <v>2.1270665008518299</v>
      </c>
      <c r="K385" s="5">
        <v>1.4103867472376499E-9</v>
      </c>
      <c r="L385" t="s">
        <v>4</v>
      </c>
      <c r="M385">
        <v>1044.58593906585</v>
      </c>
      <c r="N385">
        <v>61.0225141907421</v>
      </c>
      <c r="O385">
        <v>4.0897228681449</v>
      </c>
      <c r="P385" s="5">
        <v>2.5942769564780998E-33</v>
      </c>
      <c r="Q385" t="s">
        <v>4</v>
      </c>
      <c r="R385" s="4" t="s">
        <v>87</v>
      </c>
      <c r="S385" t="s">
        <v>4</v>
      </c>
      <c r="T385" t="s">
        <v>92</v>
      </c>
      <c r="U385" t="s">
        <v>92</v>
      </c>
      <c r="V385" t="s">
        <v>92</v>
      </c>
      <c r="W385" t="s">
        <v>92</v>
      </c>
      <c r="X385" t="s">
        <v>4</v>
      </c>
      <c r="Y385" t="s">
        <v>2731</v>
      </c>
      <c r="Z385" t="s">
        <v>2732</v>
      </c>
      <c r="AA385" t="s">
        <v>2733</v>
      </c>
      <c r="AB385" t="s">
        <v>4</v>
      </c>
      <c r="AC385" s="3" t="s">
        <v>2734</v>
      </c>
      <c r="AD385" t="s">
        <v>4</v>
      </c>
      <c r="AE385" t="s">
        <v>2735</v>
      </c>
      <c r="AF385" t="s">
        <v>6687</v>
      </c>
      <c r="AG385" t="s">
        <v>6688</v>
      </c>
      <c r="AH385" t="s">
        <v>112</v>
      </c>
      <c r="AK385" t="s">
        <v>2738</v>
      </c>
      <c r="AL385" t="s">
        <v>2739</v>
      </c>
      <c r="AM385" t="s">
        <v>2740</v>
      </c>
      <c r="AN385" t="s">
        <v>2741</v>
      </c>
      <c r="AO385" t="s">
        <v>2742</v>
      </c>
      <c r="AP385" t="s">
        <v>2743</v>
      </c>
      <c r="AQ385" t="s">
        <v>2744</v>
      </c>
      <c r="AU385" t="s">
        <v>112</v>
      </c>
      <c r="AV385" t="s">
        <v>2745</v>
      </c>
      <c r="AW385" t="s">
        <v>114</v>
      </c>
      <c r="AX385" t="s">
        <v>2746</v>
      </c>
      <c r="AY385" t="s">
        <v>2747</v>
      </c>
      <c r="AZ385" t="s">
        <v>4</v>
      </c>
      <c r="BA385" s="3" t="s">
        <v>95</v>
      </c>
      <c r="BB385" s="6" t="s">
        <v>95</v>
      </c>
      <c r="BC385" s="3" t="s">
        <v>95</v>
      </c>
      <c r="BD385" t="s">
        <v>4</v>
      </c>
      <c r="BE385">
        <v>10361</v>
      </c>
      <c r="BF385" t="s">
        <v>169</v>
      </c>
      <c r="BG385">
        <v>77.777799999999999</v>
      </c>
      <c r="BI385">
        <v>78.282799999999995</v>
      </c>
      <c r="BJ385">
        <v>76.767700000000005</v>
      </c>
      <c r="BK385">
        <v>76.262600000000006</v>
      </c>
      <c r="BL385" t="s">
        <v>6689</v>
      </c>
      <c r="BM385">
        <v>76.767700000000005</v>
      </c>
      <c r="BN385">
        <v>75.757599999999996</v>
      </c>
      <c r="BO385">
        <v>77.2727</v>
      </c>
      <c r="BP385">
        <v>66.666700000000006</v>
      </c>
      <c r="BQ385">
        <v>60.100999999999999</v>
      </c>
      <c r="BR385">
        <v>63.636400000000002</v>
      </c>
      <c r="BS385">
        <v>64.141400000000004</v>
      </c>
      <c r="BT385">
        <v>57.070700000000002</v>
      </c>
      <c r="BU385">
        <v>62.121200000000002</v>
      </c>
      <c r="BV385" t="s">
        <v>6690</v>
      </c>
      <c r="BW385">
        <v>59.595999999999997</v>
      </c>
      <c r="BX385" t="s">
        <v>6691</v>
      </c>
      <c r="BZ385">
        <v>65.151499999999999</v>
      </c>
      <c r="CA385">
        <v>61.1111</v>
      </c>
      <c r="CC385">
        <v>57.575800000000001</v>
      </c>
      <c r="CD385" t="s">
        <v>6692</v>
      </c>
      <c r="CE385">
        <v>55.555599999999998</v>
      </c>
      <c r="CF385" t="s">
        <v>6693</v>
      </c>
      <c r="CG385">
        <v>56.5657</v>
      </c>
      <c r="CH385">
        <v>56.5657</v>
      </c>
      <c r="CI385">
        <v>61.616199999999999</v>
      </c>
      <c r="CJ385">
        <v>47.474699999999999</v>
      </c>
      <c r="CK385">
        <v>9</v>
      </c>
      <c r="CL385" t="s">
        <v>4</v>
      </c>
      <c r="CM385" t="s">
        <v>2753</v>
      </c>
      <c r="CN385" t="s">
        <v>6694</v>
      </c>
      <c r="CO385" t="s">
        <v>219</v>
      </c>
      <c r="CP385" t="s">
        <v>100</v>
      </c>
      <c r="CQ385" s="7">
        <v>385</v>
      </c>
      <c r="CR385" t="s">
        <v>100</v>
      </c>
      <c r="CS385" t="s">
        <v>101</v>
      </c>
      <c r="CT385" t="s">
        <v>152</v>
      </c>
      <c r="CU385" t="s">
        <v>102</v>
      </c>
      <c r="CV385" t="s">
        <v>100</v>
      </c>
    </row>
    <row r="386" spans="1:100">
      <c r="A386" s="3" t="s">
        <v>6695</v>
      </c>
      <c r="B386" s="4" t="s">
        <v>6696</v>
      </c>
      <c r="C386">
        <v>44.289897675871401</v>
      </c>
      <c r="D386">
        <v>104.803630124192</v>
      </c>
      <c r="E386">
        <f>-1.24238216746279</f>
        <v>-1.24238216746279</v>
      </c>
      <c r="F386">
        <v>3.3174892660276199E-3</v>
      </c>
      <c r="G386" t="s">
        <v>4</v>
      </c>
      <c r="H386">
        <v>44.289897675871401</v>
      </c>
      <c r="I386">
        <v>5.9048579473585301</v>
      </c>
      <c r="J386">
        <v>2.8324774180454102</v>
      </c>
      <c r="K386" s="5">
        <v>6.8515914175517205E-7</v>
      </c>
      <c r="L386" t="s">
        <v>4</v>
      </c>
      <c r="M386">
        <v>104.803630124192</v>
      </c>
      <c r="N386">
        <v>5.9048579473585301</v>
      </c>
      <c r="O386">
        <v>4.0748595855082002</v>
      </c>
      <c r="P386" s="5">
        <v>1.40018561004673E-13</v>
      </c>
      <c r="Q386" t="s">
        <v>4</v>
      </c>
      <c r="R386" s="4" t="s">
        <v>87</v>
      </c>
      <c r="S386" t="s">
        <v>4</v>
      </c>
      <c r="T386" t="s">
        <v>460</v>
      </c>
      <c r="U386" t="s">
        <v>461</v>
      </c>
      <c r="V386" t="s">
        <v>462</v>
      </c>
      <c r="W386" t="s">
        <v>123</v>
      </c>
      <c r="X386" t="s">
        <v>4</v>
      </c>
      <c r="Y386" t="s">
        <v>6643</v>
      </c>
      <c r="Z386" t="s">
        <v>6644</v>
      </c>
      <c r="AA386" t="s">
        <v>6645</v>
      </c>
      <c r="AB386" t="s">
        <v>4</v>
      </c>
      <c r="AC386" s="3" t="s">
        <v>93</v>
      </c>
      <c r="AD386" t="s">
        <v>4</v>
      </c>
      <c r="AE386" t="s">
        <v>3190</v>
      </c>
      <c r="AF386" t="s">
        <v>6697</v>
      </c>
      <c r="AG386" t="s">
        <v>6698</v>
      </c>
      <c r="AH386" t="s">
        <v>112</v>
      </c>
      <c r="AJ386" t="s">
        <v>3193</v>
      </c>
      <c r="AK386" t="s">
        <v>3194</v>
      </c>
      <c r="AL386" t="s">
        <v>3195</v>
      </c>
      <c r="AM386" t="s">
        <v>3196</v>
      </c>
      <c r="AQ386" t="s">
        <v>3197</v>
      </c>
      <c r="AU386" t="s">
        <v>112</v>
      </c>
      <c r="AV386" t="s">
        <v>3198</v>
      </c>
      <c r="AW386" t="s">
        <v>114</v>
      </c>
      <c r="AX386" t="s">
        <v>2157</v>
      </c>
      <c r="AY386" t="s">
        <v>3199</v>
      </c>
      <c r="AZ386" t="s">
        <v>4</v>
      </c>
      <c r="BA386" s="3" t="s">
        <v>95</v>
      </c>
      <c r="BB386" s="6" t="s">
        <v>95</v>
      </c>
      <c r="BC386" s="3" t="s">
        <v>95</v>
      </c>
      <c r="BD386" t="s">
        <v>4</v>
      </c>
      <c r="BE386">
        <v>1681</v>
      </c>
      <c r="BF386" t="s">
        <v>151</v>
      </c>
      <c r="BI386">
        <v>72.909700000000001</v>
      </c>
      <c r="BJ386" t="s">
        <v>6699</v>
      </c>
      <c r="CK386">
        <v>2</v>
      </c>
      <c r="CL386" t="s">
        <v>4</v>
      </c>
      <c r="CM386" t="s">
        <v>98</v>
      </c>
      <c r="CN386" t="s">
        <v>98</v>
      </c>
      <c r="CO386" t="s">
        <v>99</v>
      </c>
      <c r="CP386" t="s">
        <v>100</v>
      </c>
      <c r="CQ386" s="7">
        <v>386</v>
      </c>
      <c r="CR386" t="s">
        <v>100</v>
      </c>
      <c r="CS386" t="s">
        <v>101</v>
      </c>
      <c r="CT386" t="s">
        <v>152</v>
      </c>
      <c r="CU386" t="s">
        <v>102</v>
      </c>
      <c r="CV386" t="s">
        <v>100</v>
      </c>
    </row>
    <row r="387" spans="1:100">
      <c r="A387" s="3" t="s">
        <v>6700</v>
      </c>
      <c r="B387" s="4" t="s">
        <v>6701</v>
      </c>
      <c r="C387">
        <v>571.21525609670402</v>
      </c>
      <c r="D387">
        <v>2811.5351794447702</v>
      </c>
      <c r="E387">
        <f>-2.29916361031344</f>
        <v>-2.2991636103134399</v>
      </c>
      <c r="F387">
        <v>1.5106723991818701E-2</v>
      </c>
      <c r="G387" t="s">
        <v>4</v>
      </c>
      <c r="H387">
        <v>571.21525609670402</v>
      </c>
      <c r="I387">
        <v>167.95404557213399</v>
      </c>
      <c r="J387">
        <v>1.7707559504938699</v>
      </c>
      <c r="K387">
        <v>5.8252577564545799E-2</v>
      </c>
      <c r="L387" t="s">
        <v>4</v>
      </c>
      <c r="M387">
        <v>2811.5351794447702</v>
      </c>
      <c r="N387">
        <v>167.95404557213399</v>
      </c>
      <c r="O387">
        <v>4.0699195608073104</v>
      </c>
      <c r="P387" s="5">
        <v>3.6469672006100899E-6</v>
      </c>
      <c r="Q387" t="s">
        <v>4</v>
      </c>
      <c r="R387" s="4" t="s">
        <v>87</v>
      </c>
      <c r="S387" t="s">
        <v>4</v>
      </c>
      <c r="T387" t="s">
        <v>92</v>
      </c>
      <c r="U387" t="s">
        <v>92</v>
      </c>
      <c r="V387" t="s">
        <v>92</v>
      </c>
      <c r="W387" t="s">
        <v>92</v>
      </c>
      <c r="X387" t="s">
        <v>4</v>
      </c>
      <c r="Y387" t="s">
        <v>92</v>
      </c>
      <c r="Z387" t="s">
        <v>92</v>
      </c>
      <c r="AA387" t="s">
        <v>92</v>
      </c>
      <c r="AB387" t="s">
        <v>4</v>
      </c>
      <c r="AC387" s="3" t="s">
        <v>93</v>
      </c>
      <c r="AD387" t="s">
        <v>4</v>
      </c>
      <c r="AE387" t="s">
        <v>6702</v>
      </c>
      <c r="AF387" t="s">
        <v>6703</v>
      </c>
      <c r="AG387" t="s">
        <v>6704</v>
      </c>
      <c r="AH387" t="s">
        <v>638</v>
      </c>
      <c r="AU387" t="s">
        <v>112</v>
      </c>
      <c r="AV387" t="s">
        <v>6705</v>
      </c>
      <c r="AW387" t="s">
        <v>114</v>
      </c>
      <c r="AZ387" t="s">
        <v>4</v>
      </c>
      <c r="BA387" s="3" t="s">
        <v>95</v>
      </c>
      <c r="BB387" t="s">
        <v>96</v>
      </c>
      <c r="BC387" s="3" t="s">
        <v>197</v>
      </c>
      <c r="BD387" t="s">
        <v>4</v>
      </c>
      <c r="BE387">
        <v>1160</v>
      </c>
      <c r="BF387" t="s">
        <v>151</v>
      </c>
      <c r="BI387">
        <v>88.461500000000001</v>
      </c>
      <c r="BK387">
        <v>85.576899999999995</v>
      </c>
      <c r="BM387">
        <v>77.884600000000006</v>
      </c>
      <c r="BN387">
        <v>78.846199999999996</v>
      </c>
      <c r="BO387">
        <v>83.653800000000004</v>
      </c>
      <c r="CK387">
        <v>2</v>
      </c>
      <c r="CL387" t="s">
        <v>4</v>
      </c>
      <c r="CM387" t="s">
        <v>98</v>
      </c>
      <c r="CN387" t="s">
        <v>98</v>
      </c>
      <c r="CO387" t="s">
        <v>99</v>
      </c>
      <c r="CP387" t="s">
        <v>100</v>
      </c>
      <c r="CQ387" s="7">
        <v>387</v>
      </c>
      <c r="CR387" t="s">
        <v>100</v>
      </c>
      <c r="CS387" t="s">
        <v>100</v>
      </c>
      <c r="CT387" t="s">
        <v>152</v>
      </c>
      <c r="CU387" t="s">
        <v>102</v>
      </c>
      <c r="CV387" t="s">
        <v>100</v>
      </c>
    </row>
    <row r="388" spans="1:100">
      <c r="A388" s="3" t="s">
        <v>6706</v>
      </c>
      <c r="B388" s="4" t="s">
        <v>6707</v>
      </c>
      <c r="C388">
        <v>17.985186793658499</v>
      </c>
      <c r="D388">
        <v>64.304026123347001</v>
      </c>
      <c r="E388">
        <f>-1.8257024497704</f>
        <v>-1.8257024497704</v>
      </c>
      <c r="F388">
        <v>1.30857410129774E-2</v>
      </c>
      <c r="G388" t="s">
        <v>4</v>
      </c>
      <c r="H388">
        <v>17.985186793658499</v>
      </c>
      <c r="I388">
        <v>3.7732808337133501</v>
      </c>
      <c r="J388">
        <v>2.1970420420077001</v>
      </c>
      <c r="K388">
        <v>1.37386335375899E-2</v>
      </c>
      <c r="L388" t="s">
        <v>4</v>
      </c>
      <c r="M388">
        <v>64.304026123347001</v>
      </c>
      <c r="N388">
        <v>3.7732808337133501</v>
      </c>
      <c r="O388">
        <v>4.0227444917781003</v>
      </c>
      <c r="P388" s="5">
        <v>1.56786002631228E-6</v>
      </c>
      <c r="Q388" t="s">
        <v>4</v>
      </c>
      <c r="R388" s="4" t="s">
        <v>87</v>
      </c>
      <c r="S388" t="s">
        <v>4</v>
      </c>
      <c r="T388" t="s">
        <v>92</v>
      </c>
      <c r="U388" t="s">
        <v>92</v>
      </c>
      <c r="V388" t="s">
        <v>92</v>
      </c>
      <c r="W388" t="s">
        <v>92</v>
      </c>
      <c r="X388" t="s">
        <v>4</v>
      </c>
      <c r="Y388" t="s">
        <v>92</v>
      </c>
      <c r="Z388" t="s">
        <v>92</v>
      </c>
      <c r="AA388" t="s">
        <v>92</v>
      </c>
      <c r="AB388" t="s">
        <v>4</v>
      </c>
      <c r="AC388" s="3" t="s">
        <v>93</v>
      </c>
      <c r="AD388" t="s">
        <v>4</v>
      </c>
      <c r="AE388" s="4" t="s">
        <v>94</v>
      </c>
      <c r="AZ388" t="s">
        <v>4</v>
      </c>
      <c r="BA388" s="3" t="s">
        <v>95</v>
      </c>
      <c r="BB388" s="6" t="s">
        <v>95</v>
      </c>
      <c r="BC388" s="3" t="s">
        <v>95</v>
      </c>
      <c r="BD388" t="s">
        <v>4</v>
      </c>
      <c r="BE388">
        <v>453</v>
      </c>
      <c r="BF388" t="s">
        <v>322</v>
      </c>
      <c r="CK388">
        <v>1</v>
      </c>
      <c r="CL388" t="s">
        <v>4</v>
      </c>
      <c r="CM388" t="s">
        <v>98</v>
      </c>
      <c r="CN388" t="s">
        <v>98</v>
      </c>
      <c r="CO388" t="s">
        <v>99</v>
      </c>
      <c r="CP388" t="s">
        <v>100</v>
      </c>
      <c r="CQ388" s="7">
        <v>388</v>
      </c>
      <c r="CR388" t="s">
        <v>100</v>
      </c>
      <c r="CS388" s="7" t="s">
        <v>101</v>
      </c>
      <c r="CT388" t="s">
        <v>152</v>
      </c>
      <c r="CU388" t="s">
        <v>102</v>
      </c>
      <c r="CV388" t="s">
        <v>100</v>
      </c>
    </row>
    <row r="389" spans="1:100">
      <c r="A389" s="3" t="s">
        <v>6708</v>
      </c>
      <c r="B389" s="4" t="s">
        <v>6709</v>
      </c>
      <c r="C389">
        <v>86.506090822627399</v>
      </c>
      <c r="D389">
        <v>333.53056633838997</v>
      </c>
      <c r="E389">
        <f>-1.94719587960328</f>
        <v>-1.94719587960328</v>
      </c>
      <c r="F389" s="5">
        <v>2.1426260941913001E-7</v>
      </c>
      <c r="G389" t="s">
        <v>4</v>
      </c>
      <c r="H389">
        <v>86.506090822627399</v>
      </c>
      <c r="I389">
        <v>20.914683803259699</v>
      </c>
      <c r="J389">
        <v>2.0739217324316499</v>
      </c>
      <c r="K389" s="5">
        <v>1.7471427407386199E-6</v>
      </c>
      <c r="L389" t="s">
        <v>4</v>
      </c>
      <c r="M389">
        <v>333.53056633838997</v>
      </c>
      <c r="N389">
        <v>20.914683803259699</v>
      </c>
      <c r="O389">
        <v>4.0211176120349403</v>
      </c>
      <c r="P389" s="5">
        <v>2.5937855238778899E-22</v>
      </c>
      <c r="Q389" t="s">
        <v>4</v>
      </c>
      <c r="R389" s="4" t="s">
        <v>87</v>
      </c>
      <c r="S389" t="s">
        <v>4</v>
      </c>
      <c r="T389" t="s">
        <v>6710</v>
      </c>
      <c r="U389" t="s">
        <v>6711</v>
      </c>
      <c r="V389" t="s">
        <v>6712</v>
      </c>
      <c r="W389" t="s">
        <v>328</v>
      </c>
      <c r="X389" t="s">
        <v>4</v>
      </c>
      <c r="Y389" t="s">
        <v>6713</v>
      </c>
      <c r="Z389" t="s">
        <v>6714</v>
      </c>
      <c r="AA389" t="s">
        <v>6715</v>
      </c>
      <c r="AB389" t="s">
        <v>4</v>
      </c>
      <c r="AC389" s="3" t="s">
        <v>6716</v>
      </c>
      <c r="AD389" t="s">
        <v>4</v>
      </c>
      <c r="AE389" t="s">
        <v>6717</v>
      </c>
      <c r="AF389" t="s">
        <v>6718</v>
      </c>
      <c r="AG389" t="s">
        <v>571</v>
      </c>
      <c r="AH389" t="s">
        <v>112</v>
      </c>
      <c r="AJ389" t="s">
        <v>6719</v>
      </c>
      <c r="AL389" t="s">
        <v>6720</v>
      </c>
      <c r="AQ389" t="s">
        <v>1003</v>
      </c>
      <c r="AU389" t="s">
        <v>112</v>
      </c>
      <c r="AV389" t="s">
        <v>6721</v>
      </c>
      <c r="AW389" t="s">
        <v>114</v>
      </c>
      <c r="AX389" t="s">
        <v>371</v>
      </c>
      <c r="AY389" t="s">
        <v>573</v>
      </c>
      <c r="AZ389" t="s">
        <v>4</v>
      </c>
      <c r="BA389" s="3" t="s">
        <v>95</v>
      </c>
      <c r="BB389" s="6" t="s">
        <v>95</v>
      </c>
      <c r="BC389" s="3" t="s">
        <v>197</v>
      </c>
      <c r="BD389" t="s">
        <v>4</v>
      </c>
      <c r="BE389">
        <v>7299</v>
      </c>
      <c r="BF389" t="s">
        <v>213</v>
      </c>
      <c r="BG389">
        <v>99.305599999999998</v>
      </c>
      <c r="BI389">
        <v>71.527799999999999</v>
      </c>
      <c r="BJ389">
        <v>55.555599999999998</v>
      </c>
      <c r="BK389">
        <v>54.5139</v>
      </c>
      <c r="BN389">
        <v>81.597200000000001</v>
      </c>
      <c r="BO389">
        <v>73.611099999999993</v>
      </c>
      <c r="BP389">
        <v>21.180599999999998</v>
      </c>
      <c r="BQ389">
        <v>42.0139</v>
      </c>
      <c r="BR389">
        <v>40.625</v>
      </c>
      <c r="BS389">
        <v>38.541699999999999</v>
      </c>
      <c r="BT389">
        <v>36.805599999999998</v>
      </c>
      <c r="BU389">
        <v>35.069400000000002</v>
      </c>
      <c r="BV389">
        <v>33.333300000000001</v>
      </c>
      <c r="BW389">
        <v>41.319400000000002</v>
      </c>
      <c r="BX389">
        <v>44.097200000000001</v>
      </c>
      <c r="BZ389">
        <v>34.027799999999999</v>
      </c>
      <c r="CA389">
        <v>44.791699999999999</v>
      </c>
      <c r="CC389">
        <v>35.416699999999999</v>
      </c>
      <c r="CD389">
        <v>34.722200000000001</v>
      </c>
      <c r="CF389" t="s">
        <v>6722</v>
      </c>
      <c r="CG389" t="s">
        <v>6723</v>
      </c>
      <c r="CH389" t="s">
        <v>6724</v>
      </c>
      <c r="CI389" t="s">
        <v>6725</v>
      </c>
      <c r="CK389">
        <v>8</v>
      </c>
      <c r="CL389" t="s">
        <v>4</v>
      </c>
      <c r="CM389" t="s">
        <v>6726</v>
      </c>
      <c r="CN389" t="s">
        <v>6727</v>
      </c>
      <c r="CO389" t="s">
        <v>99</v>
      </c>
      <c r="CP389" t="s">
        <v>100</v>
      </c>
      <c r="CQ389" s="7">
        <v>389</v>
      </c>
      <c r="CR389" t="s">
        <v>100</v>
      </c>
      <c r="CS389" t="s">
        <v>101</v>
      </c>
      <c r="CT389" t="s">
        <v>152</v>
      </c>
      <c r="CU389" t="s">
        <v>102</v>
      </c>
      <c r="CV389" t="s">
        <v>100</v>
      </c>
    </row>
    <row r="390" spans="1:100">
      <c r="A390" s="3" t="s">
        <v>6728</v>
      </c>
      <c r="B390" s="4" t="s">
        <v>6729</v>
      </c>
      <c r="C390">
        <v>26.389026975355701</v>
      </c>
      <c r="D390">
        <v>89.613768615146299</v>
      </c>
      <c r="E390">
        <f>-1.76094863277494</f>
        <v>-1.76094863277494</v>
      </c>
      <c r="F390">
        <v>8.1755697350652298E-3</v>
      </c>
      <c r="G390" t="s">
        <v>4</v>
      </c>
      <c r="H390">
        <v>26.389026975355701</v>
      </c>
      <c r="I390">
        <v>6.0864533825651996</v>
      </c>
      <c r="J390">
        <v>2.2548234816596699</v>
      </c>
      <c r="K390">
        <v>4.0401060146376703E-3</v>
      </c>
      <c r="L390" t="s">
        <v>4</v>
      </c>
      <c r="M390">
        <v>89.613768615146299</v>
      </c>
      <c r="N390">
        <v>6.0864533825651996</v>
      </c>
      <c r="O390">
        <v>4.0157721144346104</v>
      </c>
      <c r="P390" s="5">
        <v>5.9316481473001301E-8</v>
      </c>
      <c r="Q390" t="s">
        <v>4</v>
      </c>
      <c r="R390" s="4" t="s">
        <v>87</v>
      </c>
      <c r="S390" t="s">
        <v>4</v>
      </c>
      <c r="T390" t="s">
        <v>6730</v>
      </c>
      <c r="U390" t="s">
        <v>6731</v>
      </c>
      <c r="V390" t="s">
        <v>6732</v>
      </c>
      <c r="W390" t="s">
        <v>203</v>
      </c>
      <c r="X390" t="s">
        <v>4</v>
      </c>
      <c r="Y390" t="s">
        <v>4471</v>
      </c>
      <c r="Z390" t="s">
        <v>4472</v>
      </c>
      <c r="AA390" t="s">
        <v>4473</v>
      </c>
      <c r="AB390" t="s">
        <v>4</v>
      </c>
      <c r="AC390" s="3" t="s">
        <v>6733</v>
      </c>
      <c r="AD390" t="s">
        <v>4</v>
      </c>
      <c r="AE390" t="s">
        <v>6734</v>
      </c>
      <c r="AF390" t="s">
        <v>6735</v>
      </c>
      <c r="AG390" t="s">
        <v>6736</v>
      </c>
      <c r="AH390" t="s">
        <v>112</v>
      </c>
      <c r="AU390" t="s">
        <v>112</v>
      </c>
      <c r="AV390" t="s">
        <v>6737</v>
      </c>
      <c r="AW390" t="s">
        <v>114</v>
      </c>
      <c r="AX390" t="s">
        <v>1308</v>
      </c>
      <c r="AY390" t="s">
        <v>4479</v>
      </c>
      <c r="AZ390" t="s">
        <v>4</v>
      </c>
      <c r="BA390" s="3" t="s">
        <v>95</v>
      </c>
      <c r="BB390" s="6" t="s">
        <v>95</v>
      </c>
      <c r="BC390" s="3" t="s">
        <v>95</v>
      </c>
      <c r="BD390" t="s">
        <v>4</v>
      </c>
      <c r="BE390">
        <v>3969</v>
      </c>
      <c r="BF390" t="s">
        <v>112</v>
      </c>
      <c r="BG390">
        <v>82.9268</v>
      </c>
      <c r="BI390">
        <v>78.0488</v>
      </c>
      <c r="BJ390">
        <v>63.821100000000001</v>
      </c>
      <c r="BM390">
        <v>56.504100000000001</v>
      </c>
      <c r="BN390">
        <v>56.504100000000001</v>
      </c>
      <c r="BP390">
        <v>25.203299999999999</v>
      </c>
      <c r="BQ390">
        <v>29.2683</v>
      </c>
      <c r="BR390">
        <v>28.455300000000001</v>
      </c>
      <c r="BW390">
        <v>31.300799999999999</v>
      </c>
      <c r="BX390">
        <v>20.7317</v>
      </c>
      <c r="BZ390">
        <v>30.081299999999999</v>
      </c>
      <c r="CA390">
        <v>26.422799999999999</v>
      </c>
      <c r="CK390">
        <v>5</v>
      </c>
      <c r="CL390" t="s">
        <v>4</v>
      </c>
      <c r="CM390" t="s">
        <v>6738</v>
      </c>
      <c r="CN390" t="s">
        <v>6739</v>
      </c>
      <c r="CO390" t="s">
        <v>99</v>
      </c>
      <c r="CP390" t="s">
        <v>100</v>
      </c>
      <c r="CQ390" s="7">
        <v>390</v>
      </c>
      <c r="CR390" t="s">
        <v>100</v>
      </c>
      <c r="CS390" t="s">
        <v>101</v>
      </c>
      <c r="CT390" t="s">
        <v>152</v>
      </c>
      <c r="CU390" t="s">
        <v>102</v>
      </c>
      <c r="CV390" t="s">
        <v>100</v>
      </c>
    </row>
    <row r="391" spans="1:100">
      <c r="A391" s="3" t="s">
        <v>6740</v>
      </c>
      <c r="B391" s="4" t="s">
        <v>6741</v>
      </c>
      <c r="C391">
        <v>1235.75135583048</v>
      </c>
      <c r="D391">
        <v>4190.5632555075699</v>
      </c>
      <c r="E391">
        <f>-1.76175537085648</f>
        <v>-1.7617553708564799</v>
      </c>
      <c r="F391">
        <v>1.9415268775995699E-3</v>
      </c>
      <c r="G391" t="s">
        <v>4</v>
      </c>
      <c r="H391">
        <v>1235.75135583048</v>
      </c>
      <c r="I391">
        <v>260.05300292636798</v>
      </c>
      <c r="J391">
        <v>2.2417042773226301</v>
      </c>
      <c r="K391" s="5">
        <v>4.4398963827964201E-5</v>
      </c>
      <c r="L391" t="s">
        <v>4</v>
      </c>
      <c r="M391">
        <v>4190.5632555075699</v>
      </c>
      <c r="N391">
        <v>260.05300292636798</v>
      </c>
      <c r="O391">
        <v>4.0034596481791098</v>
      </c>
      <c r="P391" s="5">
        <v>3.6008325688094503E-14</v>
      </c>
      <c r="Q391" t="s">
        <v>4</v>
      </c>
      <c r="R391" s="4" t="s">
        <v>87</v>
      </c>
      <c r="S391" t="s">
        <v>4</v>
      </c>
      <c r="T391" t="s">
        <v>92</v>
      </c>
      <c r="U391" t="s">
        <v>92</v>
      </c>
      <c r="V391" t="s">
        <v>92</v>
      </c>
      <c r="W391" t="s">
        <v>92</v>
      </c>
      <c r="X391" t="s">
        <v>4</v>
      </c>
      <c r="Y391" t="s">
        <v>6134</v>
      </c>
      <c r="Z391" t="s">
        <v>6135</v>
      </c>
      <c r="AA391" t="s">
        <v>6136</v>
      </c>
      <c r="AB391" t="s">
        <v>4</v>
      </c>
      <c r="AC391" s="3" t="s">
        <v>6137</v>
      </c>
      <c r="AD391" t="s">
        <v>4</v>
      </c>
      <c r="AE391" s="4" t="s">
        <v>94</v>
      </c>
      <c r="AZ391" t="s">
        <v>4</v>
      </c>
      <c r="BA391" s="3" t="s">
        <v>95</v>
      </c>
      <c r="BB391" s="6" t="s">
        <v>95</v>
      </c>
      <c r="BC391" s="3" t="s">
        <v>95</v>
      </c>
      <c r="BD391" t="s">
        <v>4</v>
      </c>
      <c r="BE391">
        <v>2750</v>
      </c>
      <c r="BF391" t="s">
        <v>97</v>
      </c>
      <c r="BG391">
        <v>97.5578</v>
      </c>
      <c r="BH391">
        <v>99.742900000000006</v>
      </c>
      <c r="BI391">
        <v>77.763499999999993</v>
      </c>
      <c r="BJ391" t="s">
        <v>6742</v>
      </c>
      <c r="BK391">
        <v>52.185099999999998</v>
      </c>
      <c r="BL391">
        <v>22.236499999999999</v>
      </c>
      <c r="BM391">
        <v>63.7532</v>
      </c>
      <c r="BN391">
        <v>59.897199999999998</v>
      </c>
      <c r="BO391" t="s">
        <v>6743</v>
      </c>
      <c r="BP391" t="s">
        <v>6744</v>
      </c>
      <c r="CK391">
        <v>4</v>
      </c>
      <c r="CL391" t="s">
        <v>4</v>
      </c>
      <c r="CM391" t="s">
        <v>98</v>
      </c>
      <c r="CN391" t="s">
        <v>98</v>
      </c>
      <c r="CO391" t="s">
        <v>99</v>
      </c>
      <c r="CP391" t="s">
        <v>100</v>
      </c>
      <c r="CQ391" s="7">
        <v>391</v>
      </c>
      <c r="CR391" t="s">
        <v>100</v>
      </c>
      <c r="CS391" t="s">
        <v>101</v>
      </c>
      <c r="CT391" t="s">
        <v>152</v>
      </c>
      <c r="CU391" t="s">
        <v>102</v>
      </c>
      <c r="CV391" t="s">
        <v>100</v>
      </c>
    </row>
    <row r="392" spans="1:100">
      <c r="A392" s="3" t="s">
        <v>6745</v>
      </c>
      <c r="B392" s="4" t="s">
        <v>6746</v>
      </c>
      <c r="C392">
        <v>37.3511485440022</v>
      </c>
      <c r="D392">
        <v>106.731273673456</v>
      </c>
      <c r="E392">
        <f>-1.51403745868979</f>
        <v>-1.51403745868979</v>
      </c>
      <c r="F392">
        <v>3.7058899970606901E-3</v>
      </c>
      <c r="G392" t="s">
        <v>4</v>
      </c>
      <c r="H392">
        <v>37.3511485440022</v>
      </c>
      <c r="I392">
        <v>6.3826527681378504</v>
      </c>
      <c r="J392">
        <v>2.4872348957399399</v>
      </c>
      <c r="K392">
        <v>1.01642847759426E-4</v>
      </c>
      <c r="L392" t="s">
        <v>4</v>
      </c>
      <c r="M392">
        <v>106.731273673456</v>
      </c>
      <c r="N392">
        <v>6.3826527681378504</v>
      </c>
      <c r="O392">
        <v>4.0012723544297302</v>
      </c>
      <c r="P392" s="5">
        <v>5.6696584587796199E-11</v>
      </c>
      <c r="Q392" t="s">
        <v>4</v>
      </c>
      <c r="R392" s="4" t="s">
        <v>87</v>
      </c>
      <c r="S392" t="s">
        <v>4</v>
      </c>
      <c r="T392" t="s">
        <v>6747</v>
      </c>
      <c r="U392" t="s">
        <v>6748</v>
      </c>
      <c r="V392" t="s">
        <v>6749</v>
      </c>
      <c r="W392" t="s">
        <v>328</v>
      </c>
      <c r="X392" t="s">
        <v>4</v>
      </c>
      <c r="Y392" t="s">
        <v>1264</v>
      </c>
      <c r="Z392" t="s">
        <v>1265</v>
      </c>
      <c r="AA392" t="s">
        <v>1266</v>
      </c>
      <c r="AB392" t="s">
        <v>4</v>
      </c>
      <c r="AC392" s="3" t="s">
        <v>6750</v>
      </c>
      <c r="AD392" t="s">
        <v>4</v>
      </c>
      <c r="AE392" t="s">
        <v>6751</v>
      </c>
      <c r="AF392" t="s">
        <v>6752</v>
      </c>
      <c r="AG392" t="s">
        <v>6753</v>
      </c>
      <c r="AH392" t="s">
        <v>112</v>
      </c>
      <c r="AI392" t="s">
        <v>6754</v>
      </c>
      <c r="AL392" t="s">
        <v>6755</v>
      </c>
      <c r="AQ392" t="s">
        <v>6756</v>
      </c>
      <c r="AU392" t="s">
        <v>112</v>
      </c>
      <c r="AV392" t="s">
        <v>6757</v>
      </c>
      <c r="AW392" t="s">
        <v>114</v>
      </c>
      <c r="AX392" t="s">
        <v>371</v>
      </c>
      <c r="AY392" t="s">
        <v>6758</v>
      </c>
      <c r="AZ392" t="s">
        <v>4</v>
      </c>
      <c r="BA392" s="3" t="s">
        <v>95</v>
      </c>
      <c r="BB392" s="6" t="s">
        <v>95</v>
      </c>
      <c r="BC392" s="3" t="s">
        <v>95</v>
      </c>
      <c r="BD392" t="s">
        <v>4</v>
      </c>
      <c r="BE392">
        <v>4943</v>
      </c>
      <c r="BF392" t="s">
        <v>282</v>
      </c>
      <c r="BG392">
        <v>96.25</v>
      </c>
      <c r="BH392">
        <v>79.166700000000006</v>
      </c>
      <c r="BI392">
        <v>76.666700000000006</v>
      </c>
      <c r="BJ392">
        <v>78.75</v>
      </c>
      <c r="BL392" t="s">
        <v>6759</v>
      </c>
      <c r="BM392">
        <v>66.666700000000006</v>
      </c>
      <c r="BO392">
        <v>60.833300000000001</v>
      </c>
      <c r="CB392">
        <v>32.083300000000001</v>
      </c>
      <c r="CK392">
        <v>6</v>
      </c>
      <c r="CL392" t="s">
        <v>4</v>
      </c>
      <c r="CM392" t="s">
        <v>98</v>
      </c>
      <c r="CN392" t="s">
        <v>98</v>
      </c>
      <c r="CO392" t="s">
        <v>99</v>
      </c>
      <c r="CP392" t="s">
        <v>100</v>
      </c>
      <c r="CQ392" s="7">
        <v>392</v>
      </c>
      <c r="CR392" t="s">
        <v>100</v>
      </c>
      <c r="CS392" t="s">
        <v>101</v>
      </c>
      <c r="CT392" t="s">
        <v>152</v>
      </c>
      <c r="CU392" t="s">
        <v>102</v>
      </c>
      <c r="CV392" t="s">
        <v>100</v>
      </c>
    </row>
    <row r="393" spans="1:100">
      <c r="A393" s="3" t="s">
        <v>6760</v>
      </c>
      <c r="B393" s="4" t="s">
        <v>6761</v>
      </c>
      <c r="C393">
        <v>197.57242419660699</v>
      </c>
      <c r="D393">
        <v>420.78840975783999</v>
      </c>
      <c r="E393">
        <f>-1.08868289961963</f>
        <v>-1.0886828996196301</v>
      </c>
      <c r="F393">
        <v>5.0860282539055899E-4</v>
      </c>
      <c r="G393" t="s">
        <v>4</v>
      </c>
      <c r="H393">
        <v>197.57242419660699</v>
      </c>
      <c r="I393">
        <v>26.013335140310001</v>
      </c>
      <c r="J393">
        <v>2.8937741518534099</v>
      </c>
      <c r="K393" s="5">
        <v>1.5176611970190301E-16</v>
      </c>
      <c r="L393" t="s">
        <v>4</v>
      </c>
      <c r="M393">
        <v>420.78840975783999</v>
      </c>
      <c r="N393">
        <v>26.013335140310001</v>
      </c>
      <c r="O393">
        <v>3.9824570514730402</v>
      </c>
      <c r="P393" s="5">
        <v>6.4881762228536103E-31</v>
      </c>
      <c r="Q393" t="s">
        <v>4</v>
      </c>
      <c r="R393" s="4" t="s">
        <v>87</v>
      </c>
      <c r="S393" t="s">
        <v>4</v>
      </c>
      <c r="T393" t="s">
        <v>2402</v>
      </c>
      <c r="U393" t="s">
        <v>2403</v>
      </c>
      <c r="V393" t="s">
        <v>2404</v>
      </c>
      <c r="W393" t="s">
        <v>91</v>
      </c>
      <c r="X393" t="s">
        <v>4</v>
      </c>
      <c r="Y393" t="s">
        <v>2405</v>
      </c>
      <c r="Z393" t="s">
        <v>2406</v>
      </c>
      <c r="AA393" t="s">
        <v>2407</v>
      </c>
      <c r="AB393" t="s">
        <v>4</v>
      </c>
      <c r="AC393" s="3" t="s">
        <v>6762</v>
      </c>
      <c r="AD393" t="s">
        <v>4</v>
      </c>
      <c r="AE393" t="s">
        <v>6763</v>
      </c>
      <c r="AF393" t="s">
        <v>6764</v>
      </c>
      <c r="AG393" t="s">
        <v>4209</v>
      </c>
      <c r="AH393" t="s">
        <v>112</v>
      </c>
      <c r="AU393" t="s">
        <v>112</v>
      </c>
      <c r="AV393" t="s">
        <v>6765</v>
      </c>
      <c r="AW393" t="s">
        <v>114</v>
      </c>
      <c r="AX393" t="s">
        <v>144</v>
      </c>
      <c r="AY393" t="s">
        <v>2413</v>
      </c>
      <c r="AZ393" t="s">
        <v>4</v>
      </c>
      <c r="BA393" s="3" t="s">
        <v>95</v>
      </c>
      <c r="BB393" s="6" t="s">
        <v>95</v>
      </c>
      <c r="BC393" s="3" t="s">
        <v>95</v>
      </c>
      <c r="BD393" t="s">
        <v>4</v>
      </c>
      <c r="BE393">
        <v>5009</v>
      </c>
      <c r="BF393" t="s">
        <v>282</v>
      </c>
      <c r="BG393">
        <v>97.040199999999999</v>
      </c>
      <c r="BH393">
        <v>87.314999999999998</v>
      </c>
      <c r="BI393" t="s">
        <v>6766</v>
      </c>
      <c r="BJ393">
        <v>36.786499999999997</v>
      </c>
      <c r="BK393">
        <v>61.945</v>
      </c>
      <c r="BL393">
        <v>61.733600000000003</v>
      </c>
      <c r="BM393">
        <v>67.019000000000005</v>
      </c>
      <c r="BN393">
        <v>70.190299999999993</v>
      </c>
      <c r="BO393">
        <v>68.287499999999994</v>
      </c>
      <c r="BP393">
        <v>17.970400000000001</v>
      </c>
      <c r="BQ393">
        <v>17.970400000000001</v>
      </c>
      <c r="BW393" t="s">
        <v>6767</v>
      </c>
      <c r="BX393">
        <v>29.598299999999998</v>
      </c>
      <c r="BY393">
        <v>26.215599999999998</v>
      </c>
      <c r="BZ393">
        <v>29.1755</v>
      </c>
      <c r="CA393">
        <v>17.759</v>
      </c>
      <c r="CD393" t="s">
        <v>6768</v>
      </c>
      <c r="CK393">
        <v>6</v>
      </c>
      <c r="CL393" t="s">
        <v>4</v>
      </c>
      <c r="CM393" t="s">
        <v>6769</v>
      </c>
      <c r="CN393" t="s">
        <v>6770</v>
      </c>
      <c r="CO393" t="s">
        <v>99</v>
      </c>
      <c r="CP393" t="s">
        <v>100</v>
      </c>
      <c r="CQ393" s="7">
        <v>393</v>
      </c>
      <c r="CR393" t="s">
        <v>100</v>
      </c>
      <c r="CS393" t="s">
        <v>101</v>
      </c>
      <c r="CT393" t="s">
        <v>152</v>
      </c>
      <c r="CU393" t="s">
        <v>102</v>
      </c>
      <c r="CV393" t="s">
        <v>100</v>
      </c>
    </row>
    <row r="394" spans="1:100">
      <c r="A394" s="3" t="s">
        <v>6771</v>
      </c>
      <c r="B394" s="4" t="s">
        <v>6772</v>
      </c>
      <c r="C394">
        <v>66.999515480015404</v>
      </c>
      <c r="D394">
        <v>233.43504136955099</v>
      </c>
      <c r="E394">
        <f>-1.80229578076075</f>
        <v>-1.80229578076075</v>
      </c>
      <c r="F394">
        <v>1.8804925413175199E-4</v>
      </c>
      <c r="G394" t="s">
        <v>4</v>
      </c>
      <c r="H394">
        <v>66.999515480015404</v>
      </c>
      <c r="I394">
        <v>15.237373012247501</v>
      </c>
      <c r="J394">
        <v>2.1589251106622802</v>
      </c>
      <c r="K394" s="5">
        <v>6.5342822792365706E-5</v>
      </c>
      <c r="L394" t="s">
        <v>4</v>
      </c>
      <c r="M394">
        <v>233.43504136955099</v>
      </c>
      <c r="N394">
        <v>15.237373012247501</v>
      </c>
      <c r="O394">
        <v>3.96122089142303</v>
      </c>
      <c r="P394" s="5">
        <v>1.41019485224355E-14</v>
      </c>
      <c r="Q394" t="s">
        <v>4</v>
      </c>
      <c r="R394" s="4" t="s">
        <v>87</v>
      </c>
      <c r="S394" t="s">
        <v>4</v>
      </c>
      <c r="T394" t="s">
        <v>92</v>
      </c>
      <c r="U394" t="s">
        <v>92</v>
      </c>
      <c r="V394" t="s">
        <v>92</v>
      </c>
      <c r="W394" t="s">
        <v>92</v>
      </c>
      <c r="X394" t="s">
        <v>4</v>
      </c>
      <c r="Y394" t="s">
        <v>92</v>
      </c>
      <c r="Z394" t="s">
        <v>92</v>
      </c>
      <c r="AA394" t="s">
        <v>92</v>
      </c>
      <c r="AB394" t="s">
        <v>4</v>
      </c>
      <c r="AC394" s="3" t="s">
        <v>93</v>
      </c>
      <c r="AD394" t="s">
        <v>4</v>
      </c>
      <c r="AE394" s="4" t="s">
        <v>94</v>
      </c>
      <c r="AZ394" t="s">
        <v>4</v>
      </c>
      <c r="BA394" s="3" t="s">
        <v>115</v>
      </c>
      <c r="BB394" t="s">
        <v>96</v>
      </c>
      <c r="BC394" s="3" t="s">
        <v>782</v>
      </c>
      <c r="BD394" t="s">
        <v>4</v>
      </c>
      <c r="BE394">
        <v>1705</v>
      </c>
      <c r="BF394" t="s">
        <v>151</v>
      </c>
      <c r="BG394">
        <v>83.213399999999993</v>
      </c>
      <c r="CK394">
        <v>2</v>
      </c>
      <c r="CL394" t="s">
        <v>4</v>
      </c>
      <c r="CM394" t="s">
        <v>98</v>
      </c>
      <c r="CN394" t="s">
        <v>98</v>
      </c>
      <c r="CO394" t="s">
        <v>99</v>
      </c>
      <c r="CP394" t="s">
        <v>100</v>
      </c>
      <c r="CQ394" s="7">
        <v>394</v>
      </c>
      <c r="CR394" t="s">
        <v>100</v>
      </c>
      <c r="CS394" t="s">
        <v>101</v>
      </c>
      <c r="CT394" t="s">
        <v>152</v>
      </c>
      <c r="CU394" t="s">
        <v>102</v>
      </c>
      <c r="CV394" t="s">
        <v>100</v>
      </c>
    </row>
    <row r="395" spans="1:100">
      <c r="A395" s="3" t="s">
        <v>6773</v>
      </c>
      <c r="B395" s="4" t="s">
        <v>6774</v>
      </c>
      <c r="C395">
        <v>547.12188599189699</v>
      </c>
      <c r="D395">
        <v>1100.1041100129601</v>
      </c>
      <c r="E395">
        <f>-1.00719563167459</f>
        <v>-1.00719563167459</v>
      </c>
      <c r="F395" s="5">
        <v>5.8642311943249803E-6</v>
      </c>
      <c r="G395" t="s">
        <v>4</v>
      </c>
      <c r="H395">
        <v>547.12188599189699</v>
      </c>
      <c r="I395">
        <v>70.4848377901763</v>
      </c>
      <c r="J395">
        <v>2.9461964172032502</v>
      </c>
      <c r="K395" s="5">
        <v>1.04759582812659E-34</v>
      </c>
      <c r="L395" t="s">
        <v>4</v>
      </c>
      <c r="M395">
        <v>1100.1041100129601</v>
      </c>
      <c r="N395">
        <v>70.4848377901763</v>
      </c>
      <c r="O395">
        <v>3.95339204887784</v>
      </c>
      <c r="P395" s="5">
        <v>2.4869173073849799E-62</v>
      </c>
      <c r="Q395" t="s">
        <v>4</v>
      </c>
      <c r="R395" s="4" t="s">
        <v>87</v>
      </c>
      <c r="S395" t="s">
        <v>4</v>
      </c>
      <c r="T395" t="s">
        <v>88</v>
      </c>
      <c r="U395" t="s">
        <v>89</v>
      </c>
      <c r="V395" t="s">
        <v>90</v>
      </c>
      <c r="W395" t="s">
        <v>91</v>
      </c>
      <c r="X395" t="s">
        <v>4</v>
      </c>
      <c r="Y395" t="s">
        <v>92</v>
      </c>
      <c r="Z395" t="s">
        <v>92</v>
      </c>
      <c r="AA395" t="s">
        <v>92</v>
      </c>
      <c r="AB395" t="s">
        <v>4</v>
      </c>
      <c r="AC395" s="3" t="s">
        <v>93</v>
      </c>
      <c r="AD395" t="s">
        <v>4</v>
      </c>
      <c r="AE395" s="4" t="s">
        <v>94</v>
      </c>
      <c r="AZ395" t="s">
        <v>4</v>
      </c>
      <c r="BA395" s="3" t="s">
        <v>95</v>
      </c>
      <c r="BB395" t="s">
        <v>96</v>
      </c>
      <c r="BC395" s="3" t="s">
        <v>95</v>
      </c>
      <c r="BD395" t="s">
        <v>4</v>
      </c>
      <c r="BE395">
        <v>1177</v>
      </c>
      <c r="BF395" t="s">
        <v>151</v>
      </c>
      <c r="BG395">
        <v>96.4602</v>
      </c>
      <c r="BH395">
        <v>100</v>
      </c>
      <c r="BI395">
        <v>60.619500000000002</v>
      </c>
      <c r="BJ395">
        <v>45.1327</v>
      </c>
      <c r="BK395">
        <v>40.265500000000003</v>
      </c>
      <c r="BL395" t="s">
        <v>6775</v>
      </c>
      <c r="BM395">
        <v>46.902700000000003</v>
      </c>
      <c r="BN395">
        <v>46.017699999999998</v>
      </c>
      <c r="BO395">
        <v>58.849600000000002</v>
      </c>
      <c r="CK395">
        <v>2</v>
      </c>
      <c r="CL395" t="s">
        <v>4</v>
      </c>
      <c r="CM395" t="s">
        <v>98</v>
      </c>
      <c r="CN395" t="s">
        <v>98</v>
      </c>
      <c r="CO395" t="s">
        <v>99</v>
      </c>
      <c r="CP395" t="s">
        <v>100</v>
      </c>
      <c r="CQ395" s="7">
        <v>395</v>
      </c>
      <c r="CR395" t="s">
        <v>100</v>
      </c>
      <c r="CS395" t="s">
        <v>101</v>
      </c>
      <c r="CT395" t="s">
        <v>152</v>
      </c>
      <c r="CU395" t="s">
        <v>102</v>
      </c>
      <c r="CV395" t="s">
        <v>100</v>
      </c>
    </row>
    <row r="396" spans="1:100">
      <c r="A396" s="3" t="s">
        <v>6776</v>
      </c>
      <c r="B396" s="4" t="s">
        <v>6777</v>
      </c>
      <c r="C396">
        <v>2113.0873641203002</v>
      </c>
      <c r="D396">
        <v>5024.9171611925403</v>
      </c>
      <c r="E396">
        <f>-1.24978286888981</f>
        <v>-1.2497828688898101</v>
      </c>
      <c r="F396">
        <v>1.4592671614931E-2</v>
      </c>
      <c r="G396" t="s">
        <v>4</v>
      </c>
      <c r="H396">
        <v>2113.0873641203002</v>
      </c>
      <c r="I396">
        <v>323.20070834626802</v>
      </c>
      <c r="J396">
        <v>2.7030110373693099</v>
      </c>
      <c r="K396" s="5">
        <v>1.4776872068868999E-8</v>
      </c>
      <c r="L396" t="s">
        <v>4</v>
      </c>
      <c r="M396">
        <v>5024.9171611925403</v>
      </c>
      <c r="N396">
        <v>323.20070834626802</v>
      </c>
      <c r="O396">
        <v>3.95279390625912</v>
      </c>
      <c r="P396" s="5">
        <v>2.5429167270547301E-17</v>
      </c>
      <c r="Q396" t="s">
        <v>4</v>
      </c>
      <c r="R396" s="4" t="s">
        <v>87</v>
      </c>
      <c r="S396" t="s">
        <v>4</v>
      </c>
      <c r="T396" t="s">
        <v>6778</v>
      </c>
      <c r="U396" t="s">
        <v>6779</v>
      </c>
      <c r="V396" t="s">
        <v>6780</v>
      </c>
      <c r="W396" t="s">
        <v>203</v>
      </c>
      <c r="X396" t="s">
        <v>4</v>
      </c>
      <c r="Y396" t="s">
        <v>6781</v>
      </c>
      <c r="Z396" t="s">
        <v>6782</v>
      </c>
      <c r="AA396" t="s">
        <v>6783</v>
      </c>
      <c r="AB396" t="s">
        <v>4</v>
      </c>
      <c r="AC396" s="3" t="s">
        <v>6784</v>
      </c>
      <c r="AD396" t="s">
        <v>4</v>
      </c>
      <c r="AE396" t="s">
        <v>6785</v>
      </c>
      <c r="AF396" t="s">
        <v>834</v>
      </c>
      <c r="AG396" t="s">
        <v>6786</v>
      </c>
      <c r="AH396" t="s">
        <v>112</v>
      </c>
      <c r="AJ396" t="s">
        <v>6787</v>
      </c>
      <c r="AK396" t="s">
        <v>6788</v>
      </c>
      <c r="AL396" t="s">
        <v>6789</v>
      </c>
      <c r="AM396" t="s">
        <v>6790</v>
      </c>
      <c r="AQ396" t="s">
        <v>6791</v>
      </c>
      <c r="AU396" t="s">
        <v>112</v>
      </c>
      <c r="AV396" t="s">
        <v>6792</v>
      </c>
      <c r="AW396" t="s">
        <v>114</v>
      </c>
      <c r="AX396" t="s">
        <v>167</v>
      </c>
      <c r="AY396" t="s">
        <v>6793</v>
      </c>
      <c r="AZ396" t="s">
        <v>4</v>
      </c>
      <c r="BA396" s="3" t="s">
        <v>95</v>
      </c>
      <c r="BB396" s="6" t="s">
        <v>95</v>
      </c>
      <c r="BC396" s="3" t="s">
        <v>95</v>
      </c>
      <c r="BD396" t="s">
        <v>4</v>
      </c>
      <c r="BE396">
        <v>9943</v>
      </c>
      <c r="BF396" t="s">
        <v>169</v>
      </c>
      <c r="BG396">
        <v>99.188299999999998</v>
      </c>
      <c r="BJ396">
        <v>92.207800000000006</v>
      </c>
      <c r="BL396">
        <v>91.396100000000004</v>
      </c>
      <c r="BM396">
        <v>90.909099999999995</v>
      </c>
      <c r="BN396">
        <v>91.071399999999997</v>
      </c>
      <c r="BO396">
        <v>90.259699999999995</v>
      </c>
      <c r="BP396">
        <v>63.473999999999997</v>
      </c>
      <c r="BQ396">
        <v>25.6494</v>
      </c>
      <c r="BR396">
        <v>40.259700000000002</v>
      </c>
      <c r="BS396">
        <v>49.188299999999998</v>
      </c>
      <c r="CB396">
        <v>56.006500000000003</v>
      </c>
      <c r="CC396">
        <v>56.655799999999999</v>
      </c>
      <c r="CE396">
        <v>25.3247</v>
      </c>
      <c r="CF396">
        <v>44.805199999999999</v>
      </c>
      <c r="CG396">
        <v>54.383099999999999</v>
      </c>
      <c r="CH396">
        <v>53.896099999999997</v>
      </c>
      <c r="CJ396">
        <v>33.279200000000003</v>
      </c>
      <c r="CK396">
        <v>9</v>
      </c>
      <c r="CL396" t="s">
        <v>4</v>
      </c>
      <c r="CM396" t="s">
        <v>98</v>
      </c>
      <c r="CN396" t="s">
        <v>98</v>
      </c>
      <c r="CO396" t="s">
        <v>99</v>
      </c>
      <c r="CP396" t="s">
        <v>100</v>
      </c>
      <c r="CQ396" s="7">
        <v>396</v>
      </c>
      <c r="CR396" t="s">
        <v>100</v>
      </c>
      <c r="CS396" t="s">
        <v>101</v>
      </c>
      <c r="CT396" t="s">
        <v>152</v>
      </c>
      <c r="CU396" t="s">
        <v>102</v>
      </c>
      <c r="CV396" t="s">
        <v>100</v>
      </c>
    </row>
    <row r="397" spans="1:100">
      <c r="A397" s="3" t="s">
        <v>6794</v>
      </c>
      <c r="B397" s="4" t="s">
        <v>6795</v>
      </c>
      <c r="C397">
        <v>3784.3065681810199</v>
      </c>
      <c r="D397">
        <v>10696.6551864752</v>
      </c>
      <c r="E397">
        <f>-1.49909049573467</f>
        <v>-1.49909049573467</v>
      </c>
      <c r="F397" s="5">
        <v>2.2990819728239801E-10</v>
      </c>
      <c r="G397" t="s">
        <v>4</v>
      </c>
      <c r="H397">
        <v>3784.3065681810199</v>
      </c>
      <c r="I397">
        <v>707.952988579867</v>
      </c>
      <c r="J397">
        <v>2.4194433279780201</v>
      </c>
      <c r="K397" s="5">
        <v>1.2966179906451399E-25</v>
      </c>
      <c r="L397" t="s">
        <v>4</v>
      </c>
      <c r="M397">
        <v>10696.6551864752</v>
      </c>
      <c r="N397">
        <v>707.952988579867</v>
      </c>
      <c r="O397">
        <v>3.9185338237126999</v>
      </c>
      <c r="P397" s="5">
        <v>6.0773905960325899E-66</v>
      </c>
      <c r="Q397" t="s">
        <v>4</v>
      </c>
      <c r="R397" s="4" t="s">
        <v>87</v>
      </c>
      <c r="S397" t="s">
        <v>4</v>
      </c>
      <c r="T397" t="s">
        <v>2229</v>
      </c>
      <c r="U397" t="s">
        <v>2230</v>
      </c>
      <c r="V397" t="s">
        <v>2231</v>
      </c>
      <c r="W397" t="s">
        <v>91</v>
      </c>
      <c r="X397" t="s">
        <v>4</v>
      </c>
      <c r="Y397" t="s">
        <v>5574</v>
      </c>
      <c r="Z397" t="s">
        <v>5575</v>
      </c>
      <c r="AA397" t="s">
        <v>5576</v>
      </c>
      <c r="AB397" t="s">
        <v>4</v>
      </c>
      <c r="AC397" s="3" t="s">
        <v>6796</v>
      </c>
      <c r="AD397" t="s">
        <v>4</v>
      </c>
      <c r="AE397" t="s">
        <v>6797</v>
      </c>
      <c r="AF397" t="s">
        <v>6798</v>
      </c>
      <c r="AG397" t="s">
        <v>6799</v>
      </c>
      <c r="AH397" t="s">
        <v>112</v>
      </c>
      <c r="AJ397" t="s">
        <v>6800</v>
      </c>
      <c r="AL397" t="s">
        <v>6801</v>
      </c>
      <c r="AM397" t="s">
        <v>6802</v>
      </c>
      <c r="AN397" t="s">
        <v>5584</v>
      </c>
      <c r="AQ397" t="s">
        <v>5585</v>
      </c>
      <c r="AR397" t="s">
        <v>6803</v>
      </c>
      <c r="AU397" t="s">
        <v>112</v>
      </c>
      <c r="AV397" t="s">
        <v>6804</v>
      </c>
      <c r="AW397" t="s">
        <v>114</v>
      </c>
      <c r="AX397" t="s">
        <v>167</v>
      </c>
      <c r="AY397" t="s">
        <v>3045</v>
      </c>
      <c r="AZ397" t="s">
        <v>4</v>
      </c>
      <c r="BA397" s="3" t="s">
        <v>95</v>
      </c>
      <c r="BB397" s="6" t="s">
        <v>95</v>
      </c>
      <c r="BC397" s="3" t="s">
        <v>95</v>
      </c>
      <c r="BD397" t="s">
        <v>4</v>
      </c>
      <c r="BE397">
        <v>10305</v>
      </c>
      <c r="BF397" t="s">
        <v>169</v>
      </c>
      <c r="BG397">
        <v>98.933899999999994</v>
      </c>
      <c r="BH397">
        <v>99.786799999999999</v>
      </c>
      <c r="BI397">
        <v>81.876300000000001</v>
      </c>
      <c r="BJ397">
        <v>65.458399999999997</v>
      </c>
      <c r="BK397">
        <v>69.296400000000006</v>
      </c>
      <c r="BL397">
        <v>38.3795</v>
      </c>
      <c r="BM397">
        <v>66.524500000000003</v>
      </c>
      <c r="BN397">
        <v>65.245199999999997</v>
      </c>
      <c r="BO397">
        <v>64.179100000000005</v>
      </c>
      <c r="BP397">
        <v>19.402999999999999</v>
      </c>
      <c r="BR397">
        <v>13.646100000000001</v>
      </c>
      <c r="BS397">
        <v>14.712199999999999</v>
      </c>
      <c r="BT397">
        <v>14.9254</v>
      </c>
      <c r="BU397">
        <v>17.057600000000001</v>
      </c>
      <c r="BV397" t="s">
        <v>6805</v>
      </c>
      <c r="BW397">
        <v>18.5501</v>
      </c>
      <c r="BX397">
        <v>17.057600000000001</v>
      </c>
      <c r="BZ397">
        <v>10.234500000000001</v>
      </c>
      <c r="CA397" t="s">
        <v>6806</v>
      </c>
      <c r="CB397">
        <v>18.763300000000001</v>
      </c>
      <c r="CC397">
        <v>13.4328</v>
      </c>
      <c r="CD397">
        <v>17.057600000000001</v>
      </c>
      <c r="CF397">
        <v>17.697199999999999</v>
      </c>
      <c r="CG397" t="s">
        <v>6807</v>
      </c>
      <c r="CH397" t="s">
        <v>6808</v>
      </c>
      <c r="CI397" t="s">
        <v>6809</v>
      </c>
      <c r="CJ397" t="s">
        <v>6810</v>
      </c>
      <c r="CK397">
        <v>9</v>
      </c>
      <c r="CL397" t="s">
        <v>4</v>
      </c>
      <c r="CM397" t="s">
        <v>6811</v>
      </c>
      <c r="CN397" t="s">
        <v>6812</v>
      </c>
      <c r="CO397" t="s">
        <v>6813</v>
      </c>
      <c r="CP397" t="s">
        <v>100</v>
      </c>
      <c r="CQ397" s="7">
        <v>397</v>
      </c>
      <c r="CR397" t="s">
        <v>100</v>
      </c>
      <c r="CS397" t="s">
        <v>101</v>
      </c>
      <c r="CT397" t="s">
        <v>152</v>
      </c>
      <c r="CU397" t="s">
        <v>102</v>
      </c>
      <c r="CV397" t="s">
        <v>6814</v>
      </c>
    </row>
    <row r="398" spans="1:100">
      <c r="A398" s="3" t="s">
        <v>6815</v>
      </c>
      <c r="B398" s="4" t="s">
        <v>6816</v>
      </c>
      <c r="C398">
        <v>323.86789674271</v>
      </c>
      <c r="D398">
        <v>796.65830597280001</v>
      </c>
      <c r="E398">
        <f>-1.29762148207381</f>
        <v>-1.2976214820738099</v>
      </c>
      <c r="F398" s="5">
        <v>1.27910732206203E-5</v>
      </c>
      <c r="G398" t="s">
        <v>4</v>
      </c>
      <c r="H398">
        <v>323.86789674271</v>
      </c>
      <c r="I398">
        <v>53.1133209873555</v>
      </c>
      <c r="J398">
        <v>2.6092285723517499</v>
      </c>
      <c r="K398" s="5">
        <v>8.9654614205086604E-17</v>
      </c>
      <c r="L398" t="s">
        <v>4</v>
      </c>
      <c r="M398">
        <v>796.65830597280001</v>
      </c>
      <c r="N398">
        <v>53.1133209873555</v>
      </c>
      <c r="O398">
        <v>3.9068500544255498</v>
      </c>
      <c r="P398" s="5">
        <v>6.9683132439318601E-37</v>
      </c>
      <c r="Q398" t="s">
        <v>4</v>
      </c>
      <c r="R398" s="4" t="s">
        <v>87</v>
      </c>
      <c r="S398" t="s">
        <v>4</v>
      </c>
      <c r="T398" t="s">
        <v>6817</v>
      </c>
      <c r="U398" t="s">
        <v>6818</v>
      </c>
      <c r="V398" t="s">
        <v>6819</v>
      </c>
      <c r="W398" t="s">
        <v>328</v>
      </c>
      <c r="X398" t="s">
        <v>4</v>
      </c>
      <c r="Y398" t="s">
        <v>6820</v>
      </c>
      <c r="Z398" t="s">
        <v>6821</v>
      </c>
      <c r="AA398" t="s">
        <v>6822</v>
      </c>
      <c r="AB398" t="s">
        <v>4</v>
      </c>
      <c r="AC398" s="3" t="s">
        <v>6823</v>
      </c>
      <c r="AD398" t="s">
        <v>4</v>
      </c>
      <c r="AE398" t="s">
        <v>6824</v>
      </c>
      <c r="AF398" t="s">
        <v>6825</v>
      </c>
      <c r="AG398" t="s">
        <v>6826</v>
      </c>
      <c r="AH398" t="s">
        <v>112</v>
      </c>
      <c r="AU398" t="s">
        <v>112</v>
      </c>
      <c r="AV398" t="s">
        <v>6827</v>
      </c>
      <c r="AW398" t="s">
        <v>114</v>
      </c>
      <c r="AX398" t="s">
        <v>144</v>
      </c>
      <c r="AY398" t="s">
        <v>6828</v>
      </c>
      <c r="AZ398" t="s">
        <v>4</v>
      </c>
      <c r="BA398" s="3" t="s">
        <v>95</v>
      </c>
      <c r="BB398" s="6" t="s">
        <v>95</v>
      </c>
      <c r="BC398" s="3" t="s">
        <v>95</v>
      </c>
      <c r="BD398" t="s">
        <v>4</v>
      </c>
      <c r="BE398">
        <v>5338</v>
      </c>
      <c r="BF398" t="s">
        <v>386</v>
      </c>
      <c r="BG398">
        <v>99.177000000000007</v>
      </c>
      <c r="BH398">
        <v>100</v>
      </c>
      <c r="BI398">
        <v>98.353899999999996</v>
      </c>
      <c r="BJ398">
        <v>86.831299999999999</v>
      </c>
      <c r="BO398">
        <v>84.362099999999998</v>
      </c>
      <c r="BP398">
        <v>49.794199999999996</v>
      </c>
      <c r="BQ398">
        <v>51.440300000000001</v>
      </c>
      <c r="BS398">
        <v>45.679000000000002</v>
      </c>
      <c r="BW398">
        <v>50.205800000000004</v>
      </c>
      <c r="BX398">
        <v>50.6173</v>
      </c>
      <c r="BY398" t="s">
        <v>6829</v>
      </c>
      <c r="BZ398">
        <v>47.325099999999999</v>
      </c>
      <c r="CA398">
        <v>49.3827</v>
      </c>
      <c r="CB398">
        <v>22.633700000000001</v>
      </c>
      <c r="CF398">
        <v>25.102900000000002</v>
      </c>
      <c r="CG398" t="s">
        <v>6830</v>
      </c>
      <c r="CH398" t="s">
        <v>6831</v>
      </c>
      <c r="CI398" t="s">
        <v>6832</v>
      </c>
      <c r="CJ398" t="s">
        <v>6833</v>
      </c>
      <c r="CK398">
        <v>7</v>
      </c>
      <c r="CL398" t="s">
        <v>4</v>
      </c>
      <c r="CM398" t="s">
        <v>6834</v>
      </c>
      <c r="CN398" t="s">
        <v>6835</v>
      </c>
      <c r="CO398" t="s">
        <v>99</v>
      </c>
      <c r="CP398" t="s">
        <v>100</v>
      </c>
      <c r="CQ398" s="7">
        <v>398</v>
      </c>
      <c r="CR398" t="s">
        <v>100</v>
      </c>
      <c r="CS398" t="s">
        <v>101</v>
      </c>
      <c r="CT398" t="s">
        <v>152</v>
      </c>
      <c r="CU398" t="s">
        <v>102</v>
      </c>
      <c r="CV398" t="s">
        <v>100</v>
      </c>
    </row>
    <row r="399" spans="1:100">
      <c r="A399" s="3" t="s">
        <v>6836</v>
      </c>
      <c r="B399" s="4" t="s">
        <v>6837</v>
      </c>
      <c r="C399">
        <v>48.992986495625999</v>
      </c>
      <c r="D399">
        <v>144.20098938223001</v>
      </c>
      <c r="E399">
        <f>-1.55638269420105</f>
        <v>-1.5563826942010499</v>
      </c>
      <c r="F399">
        <v>4.3260020921966303E-3</v>
      </c>
      <c r="G399" t="s">
        <v>4</v>
      </c>
      <c r="H399">
        <v>48.992986495625999</v>
      </c>
      <c r="I399">
        <v>9.7381850469712301</v>
      </c>
      <c r="J399">
        <v>2.3370877951761502</v>
      </c>
      <c r="K399">
        <v>1.6177197393559499E-4</v>
      </c>
      <c r="L399" t="s">
        <v>4</v>
      </c>
      <c r="M399">
        <v>144.20098938223001</v>
      </c>
      <c r="N399">
        <v>9.7381850469712301</v>
      </c>
      <c r="O399">
        <v>3.8934704893771999</v>
      </c>
      <c r="P399" s="5">
        <v>4.5117018239040998E-11</v>
      </c>
      <c r="Q399" t="s">
        <v>4</v>
      </c>
      <c r="R399" s="4" t="s">
        <v>87</v>
      </c>
      <c r="S399" t="s">
        <v>4</v>
      </c>
      <c r="T399" t="s">
        <v>1570</v>
      </c>
      <c r="U399" t="s">
        <v>1571</v>
      </c>
      <c r="V399" t="s">
        <v>1572</v>
      </c>
      <c r="W399" t="s">
        <v>328</v>
      </c>
      <c r="X399" t="s">
        <v>4</v>
      </c>
      <c r="Y399" t="s">
        <v>6838</v>
      </c>
      <c r="Z399" t="s">
        <v>6839</v>
      </c>
      <c r="AA399" t="s">
        <v>6840</v>
      </c>
      <c r="AB399" t="s">
        <v>4</v>
      </c>
      <c r="AC399" s="3" t="s">
        <v>93</v>
      </c>
      <c r="AD399" t="s">
        <v>4</v>
      </c>
      <c r="AE399" t="s">
        <v>6841</v>
      </c>
      <c r="AF399" t="s">
        <v>6842</v>
      </c>
      <c r="AG399" t="s">
        <v>5294</v>
      </c>
      <c r="AH399" t="s">
        <v>112</v>
      </c>
      <c r="AJ399" t="s">
        <v>6843</v>
      </c>
      <c r="AL399" t="s">
        <v>6844</v>
      </c>
      <c r="AQ399" t="s">
        <v>1003</v>
      </c>
      <c r="AU399" t="s">
        <v>112</v>
      </c>
      <c r="AV399" t="s">
        <v>6845</v>
      </c>
      <c r="AW399" t="s">
        <v>114</v>
      </c>
      <c r="AX399" t="s">
        <v>371</v>
      </c>
      <c r="AY399" t="s">
        <v>6846</v>
      </c>
      <c r="AZ399" t="s">
        <v>4</v>
      </c>
      <c r="BA399" s="3" t="s">
        <v>95</v>
      </c>
      <c r="BB399" s="6" t="s">
        <v>95</v>
      </c>
      <c r="BC399" s="3" t="s">
        <v>95</v>
      </c>
      <c r="BD399" t="s">
        <v>4</v>
      </c>
      <c r="BE399">
        <v>5694</v>
      </c>
      <c r="BF399" t="s">
        <v>386</v>
      </c>
      <c r="BG399">
        <v>87.465900000000005</v>
      </c>
      <c r="BH399">
        <v>40.054499999999997</v>
      </c>
      <c r="BI399">
        <v>68.392399999999995</v>
      </c>
      <c r="BJ399">
        <v>84.741100000000003</v>
      </c>
      <c r="BK399">
        <v>89.918300000000002</v>
      </c>
      <c r="BL399">
        <v>43.869199999999999</v>
      </c>
      <c r="BM399">
        <v>64.850099999999998</v>
      </c>
      <c r="BN399">
        <v>87.1935</v>
      </c>
      <c r="BO399">
        <v>90.463200000000001</v>
      </c>
      <c r="BP399">
        <v>73.569500000000005</v>
      </c>
      <c r="BQ399">
        <v>60.218000000000004</v>
      </c>
      <c r="BR399">
        <v>62.125300000000003</v>
      </c>
      <c r="BS399">
        <v>55.040900000000001</v>
      </c>
      <c r="BT399">
        <v>48.228900000000003</v>
      </c>
      <c r="BU399">
        <v>33.2425</v>
      </c>
      <c r="BV399" t="s">
        <v>6847</v>
      </c>
      <c r="BW399">
        <v>56.675800000000002</v>
      </c>
      <c r="BX399">
        <v>57.765700000000002</v>
      </c>
      <c r="BZ399">
        <v>53.951000000000001</v>
      </c>
      <c r="CA399">
        <v>51.226199999999999</v>
      </c>
      <c r="CB399">
        <v>43.324199999999998</v>
      </c>
      <c r="CE399">
        <v>27.792899999999999</v>
      </c>
      <c r="CF399">
        <v>39.509500000000003</v>
      </c>
      <c r="CG399" t="s">
        <v>6848</v>
      </c>
      <c r="CH399" t="s">
        <v>6849</v>
      </c>
      <c r="CI399" t="s">
        <v>6850</v>
      </c>
      <c r="CK399">
        <v>7</v>
      </c>
      <c r="CL399" t="s">
        <v>4</v>
      </c>
      <c r="CM399" t="s">
        <v>6851</v>
      </c>
      <c r="CN399" t="s">
        <v>6852</v>
      </c>
      <c r="CO399" t="s">
        <v>99</v>
      </c>
      <c r="CP399" t="s">
        <v>100</v>
      </c>
      <c r="CQ399" s="7">
        <v>399</v>
      </c>
      <c r="CR399" t="s">
        <v>100</v>
      </c>
      <c r="CS399" t="s">
        <v>101</v>
      </c>
      <c r="CT399" t="s">
        <v>152</v>
      </c>
      <c r="CU399" t="s">
        <v>102</v>
      </c>
      <c r="CV399" t="s">
        <v>100</v>
      </c>
    </row>
    <row r="400" spans="1:100">
      <c r="A400" s="3" t="s">
        <v>6853</v>
      </c>
      <c r="B400" s="4" t="s">
        <v>6854</v>
      </c>
      <c r="C400">
        <v>1520.98132084185</v>
      </c>
      <c r="D400">
        <v>4138.4905340798005</v>
      </c>
      <c r="E400">
        <f>-1.44407392151851</f>
        <v>-1.4440739215185101</v>
      </c>
      <c r="F400" s="5">
        <v>1.44477020476093E-7</v>
      </c>
      <c r="G400" t="s">
        <v>4</v>
      </c>
      <c r="H400">
        <v>1520.98132084185</v>
      </c>
      <c r="I400">
        <v>282.720832661477</v>
      </c>
      <c r="J400">
        <v>2.4201215205617599</v>
      </c>
      <c r="K400" s="5">
        <v>2.9845840433318599E-19</v>
      </c>
      <c r="L400" t="s">
        <v>4</v>
      </c>
      <c r="M400">
        <v>4138.4905340798005</v>
      </c>
      <c r="N400">
        <v>282.720832661477</v>
      </c>
      <c r="O400">
        <v>3.86419544208026</v>
      </c>
      <c r="P400" s="5">
        <v>6.6873387701821894E-48</v>
      </c>
      <c r="Q400" t="s">
        <v>4</v>
      </c>
      <c r="R400" s="4" t="s">
        <v>87</v>
      </c>
      <c r="S400" t="s">
        <v>4</v>
      </c>
      <c r="T400" t="s">
        <v>92</v>
      </c>
      <c r="U400" t="s">
        <v>92</v>
      </c>
      <c r="V400" t="s">
        <v>92</v>
      </c>
      <c r="W400" t="s">
        <v>92</v>
      </c>
      <c r="X400" t="s">
        <v>4</v>
      </c>
      <c r="Y400" t="s">
        <v>2131</v>
      </c>
      <c r="Z400" t="s">
        <v>2132</v>
      </c>
      <c r="AA400" t="s">
        <v>2133</v>
      </c>
      <c r="AB400" t="s">
        <v>4</v>
      </c>
      <c r="AC400" s="3" t="s">
        <v>2134</v>
      </c>
      <c r="AD400" t="s">
        <v>4</v>
      </c>
      <c r="AE400" t="s">
        <v>2135</v>
      </c>
      <c r="AF400" t="s">
        <v>6309</v>
      </c>
      <c r="AG400" t="s">
        <v>6855</v>
      </c>
      <c r="AH400" t="s">
        <v>112</v>
      </c>
      <c r="AJ400" t="s">
        <v>2137</v>
      </c>
      <c r="AU400" t="s">
        <v>112</v>
      </c>
      <c r="AV400" t="s">
        <v>2138</v>
      </c>
      <c r="AW400" t="s">
        <v>114</v>
      </c>
      <c r="AX400" t="s">
        <v>2139</v>
      </c>
      <c r="AY400" t="s">
        <v>2140</v>
      </c>
      <c r="AZ400" t="s">
        <v>4</v>
      </c>
      <c r="BA400" s="3" t="s">
        <v>95</v>
      </c>
      <c r="BB400" s="6" t="s">
        <v>95</v>
      </c>
      <c r="BC400" s="3" t="s">
        <v>95</v>
      </c>
      <c r="BD400" t="s">
        <v>4</v>
      </c>
      <c r="BE400">
        <v>2693</v>
      </c>
      <c r="BF400" t="s">
        <v>97</v>
      </c>
      <c r="BG400">
        <v>90.112399999999994</v>
      </c>
      <c r="BH400" t="s">
        <v>6856</v>
      </c>
      <c r="BI400">
        <v>72.3596</v>
      </c>
      <c r="BJ400">
        <v>58.651699999999998</v>
      </c>
      <c r="BL400">
        <v>60</v>
      </c>
      <c r="BM400">
        <v>61.123600000000003</v>
      </c>
      <c r="BN400">
        <v>58.651699999999998</v>
      </c>
      <c r="CK400">
        <v>4</v>
      </c>
      <c r="CL400" t="s">
        <v>4</v>
      </c>
      <c r="CM400" t="s">
        <v>98</v>
      </c>
      <c r="CN400" t="s">
        <v>98</v>
      </c>
      <c r="CO400" t="s">
        <v>99</v>
      </c>
      <c r="CP400" t="s">
        <v>100</v>
      </c>
      <c r="CQ400" s="7">
        <v>400</v>
      </c>
      <c r="CR400" t="s">
        <v>100</v>
      </c>
      <c r="CS400" t="s">
        <v>101</v>
      </c>
      <c r="CT400" t="s">
        <v>152</v>
      </c>
      <c r="CU400" t="s">
        <v>102</v>
      </c>
      <c r="CV400" t="s">
        <v>100</v>
      </c>
    </row>
    <row r="401" spans="1:100">
      <c r="A401" s="3" t="s">
        <v>6857</v>
      </c>
      <c r="B401" s="4" t="s">
        <v>6858</v>
      </c>
      <c r="C401">
        <v>202.23452186389699</v>
      </c>
      <c r="D401">
        <v>546.06087492283598</v>
      </c>
      <c r="E401">
        <f>-1.43245940185995</f>
        <v>-1.4324594018599499</v>
      </c>
      <c r="F401">
        <v>1.4131561302875999E-2</v>
      </c>
      <c r="G401" t="s">
        <v>4</v>
      </c>
      <c r="H401">
        <v>202.23452186389699</v>
      </c>
      <c r="I401">
        <v>37.7394069579858</v>
      </c>
      <c r="J401">
        <v>2.4247794604713602</v>
      </c>
      <c r="K401" s="5">
        <v>2.5258453725012E-5</v>
      </c>
      <c r="L401" t="s">
        <v>4</v>
      </c>
      <c r="M401">
        <v>546.06087492283598</v>
      </c>
      <c r="N401">
        <v>37.7394069579858</v>
      </c>
      <c r="O401">
        <v>3.8572388623313101</v>
      </c>
      <c r="P401" s="5">
        <v>3.8599646000896399E-12</v>
      </c>
      <c r="Q401" t="s">
        <v>4</v>
      </c>
      <c r="R401" s="4" t="s">
        <v>87</v>
      </c>
      <c r="S401" t="s">
        <v>4</v>
      </c>
      <c r="T401" t="s">
        <v>6859</v>
      </c>
      <c r="U401" t="s">
        <v>6860</v>
      </c>
      <c r="V401" t="s">
        <v>6861</v>
      </c>
      <c r="W401" t="s">
        <v>328</v>
      </c>
      <c r="X401" t="s">
        <v>4</v>
      </c>
      <c r="Y401" t="s">
        <v>6862</v>
      </c>
      <c r="Z401" t="s">
        <v>6863</v>
      </c>
      <c r="AA401" t="s">
        <v>6864</v>
      </c>
      <c r="AB401" t="s">
        <v>4</v>
      </c>
      <c r="AC401" s="3" t="s">
        <v>6865</v>
      </c>
      <c r="AD401" t="s">
        <v>4</v>
      </c>
      <c r="AE401" t="s">
        <v>6866</v>
      </c>
      <c r="AF401" t="s">
        <v>6867</v>
      </c>
      <c r="AG401" t="s">
        <v>6868</v>
      </c>
      <c r="AH401" t="s">
        <v>112</v>
      </c>
      <c r="AJ401" t="s">
        <v>6869</v>
      </c>
      <c r="AU401" t="s">
        <v>112</v>
      </c>
      <c r="AV401" t="s">
        <v>6870</v>
      </c>
      <c r="AW401" t="s">
        <v>114</v>
      </c>
      <c r="AX401" t="s">
        <v>132</v>
      </c>
      <c r="AY401" t="s">
        <v>6871</v>
      </c>
      <c r="AZ401" t="s">
        <v>4</v>
      </c>
      <c r="BA401" s="3" t="s">
        <v>115</v>
      </c>
      <c r="BB401" t="s">
        <v>96</v>
      </c>
      <c r="BC401" s="3" t="s">
        <v>197</v>
      </c>
      <c r="BD401" t="s">
        <v>4</v>
      </c>
      <c r="BE401">
        <v>3755</v>
      </c>
      <c r="BF401" t="s">
        <v>112</v>
      </c>
      <c r="BG401">
        <v>98.723399999999998</v>
      </c>
      <c r="BH401" t="s">
        <v>6872</v>
      </c>
      <c r="BI401">
        <v>91.382999999999996</v>
      </c>
      <c r="BJ401">
        <v>51.383000000000003</v>
      </c>
      <c r="BK401" t="s">
        <v>6873</v>
      </c>
      <c r="BL401">
        <v>79.255300000000005</v>
      </c>
      <c r="BM401">
        <v>76.063800000000001</v>
      </c>
      <c r="BN401">
        <v>79.468100000000007</v>
      </c>
      <c r="BO401" t="s">
        <v>6874</v>
      </c>
      <c r="BP401">
        <v>41.383000000000003</v>
      </c>
      <c r="BQ401">
        <v>41.595700000000001</v>
      </c>
      <c r="BR401" t="s">
        <v>6875</v>
      </c>
      <c r="BS401">
        <v>40.744700000000002</v>
      </c>
      <c r="BT401">
        <v>17.9787</v>
      </c>
      <c r="BU401">
        <v>34.5745</v>
      </c>
      <c r="BV401" t="s">
        <v>6876</v>
      </c>
      <c r="BW401">
        <v>39.893599999999999</v>
      </c>
      <c r="BX401">
        <v>40.851100000000002</v>
      </c>
      <c r="BY401">
        <v>29.893599999999999</v>
      </c>
      <c r="BZ401" t="s">
        <v>6877</v>
      </c>
      <c r="CA401" t="s">
        <v>6878</v>
      </c>
      <c r="CK401">
        <v>5</v>
      </c>
      <c r="CL401" t="s">
        <v>4</v>
      </c>
      <c r="CM401" t="s">
        <v>6879</v>
      </c>
      <c r="CN401" t="s">
        <v>6880</v>
      </c>
      <c r="CO401" t="s">
        <v>99</v>
      </c>
      <c r="CP401" t="s">
        <v>100</v>
      </c>
      <c r="CQ401" s="7">
        <v>401</v>
      </c>
      <c r="CR401" t="s">
        <v>100</v>
      </c>
      <c r="CS401" t="s">
        <v>101</v>
      </c>
      <c r="CT401" t="s">
        <v>152</v>
      </c>
      <c r="CU401" t="s">
        <v>102</v>
      </c>
      <c r="CV401" t="s">
        <v>100</v>
      </c>
    </row>
    <row r="402" spans="1:100">
      <c r="A402" s="3" t="s">
        <v>6881</v>
      </c>
      <c r="B402" s="4" t="s">
        <v>6882</v>
      </c>
      <c r="C402">
        <v>112.59843509001</v>
      </c>
      <c r="D402">
        <v>310.93874325760902</v>
      </c>
      <c r="E402">
        <f>-1.46365807317914</f>
        <v>-1.46365807317914</v>
      </c>
      <c r="F402">
        <v>5.0017853694007304E-3</v>
      </c>
      <c r="G402" t="s">
        <v>4</v>
      </c>
      <c r="H402">
        <v>112.59843509001</v>
      </c>
      <c r="I402">
        <v>22.550348236929</v>
      </c>
      <c r="J402">
        <v>2.3309881942011001</v>
      </c>
      <c r="K402" s="5">
        <v>1.6436157130509501E-5</v>
      </c>
      <c r="L402" t="s">
        <v>4</v>
      </c>
      <c r="M402">
        <v>310.93874325760902</v>
      </c>
      <c r="N402">
        <v>22.550348236929</v>
      </c>
      <c r="O402">
        <v>3.7946462673802399</v>
      </c>
      <c r="P402" s="5">
        <v>3.2280103268317698E-13</v>
      </c>
      <c r="Q402" t="s">
        <v>4</v>
      </c>
      <c r="R402" s="4" t="s">
        <v>87</v>
      </c>
      <c r="S402" t="s">
        <v>4</v>
      </c>
      <c r="T402" t="s">
        <v>189</v>
      </c>
      <c r="U402" t="s">
        <v>190</v>
      </c>
      <c r="V402" t="s">
        <v>191</v>
      </c>
      <c r="W402" t="s">
        <v>192</v>
      </c>
      <c r="X402" t="s">
        <v>4</v>
      </c>
      <c r="Y402" t="s">
        <v>92</v>
      </c>
      <c r="Z402" t="s">
        <v>92</v>
      </c>
      <c r="AA402" t="s">
        <v>92</v>
      </c>
      <c r="AB402" t="s">
        <v>4</v>
      </c>
      <c r="AC402" s="3" t="s">
        <v>93</v>
      </c>
      <c r="AD402" t="s">
        <v>4</v>
      </c>
      <c r="AE402" s="4" t="s">
        <v>94</v>
      </c>
      <c r="AZ402" t="s">
        <v>4</v>
      </c>
      <c r="BA402" s="3" t="s">
        <v>95</v>
      </c>
      <c r="BB402" t="s">
        <v>96</v>
      </c>
      <c r="BC402" s="3" t="s">
        <v>95</v>
      </c>
      <c r="BD402" t="s">
        <v>4</v>
      </c>
      <c r="BE402">
        <v>1492</v>
      </c>
      <c r="BF402" t="s">
        <v>151</v>
      </c>
      <c r="BG402">
        <v>97.763599999999997</v>
      </c>
      <c r="BH402">
        <v>35.463299999999997</v>
      </c>
      <c r="BN402" t="s">
        <v>6883</v>
      </c>
      <c r="BO402">
        <v>30.6709</v>
      </c>
      <c r="CK402">
        <v>2</v>
      </c>
      <c r="CL402" t="s">
        <v>4</v>
      </c>
      <c r="CM402" t="s">
        <v>98</v>
      </c>
      <c r="CN402" t="s">
        <v>98</v>
      </c>
      <c r="CO402" t="s">
        <v>99</v>
      </c>
      <c r="CP402" t="s">
        <v>100</v>
      </c>
      <c r="CQ402" s="7">
        <v>402</v>
      </c>
      <c r="CR402" t="s">
        <v>100</v>
      </c>
      <c r="CS402" t="s">
        <v>101</v>
      </c>
      <c r="CT402" t="s">
        <v>152</v>
      </c>
      <c r="CU402" t="s">
        <v>102</v>
      </c>
      <c r="CV402" t="s">
        <v>100</v>
      </c>
    </row>
    <row r="403" spans="1:100">
      <c r="A403" s="3" t="s">
        <v>6884</v>
      </c>
      <c r="B403" s="4" t="s">
        <v>6885</v>
      </c>
      <c r="C403">
        <v>509.98731043107398</v>
      </c>
      <c r="D403">
        <v>1041.5428919025101</v>
      </c>
      <c r="E403">
        <f>-1.03016726813766</f>
        <v>-1.0301672681376599</v>
      </c>
      <c r="F403">
        <v>4.5769855197040098E-2</v>
      </c>
      <c r="G403" t="s">
        <v>4</v>
      </c>
      <c r="H403">
        <v>509.98731043107398</v>
      </c>
      <c r="I403">
        <v>75.264234005990801</v>
      </c>
      <c r="J403">
        <v>2.73724996359985</v>
      </c>
      <c r="K403" s="5">
        <v>1.99545284631809E-8</v>
      </c>
      <c r="L403" t="s">
        <v>4</v>
      </c>
      <c r="M403">
        <v>1041.5428919025101</v>
      </c>
      <c r="N403">
        <v>75.264234005990801</v>
      </c>
      <c r="O403">
        <v>3.7674172317375101</v>
      </c>
      <c r="P403" s="5">
        <v>3.0567378767399101E-15</v>
      </c>
      <c r="Q403" t="s">
        <v>4</v>
      </c>
      <c r="R403" s="4" t="s">
        <v>87</v>
      </c>
      <c r="S403" t="s">
        <v>4</v>
      </c>
      <c r="T403" t="s">
        <v>92</v>
      </c>
      <c r="U403" t="s">
        <v>92</v>
      </c>
      <c r="V403" t="s">
        <v>92</v>
      </c>
      <c r="W403" t="s">
        <v>92</v>
      </c>
      <c r="X403" t="s">
        <v>4</v>
      </c>
      <c r="Y403" t="s">
        <v>92</v>
      </c>
      <c r="Z403" t="s">
        <v>92</v>
      </c>
      <c r="AA403" t="s">
        <v>92</v>
      </c>
      <c r="AB403" t="s">
        <v>4</v>
      </c>
      <c r="AC403" s="3" t="s">
        <v>6137</v>
      </c>
      <c r="AD403" t="s">
        <v>4</v>
      </c>
      <c r="AE403" s="4" t="s">
        <v>94</v>
      </c>
      <c r="AZ403" t="s">
        <v>4</v>
      </c>
      <c r="BA403" s="3" t="s">
        <v>95</v>
      </c>
      <c r="BB403" s="6" t="s">
        <v>95</v>
      </c>
      <c r="BC403" s="3" t="s">
        <v>95</v>
      </c>
      <c r="BD403" t="s">
        <v>4</v>
      </c>
      <c r="BE403">
        <v>2292</v>
      </c>
      <c r="BF403" t="s">
        <v>148</v>
      </c>
      <c r="BJ403">
        <v>61.764699999999998</v>
      </c>
      <c r="CK403">
        <v>3</v>
      </c>
      <c r="CL403" t="s">
        <v>4</v>
      </c>
      <c r="CM403" t="s">
        <v>98</v>
      </c>
      <c r="CN403" t="s">
        <v>98</v>
      </c>
      <c r="CO403" t="s">
        <v>99</v>
      </c>
      <c r="CP403" t="s">
        <v>100</v>
      </c>
      <c r="CQ403" s="7">
        <v>403</v>
      </c>
      <c r="CR403" t="s">
        <v>100</v>
      </c>
      <c r="CS403" t="s">
        <v>101</v>
      </c>
      <c r="CT403" t="s">
        <v>152</v>
      </c>
      <c r="CU403" t="s">
        <v>102</v>
      </c>
      <c r="CV403" t="s">
        <v>100</v>
      </c>
    </row>
    <row r="404" spans="1:100">
      <c r="A404" s="3" t="s">
        <v>6886</v>
      </c>
      <c r="B404" s="4" t="s">
        <v>6887</v>
      </c>
      <c r="C404">
        <v>1889.1635691761001</v>
      </c>
      <c r="D404">
        <v>3826.98426959064</v>
      </c>
      <c r="E404">
        <f>-1.01840403292626</f>
        <v>-1.01840403292626</v>
      </c>
      <c r="F404">
        <v>3.4956202821908801E-3</v>
      </c>
      <c r="G404" t="s">
        <v>4</v>
      </c>
      <c r="H404">
        <v>1889.1635691761001</v>
      </c>
      <c r="I404">
        <v>285.62000946749902</v>
      </c>
      <c r="J404">
        <v>2.7172407080548702</v>
      </c>
      <c r="K404" s="5">
        <v>9.0745121479987897E-17</v>
      </c>
      <c r="L404" t="s">
        <v>4</v>
      </c>
      <c r="M404">
        <v>3826.98426959064</v>
      </c>
      <c r="N404">
        <v>285.62000946749902</v>
      </c>
      <c r="O404">
        <v>3.7356447409811202</v>
      </c>
      <c r="P404" s="5">
        <v>5.0879206249755997E-31</v>
      </c>
      <c r="Q404" t="s">
        <v>4</v>
      </c>
      <c r="R404" s="4" t="s">
        <v>87</v>
      </c>
      <c r="S404" t="s">
        <v>4</v>
      </c>
      <c r="T404" t="s">
        <v>1866</v>
      </c>
      <c r="U404" t="s">
        <v>1867</v>
      </c>
      <c r="V404" t="s">
        <v>1868</v>
      </c>
      <c r="W404" t="s">
        <v>123</v>
      </c>
      <c r="X404" t="s">
        <v>4</v>
      </c>
      <c r="Y404" t="s">
        <v>1869</v>
      </c>
      <c r="Z404" t="s">
        <v>1870</v>
      </c>
      <c r="AA404" t="s">
        <v>1871</v>
      </c>
      <c r="AB404" t="s">
        <v>4</v>
      </c>
      <c r="AC404" s="3" t="s">
        <v>1872</v>
      </c>
      <c r="AD404" t="s">
        <v>4</v>
      </c>
      <c r="AE404" t="s">
        <v>6888</v>
      </c>
      <c r="AF404" t="s">
        <v>6889</v>
      </c>
      <c r="AG404" t="s">
        <v>6890</v>
      </c>
      <c r="AH404" t="s">
        <v>112</v>
      </c>
      <c r="AI404" t="s">
        <v>1876</v>
      </c>
      <c r="AJ404" t="s">
        <v>1877</v>
      </c>
      <c r="AU404" t="s">
        <v>112</v>
      </c>
      <c r="AV404" t="s">
        <v>1878</v>
      </c>
      <c r="AW404" t="s">
        <v>114</v>
      </c>
      <c r="AX404" t="s">
        <v>1879</v>
      </c>
      <c r="AY404" t="s">
        <v>1880</v>
      </c>
      <c r="AZ404" t="s">
        <v>4</v>
      </c>
      <c r="BA404" s="3" t="s">
        <v>95</v>
      </c>
      <c r="BB404" s="6" t="s">
        <v>95</v>
      </c>
      <c r="BC404" s="3" t="s">
        <v>95</v>
      </c>
      <c r="BD404" t="s">
        <v>4</v>
      </c>
      <c r="BE404">
        <v>3626</v>
      </c>
      <c r="BF404" t="s">
        <v>112</v>
      </c>
      <c r="BG404">
        <v>93.827200000000005</v>
      </c>
      <c r="BH404">
        <v>98.7654</v>
      </c>
      <c r="BI404">
        <v>96.296300000000002</v>
      </c>
      <c r="BJ404">
        <v>90.534999999999997</v>
      </c>
      <c r="BK404">
        <v>91.358000000000004</v>
      </c>
      <c r="BL404">
        <v>70.987700000000004</v>
      </c>
      <c r="BM404">
        <v>80.864199999999997</v>
      </c>
      <c r="BN404">
        <v>83.950599999999994</v>
      </c>
      <c r="BO404">
        <v>90.3292</v>
      </c>
      <c r="BQ404">
        <v>19.3416</v>
      </c>
      <c r="BR404" t="s">
        <v>6891</v>
      </c>
      <c r="BS404">
        <v>22.428000000000001</v>
      </c>
      <c r="BT404">
        <v>20.5761</v>
      </c>
      <c r="BU404">
        <v>22.222200000000001</v>
      </c>
      <c r="BV404" t="s">
        <v>6892</v>
      </c>
      <c r="BW404" t="s">
        <v>6893</v>
      </c>
      <c r="BX404">
        <v>30.0412</v>
      </c>
      <c r="BY404">
        <v>13.786</v>
      </c>
      <c r="BZ404">
        <v>23.662600000000001</v>
      </c>
      <c r="CA404" t="s">
        <v>6894</v>
      </c>
      <c r="CG404">
        <v>22.222200000000001</v>
      </c>
      <c r="CH404">
        <v>22.222200000000001</v>
      </c>
      <c r="CI404">
        <v>20.3704</v>
      </c>
      <c r="CJ404" t="s">
        <v>6895</v>
      </c>
      <c r="CK404">
        <v>5</v>
      </c>
      <c r="CL404" t="s">
        <v>4</v>
      </c>
      <c r="CM404" t="s">
        <v>1886</v>
      </c>
      <c r="CN404" t="s">
        <v>6896</v>
      </c>
      <c r="CO404" t="s">
        <v>1888</v>
      </c>
      <c r="CP404" t="s">
        <v>100</v>
      </c>
      <c r="CQ404" s="7">
        <v>404</v>
      </c>
      <c r="CR404" t="s">
        <v>100</v>
      </c>
      <c r="CS404" t="s">
        <v>101</v>
      </c>
      <c r="CT404" t="s">
        <v>152</v>
      </c>
      <c r="CU404" t="s">
        <v>102</v>
      </c>
      <c r="CV404" t="s">
        <v>1889</v>
      </c>
    </row>
    <row r="405" spans="1:100">
      <c r="A405" s="3" t="s">
        <v>6897</v>
      </c>
      <c r="B405" s="4" t="s">
        <v>6898</v>
      </c>
      <c r="C405">
        <v>468.765705428204</v>
      </c>
      <c r="D405">
        <v>978.42620705656202</v>
      </c>
      <c r="E405">
        <f>-1.0614552427907</f>
        <v>-1.0614552427907</v>
      </c>
      <c r="F405">
        <v>2.91483141324945E-3</v>
      </c>
      <c r="G405" t="s">
        <v>4</v>
      </c>
      <c r="H405">
        <v>468.765705428204</v>
      </c>
      <c r="I405">
        <v>71.970763965018904</v>
      </c>
      <c r="J405">
        <v>2.6700501267888401</v>
      </c>
      <c r="K405" s="5">
        <v>2.42932277466689E-14</v>
      </c>
      <c r="L405" t="s">
        <v>4</v>
      </c>
      <c r="M405">
        <v>978.42620705656202</v>
      </c>
      <c r="N405">
        <v>71.970763965018904</v>
      </c>
      <c r="O405">
        <v>3.7315053695795402</v>
      </c>
      <c r="P405" s="5">
        <v>2.4529735341788499E-27</v>
      </c>
      <c r="Q405" t="s">
        <v>4</v>
      </c>
      <c r="R405" s="4" t="s">
        <v>87</v>
      </c>
      <c r="S405" t="s">
        <v>4</v>
      </c>
      <c r="T405" t="s">
        <v>92</v>
      </c>
      <c r="U405" t="s">
        <v>92</v>
      </c>
      <c r="V405" t="s">
        <v>92</v>
      </c>
      <c r="W405" t="s">
        <v>92</v>
      </c>
      <c r="X405" t="s">
        <v>4</v>
      </c>
      <c r="Y405" t="s">
        <v>92</v>
      </c>
      <c r="Z405" t="s">
        <v>92</v>
      </c>
      <c r="AA405" t="s">
        <v>92</v>
      </c>
      <c r="AB405" t="s">
        <v>4</v>
      </c>
      <c r="AC405" s="3" t="s">
        <v>93</v>
      </c>
      <c r="AD405" t="s">
        <v>4</v>
      </c>
      <c r="AE405" s="4" t="s">
        <v>94</v>
      </c>
      <c r="AZ405" t="s">
        <v>4</v>
      </c>
      <c r="BA405" s="3" t="s">
        <v>115</v>
      </c>
      <c r="BB405" s="6" t="s">
        <v>95</v>
      </c>
      <c r="BC405" s="3" t="s">
        <v>95</v>
      </c>
      <c r="BD405" t="s">
        <v>4</v>
      </c>
      <c r="BE405">
        <v>1998</v>
      </c>
      <c r="BF405" t="s">
        <v>148</v>
      </c>
      <c r="BG405">
        <v>98.019800000000004</v>
      </c>
      <c r="BI405">
        <v>77.227699999999999</v>
      </c>
      <c r="BJ405">
        <v>74.917500000000004</v>
      </c>
      <c r="BK405">
        <v>68.976900000000001</v>
      </c>
      <c r="BL405" t="s">
        <v>6899</v>
      </c>
      <c r="BM405">
        <v>52.145200000000003</v>
      </c>
      <c r="BN405">
        <v>75.247500000000002</v>
      </c>
      <c r="BO405">
        <v>70.957099999999997</v>
      </c>
      <c r="CK405">
        <v>3</v>
      </c>
      <c r="CL405" t="s">
        <v>4</v>
      </c>
      <c r="CM405" t="s">
        <v>98</v>
      </c>
      <c r="CN405" t="s">
        <v>98</v>
      </c>
      <c r="CO405" t="s">
        <v>99</v>
      </c>
      <c r="CP405" t="s">
        <v>100</v>
      </c>
      <c r="CQ405" s="7">
        <v>405</v>
      </c>
      <c r="CR405" t="s">
        <v>100</v>
      </c>
      <c r="CS405" t="s">
        <v>101</v>
      </c>
      <c r="CT405" t="s">
        <v>152</v>
      </c>
      <c r="CU405" t="s">
        <v>102</v>
      </c>
      <c r="CV405" t="s">
        <v>100</v>
      </c>
    </row>
    <row r="406" spans="1:100">
      <c r="A406" s="3" t="s">
        <v>6900</v>
      </c>
      <c r="B406" s="4" t="s">
        <v>6901</v>
      </c>
      <c r="C406">
        <v>403.59661212749398</v>
      </c>
      <c r="D406">
        <v>1146.5112200968199</v>
      </c>
      <c r="E406">
        <f>-1.50664788384563</f>
        <v>-1.5066478838456301</v>
      </c>
      <c r="F406">
        <v>2.5229549427811798E-4</v>
      </c>
      <c r="G406" t="s">
        <v>4</v>
      </c>
      <c r="H406">
        <v>403.59661212749398</v>
      </c>
      <c r="I406">
        <v>88.271891698525295</v>
      </c>
      <c r="J406">
        <v>2.2074483565213301</v>
      </c>
      <c r="K406" s="5">
        <v>6.2079138966870104E-8</v>
      </c>
      <c r="L406" t="s">
        <v>4</v>
      </c>
      <c r="M406">
        <v>1146.5112200968199</v>
      </c>
      <c r="N406">
        <v>88.271891698525295</v>
      </c>
      <c r="O406">
        <v>3.7140962403669602</v>
      </c>
      <c r="P406" s="5">
        <v>6.9117386170966303E-21</v>
      </c>
      <c r="Q406" t="s">
        <v>4</v>
      </c>
      <c r="R406" s="4" t="s">
        <v>87</v>
      </c>
      <c r="S406" t="s">
        <v>4</v>
      </c>
      <c r="T406" t="s">
        <v>92</v>
      </c>
      <c r="U406" t="s">
        <v>92</v>
      </c>
      <c r="V406" t="s">
        <v>92</v>
      </c>
      <c r="W406" t="s">
        <v>92</v>
      </c>
      <c r="X406" t="s">
        <v>4</v>
      </c>
      <c r="Y406" t="s">
        <v>6902</v>
      </c>
      <c r="Z406" t="s">
        <v>6903</v>
      </c>
      <c r="AA406" t="s">
        <v>6904</v>
      </c>
      <c r="AB406" t="s">
        <v>4</v>
      </c>
      <c r="AC406" s="3" t="s">
        <v>93</v>
      </c>
      <c r="AD406" t="s">
        <v>4</v>
      </c>
      <c r="AE406" s="4" t="s">
        <v>94</v>
      </c>
      <c r="AZ406" t="s">
        <v>4</v>
      </c>
      <c r="BA406" s="3" t="s">
        <v>95</v>
      </c>
      <c r="BB406" s="6" t="s">
        <v>95</v>
      </c>
      <c r="BC406" s="3" t="s">
        <v>95</v>
      </c>
      <c r="BD406" t="s">
        <v>4</v>
      </c>
      <c r="BE406">
        <v>1331</v>
      </c>
      <c r="BF406" t="s">
        <v>151</v>
      </c>
      <c r="BG406">
        <v>88.920500000000004</v>
      </c>
      <c r="BH406">
        <v>34.943199999999997</v>
      </c>
      <c r="BI406">
        <v>65.625</v>
      </c>
      <c r="BJ406">
        <v>34.659100000000002</v>
      </c>
      <c r="BK406">
        <v>21.306799999999999</v>
      </c>
      <c r="BL406">
        <v>28.9773</v>
      </c>
      <c r="BM406">
        <v>66.4773</v>
      </c>
      <c r="BN406">
        <v>66.4773</v>
      </c>
      <c r="BO406">
        <v>55.113599999999998</v>
      </c>
      <c r="CK406">
        <v>2</v>
      </c>
      <c r="CL406" t="s">
        <v>4</v>
      </c>
      <c r="CM406" t="s">
        <v>98</v>
      </c>
      <c r="CN406" t="s">
        <v>98</v>
      </c>
      <c r="CO406" t="s">
        <v>99</v>
      </c>
      <c r="CP406" t="s">
        <v>100</v>
      </c>
      <c r="CQ406" s="7">
        <v>406</v>
      </c>
      <c r="CR406" t="s">
        <v>100</v>
      </c>
      <c r="CS406" t="s">
        <v>101</v>
      </c>
      <c r="CT406" t="s">
        <v>152</v>
      </c>
      <c r="CU406" t="s">
        <v>102</v>
      </c>
      <c r="CV406" t="s">
        <v>100</v>
      </c>
    </row>
    <row r="407" spans="1:100">
      <c r="A407" s="3" t="s">
        <v>6905</v>
      </c>
      <c r="B407" s="4" t="s">
        <v>6906</v>
      </c>
      <c r="C407">
        <v>54.410301538351</v>
      </c>
      <c r="D407">
        <v>181.08049704371899</v>
      </c>
      <c r="E407">
        <f>-1.73387237451114</f>
        <v>-1.73387237451114</v>
      </c>
      <c r="F407" s="5">
        <v>9.5996439501526793E-6</v>
      </c>
      <c r="G407" t="s">
        <v>4</v>
      </c>
      <c r="H407">
        <v>54.410301538351</v>
      </c>
      <c r="I407">
        <v>14.1915406727953</v>
      </c>
      <c r="J407">
        <v>1.9174967982780999</v>
      </c>
      <c r="K407" s="5">
        <v>4.6437581897685103E-5</v>
      </c>
      <c r="L407" t="s">
        <v>4</v>
      </c>
      <c r="M407">
        <v>181.08049704371899</v>
      </c>
      <c r="N407">
        <v>14.1915406727953</v>
      </c>
      <c r="O407">
        <v>3.6513691727892401</v>
      </c>
      <c r="P407" s="5">
        <v>2.4297692178086401E-16</v>
      </c>
      <c r="Q407" t="s">
        <v>4</v>
      </c>
      <c r="R407" s="4" t="s">
        <v>87</v>
      </c>
      <c r="S407" t="s">
        <v>4</v>
      </c>
      <c r="T407" t="s">
        <v>5973</v>
      </c>
      <c r="U407" t="s">
        <v>5974</v>
      </c>
      <c r="V407" t="s">
        <v>5975</v>
      </c>
      <c r="W407" t="s">
        <v>91</v>
      </c>
      <c r="X407" t="s">
        <v>4</v>
      </c>
      <c r="Y407" t="s">
        <v>870</v>
      </c>
      <c r="Z407" t="s">
        <v>871</v>
      </c>
      <c r="AA407" t="s">
        <v>872</v>
      </c>
      <c r="AB407" t="s">
        <v>4</v>
      </c>
      <c r="AC407" s="3" t="s">
        <v>924</v>
      </c>
      <c r="AD407" t="s">
        <v>4</v>
      </c>
      <c r="AE407" t="s">
        <v>873</v>
      </c>
      <c r="AF407" t="s">
        <v>6907</v>
      </c>
      <c r="AG407" t="s">
        <v>6908</v>
      </c>
      <c r="AH407" t="s">
        <v>112</v>
      </c>
      <c r="AJ407" t="s">
        <v>876</v>
      </c>
      <c r="AL407" t="s">
        <v>877</v>
      </c>
      <c r="AM407" t="s">
        <v>878</v>
      </c>
      <c r="AQ407" t="s">
        <v>879</v>
      </c>
      <c r="AU407" t="s">
        <v>112</v>
      </c>
      <c r="AV407" t="s">
        <v>880</v>
      </c>
      <c r="AW407" t="s">
        <v>114</v>
      </c>
      <c r="AX407" t="s">
        <v>881</v>
      </c>
      <c r="AY407" t="s">
        <v>882</v>
      </c>
      <c r="AZ407" t="s">
        <v>4</v>
      </c>
      <c r="BA407" s="3" t="s">
        <v>95</v>
      </c>
      <c r="BB407" t="s">
        <v>96</v>
      </c>
      <c r="BC407" s="3" t="s">
        <v>95</v>
      </c>
      <c r="BD407" t="s">
        <v>4</v>
      </c>
      <c r="BE407">
        <v>5982</v>
      </c>
      <c r="BF407" t="s">
        <v>213</v>
      </c>
      <c r="BG407">
        <v>57.8005</v>
      </c>
      <c r="BI407">
        <v>84.143199999999993</v>
      </c>
      <c r="BJ407">
        <v>51.1509</v>
      </c>
      <c r="BM407">
        <v>50.895099999999999</v>
      </c>
      <c r="BN407">
        <v>50.639400000000002</v>
      </c>
      <c r="BO407" t="s">
        <v>6909</v>
      </c>
      <c r="CC407" t="s">
        <v>6910</v>
      </c>
      <c r="CD407" t="s">
        <v>6911</v>
      </c>
      <c r="CG407" t="s">
        <v>6912</v>
      </c>
      <c r="CH407" t="s">
        <v>6913</v>
      </c>
      <c r="CI407" t="s">
        <v>6914</v>
      </c>
      <c r="CK407">
        <v>8</v>
      </c>
      <c r="CL407" t="s">
        <v>4</v>
      </c>
      <c r="CM407" t="s">
        <v>98</v>
      </c>
      <c r="CN407" t="s">
        <v>98</v>
      </c>
      <c r="CO407" t="s">
        <v>99</v>
      </c>
      <c r="CP407" t="s">
        <v>100</v>
      </c>
      <c r="CQ407" s="7">
        <v>407</v>
      </c>
      <c r="CR407" t="s">
        <v>100</v>
      </c>
      <c r="CS407" s="7" t="s">
        <v>101</v>
      </c>
      <c r="CT407" t="s">
        <v>152</v>
      </c>
      <c r="CU407" t="s">
        <v>102</v>
      </c>
      <c r="CV407" t="s">
        <v>100</v>
      </c>
    </row>
    <row r="408" spans="1:100">
      <c r="A408" s="3" t="s">
        <v>6915</v>
      </c>
      <c r="B408" s="4" t="s">
        <v>6916</v>
      </c>
      <c r="C408">
        <v>20.4583979581592</v>
      </c>
      <c r="D408">
        <v>53.151222204325002</v>
      </c>
      <c r="E408">
        <f>-1.37307920113718</f>
        <v>-1.37307920113718</v>
      </c>
      <c r="F408">
        <v>4.44803021597363E-2</v>
      </c>
      <c r="G408" t="s">
        <v>4</v>
      </c>
      <c r="H408">
        <v>20.4583979581592</v>
      </c>
      <c r="I408">
        <v>4.6722968188433098</v>
      </c>
      <c r="J408">
        <v>2.2466022929663501</v>
      </c>
      <c r="K408">
        <v>6.4181193943821501E-3</v>
      </c>
      <c r="L408" t="s">
        <v>4</v>
      </c>
      <c r="M408">
        <v>53.151222204325002</v>
      </c>
      <c r="N408">
        <v>4.6722968188433098</v>
      </c>
      <c r="O408">
        <v>3.61968149410353</v>
      </c>
      <c r="P408" s="5">
        <v>3.7467718911135499E-6</v>
      </c>
      <c r="Q408" t="s">
        <v>4</v>
      </c>
      <c r="R408" s="4" t="s">
        <v>87</v>
      </c>
      <c r="S408" t="s">
        <v>4</v>
      </c>
      <c r="T408" t="s">
        <v>88</v>
      </c>
      <c r="U408" t="s">
        <v>89</v>
      </c>
      <c r="V408" t="s">
        <v>90</v>
      </c>
      <c r="W408" t="s">
        <v>91</v>
      </c>
      <c r="X408" t="s">
        <v>4</v>
      </c>
      <c r="Y408" t="s">
        <v>6917</v>
      </c>
      <c r="Z408" t="s">
        <v>6918</v>
      </c>
      <c r="AA408" t="s">
        <v>6918</v>
      </c>
      <c r="AB408" t="s">
        <v>4</v>
      </c>
      <c r="AC408" s="3" t="s">
        <v>93</v>
      </c>
      <c r="AD408" t="s">
        <v>4</v>
      </c>
      <c r="AE408" t="s">
        <v>6919</v>
      </c>
      <c r="AF408" t="s">
        <v>6920</v>
      </c>
      <c r="AG408" t="s">
        <v>6921</v>
      </c>
      <c r="AH408" t="s">
        <v>112</v>
      </c>
      <c r="AU408" t="s">
        <v>112</v>
      </c>
      <c r="AV408" t="s">
        <v>6922</v>
      </c>
      <c r="AW408" t="s">
        <v>114</v>
      </c>
      <c r="AX408" t="s">
        <v>345</v>
      </c>
      <c r="AY408" t="s">
        <v>6923</v>
      </c>
      <c r="AZ408" t="s">
        <v>4</v>
      </c>
      <c r="BA408" s="3" t="s">
        <v>95</v>
      </c>
      <c r="BB408" t="s">
        <v>96</v>
      </c>
      <c r="BC408" s="3" t="s">
        <v>95</v>
      </c>
      <c r="BD408" t="s">
        <v>4</v>
      </c>
      <c r="BE408">
        <v>3985</v>
      </c>
      <c r="BF408" t="s">
        <v>112</v>
      </c>
      <c r="BG408">
        <v>65.555599999999998</v>
      </c>
      <c r="BJ408">
        <v>33.703699999999998</v>
      </c>
      <c r="BK408">
        <v>62.036999999999999</v>
      </c>
      <c r="BN408">
        <v>71.111099999999993</v>
      </c>
      <c r="BQ408">
        <v>22.777799999999999</v>
      </c>
      <c r="BS408">
        <v>23.5185</v>
      </c>
      <c r="BU408">
        <v>21.666699999999999</v>
      </c>
      <c r="BW408">
        <v>22.963000000000001</v>
      </c>
      <c r="CA408">
        <v>21.4815</v>
      </c>
      <c r="CK408">
        <v>5</v>
      </c>
      <c r="CL408" t="s">
        <v>4</v>
      </c>
      <c r="CM408" t="s">
        <v>6924</v>
      </c>
      <c r="CN408" t="s">
        <v>6925</v>
      </c>
      <c r="CO408" t="s">
        <v>663</v>
      </c>
      <c r="CP408" t="s">
        <v>100</v>
      </c>
      <c r="CQ408" s="7">
        <v>408</v>
      </c>
      <c r="CR408" t="s">
        <v>100</v>
      </c>
      <c r="CS408" t="s">
        <v>101</v>
      </c>
      <c r="CT408" t="s">
        <v>152</v>
      </c>
      <c r="CU408" t="s">
        <v>102</v>
      </c>
      <c r="CV408" t="s">
        <v>100</v>
      </c>
    </row>
    <row r="409" spans="1:100">
      <c r="A409" s="3" t="s">
        <v>6926</v>
      </c>
      <c r="B409" s="4" t="s">
        <v>6927</v>
      </c>
      <c r="C409">
        <v>95.609800100755194</v>
      </c>
      <c r="D409">
        <v>194.20753227937399</v>
      </c>
      <c r="E409">
        <f>-1.02211873767555</f>
        <v>-1.0221187376755501</v>
      </c>
      <c r="F409">
        <v>4.37846476392277E-3</v>
      </c>
      <c r="G409" t="s">
        <v>4</v>
      </c>
      <c r="H409">
        <v>95.609800100755194</v>
      </c>
      <c r="I409">
        <v>15.729813082752599</v>
      </c>
      <c r="J409">
        <v>2.5493309205306298</v>
      </c>
      <c r="K409" s="5">
        <v>8.8408395281089003E-10</v>
      </c>
      <c r="L409" t="s">
        <v>4</v>
      </c>
      <c r="M409">
        <v>194.20753227937399</v>
      </c>
      <c r="N409">
        <v>15.729813082752599</v>
      </c>
      <c r="O409">
        <v>3.5714496582061801</v>
      </c>
      <c r="P409" s="5">
        <v>1.2906870805802099E-18</v>
      </c>
      <c r="Q409" t="s">
        <v>4</v>
      </c>
      <c r="R409" s="4" t="s">
        <v>87</v>
      </c>
      <c r="S409" t="s">
        <v>4</v>
      </c>
      <c r="T409" t="s">
        <v>92</v>
      </c>
      <c r="U409" t="s">
        <v>92</v>
      </c>
      <c r="V409" t="s">
        <v>92</v>
      </c>
      <c r="W409" t="s">
        <v>92</v>
      </c>
      <c r="X409" t="s">
        <v>4</v>
      </c>
      <c r="Y409" t="s">
        <v>92</v>
      </c>
      <c r="Z409" t="s">
        <v>92</v>
      </c>
      <c r="AA409" t="s">
        <v>92</v>
      </c>
      <c r="AB409" t="s">
        <v>4</v>
      </c>
      <c r="AC409" s="3" t="s">
        <v>93</v>
      </c>
      <c r="AD409" t="s">
        <v>4</v>
      </c>
      <c r="AE409" s="4" t="s">
        <v>94</v>
      </c>
      <c r="AZ409" t="s">
        <v>4</v>
      </c>
      <c r="BA409" s="3" t="s">
        <v>95</v>
      </c>
      <c r="BB409" s="6" t="s">
        <v>95</v>
      </c>
      <c r="BC409" s="3" t="s">
        <v>95</v>
      </c>
      <c r="BD409" t="s">
        <v>4</v>
      </c>
      <c r="BE409">
        <v>2816</v>
      </c>
      <c r="BF409" t="s">
        <v>97</v>
      </c>
      <c r="BG409">
        <v>96.209900000000005</v>
      </c>
      <c r="BH409" t="s">
        <v>6928</v>
      </c>
      <c r="BI409">
        <v>81.341099999999997</v>
      </c>
      <c r="BJ409">
        <v>66.763800000000003</v>
      </c>
      <c r="BK409">
        <v>50.728900000000003</v>
      </c>
      <c r="BL409">
        <v>50.145800000000001</v>
      </c>
      <c r="BM409">
        <v>53.352800000000002</v>
      </c>
      <c r="BN409">
        <v>52.478099999999998</v>
      </c>
      <c r="BO409">
        <v>61.515999999999998</v>
      </c>
      <c r="BP409">
        <v>11.3703</v>
      </c>
      <c r="CK409">
        <v>4</v>
      </c>
      <c r="CL409" t="s">
        <v>4</v>
      </c>
      <c r="CM409" t="s">
        <v>98</v>
      </c>
      <c r="CN409" t="s">
        <v>98</v>
      </c>
      <c r="CO409" t="s">
        <v>99</v>
      </c>
      <c r="CP409" t="s">
        <v>100</v>
      </c>
      <c r="CQ409" s="7">
        <v>409</v>
      </c>
      <c r="CR409" t="s">
        <v>100</v>
      </c>
      <c r="CS409" t="s">
        <v>101</v>
      </c>
      <c r="CT409" t="s">
        <v>152</v>
      </c>
      <c r="CU409" t="s">
        <v>102</v>
      </c>
      <c r="CV409" t="s">
        <v>100</v>
      </c>
    </row>
    <row r="410" spans="1:100">
      <c r="A410" s="3" t="s">
        <v>6929</v>
      </c>
      <c r="B410" s="8" t="s">
        <v>6930</v>
      </c>
      <c r="C410">
        <v>31.9550263283082</v>
      </c>
      <c r="D410">
        <v>74.390215489613297</v>
      </c>
      <c r="E410">
        <f>-1.21592393407341</f>
        <v>-1.21592393407341</v>
      </c>
      <c r="F410">
        <v>1.9885471427520399E-2</v>
      </c>
      <c r="G410" t="s">
        <v>4</v>
      </c>
      <c r="H410">
        <v>31.9550263283082</v>
      </c>
      <c r="I410">
        <v>6.65705757816625</v>
      </c>
      <c r="J410">
        <v>2.3094023921039701</v>
      </c>
      <c r="K410">
        <v>3.0473867522951801E-4</v>
      </c>
      <c r="L410" t="s">
        <v>4</v>
      </c>
      <c r="M410">
        <v>74.390215489613297</v>
      </c>
      <c r="N410">
        <v>6.65705757816625</v>
      </c>
      <c r="O410">
        <v>3.52532632617738</v>
      </c>
      <c r="P410" s="5">
        <v>7.8286303462582193E-9</v>
      </c>
      <c r="Q410" t="s">
        <v>4</v>
      </c>
      <c r="R410" s="4" t="s">
        <v>87</v>
      </c>
      <c r="S410" t="s">
        <v>4</v>
      </c>
      <c r="T410" t="s">
        <v>92</v>
      </c>
      <c r="U410" t="s">
        <v>92</v>
      </c>
      <c r="V410" t="s">
        <v>92</v>
      </c>
      <c r="W410" t="s">
        <v>92</v>
      </c>
      <c r="X410" t="s">
        <v>4</v>
      </c>
      <c r="AB410" t="s">
        <v>4</v>
      </c>
      <c r="AC410" s="3" t="s">
        <v>93</v>
      </c>
      <c r="AD410" t="s">
        <v>4</v>
      </c>
      <c r="AE410" s="4" t="s">
        <v>94</v>
      </c>
      <c r="AZ410" t="s">
        <v>4</v>
      </c>
      <c r="BA410" s="3" t="s">
        <v>812</v>
      </c>
      <c r="BB410" s="3" t="s">
        <v>812</v>
      </c>
      <c r="BC410" s="3" t="s">
        <v>812</v>
      </c>
      <c r="BD410" t="s">
        <v>4</v>
      </c>
      <c r="BE410">
        <v>588</v>
      </c>
      <c r="BF410" t="s">
        <v>322</v>
      </c>
      <c r="CK410">
        <v>1</v>
      </c>
      <c r="CL410" t="s">
        <v>4</v>
      </c>
      <c r="CM410" t="s">
        <v>98</v>
      </c>
      <c r="CN410" t="s">
        <v>98</v>
      </c>
      <c r="CO410" t="s">
        <v>99</v>
      </c>
      <c r="CP410" t="s">
        <v>100</v>
      </c>
      <c r="CQ410" s="7">
        <v>410</v>
      </c>
      <c r="CR410" t="s">
        <v>100</v>
      </c>
      <c r="CS410" t="s">
        <v>101</v>
      </c>
      <c r="CT410" t="s">
        <v>152</v>
      </c>
      <c r="CU410" t="s">
        <v>102</v>
      </c>
      <c r="CV410" t="s">
        <v>100</v>
      </c>
    </row>
    <row r="411" spans="1:100">
      <c r="A411" s="3" t="s">
        <v>6931</v>
      </c>
      <c r="B411" s="4" t="s">
        <v>6932</v>
      </c>
      <c r="C411">
        <v>615.95879334958204</v>
      </c>
      <c r="D411">
        <v>2269.16409568684</v>
      </c>
      <c r="E411">
        <f>-1.88068645723323</f>
        <v>-1.88068645723323</v>
      </c>
      <c r="F411" s="5">
        <v>3.0721471582690602E-10</v>
      </c>
      <c r="G411" t="s">
        <v>4</v>
      </c>
      <c r="H411">
        <v>615.95879334958204</v>
      </c>
      <c r="I411">
        <v>196.80294050857401</v>
      </c>
      <c r="J411">
        <v>1.6374011561002799</v>
      </c>
      <c r="K411" s="5">
        <v>7.7551820313657903E-8</v>
      </c>
      <c r="L411" t="s">
        <v>4</v>
      </c>
      <c r="M411">
        <v>2269.16409568684</v>
      </c>
      <c r="N411">
        <v>196.80294050857401</v>
      </c>
      <c r="O411">
        <v>3.5180876133335102</v>
      </c>
      <c r="P411" s="5">
        <v>5.3793107169814298E-33</v>
      </c>
      <c r="Q411" t="s">
        <v>4</v>
      </c>
      <c r="R411" s="4" t="s">
        <v>87</v>
      </c>
      <c r="S411" t="s">
        <v>4</v>
      </c>
      <c r="T411" t="s">
        <v>6933</v>
      </c>
      <c r="U411" t="s">
        <v>6934</v>
      </c>
      <c r="V411" t="s">
        <v>6935</v>
      </c>
      <c r="W411" t="s">
        <v>203</v>
      </c>
      <c r="X411" t="s">
        <v>4</v>
      </c>
      <c r="Y411" t="s">
        <v>6936</v>
      </c>
      <c r="Z411" t="s">
        <v>6937</v>
      </c>
      <c r="AA411" t="s">
        <v>6938</v>
      </c>
      <c r="AB411" t="s">
        <v>4</v>
      </c>
      <c r="AC411" s="3" t="s">
        <v>6939</v>
      </c>
      <c r="AD411" t="s">
        <v>4</v>
      </c>
      <c r="AE411" t="s">
        <v>6940</v>
      </c>
      <c r="AF411" t="s">
        <v>834</v>
      </c>
      <c r="AG411" t="s">
        <v>6941</v>
      </c>
      <c r="AH411" t="s">
        <v>112</v>
      </c>
      <c r="AJ411" t="s">
        <v>6942</v>
      </c>
      <c r="AK411" t="s">
        <v>6943</v>
      </c>
      <c r="AL411" t="s">
        <v>6944</v>
      </c>
      <c r="AO411" t="s">
        <v>6945</v>
      </c>
      <c r="AP411" t="s">
        <v>6946</v>
      </c>
      <c r="AQ411" t="s">
        <v>6947</v>
      </c>
      <c r="AU411" t="s">
        <v>112</v>
      </c>
      <c r="AV411" t="s">
        <v>6948</v>
      </c>
      <c r="AW411" t="s">
        <v>114</v>
      </c>
      <c r="AX411" t="s">
        <v>3312</v>
      </c>
      <c r="AY411" t="s">
        <v>6949</v>
      </c>
      <c r="AZ411" t="s">
        <v>4</v>
      </c>
      <c r="BA411" s="3" t="s">
        <v>95</v>
      </c>
      <c r="BB411" s="6" t="s">
        <v>95</v>
      </c>
      <c r="BC411" s="3" t="s">
        <v>95</v>
      </c>
      <c r="BD411" t="s">
        <v>4</v>
      </c>
      <c r="BE411">
        <v>8187</v>
      </c>
      <c r="BF411" t="s">
        <v>213</v>
      </c>
      <c r="BG411">
        <v>99.234300000000005</v>
      </c>
      <c r="BH411">
        <v>98.3155</v>
      </c>
      <c r="BI411" t="s">
        <v>6950</v>
      </c>
      <c r="BJ411">
        <v>86.217500000000001</v>
      </c>
      <c r="BK411">
        <v>78.254199999999997</v>
      </c>
      <c r="BL411">
        <v>50.689100000000003</v>
      </c>
      <c r="BM411">
        <v>74.731999999999999</v>
      </c>
      <c r="BN411">
        <v>77.0291</v>
      </c>
      <c r="BO411">
        <v>77.0291</v>
      </c>
      <c r="BP411">
        <v>51.148499999999999</v>
      </c>
      <c r="BQ411">
        <v>35.834600000000002</v>
      </c>
      <c r="BR411">
        <v>35.834600000000002</v>
      </c>
      <c r="BS411">
        <v>23.583500000000001</v>
      </c>
      <c r="BW411">
        <v>40.122500000000002</v>
      </c>
      <c r="BX411">
        <v>42.266500000000001</v>
      </c>
      <c r="BY411">
        <v>22.3583</v>
      </c>
      <c r="BZ411" t="s">
        <v>6951</v>
      </c>
      <c r="CA411">
        <v>40.581899999999997</v>
      </c>
      <c r="CB411">
        <v>35.068899999999999</v>
      </c>
      <c r="CC411">
        <v>24.196000000000002</v>
      </c>
      <c r="CD411">
        <v>28.0245</v>
      </c>
      <c r="CF411">
        <v>32.618699999999997</v>
      </c>
      <c r="CG411">
        <v>30.474699999999999</v>
      </c>
      <c r="CH411">
        <v>30.6279</v>
      </c>
      <c r="CI411">
        <v>29.555900000000001</v>
      </c>
      <c r="CK411">
        <v>8</v>
      </c>
      <c r="CL411" t="s">
        <v>4</v>
      </c>
      <c r="CM411" t="s">
        <v>6952</v>
      </c>
      <c r="CN411" t="s">
        <v>6953</v>
      </c>
      <c r="CO411" t="s">
        <v>219</v>
      </c>
      <c r="CP411" t="s">
        <v>100</v>
      </c>
      <c r="CQ411" s="7">
        <v>411</v>
      </c>
      <c r="CR411" t="s">
        <v>100</v>
      </c>
      <c r="CS411" s="7" t="s">
        <v>101</v>
      </c>
      <c r="CT411" t="s">
        <v>152</v>
      </c>
      <c r="CU411" t="s">
        <v>102</v>
      </c>
      <c r="CV411" t="s">
        <v>100</v>
      </c>
    </row>
    <row r="412" spans="1:100">
      <c r="A412" s="3" t="s">
        <v>6954</v>
      </c>
      <c r="B412" s="4" t="s">
        <v>6955</v>
      </c>
      <c r="C412">
        <v>200.61733005840699</v>
      </c>
      <c r="D412">
        <v>556.770937225897</v>
      </c>
      <c r="E412">
        <f>-1.47252210935916</f>
        <v>-1.4725221093591601</v>
      </c>
      <c r="F412">
        <v>1.6879135369565999E-2</v>
      </c>
      <c r="G412" t="s">
        <v>4</v>
      </c>
      <c r="H412">
        <v>200.61733005840699</v>
      </c>
      <c r="I412">
        <v>48.872520670062798</v>
      </c>
      <c r="J412">
        <v>2.0426698995190899</v>
      </c>
      <c r="K412">
        <v>7.4770325837206502E-4</v>
      </c>
      <c r="L412" t="s">
        <v>4</v>
      </c>
      <c r="M412">
        <v>556.770937225897</v>
      </c>
      <c r="N412">
        <v>48.872520670062798</v>
      </c>
      <c r="O412">
        <v>3.51519200887825</v>
      </c>
      <c r="P412" s="5">
        <v>1.39728123865103E-9</v>
      </c>
      <c r="Q412" t="s">
        <v>4</v>
      </c>
      <c r="R412" s="4" t="s">
        <v>87</v>
      </c>
      <c r="S412" t="s">
        <v>4</v>
      </c>
      <c r="T412" t="s">
        <v>92</v>
      </c>
      <c r="U412" t="s">
        <v>92</v>
      </c>
      <c r="V412" t="s">
        <v>92</v>
      </c>
      <c r="W412" t="s">
        <v>92</v>
      </c>
      <c r="X412" t="s">
        <v>4</v>
      </c>
      <c r="Y412" t="s">
        <v>6956</v>
      </c>
      <c r="Z412" t="s">
        <v>6957</v>
      </c>
      <c r="AA412" t="s">
        <v>6958</v>
      </c>
      <c r="AB412" t="s">
        <v>4</v>
      </c>
      <c r="AC412" s="3" t="s">
        <v>6959</v>
      </c>
      <c r="AD412" t="s">
        <v>4</v>
      </c>
      <c r="AE412" t="s">
        <v>6960</v>
      </c>
      <c r="AF412" t="s">
        <v>834</v>
      </c>
      <c r="AG412" t="s">
        <v>6961</v>
      </c>
      <c r="AH412" t="s">
        <v>112</v>
      </c>
      <c r="AI412" t="s">
        <v>6962</v>
      </c>
      <c r="AJ412" t="s">
        <v>6963</v>
      </c>
      <c r="AU412" t="s">
        <v>112</v>
      </c>
      <c r="AV412" t="s">
        <v>6964</v>
      </c>
      <c r="AW412" t="s">
        <v>114</v>
      </c>
      <c r="AX412" t="s">
        <v>1907</v>
      </c>
      <c r="AY412" t="s">
        <v>3750</v>
      </c>
      <c r="AZ412" t="s">
        <v>4</v>
      </c>
      <c r="BA412" s="3" t="s">
        <v>95</v>
      </c>
      <c r="BB412" t="s">
        <v>96</v>
      </c>
      <c r="BC412" s="3" t="s">
        <v>197</v>
      </c>
      <c r="BD412" t="s">
        <v>4</v>
      </c>
      <c r="BE412">
        <v>203</v>
      </c>
      <c r="BF412" t="s">
        <v>322</v>
      </c>
      <c r="CK412">
        <v>1</v>
      </c>
      <c r="CL412" t="s">
        <v>4</v>
      </c>
      <c r="CM412" t="s">
        <v>98</v>
      </c>
      <c r="CN412" t="s">
        <v>98</v>
      </c>
      <c r="CO412" t="s">
        <v>99</v>
      </c>
      <c r="CP412" t="s">
        <v>100</v>
      </c>
      <c r="CQ412" s="7">
        <v>412</v>
      </c>
      <c r="CR412" t="s">
        <v>100</v>
      </c>
      <c r="CS412" t="s">
        <v>101</v>
      </c>
      <c r="CT412" t="s">
        <v>152</v>
      </c>
      <c r="CU412" t="s">
        <v>102</v>
      </c>
      <c r="CV412" t="s">
        <v>100</v>
      </c>
    </row>
    <row r="413" spans="1:100">
      <c r="A413" s="3" t="s">
        <v>6965</v>
      </c>
      <c r="B413" s="4" t="s">
        <v>6966</v>
      </c>
      <c r="C413">
        <v>107.92745710176</v>
      </c>
      <c r="D413">
        <v>313.75911652258299</v>
      </c>
      <c r="E413">
        <f>-1.5390813955684</f>
        <v>-1.5390813955684</v>
      </c>
      <c r="F413">
        <v>1.30857410129774E-2</v>
      </c>
      <c r="G413" t="s">
        <v>4</v>
      </c>
      <c r="H413">
        <v>107.92745710176</v>
      </c>
      <c r="I413">
        <v>27.831705048605599</v>
      </c>
      <c r="J413">
        <v>1.9465389198495</v>
      </c>
      <c r="K413">
        <v>1.90028115296534E-3</v>
      </c>
      <c r="L413" t="s">
        <v>4</v>
      </c>
      <c r="M413">
        <v>313.75911652258299</v>
      </c>
      <c r="N413">
        <v>27.831705048605599</v>
      </c>
      <c r="O413">
        <v>3.4856203154179002</v>
      </c>
      <c r="P413" s="5">
        <v>5.5392848013723503E-9</v>
      </c>
      <c r="Q413" t="s">
        <v>4</v>
      </c>
      <c r="R413" s="4" t="s">
        <v>87</v>
      </c>
      <c r="S413" t="s">
        <v>4</v>
      </c>
      <c r="T413" t="s">
        <v>92</v>
      </c>
      <c r="U413" t="s">
        <v>92</v>
      </c>
      <c r="V413" t="s">
        <v>92</v>
      </c>
      <c r="W413" t="s">
        <v>92</v>
      </c>
      <c r="X413" t="s">
        <v>4</v>
      </c>
      <c r="Y413" t="s">
        <v>92</v>
      </c>
      <c r="Z413" t="s">
        <v>92</v>
      </c>
      <c r="AA413" t="s">
        <v>92</v>
      </c>
      <c r="AB413" t="s">
        <v>4</v>
      </c>
      <c r="AC413" s="3" t="s">
        <v>93</v>
      </c>
      <c r="AD413" t="s">
        <v>4</v>
      </c>
      <c r="AE413" t="s">
        <v>6967</v>
      </c>
      <c r="AF413" t="s">
        <v>6968</v>
      </c>
      <c r="AG413" t="s">
        <v>6969</v>
      </c>
      <c r="AH413" t="s">
        <v>112</v>
      </c>
      <c r="AU413" t="s">
        <v>112</v>
      </c>
      <c r="AV413" t="s">
        <v>6970</v>
      </c>
      <c r="AW413" t="s">
        <v>114</v>
      </c>
      <c r="AZ413" t="s">
        <v>4</v>
      </c>
      <c r="BA413" s="3" t="s">
        <v>95</v>
      </c>
      <c r="BB413" s="6" t="s">
        <v>95</v>
      </c>
      <c r="BC413" s="3" t="s">
        <v>95</v>
      </c>
      <c r="BD413" t="s">
        <v>4</v>
      </c>
      <c r="BE413">
        <v>1309</v>
      </c>
      <c r="BF413" t="s">
        <v>151</v>
      </c>
      <c r="BG413">
        <v>42.718400000000003</v>
      </c>
      <c r="BJ413" t="s">
        <v>6971</v>
      </c>
      <c r="BK413" t="s">
        <v>6972</v>
      </c>
      <c r="BL413" t="s">
        <v>6973</v>
      </c>
      <c r="BM413" t="s">
        <v>6974</v>
      </c>
      <c r="BN413" t="s">
        <v>6975</v>
      </c>
      <c r="BO413">
        <v>19.093900000000001</v>
      </c>
      <c r="CK413">
        <v>2</v>
      </c>
      <c r="CL413" t="s">
        <v>4</v>
      </c>
      <c r="CM413" t="s">
        <v>98</v>
      </c>
      <c r="CN413" t="s">
        <v>98</v>
      </c>
      <c r="CO413" t="s">
        <v>99</v>
      </c>
      <c r="CP413" t="s">
        <v>100</v>
      </c>
      <c r="CQ413" s="7">
        <v>413</v>
      </c>
      <c r="CR413" t="s">
        <v>100</v>
      </c>
      <c r="CS413" s="7" t="s">
        <v>101</v>
      </c>
      <c r="CT413" t="s">
        <v>152</v>
      </c>
      <c r="CU413" t="s">
        <v>102</v>
      </c>
      <c r="CV413" t="s">
        <v>100</v>
      </c>
    </row>
    <row r="414" spans="1:100">
      <c r="A414" s="3" t="s">
        <v>6976</v>
      </c>
      <c r="B414" s="4" t="s">
        <v>6977</v>
      </c>
      <c r="C414">
        <v>858.59960565168103</v>
      </c>
      <c r="D414">
        <v>1741.71779202486</v>
      </c>
      <c r="E414">
        <f>-1.02040446176643</f>
        <v>-1.0204044617664301</v>
      </c>
      <c r="F414" s="5">
        <v>1.2562584977885699E-6</v>
      </c>
      <c r="G414" t="s">
        <v>4</v>
      </c>
      <c r="H414">
        <v>858.59960565168103</v>
      </c>
      <c r="I414">
        <v>161.42009977313899</v>
      </c>
      <c r="J414">
        <v>2.4061501545783899</v>
      </c>
      <c r="K414" s="5">
        <v>2.29797429620333E-29</v>
      </c>
      <c r="L414" t="s">
        <v>4</v>
      </c>
      <c r="M414">
        <v>1741.71779202486</v>
      </c>
      <c r="N414">
        <v>161.42009977313899</v>
      </c>
      <c r="O414">
        <v>3.4265546163448102</v>
      </c>
      <c r="P414" s="5">
        <v>4.4121054769098303E-59</v>
      </c>
      <c r="Q414" t="s">
        <v>4</v>
      </c>
      <c r="R414" s="4" t="s">
        <v>87</v>
      </c>
      <c r="S414" t="s">
        <v>4</v>
      </c>
      <c r="T414" t="s">
        <v>6978</v>
      </c>
      <c r="U414" t="s">
        <v>6979</v>
      </c>
      <c r="V414" t="s">
        <v>6980</v>
      </c>
      <c r="W414" t="s">
        <v>203</v>
      </c>
      <c r="X414" t="s">
        <v>4</v>
      </c>
      <c r="Y414" t="s">
        <v>6981</v>
      </c>
      <c r="Z414" t="s">
        <v>6982</v>
      </c>
      <c r="AA414" t="s">
        <v>6983</v>
      </c>
      <c r="AB414" t="s">
        <v>4</v>
      </c>
      <c r="AC414" s="3" t="s">
        <v>6984</v>
      </c>
      <c r="AD414" t="s">
        <v>4</v>
      </c>
      <c r="AE414" t="s">
        <v>6985</v>
      </c>
      <c r="AF414" t="s">
        <v>6986</v>
      </c>
      <c r="AG414" t="s">
        <v>6987</v>
      </c>
      <c r="AH414" t="s">
        <v>112</v>
      </c>
      <c r="AU414" t="s">
        <v>112</v>
      </c>
      <c r="AV414" t="s">
        <v>6988</v>
      </c>
      <c r="AW414" t="s">
        <v>114</v>
      </c>
      <c r="AX414" t="s">
        <v>2157</v>
      </c>
      <c r="AY414" t="s">
        <v>6989</v>
      </c>
      <c r="AZ414" t="s">
        <v>4</v>
      </c>
      <c r="BA414" s="3" t="s">
        <v>115</v>
      </c>
      <c r="BB414" s="6" t="s">
        <v>95</v>
      </c>
      <c r="BC414" s="3" t="s">
        <v>95</v>
      </c>
      <c r="BD414" t="s">
        <v>4</v>
      </c>
      <c r="BE414">
        <v>7300</v>
      </c>
      <c r="BF414" t="s">
        <v>213</v>
      </c>
      <c r="BG414">
        <v>81.337500000000006</v>
      </c>
      <c r="BH414">
        <v>11.664099999999999</v>
      </c>
      <c r="BI414">
        <v>68.584800000000001</v>
      </c>
      <c r="BJ414">
        <v>38.024900000000002</v>
      </c>
      <c r="BK414">
        <v>60.186599999999999</v>
      </c>
      <c r="BL414">
        <v>8.9424600000000005</v>
      </c>
      <c r="BM414">
        <v>47.511699999999998</v>
      </c>
      <c r="BO414">
        <v>51.710700000000003</v>
      </c>
      <c r="BP414" t="s">
        <v>6990</v>
      </c>
      <c r="BR414">
        <v>11.897399999999999</v>
      </c>
      <c r="BS414">
        <v>12.830500000000001</v>
      </c>
      <c r="BV414" t="s">
        <v>6991</v>
      </c>
      <c r="BX414">
        <v>24.650099999999998</v>
      </c>
      <c r="BZ414">
        <v>22.317299999999999</v>
      </c>
      <c r="CB414">
        <v>5.1321899999999996</v>
      </c>
      <c r="CC414">
        <v>24.416799999999999</v>
      </c>
      <c r="CD414">
        <v>23.328099999999999</v>
      </c>
      <c r="CG414">
        <v>11.5863</v>
      </c>
      <c r="CH414">
        <v>12.363899999999999</v>
      </c>
      <c r="CI414">
        <v>13.7636</v>
      </c>
      <c r="CK414">
        <v>8</v>
      </c>
      <c r="CL414" t="s">
        <v>4</v>
      </c>
      <c r="CM414" t="s">
        <v>98</v>
      </c>
      <c r="CN414" t="s">
        <v>98</v>
      </c>
      <c r="CO414" t="s">
        <v>99</v>
      </c>
      <c r="CP414" t="s">
        <v>100</v>
      </c>
      <c r="CQ414" s="7">
        <v>414</v>
      </c>
      <c r="CR414" t="s">
        <v>100</v>
      </c>
      <c r="CS414" t="s">
        <v>101</v>
      </c>
      <c r="CT414" t="s">
        <v>152</v>
      </c>
      <c r="CU414" t="s">
        <v>102</v>
      </c>
      <c r="CV414" t="s">
        <v>100</v>
      </c>
    </row>
    <row r="415" spans="1:100">
      <c r="A415" s="3" t="s">
        <v>6992</v>
      </c>
      <c r="B415" s="4" t="s">
        <v>6993</v>
      </c>
      <c r="C415">
        <v>75.400108633912893</v>
      </c>
      <c r="D415">
        <v>187.87781958608701</v>
      </c>
      <c r="E415">
        <f>-1.31458516384966</f>
        <v>-1.31458516384966</v>
      </c>
      <c r="F415">
        <v>4.7688235336133403E-3</v>
      </c>
      <c r="G415" t="s">
        <v>4</v>
      </c>
      <c r="H415">
        <v>75.400108633912893</v>
      </c>
      <c r="I415">
        <v>18.224581066811201</v>
      </c>
      <c r="J415">
        <v>2.1078116409608398</v>
      </c>
      <c r="K415" s="5">
        <v>3.1655479196637802E-5</v>
      </c>
      <c r="L415" t="s">
        <v>4</v>
      </c>
      <c r="M415">
        <v>187.87781958608701</v>
      </c>
      <c r="N415">
        <v>18.224581066811201</v>
      </c>
      <c r="O415">
        <v>3.4223968048105</v>
      </c>
      <c r="P415" s="5">
        <v>1.8493054054694399E-12</v>
      </c>
      <c r="Q415" t="s">
        <v>4</v>
      </c>
      <c r="R415" s="4" t="s">
        <v>87</v>
      </c>
      <c r="S415" t="s">
        <v>4</v>
      </c>
      <c r="T415" t="s">
        <v>1312</v>
      </c>
      <c r="U415" t="s">
        <v>1313</v>
      </c>
      <c r="V415" t="s">
        <v>1314</v>
      </c>
      <c r="W415" t="s">
        <v>203</v>
      </c>
      <c r="X415" t="s">
        <v>4</v>
      </c>
      <c r="Y415" t="s">
        <v>1315</v>
      </c>
      <c r="Z415" t="s">
        <v>1316</v>
      </c>
      <c r="AA415" t="s">
        <v>1317</v>
      </c>
      <c r="AB415" t="s">
        <v>4</v>
      </c>
      <c r="AC415" s="3" t="s">
        <v>1318</v>
      </c>
      <c r="AD415" t="s">
        <v>4</v>
      </c>
      <c r="AE415" t="s">
        <v>6994</v>
      </c>
      <c r="AF415" t="s">
        <v>6995</v>
      </c>
      <c r="AG415" t="s">
        <v>6996</v>
      </c>
      <c r="AH415" t="s">
        <v>314</v>
      </c>
      <c r="AU415" t="s">
        <v>112</v>
      </c>
      <c r="AV415" t="s">
        <v>1895</v>
      </c>
      <c r="AW415" t="s">
        <v>114</v>
      </c>
      <c r="AX415" t="s">
        <v>132</v>
      </c>
      <c r="AY415" t="s">
        <v>1896</v>
      </c>
      <c r="AZ415" t="s">
        <v>4</v>
      </c>
      <c r="BA415" s="3" t="s">
        <v>95</v>
      </c>
      <c r="BB415" s="6" t="s">
        <v>95</v>
      </c>
      <c r="BC415" s="3" t="s">
        <v>95</v>
      </c>
      <c r="BD415" t="s">
        <v>4</v>
      </c>
      <c r="BE415">
        <v>7919</v>
      </c>
      <c r="BF415" t="s">
        <v>213</v>
      </c>
      <c r="BG415">
        <v>97.118600000000001</v>
      </c>
      <c r="BH415">
        <v>42.881399999999999</v>
      </c>
      <c r="BJ415">
        <v>65.423699999999997</v>
      </c>
      <c r="BK415">
        <v>72.033900000000003</v>
      </c>
      <c r="BL415">
        <v>55.254199999999997</v>
      </c>
      <c r="BM415">
        <v>59.491500000000002</v>
      </c>
      <c r="BN415">
        <v>70.508499999999998</v>
      </c>
      <c r="BO415">
        <v>71.694900000000004</v>
      </c>
      <c r="BP415">
        <v>7.7966100000000003</v>
      </c>
      <c r="BQ415">
        <v>18.813600000000001</v>
      </c>
      <c r="BR415">
        <v>14.237299999999999</v>
      </c>
      <c r="BS415" t="s">
        <v>6997</v>
      </c>
      <c r="BT415" t="s">
        <v>6998</v>
      </c>
      <c r="BU415" t="s">
        <v>6999</v>
      </c>
      <c r="BV415" t="s">
        <v>7000</v>
      </c>
      <c r="BX415" t="s">
        <v>7001</v>
      </c>
      <c r="BZ415" t="s">
        <v>7002</v>
      </c>
      <c r="CB415">
        <v>6.2711899999999998</v>
      </c>
      <c r="CC415" t="s">
        <v>7003</v>
      </c>
      <c r="CD415" t="s">
        <v>7004</v>
      </c>
      <c r="CE415">
        <v>12.033899999999999</v>
      </c>
      <c r="CK415">
        <v>8</v>
      </c>
      <c r="CL415" t="s">
        <v>4</v>
      </c>
      <c r="CM415" t="s">
        <v>98</v>
      </c>
      <c r="CN415" t="s">
        <v>98</v>
      </c>
      <c r="CO415" t="s">
        <v>99</v>
      </c>
      <c r="CP415" t="s">
        <v>100</v>
      </c>
      <c r="CQ415" s="7">
        <v>415</v>
      </c>
      <c r="CR415" t="s">
        <v>100</v>
      </c>
      <c r="CS415" t="s">
        <v>101</v>
      </c>
      <c r="CT415" t="s">
        <v>152</v>
      </c>
      <c r="CU415" t="s">
        <v>102</v>
      </c>
      <c r="CV415" t="s">
        <v>100</v>
      </c>
    </row>
    <row r="416" spans="1:100">
      <c r="A416" s="3" t="s">
        <v>7005</v>
      </c>
      <c r="B416" s="4" t="s">
        <v>7006</v>
      </c>
      <c r="C416">
        <v>4668.8164416437603</v>
      </c>
      <c r="D416">
        <v>11291.201154305199</v>
      </c>
      <c r="E416">
        <f>-1.27398157843133</f>
        <v>-1.27398157843133</v>
      </c>
      <c r="F416" s="5">
        <v>4.9217374009637702E-25</v>
      </c>
      <c r="G416" t="s">
        <v>4</v>
      </c>
      <c r="H416">
        <v>4668.8164416437603</v>
      </c>
      <c r="I416">
        <v>1065.0196947608399</v>
      </c>
      <c r="J416">
        <v>2.13273495065723</v>
      </c>
      <c r="K416" s="5">
        <v>3.4439529381657098E-66</v>
      </c>
      <c r="L416" t="s">
        <v>4</v>
      </c>
      <c r="M416">
        <v>11291.201154305199</v>
      </c>
      <c r="N416">
        <v>1065.0196947608399</v>
      </c>
      <c r="O416">
        <v>3.4067165290885599</v>
      </c>
      <c r="P416" s="5">
        <v>2.9665489521058699E-168</v>
      </c>
      <c r="Q416" t="s">
        <v>4</v>
      </c>
      <c r="R416" s="4" t="s">
        <v>87</v>
      </c>
      <c r="S416" t="s">
        <v>4</v>
      </c>
      <c r="T416" t="s">
        <v>92</v>
      </c>
      <c r="U416" t="s">
        <v>92</v>
      </c>
      <c r="V416" t="s">
        <v>92</v>
      </c>
      <c r="W416" t="s">
        <v>92</v>
      </c>
      <c r="X416" t="s">
        <v>4</v>
      </c>
      <c r="Y416" t="s">
        <v>92</v>
      </c>
      <c r="Z416" t="s">
        <v>92</v>
      </c>
      <c r="AA416" t="s">
        <v>92</v>
      </c>
      <c r="AB416" t="s">
        <v>4</v>
      </c>
      <c r="AC416" s="3" t="s">
        <v>93</v>
      </c>
      <c r="AD416" t="s">
        <v>4</v>
      </c>
      <c r="AE416" s="4" t="s">
        <v>94</v>
      </c>
      <c r="AZ416" t="s">
        <v>4</v>
      </c>
      <c r="BA416" s="3" t="s">
        <v>115</v>
      </c>
      <c r="BB416" s="6" t="s">
        <v>95</v>
      </c>
      <c r="BC416" s="3" t="s">
        <v>95</v>
      </c>
      <c r="BD416" t="s">
        <v>4</v>
      </c>
      <c r="BE416">
        <v>2903</v>
      </c>
      <c r="BF416" t="s">
        <v>97</v>
      </c>
      <c r="BG416">
        <v>98.207899999999995</v>
      </c>
      <c r="BH416">
        <v>99.462400000000002</v>
      </c>
      <c r="BI416">
        <v>91.039400000000001</v>
      </c>
      <c r="BJ416">
        <v>71.3262</v>
      </c>
      <c r="BK416">
        <v>65.770600000000002</v>
      </c>
      <c r="BL416" t="s">
        <v>7007</v>
      </c>
      <c r="BM416">
        <v>65.412199999999999</v>
      </c>
      <c r="BN416" t="s">
        <v>7008</v>
      </c>
      <c r="BO416">
        <v>64.516099999999994</v>
      </c>
      <c r="BP416">
        <v>20.609300000000001</v>
      </c>
      <c r="CK416">
        <v>4</v>
      </c>
      <c r="CL416" t="s">
        <v>4</v>
      </c>
      <c r="CM416" t="s">
        <v>98</v>
      </c>
      <c r="CN416" t="s">
        <v>98</v>
      </c>
      <c r="CO416" t="s">
        <v>99</v>
      </c>
      <c r="CP416" t="s">
        <v>100</v>
      </c>
      <c r="CQ416" s="7">
        <v>416</v>
      </c>
      <c r="CR416" t="s">
        <v>100</v>
      </c>
      <c r="CS416" t="s">
        <v>101</v>
      </c>
      <c r="CT416" t="s">
        <v>152</v>
      </c>
      <c r="CU416" t="s">
        <v>102</v>
      </c>
      <c r="CV416" t="s">
        <v>100</v>
      </c>
    </row>
    <row r="417" spans="1:100">
      <c r="A417" s="9" t="s">
        <v>7009</v>
      </c>
      <c r="B417" s="4" t="s">
        <v>7010</v>
      </c>
      <c r="C417">
        <v>983.89979683060994</v>
      </c>
      <c r="D417">
        <v>3815.9065394895401</v>
      </c>
      <c r="E417">
        <f>-1.955724551135</f>
        <v>-1.9557245511350001</v>
      </c>
      <c r="F417" s="5">
        <v>2.7461976931385399E-33</v>
      </c>
      <c r="G417" t="s">
        <v>4</v>
      </c>
      <c r="H417">
        <v>983.89979683060994</v>
      </c>
      <c r="I417">
        <v>366.57325051200797</v>
      </c>
      <c r="J417">
        <v>1.42219613414194</v>
      </c>
      <c r="K417" s="5">
        <v>6.9092604090756706E-17</v>
      </c>
      <c r="L417" t="s">
        <v>4</v>
      </c>
      <c r="M417">
        <v>3815.9065394895401</v>
      </c>
      <c r="N417">
        <v>366.57325051200797</v>
      </c>
      <c r="O417">
        <v>3.3779206852769401</v>
      </c>
      <c r="P417" s="5">
        <v>2.9056455944902302E-92</v>
      </c>
      <c r="Q417" t="s">
        <v>4</v>
      </c>
      <c r="R417" s="4" t="s">
        <v>87</v>
      </c>
      <c r="S417" t="s">
        <v>4</v>
      </c>
      <c r="T417" t="s">
        <v>7011</v>
      </c>
      <c r="U417" t="s">
        <v>7012</v>
      </c>
      <c r="V417" t="s">
        <v>7013</v>
      </c>
      <c r="W417" t="s">
        <v>328</v>
      </c>
      <c r="X417" t="s">
        <v>4</v>
      </c>
      <c r="Y417" t="s">
        <v>7014</v>
      </c>
      <c r="Z417" t="s">
        <v>7015</v>
      </c>
      <c r="AA417" t="s">
        <v>7016</v>
      </c>
      <c r="AB417" t="s">
        <v>4</v>
      </c>
      <c r="AC417" s="3" t="s">
        <v>7017</v>
      </c>
      <c r="AD417" t="s">
        <v>4</v>
      </c>
      <c r="AE417" t="s">
        <v>7018</v>
      </c>
      <c r="AF417" t="s">
        <v>7019</v>
      </c>
      <c r="AG417" t="s">
        <v>2681</v>
      </c>
      <c r="AH417" t="s">
        <v>282</v>
      </c>
      <c r="AU417" t="s">
        <v>112</v>
      </c>
      <c r="AV417" t="s">
        <v>7020</v>
      </c>
      <c r="AW417" t="s">
        <v>114</v>
      </c>
      <c r="AX417" t="s">
        <v>132</v>
      </c>
      <c r="AY417" t="s">
        <v>7021</v>
      </c>
      <c r="AZ417" t="s">
        <v>4</v>
      </c>
      <c r="BA417" s="3" t="s">
        <v>95</v>
      </c>
      <c r="BB417" t="s">
        <v>96</v>
      </c>
      <c r="BC417" s="3" t="s">
        <v>95</v>
      </c>
      <c r="BD417" t="s">
        <v>4</v>
      </c>
      <c r="BE417">
        <v>5628</v>
      </c>
      <c r="BF417" t="s">
        <v>386</v>
      </c>
      <c r="BP417">
        <v>12.843999999999999</v>
      </c>
      <c r="BU417">
        <v>11.4024</v>
      </c>
      <c r="BX417" t="s">
        <v>7022</v>
      </c>
      <c r="BY417">
        <v>14.1547</v>
      </c>
      <c r="BZ417">
        <v>10.8781</v>
      </c>
      <c r="CA417" t="s">
        <v>7023</v>
      </c>
      <c r="CB417">
        <v>22.4115</v>
      </c>
      <c r="CC417">
        <v>32.634300000000003</v>
      </c>
      <c r="CD417">
        <v>31.716899999999999</v>
      </c>
      <c r="CF417">
        <v>15.465299999999999</v>
      </c>
      <c r="CG417" t="s">
        <v>7024</v>
      </c>
      <c r="CH417" t="s">
        <v>7024</v>
      </c>
      <c r="CI417" t="s">
        <v>7025</v>
      </c>
      <c r="CK417">
        <v>7</v>
      </c>
      <c r="CL417" t="s">
        <v>4</v>
      </c>
      <c r="CM417" t="s">
        <v>7026</v>
      </c>
      <c r="CN417" t="s">
        <v>7027</v>
      </c>
      <c r="CO417" t="s">
        <v>219</v>
      </c>
      <c r="CP417" t="s">
        <v>100</v>
      </c>
      <c r="CQ417" s="7">
        <v>417</v>
      </c>
      <c r="CR417" t="s">
        <v>100</v>
      </c>
      <c r="CS417" s="7" t="s">
        <v>101</v>
      </c>
      <c r="CT417" t="s">
        <v>152</v>
      </c>
      <c r="CU417" t="s">
        <v>102</v>
      </c>
      <c r="CV417" t="s">
        <v>100</v>
      </c>
    </row>
    <row r="418" spans="1:100">
      <c r="A418" s="3" t="s">
        <v>7028</v>
      </c>
      <c r="B418" s="4" t="s">
        <v>7029</v>
      </c>
      <c r="C418">
        <v>311.62047176252702</v>
      </c>
      <c r="D418">
        <v>683.59167106919904</v>
      </c>
      <c r="E418">
        <f>-1.13273280174899</f>
        <v>-1.1327328017489899</v>
      </c>
      <c r="F418" s="5">
        <v>2.7784949197398399E-5</v>
      </c>
      <c r="G418" t="s">
        <v>4</v>
      </c>
      <c r="H418">
        <v>311.62047176252702</v>
      </c>
      <c r="I418">
        <v>66.272564531004804</v>
      </c>
      <c r="J418">
        <v>2.2173975053367498</v>
      </c>
      <c r="K418" s="5">
        <v>5.2209129662921101E-15</v>
      </c>
      <c r="L418" t="s">
        <v>4</v>
      </c>
      <c r="M418">
        <v>683.59167106919904</v>
      </c>
      <c r="N418">
        <v>66.272564531004804</v>
      </c>
      <c r="O418">
        <v>3.3501303070857502</v>
      </c>
      <c r="P418" s="5">
        <v>1.6991060812125699E-33</v>
      </c>
      <c r="Q418" t="s">
        <v>4</v>
      </c>
      <c r="R418" s="4" t="s">
        <v>87</v>
      </c>
      <c r="S418" t="s">
        <v>4</v>
      </c>
      <c r="T418" t="s">
        <v>7030</v>
      </c>
      <c r="U418" t="s">
        <v>7031</v>
      </c>
      <c r="V418" t="s">
        <v>7032</v>
      </c>
      <c r="W418" t="s">
        <v>7033</v>
      </c>
      <c r="X418" t="s">
        <v>4</v>
      </c>
      <c r="Y418" t="s">
        <v>7034</v>
      </c>
      <c r="Z418" t="s">
        <v>7035</v>
      </c>
      <c r="AA418" t="s">
        <v>7036</v>
      </c>
      <c r="AB418" t="s">
        <v>4</v>
      </c>
      <c r="AC418" s="3" t="s">
        <v>7037</v>
      </c>
      <c r="AD418" t="s">
        <v>4</v>
      </c>
      <c r="AE418" t="s">
        <v>7038</v>
      </c>
      <c r="AF418" t="s">
        <v>7039</v>
      </c>
      <c r="AG418" t="s">
        <v>7040</v>
      </c>
      <c r="AH418" t="s">
        <v>112</v>
      </c>
      <c r="AU418" t="s">
        <v>112</v>
      </c>
      <c r="AV418" t="s">
        <v>7041</v>
      </c>
      <c r="AW418" t="s">
        <v>114</v>
      </c>
      <c r="AX418" t="s">
        <v>144</v>
      </c>
      <c r="AY418" t="s">
        <v>7042</v>
      </c>
      <c r="AZ418" t="s">
        <v>4</v>
      </c>
      <c r="BA418" s="3" t="s">
        <v>95</v>
      </c>
      <c r="BB418" s="6" t="s">
        <v>95</v>
      </c>
      <c r="BC418" s="3" t="s">
        <v>95</v>
      </c>
      <c r="BD418" t="s">
        <v>4</v>
      </c>
      <c r="BE418">
        <v>8268</v>
      </c>
      <c r="BF418" t="s">
        <v>213</v>
      </c>
      <c r="BG418">
        <v>99.033799999999999</v>
      </c>
      <c r="BH418">
        <v>94.686000000000007</v>
      </c>
      <c r="BI418">
        <v>92.753600000000006</v>
      </c>
      <c r="BJ418">
        <v>85.507199999999997</v>
      </c>
      <c r="BK418">
        <v>80.676299999999998</v>
      </c>
      <c r="BL418">
        <v>75.362300000000005</v>
      </c>
      <c r="BM418">
        <v>75.362300000000005</v>
      </c>
      <c r="BN418">
        <v>75.845399999999998</v>
      </c>
      <c r="BO418" t="s">
        <v>7043</v>
      </c>
      <c r="BP418">
        <v>48.792299999999997</v>
      </c>
      <c r="BQ418">
        <v>33.816400000000002</v>
      </c>
      <c r="BR418">
        <v>34.299500000000002</v>
      </c>
      <c r="BS418">
        <v>24.637699999999999</v>
      </c>
      <c r="BW418">
        <v>28.502400000000002</v>
      </c>
      <c r="BX418">
        <v>38.164200000000001</v>
      </c>
      <c r="CB418">
        <v>37.681199999999997</v>
      </c>
      <c r="CD418">
        <v>27.053100000000001</v>
      </c>
      <c r="CF418">
        <v>30.917899999999999</v>
      </c>
      <c r="CG418" t="s">
        <v>7044</v>
      </c>
      <c r="CH418" t="s">
        <v>7045</v>
      </c>
      <c r="CI418" t="s">
        <v>7046</v>
      </c>
      <c r="CK418">
        <v>8</v>
      </c>
      <c r="CL418" t="s">
        <v>4</v>
      </c>
      <c r="CM418" t="s">
        <v>98</v>
      </c>
      <c r="CN418" t="s">
        <v>98</v>
      </c>
      <c r="CO418" t="s">
        <v>99</v>
      </c>
      <c r="CP418" t="s">
        <v>100</v>
      </c>
      <c r="CQ418" s="7">
        <v>418</v>
      </c>
      <c r="CR418" t="s">
        <v>100</v>
      </c>
      <c r="CS418" t="s">
        <v>101</v>
      </c>
      <c r="CT418" t="s">
        <v>152</v>
      </c>
      <c r="CU418" t="s">
        <v>102</v>
      </c>
      <c r="CV418" t="s">
        <v>100</v>
      </c>
    </row>
    <row r="419" spans="1:100">
      <c r="A419" s="3" t="s">
        <v>7047</v>
      </c>
      <c r="B419" s="4" t="s">
        <v>7048</v>
      </c>
      <c r="C419">
        <v>913.25439756641902</v>
      </c>
      <c r="D419">
        <v>1895.9304968833001</v>
      </c>
      <c r="E419">
        <f>-1.05346022607957</f>
        <v>-1.05346022607957</v>
      </c>
      <c r="F419" s="5">
        <v>2.2259955550551601E-7</v>
      </c>
      <c r="G419" t="s">
        <v>4</v>
      </c>
      <c r="H419">
        <v>913.25439756641902</v>
      </c>
      <c r="I419">
        <v>184.40762857044101</v>
      </c>
      <c r="J419">
        <v>2.2939589785242598</v>
      </c>
      <c r="K419" s="5">
        <v>1.1922145081857201E-28</v>
      </c>
      <c r="L419" t="s">
        <v>4</v>
      </c>
      <c r="M419">
        <v>1895.9304968833001</v>
      </c>
      <c r="N419">
        <v>184.40762857044101</v>
      </c>
      <c r="O419">
        <v>3.34741920460384</v>
      </c>
      <c r="P419" s="5">
        <v>1.80997694533883E-60</v>
      </c>
      <c r="Q419" t="s">
        <v>4</v>
      </c>
      <c r="R419" s="4" t="s">
        <v>87</v>
      </c>
      <c r="S419" t="s">
        <v>4</v>
      </c>
      <c r="T419" t="s">
        <v>200</v>
      </c>
      <c r="U419" t="s">
        <v>201</v>
      </c>
      <c r="V419" t="s">
        <v>202</v>
      </c>
      <c r="W419" t="s">
        <v>203</v>
      </c>
      <c r="X419" t="s">
        <v>4</v>
      </c>
      <c r="Y419" t="s">
        <v>6583</v>
      </c>
      <c r="Z419" t="s">
        <v>6584</v>
      </c>
      <c r="AA419" t="s">
        <v>6585</v>
      </c>
      <c r="AB419" t="s">
        <v>4</v>
      </c>
      <c r="AC419" s="3" t="s">
        <v>7049</v>
      </c>
      <c r="AD419" t="s">
        <v>4</v>
      </c>
      <c r="AE419" t="s">
        <v>7050</v>
      </c>
      <c r="AF419" t="s">
        <v>7051</v>
      </c>
      <c r="AG419" t="s">
        <v>7052</v>
      </c>
      <c r="AH419" t="s">
        <v>112</v>
      </c>
      <c r="AK419" t="s">
        <v>163</v>
      </c>
      <c r="AL419" t="s">
        <v>6590</v>
      </c>
      <c r="AM419" t="s">
        <v>6591</v>
      </c>
      <c r="AQ419" t="s">
        <v>6592</v>
      </c>
      <c r="AU419" t="s">
        <v>112</v>
      </c>
      <c r="AV419" t="s">
        <v>6593</v>
      </c>
      <c r="AW419" t="s">
        <v>114</v>
      </c>
      <c r="AX419" t="s">
        <v>167</v>
      </c>
      <c r="AY419" t="s">
        <v>212</v>
      </c>
      <c r="AZ419" t="s">
        <v>4</v>
      </c>
      <c r="BA419" s="3" t="s">
        <v>95</v>
      </c>
      <c r="BB419" s="6" t="s">
        <v>95</v>
      </c>
      <c r="BC419" s="3" t="s">
        <v>95</v>
      </c>
      <c r="BD419" t="s">
        <v>4</v>
      </c>
      <c r="BE419">
        <v>10148</v>
      </c>
      <c r="BF419" t="s">
        <v>169</v>
      </c>
      <c r="BG419">
        <v>97.972999999999999</v>
      </c>
      <c r="BH419">
        <v>68.243200000000002</v>
      </c>
      <c r="BI419">
        <v>93.918899999999994</v>
      </c>
      <c r="BJ419">
        <v>72.972999999999999</v>
      </c>
      <c r="BK419">
        <v>68.243200000000002</v>
      </c>
      <c r="BL419">
        <v>73.3108</v>
      </c>
      <c r="BM419">
        <v>73.3108</v>
      </c>
      <c r="BN419">
        <v>72.635099999999994</v>
      </c>
      <c r="BO419">
        <v>72.297300000000007</v>
      </c>
      <c r="BP419">
        <v>58.783799999999999</v>
      </c>
      <c r="BQ419">
        <v>33.445900000000002</v>
      </c>
      <c r="BS419">
        <v>37.162199999999999</v>
      </c>
      <c r="BT419" t="s">
        <v>7053</v>
      </c>
      <c r="BU419">
        <v>48.3108</v>
      </c>
      <c r="BV419" t="s">
        <v>7054</v>
      </c>
      <c r="BX419">
        <v>38.513500000000001</v>
      </c>
      <c r="BZ419">
        <v>42.567599999999999</v>
      </c>
      <c r="CB419">
        <v>24.324300000000001</v>
      </c>
      <c r="CC419" t="s">
        <v>7055</v>
      </c>
      <c r="CD419" t="s">
        <v>7056</v>
      </c>
      <c r="CF419">
        <v>46.959499999999998</v>
      </c>
      <c r="CG419">
        <v>53.716200000000001</v>
      </c>
      <c r="CH419">
        <v>52.364899999999999</v>
      </c>
      <c r="CI419">
        <v>50.337800000000001</v>
      </c>
      <c r="CK419">
        <v>9</v>
      </c>
      <c r="CL419" t="s">
        <v>4</v>
      </c>
      <c r="CM419" t="s">
        <v>98</v>
      </c>
      <c r="CN419" t="s">
        <v>98</v>
      </c>
      <c r="CO419" t="s">
        <v>99</v>
      </c>
      <c r="CP419" t="s">
        <v>100</v>
      </c>
      <c r="CQ419" s="7">
        <v>419</v>
      </c>
      <c r="CR419" t="s">
        <v>100</v>
      </c>
      <c r="CS419" t="s">
        <v>101</v>
      </c>
      <c r="CT419" t="s">
        <v>152</v>
      </c>
      <c r="CU419" t="s">
        <v>102</v>
      </c>
      <c r="CV419" t="s">
        <v>100</v>
      </c>
    </row>
    <row r="420" spans="1:100">
      <c r="A420" s="3" t="s">
        <v>7057</v>
      </c>
      <c r="B420" s="4" t="s">
        <v>7058</v>
      </c>
      <c r="C420">
        <v>109.31443732015001</v>
      </c>
      <c r="D420">
        <v>220.79651437222401</v>
      </c>
      <c r="E420">
        <f>-1.01606476830634</f>
        <v>-1.01606476830634</v>
      </c>
      <c r="F420">
        <v>6.93258831249049E-3</v>
      </c>
      <c r="G420" t="s">
        <v>4</v>
      </c>
      <c r="H420">
        <v>109.31443732015001</v>
      </c>
      <c r="I420">
        <v>21.2976532772553</v>
      </c>
      <c r="J420">
        <v>2.3144965189671201</v>
      </c>
      <c r="K420" s="5">
        <v>1.77462859807776E-8</v>
      </c>
      <c r="L420" t="s">
        <v>4</v>
      </c>
      <c r="M420">
        <v>220.79651437222401</v>
      </c>
      <c r="N420">
        <v>21.2976532772553</v>
      </c>
      <c r="O420">
        <v>3.33056128727346</v>
      </c>
      <c r="P420" s="5">
        <v>8.0272900740691903E-17</v>
      </c>
      <c r="Q420" t="s">
        <v>4</v>
      </c>
      <c r="R420" s="4" t="s">
        <v>87</v>
      </c>
      <c r="S420" t="s">
        <v>4</v>
      </c>
      <c r="T420" t="s">
        <v>92</v>
      </c>
      <c r="U420" t="s">
        <v>92</v>
      </c>
      <c r="V420" t="s">
        <v>92</v>
      </c>
      <c r="W420" t="s">
        <v>92</v>
      </c>
      <c r="X420" t="s">
        <v>4</v>
      </c>
      <c r="Y420" t="s">
        <v>92</v>
      </c>
      <c r="Z420" t="s">
        <v>92</v>
      </c>
      <c r="AA420" t="s">
        <v>92</v>
      </c>
      <c r="AB420" t="s">
        <v>4</v>
      </c>
      <c r="AC420" s="3" t="s">
        <v>93</v>
      </c>
      <c r="AD420" t="s">
        <v>4</v>
      </c>
      <c r="AE420" t="s">
        <v>3190</v>
      </c>
      <c r="AF420" t="s">
        <v>7059</v>
      </c>
      <c r="AG420" t="s">
        <v>3282</v>
      </c>
      <c r="AH420" t="s">
        <v>112</v>
      </c>
      <c r="AJ420" t="s">
        <v>3193</v>
      </c>
      <c r="AK420" t="s">
        <v>3194</v>
      </c>
      <c r="AL420" t="s">
        <v>3195</v>
      </c>
      <c r="AM420" t="s">
        <v>3196</v>
      </c>
      <c r="AQ420" t="s">
        <v>3197</v>
      </c>
      <c r="AU420" t="s">
        <v>112</v>
      </c>
      <c r="AV420" t="s">
        <v>3198</v>
      </c>
      <c r="AW420" t="s">
        <v>114</v>
      </c>
      <c r="AX420" t="s">
        <v>2157</v>
      </c>
      <c r="AY420" t="s">
        <v>3199</v>
      </c>
      <c r="AZ420" t="s">
        <v>4</v>
      </c>
      <c r="BA420" s="3" t="s">
        <v>95</v>
      </c>
      <c r="BB420" s="6" t="s">
        <v>95</v>
      </c>
      <c r="BC420" s="3" t="s">
        <v>95</v>
      </c>
      <c r="BD420" t="s">
        <v>4</v>
      </c>
      <c r="BE420">
        <v>2376</v>
      </c>
      <c r="BF420" t="s">
        <v>148</v>
      </c>
      <c r="BG420">
        <v>99.071200000000005</v>
      </c>
      <c r="BM420" t="s">
        <v>7060</v>
      </c>
      <c r="BN420" t="s">
        <v>7061</v>
      </c>
      <c r="CK420">
        <v>3</v>
      </c>
      <c r="CL420" t="s">
        <v>4</v>
      </c>
      <c r="CM420" t="s">
        <v>98</v>
      </c>
      <c r="CN420" t="s">
        <v>98</v>
      </c>
      <c r="CO420" t="s">
        <v>99</v>
      </c>
      <c r="CP420" t="s">
        <v>100</v>
      </c>
      <c r="CQ420" s="7">
        <v>420</v>
      </c>
      <c r="CR420" t="s">
        <v>100</v>
      </c>
      <c r="CS420" t="s">
        <v>101</v>
      </c>
      <c r="CT420" t="s">
        <v>152</v>
      </c>
      <c r="CU420" t="s">
        <v>102</v>
      </c>
      <c r="CV420" t="s">
        <v>100</v>
      </c>
    </row>
    <row r="421" spans="1:100">
      <c r="A421" s="3" t="s">
        <v>7062</v>
      </c>
      <c r="B421" s="4" t="s">
        <v>7063</v>
      </c>
      <c r="C421">
        <v>35.608282361757503</v>
      </c>
      <c r="D421">
        <v>139.47326020890699</v>
      </c>
      <c r="E421">
        <f>-1.97051578861909</f>
        <v>-1.97051578861909</v>
      </c>
      <c r="F421">
        <v>4.6206084871960804E-3</v>
      </c>
      <c r="G421" t="s">
        <v>4</v>
      </c>
      <c r="H421">
        <v>35.608282361757503</v>
      </c>
      <c r="I421">
        <v>13.842444347141701</v>
      </c>
      <c r="J421">
        <v>1.3493120847492299</v>
      </c>
      <c r="K421">
        <v>7.2448623320643404E-2</v>
      </c>
      <c r="L421" t="s">
        <v>4</v>
      </c>
      <c r="M421">
        <v>139.47326020890699</v>
      </c>
      <c r="N421">
        <v>13.842444347141701</v>
      </c>
      <c r="O421">
        <v>3.31982787336832</v>
      </c>
      <c r="P421" s="5">
        <v>1.8007580915749199E-6</v>
      </c>
      <c r="Q421" t="s">
        <v>4</v>
      </c>
      <c r="R421" s="4" t="s">
        <v>87</v>
      </c>
      <c r="S421" t="s">
        <v>4</v>
      </c>
      <c r="T421" t="s">
        <v>92</v>
      </c>
      <c r="U421" t="s">
        <v>92</v>
      </c>
      <c r="V421" t="s">
        <v>92</v>
      </c>
      <c r="W421" t="s">
        <v>92</v>
      </c>
      <c r="X421" t="s">
        <v>4</v>
      </c>
      <c r="Y421" t="s">
        <v>7064</v>
      </c>
      <c r="Z421" t="s">
        <v>7065</v>
      </c>
      <c r="AA421" t="s">
        <v>7066</v>
      </c>
      <c r="AB421" t="s">
        <v>4</v>
      </c>
      <c r="AC421" s="3" t="s">
        <v>93</v>
      </c>
      <c r="AD421" t="s">
        <v>4</v>
      </c>
      <c r="AE421" t="s">
        <v>7067</v>
      </c>
      <c r="AF421" t="s">
        <v>7068</v>
      </c>
      <c r="AG421" t="s">
        <v>7069</v>
      </c>
      <c r="AH421" t="s">
        <v>314</v>
      </c>
      <c r="AU421" t="s">
        <v>112</v>
      </c>
      <c r="AV421" t="s">
        <v>7070</v>
      </c>
      <c r="AW421" t="s">
        <v>114</v>
      </c>
      <c r="AX421" t="s">
        <v>345</v>
      </c>
      <c r="AY421" t="s">
        <v>7071</v>
      </c>
      <c r="AZ421" t="s">
        <v>4</v>
      </c>
      <c r="BA421" s="3" t="s">
        <v>95</v>
      </c>
      <c r="BB421" s="6" t="s">
        <v>95</v>
      </c>
      <c r="BC421" s="3" t="s">
        <v>95</v>
      </c>
      <c r="BD421" t="s">
        <v>4</v>
      </c>
      <c r="BE421">
        <v>8539</v>
      </c>
      <c r="BF421" t="s">
        <v>169</v>
      </c>
      <c r="BS421">
        <v>17.9558</v>
      </c>
      <c r="BT421">
        <v>12.1547</v>
      </c>
      <c r="BW421" t="s">
        <v>7072</v>
      </c>
      <c r="BX421">
        <v>27.900600000000001</v>
      </c>
      <c r="BZ421">
        <v>10.7735</v>
      </c>
      <c r="CA421">
        <v>17.127099999999999</v>
      </c>
      <c r="CE421">
        <v>19.0608</v>
      </c>
      <c r="CF421">
        <v>19.337</v>
      </c>
      <c r="CG421">
        <v>19.337</v>
      </c>
      <c r="CH421">
        <v>19.613299999999999</v>
      </c>
      <c r="CI421" t="s">
        <v>7073</v>
      </c>
      <c r="CJ421" t="s">
        <v>7074</v>
      </c>
      <c r="CK421">
        <v>9</v>
      </c>
      <c r="CL421" t="s">
        <v>4</v>
      </c>
      <c r="CM421" t="s">
        <v>7075</v>
      </c>
      <c r="CN421" t="s">
        <v>7076</v>
      </c>
      <c r="CO421" t="s">
        <v>99</v>
      </c>
      <c r="CP421" t="s">
        <v>100</v>
      </c>
      <c r="CQ421" s="7">
        <v>421</v>
      </c>
      <c r="CR421" t="s">
        <v>100</v>
      </c>
      <c r="CS421" t="s">
        <v>100</v>
      </c>
      <c r="CT421" t="s">
        <v>152</v>
      </c>
      <c r="CU421" t="s">
        <v>102</v>
      </c>
      <c r="CV421" t="s">
        <v>100</v>
      </c>
    </row>
    <row r="422" spans="1:100">
      <c r="A422" s="3" t="s">
        <v>7077</v>
      </c>
      <c r="B422" s="4" t="s">
        <v>7078</v>
      </c>
      <c r="C422">
        <v>1819.89454621905</v>
      </c>
      <c r="D422">
        <v>3956.9378346440999</v>
      </c>
      <c r="E422">
        <f>-1.12056995214293</f>
        <v>-1.12056995214293</v>
      </c>
      <c r="F422">
        <v>4.9854725571121397E-3</v>
      </c>
      <c r="G422" t="s">
        <v>4</v>
      </c>
      <c r="H422">
        <v>1819.89454621905</v>
      </c>
      <c r="I422">
        <v>397.32957777006499</v>
      </c>
      <c r="J422">
        <v>2.1896382045520202</v>
      </c>
      <c r="K422" s="5">
        <v>5.6103454333315699E-9</v>
      </c>
      <c r="L422" t="s">
        <v>4</v>
      </c>
      <c r="M422">
        <v>3956.9378346440999</v>
      </c>
      <c r="N422">
        <v>397.32957777006499</v>
      </c>
      <c r="O422">
        <v>3.31020815669494</v>
      </c>
      <c r="P422" s="5">
        <v>2.10102451446194E-19</v>
      </c>
      <c r="Q422" t="s">
        <v>4</v>
      </c>
      <c r="R422" s="4" t="s">
        <v>87</v>
      </c>
      <c r="S422" t="s">
        <v>4</v>
      </c>
      <c r="T422" t="s">
        <v>2325</v>
      </c>
      <c r="U422" t="s">
        <v>2326</v>
      </c>
      <c r="V422" t="s">
        <v>2327</v>
      </c>
      <c r="W422" t="s">
        <v>203</v>
      </c>
      <c r="X422" t="s">
        <v>4</v>
      </c>
      <c r="Y422" t="s">
        <v>204</v>
      </c>
      <c r="Z422" t="s">
        <v>205</v>
      </c>
      <c r="AA422" t="s">
        <v>206</v>
      </c>
      <c r="AB422" t="s">
        <v>4</v>
      </c>
      <c r="AC422" s="3" t="s">
        <v>7079</v>
      </c>
      <c r="AD422" t="s">
        <v>4</v>
      </c>
      <c r="AE422" t="s">
        <v>7080</v>
      </c>
      <c r="AF422" t="s">
        <v>7081</v>
      </c>
      <c r="AG422" t="s">
        <v>7082</v>
      </c>
      <c r="AH422" t="s">
        <v>112</v>
      </c>
      <c r="AJ422" t="s">
        <v>7083</v>
      </c>
      <c r="AK422" t="s">
        <v>163</v>
      </c>
      <c r="AL422" t="s">
        <v>7084</v>
      </c>
      <c r="AM422" t="s">
        <v>7085</v>
      </c>
      <c r="AN422" t="s">
        <v>7086</v>
      </c>
      <c r="AQ422" t="s">
        <v>7087</v>
      </c>
      <c r="AU422" t="s">
        <v>112</v>
      </c>
      <c r="AV422" t="s">
        <v>7088</v>
      </c>
      <c r="AW422" t="s">
        <v>114</v>
      </c>
      <c r="AX422" t="s">
        <v>167</v>
      </c>
      <c r="AY422" t="s">
        <v>212</v>
      </c>
      <c r="AZ422" t="s">
        <v>4</v>
      </c>
      <c r="BA422" s="3" t="s">
        <v>95</v>
      </c>
      <c r="BB422" s="6" t="s">
        <v>95</v>
      </c>
      <c r="BC422" s="3" t="s">
        <v>95</v>
      </c>
      <c r="BD422" t="s">
        <v>4</v>
      </c>
      <c r="BE422">
        <v>10177</v>
      </c>
      <c r="BF422" t="s">
        <v>169</v>
      </c>
      <c r="BG422">
        <v>52.7241</v>
      </c>
      <c r="BH422">
        <v>69.0685</v>
      </c>
      <c r="BI422" t="s">
        <v>7089</v>
      </c>
      <c r="BJ422">
        <v>50.9666</v>
      </c>
      <c r="BL422">
        <v>45.869900000000001</v>
      </c>
      <c r="CG422" t="s">
        <v>7090</v>
      </c>
      <c r="CH422" t="s">
        <v>7091</v>
      </c>
      <c r="CI422" t="s">
        <v>7092</v>
      </c>
      <c r="CJ422">
        <v>6.5026400000000004</v>
      </c>
      <c r="CK422">
        <v>9</v>
      </c>
      <c r="CL422" t="s">
        <v>4</v>
      </c>
      <c r="CM422" t="s">
        <v>98</v>
      </c>
      <c r="CN422" t="s">
        <v>98</v>
      </c>
      <c r="CO422" t="s">
        <v>99</v>
      </c>
      <c r="CP422" t="s">
        <v>100</v>
      </c>
      <c r="CQ422" s="7">
        <v>422</v>
      </c>
      <c r="CR422" t="s">
        <v>100</v>
      </c>
      <c r="CS422" t="s">
        <v>101</v>
      </c>
      <c r="CT422" t="s">
        <v>152</v>
      </c>
      <c r="CU422" t="s">
        <v>102</v>
      </c>
      <c r="CV422" t="s">
        <v>100</v>
      </c>
    </row>
    <row r="423" spans="1:100">
      <c r="A423" s="3" t="s">
        <v>7093</v>
      </c>
      <c r="B423" s="4" t="s">
        <v>7094</v>
      </c>
      <c r="C423">
        <v>41.789080588692002</v>
      </c>
      <c r="D423">
        <v>126.28918743903</v>
      </c>
      <c r="E423">
        <f>-1.59711508957831</f>
        <v>-1.5971150895783099</v>
      </c>
      <c r="F423">
        <v>3.00345256542357E-4</v>
      </c>
      <c r="G423" t="s">
        <v>4</v>
      </c>
      <c r="H423">
        <v>41.789080588692002</v>
      </c>
      <c r="I423">
        <v>12.849508947770399</v>
      </c>
      <c r="J423">
        <v>1.70742214583036</v>
      </c>
      <c r="K423">
        <v>1.03666181972784E-3</v>
      </c>
      <c r="L423" t="s">
        <v>4</v>
      </c>
      <c r="M423">
        <v>126.28918743903</v>
      </c>
      <c r="N423">
        <v>12.849508947770399</v>
      </c>
      <c r="O423">
        <v>3.30453723540866</v>
      </c>
      <c r="P423" s="5">
        <v>1.43682280644891E-11</v>
      </c>
      <c r="Q423" t="s">
        <v>4</v>
      </c>
      <c r="R423" s="4" t="s">
        <v>87</v>
      </c>
      <c r="S423" t="s">
        <v>4</v>
      </c>
      <c r="T423" t="s">
        <v>92</v>
      </c>
      <c r="U423" t="s">
        <v>92</v>
      </c>
      <c r="V423" t="s">
        <v>92</v>
      </c>
      <c r="W423" t="s">
        <v>92</v>
      </c>
      <c r="X423" t="s">
        <v>4</v>
      </c>
      <c r="Y423" t="s">
        <v>7095</v>
      </c>
      <c r="Z423" t="s">
        <v>7096</v>
      </c>
      <c r="AA423" t="s">
        <v>7096</v>
      </c>
      <c r="AB423" t="s">
        <v>4</v>
      </c>
      <c r="AC423" s="3" t="s">
        <v>7097</v>
      </c>
      <c r="AD423" t="s">
        <v>4</v>
      </c>
      <c r="AE423" t="s">
        <v>7098</v>
      </c>
      <c r="AF423" t="s">
        <v>7099</v>
      </c>
      <c r="AG423" t="s">
        <v>7100</v>
      </c>
      <c r="AH423" t="s">
        <v>112</v>
      </c>
      <c r="AU423" t="s">
        <v>112</v>
      </c>
      <c r="AV423" t="s">
        <v>7101</v>
      </c>
      <c r="AW423" t="s">
        <v>114</v>
      </c>
      <c r="AX423" t="s">
        <v>144</v>
      </c>
      <c r="AY423" t="s">
        <v>7102</v>
      </c>
      <c r="AZ423" t="s">
        <v>4</v>
      </c>
      <c r="BA423" s="3" t="s">
        <v>95</v>
      </c>
      <c r="BB423" s="6" t="s">
        <v>95</v>
      </c>
      <c r="BC423" s="3" t="s">
        <v>197</v>
      </c>
      <c r="BD423" t="s">
        <v>4</v>
      </c>
      <c r="BE423">
        <v>1250</v>
      </c>
      <c r="BF423" t="s">
        <v>151</v>
      </c>
      <c r="BG423">
        <v>95.3125</v>
      </c>
      <c r="BJ423" t="s">
        <v>7103</v>
      </c>
      <c r="BK423">
        <v>61.718800000000002</v>
      </c>
      <c r="BO423" t="s">
        <v>7104</v>
      </c>
      <c r="CK423">
        <v>2</v>
      </c>
      <c r="CL423" t="s">
        <v>4</v>
      </c>
      <c r="CM423" t="s">
        <v>98</v>
      </c>
      <c r="CN423" t="s">
        <v>98</v>
      </c>
      <c r="CO423" t="s">
        <v>99</v>
      </c>
      <c r="CP423" t="s">
        <v>100</v>
      </c>
      <c r="CQ423" s="7">
        <v>423</v>
      </c>
      <c r="CR423" t="s">
        <v>100</v>
      </c>
      <c r="CS423" s="7" t="s">
        <v>101</v>
      </c>
      <c r="CT423" t="s">
        <v>152</v>
      </c>
      <c r="CU423" t="s">
        <v>102</v>
      </c>
      <c r="CV423" t="s">
        <v>100</v>
      </c>
    </row>
    <row r="424" spans="1:100">
      <c r="A424" s="3" t="s">
        <v>7105</v>
      </c>
      <c r="B424" s="4" t="s">
        <v>7106</v>
      </c>
      <c r="C424">
        <v>291.95390710705698</v>
      </c>
      <c r="D424">
        <v>854.98876720046701</v>
      </c>
      <c r="E424">
        <f>-1.55014435390829</f>
        <v>-1.55014435390829</v>
      </c>
      <c r="F424" s="5">
        <v>4.4303871136226498E-10</v>
      </c>
      <c r="G424" t="s">
        <v>4</v>
      </c>
      <c r="H424">
        <v>291.95390710705698</v>
      </c>
      <c r="I424">
        <v>86.1930604042618</v>
      </c>
      <c r="J424">
        <v>1.7381144139487099</v>
      </c>
      <c r="K424" s="5">
        <v>6.6196992687172795E-11</v>
      </c>
      <c r="L424" t="s">
        <v>4</v>
      </c>
      <c r="M424">
        <v>854.98876720046701</v>
      </c>
      <c r="N424">
        <v>86.1930604042618</v>
      </c>
      <c r="O424">
        <v>3.2882587678570001</v>
      </c>
      <c r="P424" s="5">
        <v>2.9732348268647902E-37</v>
      </c>
      <c r="Q424" t="s">
        <v>4</v>
      </c>
      <c r="R424" s="4" t="s">
        <v>87</v>
      </c>
      <c r="S424" t="s">
        <v>4</v>
      </c>
      <c r="T424" t="s">
        <v>7107</v>
      </c>
      <c r="U424" t="s">
        <v>7108</v>
      </c>
      <c r="V424" t="s">
        <v>7109</v>
      </c>
      <c r="W424" t="s">
        <v>976</v>
      </c>
      <c r="X424" t="s">
        <v>4</v>
      </c>
      <c r="Y424" t="s">
        <v>7110</v>
      </c>
      <c r="Z424" t="s">
        <v>7111</v>
      </c>
      <c r="AA424" t="s">
        <v>7112</v>
      </c>
      <c r="AB424" t="s">
        <v>4</v>
      </c>
      <c r="AC424" s="3" t="s">
        <v>7113</v>
      </c>
      <c r="AD424" t="s">
        <v>4</v>
      </c>
      <c r="AE424" t="s">
        <v>7114</v>
      </c>
      <c r="AF424" t="s">
        <v>7115</v>
      </c>
      <c r="AG424" t="s">
        <v>7116</v>
      </c>
      <c r="AH424" t="s">
        <v>112</v>
      </c>
      <c r="AJ424" t="s">
        <v>7117</v>
      </c>
      <c r="AL424" t="s">
        <v>7118</v>
      </c>
      <c r="AM424" t="s">
        <v>7119</v>
      </c>
      <c r="AQ424" t="s">
        <v>2941</v>
      </c>
      <c r="AU424" t="s">
        <v>112</v>
      </c>
      <c r="AV424" t="s">
        <v>7120</v>
      </c>
      <c r="AW424" t="s">
        <v>114</v>
      </c>
      <c r="AX424" t="s">
        <v>596</v>
      </c>
      <c r="AY424" t="s">
        <v>7121</v>
      </c>
      <c r="AZ424" t="s">
        <v>4</v>
      </c>
      <c r="BA424" s="3" t="s">
        <v>95</v>
      </c>
      <c r="BB424" t="s">
        <v>96</v>
      </c>
      <c r="BC424" s="3" t="s">
        <v>95</v>
      </c>
      <c r="BD424" t="s">
        <v>4</v>
      </c>
      <c r="BE424">
        <v>7162</v>
      </c>
      <c r="BF424" t="s">
        <v>213</v>
      </c>
      <c r="BG424">
        <v>96.078400000000002</v>
      </c>
      <c r="BH424">
        <v>85.097999999999999</v>
      </c>
      <c r="BI424">
        <v>72.156899999999993</v>
      </c>
      <c r="BJ424">
        <v>55.686300000000003</v>
      </c>
      <c r="BM424">
        <v>54.509799999999998</v>
      </c>
      <c r="BN424">
        <v>59.215699999999998</v>
      </c>
      <c r="BO424">
        <v>60</v>
      </c>
      <c r="BP424">
        <v>31.764700000000001</v>
      </c>
      <c r="BR424">
        <v>21.5686</v>
      </c>
      <c r="BS424">
        <v>20</v>
      </c>
      <c r="BT424">
        <v>18.4314</v>
      </c>
      <c r="BU424">
        <v>20.392199999999999</v>
      </c>
      <c r="BV424" t="s">
        <v>7122</v>
      </c>
      <c r="BW424">
        <v>22.352900000000002</v>
      </c>
      <c r="BX424">
        <v>20.392199999999999</v>
      </c>
      <c r="BZ424">
        <v>23.921600000000002</v>
      </c>
      <c r="CA424">
        <v>20.784300000000002</v>
      </c>
      <c r="CC424">
        <v>18.039200000000001</v>
      </c>
      <c r="CD424">
        <v>20</v>
      </c>
      <c r="CG424">
        <v>13.7255</v>
      </c>
      <c r="CH424">
        <v>12.9412</v>
      </c>
      <c r="CI424" t="s">
        <v>7123</v>
      </c>
      <c r="CK424">
        <v>8</v>
      </c>
      <c r="CL424" t="s">
        <v>4</v>
      </c>
      <c r="CM424" t="s">
        <v>7124</v>
      </c>
      <c r="CN424" t="s">
        <v>7125</v>
      </c>
      <c r="CO424" t="s">
        <v>1218</v>
      </c>
      <c r="CP424" t="s">
        <v>100</v>
      </c>
      <c r="CQ424" s="7">
        <v>424</v>
      </c>
      <c r="CR424" t="s">
        <v>100</v>
      </c>
      <c r="CS424" s="7" t="s">
        <v>101</v>
      </c>
      <c r="CT424" t="s">
        <v>152</v>
      </c>
      <c r="CU424" t="s">
        <v>102</v>
      </c>
      <c r="CV424" t="s">
        <v>7126</v>
      </c>
    </row>
    <row r="425" spans="1:100">
      <c r="A425" s="3" t="s">
        <v>7127</v>
      </c>
      <c r="B425" s="4" t="s">
        <v>7128</v>
      </c>
      <c r="C425">
        <v>719.32924865903794</v>
      </c>
      <c r="D425">
        <v>1500.2212723249099</v>
      </c>
      <c r="E425">
        <f>-1.06081304474782</f>
        <v>-1.0608130447478199</v>
      </c>
      <c r="F425" s="5">
        <v>1.3914109673490499E-7</v>
      </c>
      <c r="G425" t="s">
        <v>4</v>
      </c>
      <c r="H425">
        <v>719.32924865903794</v>
      </c>
      <c r="I425">
        <v>154.35682150792499</v>
      </c>
      <c r="J425">
        <v>2.2269333135002101</v>
      </c>
      <c r="K425" s="5">
        <v>8.5209353299437797E-27</v>
      </c>
      <c r="L425" t="s">
        <v>4</v>
      </c>
      <c r="M425">
        <v>1500.2212723249099</v>
      </c>
      <c r="N425">
        <v>154.35682150792499</v>
      </c>
      <c r="O425">
        <v>3.2877463582480302</v>
      </c>
      <c r="P425" s="5">
        <v>7.1077435354917206E-58</v>
      </c>
      <c r="Q425" t="s">
        <v>4</v>
      </c>
      <c r="R425" s="4" t="s">
        <v>87</v>
      </c>
      <c r="S425" t="s">
        <v>4</v>
      </c>
      <c r="T425" t="s">
        <v>7129</v>
      </c>
      <c r="U425" t="s">
        <v>7130</v>
      </c>
      <c r="V425" t="s">
        <v>7131</v>
      </c>
      <c r="W425" t="s">
        <v>507</v>
      </c>
      <c r="X425" t="s">
        <v>4</v>
      </c>
      <c r="Y425" t="s">
        <v>7132</v>
      </c>
      <c r="Z425" t="s">
        <v>7133</v>
      </c>
      <c r="AA425" t="s">
        <v>7134</v>
      </c>
      <c r="AB425" t="s">
        <v>4</v>
      </c>
      <c r="AC425" s="3" t="s">
        <v>7135</v>
      </c>
      <c r="AD425" t="s">
        <v>4</v>
      </c>
      <c r="AE425" t="s">
        <v>7136</v>
      </c>
      <c r="AF425" t="s">
        <v>7137</v>
      </c>
      <c r="AG425" t="s">
        <v>7138</v>
      </c>
      <c r="AH425" t="s">
        <v>112</v>
      </c>
      <c r="AL425" t="s">
        <v>7139</v>
      </c>
      <c r="AM425" t="s">
        <v>7140</v>
      </c>
      <c r="AN425" t="s">
        <v>7141</v>
      </c>
      <c r="AQ425" t="s">
        <v>7142</v>
      </c>
      <c r="AU425" t="s">
        <v>112</v>
      </c>
      <c r="AV425" t="s">
        <v>7143</v>
      </c>
      <c r="AW425" t="s">
        <v>114</v>
      </c>
      <c r="AX425" t="s">
        <v>144</v>
      </c>
      <c r="AY425" t="s">
        <v>7144</v>
      </c>
      <c r="AZ425" t="s">
        <v>4</v>
      </c>
      <c r="BA425" s="3" t="s">
        <v>95</v>
      </c>
      <c r="BB425" s="6" t="s">
        <v>95</v>
      </c>
      <c r="BC425" s="3" t="s">
        <v>95</v>
      </c>
      <c r="BD425" t="s">
        <v>4</v>
      </c>
      <c r="BE425">
        <v>10846</v>
      </c>
      <c r="BF425" t="s">
        <v>169</v>
      </c>
      <c r="BG425">
        <v>87.790700000000001</v>
      </c>
      <c r="BH425">
        <v>69.767399999999995</v>
      </c>
      <c r="BI425">
        <v>89.728700000000003</v>
      </c>
      <c r="BJ425">
        <v>76.3566</v>
      </c>
      <c r="BK425">
        <v>70.348799999999997</v>
      </c>
      <c r="BL425">
        <v>69.767399999999995</v>
      </c>
      <c r="BM425">
        <v>65.310100000000006</v>
      </c>
      <c r="BN425">
        <v>65.116299999999995</v>
      </c>
      <c r="BO425">
        <v>72.480599999999995</v>
      </c>
      <c r="BP425">
        <v>35.852699999999999</v>
      </c>
      <c r="BR425">
        <v>25.1938</v>
      </c>
      <c r="BW425">
        <v>21.8992</v>
      </c>
      <c r="BX425">
        <v>28.1008</v>
      </c>
      <c r="BZ425">
        <v>11.2403</v>
      </c>
      <c r="CA425">
        <v>22.674399999999999</v>
      </c>
      <c r="CC425">
        <v>12.790699999999999</v>
      </c>
      <c r="CD425">
        <v>16.472899999999999</v>
      </c>
      <c r="CE425">
        <v>16.0853</v>
      </c>
      <c r="CG425">
        <v>15.116300000000001</v>
      </c>
      <c r="CH425">
        <v>14.1473</v>
      </c>
      <c r="CI425">
        <v>14.7287</v>
      </c>
      <c r="CK425">
        <v>9</v>
      </c>
      <c r="CL425" t="s">
        <v>4</v>
      </c>
      <c r="CM425" t="s">
        <v>7145</v>
      </c>
      <c r="CN425" t="s">
        <v>7146</v>
      </c>
      <c r="CO425" t="s">
        <v>219</v>
      </c>
      <c r="CP425" t="s">
        <v>100</v>
      </c>
      <c r="CQ425" s="7">
        <v>425</v>
      </c>
      <c r="CR425" t="s">
        <v>100</v>
      </c>
      <c r="CS425" t="s">
        <v>101</v>
      </c>
      <c r="CT425" t="s">
        <v>152</v>
      </c>
      <c r="CU425" t="s">
        <v>102</v>
      </c>
      <c r="CV425" t="s">
        <v>100</v>
      </c>
    </row>
    <row r="426" spans="1:100">
      <c r="A426" s="3" t="s">
        <v>7147</v>
      </c>
      <c r="B426" s="4" t="s">
        <v>7148</v>
      </c>
      <c r="C426">
        <v>1674.3532854994301</v>
      </c>
      <c r="D426">
        <v>3633.37946165423</v>
      </c>
      <c r="E426">
        <f>-1.11794909234157</f>
        <v>-1.11794909234157</v>
      </c>
      <c r="F426" s="5">
        <v>1.3208325410300199E-12</v>
      </c>
      <c r="G426" t="s">
        <v>4</v>
      </c>
      <c r="H426">
        <v>1674.3532854994301</v>
      </c>
      <c r="I426">
        <v>389.86774312138402</v>
      </c>
      <c r="J426">
        <v>2.09937153029054</v>
      </c>
      <c r="K426" s="5">
        <v>2.4647154881204501E-39</v>
      </c>
      <c r="L426" t="s">
        <v>4</v>
      </c>
      <c r="M426">
        <v>3633.37946165423</v>
      </c>
      <c r="N426">
        <v>389.86774312138402</v>
      </c>
      <c r="O426">
        <v>3.2173206226321098</v>
      </c>
      <c r="P426" s="5">
        <v>8.3294933926854801E-92</v>
      </c>
      <c r="Q426" t="s">
        <v>4</v>
      </c>
      <c r="R426" s="4" t="s">
        <v>87</v>
      </c>
      <c r="S426" t="s">
        <v>4</v>
      </c>
      <c r="T426" t="s">
        <v>7149</v>
      </c>
      <c r="U426" t="s">
        <v>7150</v>
      </c>
      <c r="V426" t="s">
        <v>7151</v>
      </c>
      <c r="W426" t="s">
        <v>328</v>
      </c>
      <c r="X426" t="s">
        <v>4</v>
      </c>
      <c r="Y426" t="s">
        <v>7152</v>
      </c>
      <c r="Z426" t="s">
        <v>7153</v>
      </c>
      <c r="AA426" t="s">
        <v>7154</v>
      </c>
      <c r="AB426" t="s">
        <v>4</v>
      </c>
      <c r="AC426" s="3" t="s">
        <v>7155</v>
      </c>
      <c r="AD426" t="s">
        <v>4</v>
      </c>
      <c r="AE426" t="s">
        <v>7156</v>
      </c>
      <c r="AF426" t="s">
        <v>7157</v>
      </c>
      <c r="AG426" t="s">
        <v>7158</v>
      </c>
      <c r="AH426" t="s">
        <v>112</v>
      </c>
      <c r="AJ426" t="s">
        <v>7159</v>
      </c>
      <c r="AK426" t="s">
        <v>7160</v>
      </c>
      <c r="AL426" t="s">
        <v>7161</v>
      </c>
      <c r="AM426" t="s">
        <v>7162</v>
      </c>
      <c r="AN426" t="s">
        <v>7163</v>
      </c>
      <c r="AO426" t="s">
        <v>7164</v>
      </c>
      <c r="AP426" t="s">
        <v>7165</v>
      </c>
      <c r="AQ426" t="s">
        <v>7166</v>
      </c>
      <c r="AU426" t="s">
        <v>112</v>
      </c>
      <c r="AV426" t="s">
        <v>7167</v>
      </c>
      <c r="AW426" t="s">
        <v>114</v>
      </c>
      <c r="AX426" t="s">
        <v>700</v>
      </c>
      <c r="AY426" t="s">
        <v>7168</v>
      </c>
      <c r="AZ426" t="s">
        <v>4</v>
      </c>
      <c r="BA426" s="3" t="s">
        <v>95</v>
      </c>
      <c r="BB426" t="s">
        <v>96</v>
      </c>
      <c r="BC426" s="3" t="s">
        <v>95</v>
      </c>
      <c r="BD426" t="s">
        <v>4</v>
      </c>
      <c r="BE426">
        <v>10634</v>
      </c>
      <c r="BF426" t="s">
        <v>169</v>
      </c>
      <c r="BG426">
        <v>99.725999999999999</v>
      </c>
      <c r="BH426">
        <v>44.9315</v>
      </c>
      <c r="BI426">
        <v>98.0822</v>
      </c>
      <c r="BJ426">
        <v>95.0685</v>
      </c>
      <c r="BK426">
        <v>93.150700000000001</v>
      </c>
      <c r="BL426">
        <v>91.232900000000001</v>
      </c>
      <c r="BM426">
        <v>91.232900000000001</v>
      </c>
      <c r="BN426">
        <v>91.232900000000001</v>
      </c>
      <c r="BO426">
        <v>88.767099999999999</v>
      </c>
      <c r="BP426">
        <v>75.0685</v>
      </c>
      <c r="BQ426">
        <v>67.9452</v>
      </c>
      <c r="BR426" t="s">
        <v>7169</v>
      </c>
      <c r="BS426">
        <v>55.616399999999999</v>
      </c>
      <c r="BT426">
        <v>63.287700000000001</v>
      </c>
      <c r="BU426">
        <v>66.849299999999999</v>
      </c>
      <c r="BV426" t="s">
        <v>7170</v>
      </c>
      <c r="BW426" t="s">
        <v>7171</v>
      </c>
      <c r="BX426">
        <v>69.0411</v>
      </c>
      <c r="BY426">
        <v>67.1233</v>
      </c>
      <c r="BZ426">
        <v>65.753399999999999</v>
      </c>
      <c r="CA426">
        <v>36.9863</v>
      </c>
      <c r="CB426">
        <v>56.164400000000001</v>
      </c>
      <c r="CC426">
        <v>63.835599999999999</v>
      </c>
      <c r="CD426">
        <v>63.561599999999999</v>
      </c>
      <c r="CE426">
        <v>61.643799999999999</v>
      </c>
      <c r="CF426">
        <v>62.191800000000001</v>
      </c>
      <c r="CG426" t="s">
        <v>7172</v>
      </c>
      <c r="CH426" t="s">
        <v>7173</v>
      </c>
      <c r="CI426" t="s">
        <v>7174</v>
      </c>
      <c r="CJ426" t="s">
        <v>7175</v>
      </c>
      <c r="CK426">
        <v>9</v>
      </c>
      <c r="CL426" t="s">
        <v>4</v>
      </c>
      <c r="CM426" t="s">
        <v>7176</v>
      </c>
      <c r="CN426" t="s">
        <v>7177</v>
      </c>
      <c r="CO426" t="s">
        <v>99</v>
      </c>
      <c r="CP426" t="s">
        <v>100</v>
      </c>
      <c r="CQ426" s="7">
        <v>426</v>
      </c>
      <c r="CR426" t="s">
        <v>100</v>
      </c>
      <c r="CS426" t="s">
        <v>101</v>
      </c>
      <c r="CT426" t="s">
        <v>152</v>
      </c>
      <c r="CU426" t="s">
        <v>102</v>
      </c>
      <c r="CV426" t="s">
        <v>100</v>
      </c>
    </row>
    <row r="427" spans="1:100">
      <c r="A427" s="3" t="s">
        <v>7178</v>
      </c>
      <c r="B427" s="4" t="s">
        <v>7179</v>
      </c>
      <c r="C427">
        <v>1688.24506011668</v>
      </c>
      <c r="D427">
        <v>6510.2689861293302</v>
      </c>
      <c r="E427">
        <f>-1.94709962762857</f>
        <v>-1.9470996276285699</v>
      </c>
      <c r="F427" s="5">
        <v>9.01246112747243E-17</v>
      </c>
      <c r="G427" t="s">
        <v>4</v>
      </c>
      <c r="H427">
        <v>1688.24506011668</v>
      </c>
      <c r="I427">
        <v>724.19159208392705</v>
      </c>
      <c r="J427">
        <v>1.2186307405289201</v>
      </c>
      <c r="K427" s="5">
        <v>3.24358341210452E-7</v>
      </c>
      <c r="L427" t="s">
        <v>4</v>
      </c>
      <c r="M427">
        <v>6510.2689861293302</v>
      </c>
      <c r="N427">
        <v>724.19159208392705</v>
      </c>
      <c r="O427">
        <v>3.1657303681574902</v>
      </c>
      <c r="P427" s="5">
        <v>2.1977367068880799E-43</v>
      </c>
      <c r="Q427" t="s">
        <v>4</v>
      </c>
      <c r="R427" s="4" t="s">
        <v>87</v>
      </c>
      <c r="S427" t="s">
        <v>4</v>
      </c>
      <c r="T427" t="s">
        <v>92</v>
      </c>
      <c r="U427" t="s">
        <v>92</v>
      </c>
      <c r="V427" t="s">
        <v>92</v>
      </c>
      <c r="W427" t="s">
        <v>92</v>
      </c>
      <c r="X427" t="s">
        <v>4</v>
      </c>
      <c r="Y427" t="s">
        <v>3236</v>
      </c>
      <c r="Z427" t="s">
        <v>3237</v>
      </c>
      <c r="AA427" t="s">
        <v>3238</v>
      </c>
      <c r="AB427" t="s">
        <v>4</v>
      </c>
      <c r="AC427" s="3" t="s">
        <v>3110</v>
      </c>
      <c r="AD427" t="s">
        <v>4</v>
      </c>
      <c r="AE427" t="s">
        <v>3111</v>
      </c>
      <c r="AF427" t="s">
        <v>7180</v>
      </c>
      <c r="AG427" t="s">
        <v>7181</v>
      </c>
      <c r="AH427" t="s">
        <v>112</v>
      </c>
      <c r="AK427" t="s">
        <v>3114</v>
      </c>
      <c r="AL427" t="s">
        <v>3115</v>
      </c>
      <c r="AQ427" t="s">
        <v>3116</v>
      </c>
      <c r="AU427" t="s">
        <v>112</v>
      </c>
      <c r="AV427" t="s">
        <v>3117</v>
      </c>
      <c r="AW427" t="s">
        <v>114</v>
      </c>
      <c r="AX427" t="s">
        <v>536</v>
      </c>
      <c r="AY427" t="s">
        <v>3118</v>
      </c>
      <c r="AZ427" t="s">
        <v>4</v>
      </c>
      <c r="BA427" s="3" t="s">
        <v>115</v>
      </c>
      <c r="BB427" s="6" t="s">
        <v>95</v>
      </c>
      <c r="BC427" s="3" t="s">
        <v>197</v>
      </c>
      <c r="BD427" t="s">
        <v>4</v>
      </c>
      <c r="BE427">
        <v>4529</v>
      </c>
      <c r="BF427" t="s">
        <v>112</v>
      </c>
      <c r="BI427">
        <v>83.037999999999997</v>
      </c>
      <c r="BJ427">
        <v>75.696200000000005</v>
      </c>
      <c r="BK427">
        <v>64.303799999999995</v>
      </c>
      <c r="BL427">
        <v>69.367099999999994</v>
      </c>
      <c r="BM427">
        <v>69.6203</v>
      </c>
      <c r="BN427">
        <v>69.6203</v>
      </c>
      <c r="BO427">
        <v>71.139200000000002</v>
      </c>
      <c r="BX427">
        <v>26.8354</v>
      </c>
      <c r="CA427">
        <v>19.240500000000001</v>
      </c>
      <c r="CK427">
        <v>5</v>
      </c>
      <c r="CL427" t="s">
        <v>4</v>
      </c>
      <c r="CM427" t="s">
        <v>7182</v>
      </c>
      <c r="CN427" t="s">
        <v>7183</v>
      </c>
      <c r="CO427" t="s">
        <v>99</v>
      </c>
      <c r="CP427" t="s">
        <v>100</v>
      </c>
      <c r="CQ427" s="7">
        <v>427</v>
      </c>
      <c r="CR427" t="s">
        <v>100</v>
      </c>
      <c r="CS427" s="7" t="s">
        <v>101</v>
      </c>
      <c r="CT427" t="s">
        <v>152</v>
      </c>
      <c r="CU427" t="s">
        <v>102</v>
      </c>
      <c r="CV427" t="s">
        <v>100</v>
      </c>
    </row>
    <row r="428" spans="1:100">
      <c r="A428" s="3" t="s">
        <v>7184</v>
      </c>
      <c r="B428" s="4" t="s">
        <v>7185</v>
      </c>
      <c r="C428">
        <v>44.867420570222599</v>
      </c>
      <c r="D428">
        <v>158.73337676004701</v>
      </c>
      <c r="E428">
        <f>-1.82083343204611</f>
        <v>-1.8208334320461099</v>
      </c>
      <c r="F428">
        <v>1.6302623635005301E-2</v>
      </c>
      <c r="G428" t="s">
        <v>4</v>
      </c>
      <c r="H428">
        <v>44.867420570222599</v>
      </c>
      <c r="I428">
        <v>18.633723658364101</v>
      </c>
      <c r="J428">
        <v>1.3097059671917199</v>
      </c>
      <c r="K428">
        <v>9.9041644781432195E-2</v>
      </c>
      <c r="L428" t="s">
        <v>4</v>
      </c>
      <c r="M428">
        <v>158.73337676004701</v>
      </c>
      <c r="N428">
        <v>18.633723658364101</v>
      </c>
      <c r="O428">
        <v>3.1305393992378301</v>
      </c>
      <c r="P428" s="5">
        <v>2.1831115351857499E-5</v>
      </c>
      <c r="Q428" t="s">
        <v>4</v>
      </c>
      <c r="R428" s="4" t="s">
        <v>87</v>
      </c>
      <c r="S428" t="s">
        <v>4</v>
      </c>
      <c r="T428" t="s">
        <v>92</v>
      </c>
      <c r="U428" t="s">
        <v>92</v>
      </c>
      <c r="V428" t="s">
        <v>92</v>
      </c>
      <c r="W428" t="s">
        <v>92</v>
      </c>
      <c r="X428" t="s">
        <v>4</v>
      </c>
      <c r="Y428" t="s">
        <v>4755</v>
      </c>
      <c r="Z428" t="s">
        <v>4756</v>
      </c>
      <c r="AA428" t="s">
        <v>4757</v>
      </c>
      <c r="AB428" t="s">
        <v>4</v>
      </c>
      <c r="AC428" s="3" t="s">
        <v>7186</v>
      </c>
      <c r="AD428" t="s">
        <v>4</v>
      </c>
      <c r="AE428" t="s">
        <v>7187</v>
      </c>
      <c r="AF428" t="s">
        <v>999</v>
      </c>
      <c r="AG428" t="s">
        <v>7188</v>
      </c>
      <c r="AH428" t="s">
        <v>112</v>
      </c>
      <c r="AU428" t="s">
        <v>112</v>
      </c>
      <c r="AV428" t="s">
        <v>7189</v>
      </c>
      <c r="AW428" t="s">
        <v>114</v>
      </c>
      <c r="AX428" t="s">
        <v>144</v>
      </c>
      <c r="AY428" t="s">
        <v>4763</v>
      </c>
      <c r="AZ428" t="s">
        <v>4</v>
      </c>
      <c r="BA428" s="3" t="s">
        <v>95</v>
      </c>
      <c r="BB428" s="6" t="s">
        <v>95</v>
      </c>
      <c r="BC428" s="3" t="s">
        <v>197</v>
      </c>
      <c r="BD428" t="s">
        <v>4</v>
      </c>
      <c r="BE428">
        <v>3515</v>
      </c>
      <c r="BF428" t="s">
        <v>112</v>
      </c>
      <c r="BG428">
        <v>97.484300000000005</v>
      </c>
      <c r="BH428">
        <v>100</v>
      </c>
      <c r="BI428">
        <v>93.081800000000001</v>
      </c>
      <c r="BJ428">
        <v>66.666700000000006</v>
      </c>
      <c r="BK428">
        <v>69.182400000000001</v>
      </c>
      <c r="BN428">
        <v>69.182400000000001</v>
      </c>
      <c r="BO428">
        <v>67.924499999999995</v>
      </c>
      <c r="BP428">
        <v>37.106900000000003</v>
      </c>
      <c r="BQ428">
        <v>29.559699999999999</v>
      </c>
      <c r="BS428">
        <v>30.188700000000001</v>
      </c>
      <c r="CA428">
        <v>26.415099999999999</v>
      </c>
      <c r="CK428">
        <v>5</v>
      </c>
      <c r="CL428" t="s">
        <v>4</v>
      </c>
      <c r="CM428" t="s">
        <v>7190</v>
      </c>
      <c r="CN428" t="s">
        <v>7191</v>
      </c>
      <c r="CO428" t="s">
        <v>99</v>
      </c>
      <c r="CP428" t="s">
        <v>100</v>
      </c>
      <c r="CQ428" s="7">
        <v>428</v>
      </c>
      <c r="CR428" t="s">
        <v>100</v>
      </c>
      <c r="CS428" t="s">
        <v>100</v>
      </c>
      <c r="CT428" t="s">
        <v>152</v>
      </c>
      <c r="CU428" t="s">
        <v>102</v>
      </c>
      <c r="CV428" t="s">
        <v>100</v>
      </c>
    </row>
    <row r="429" spans="1:100">
      <c r="A429" s="3" t="s">
        <v>7192</v>
      </c>
      <c r="B429" s="4" t="s">
        <v>7193</v>
      </c>
      <c r="C429">
        <v>38.068976182792397</v>
      </c>
      <c r="D429">
        <v>85.613760027575907</v>
      </c>
      <c r="E429">
        <f>-1.16844762041992</f>
        <v>-1.1684476204199199</v>
      </c>
      <c r="F429">
        <v>2.6899007694097501E-2</v>
      </c>
      <c r="G429" t="s">
        <v>4</v>
      </c>
      <c r="H429">
        <v>38.068976182792397</v>
      </c>
      <c r="I429">
        <v>9.2376897181051607</v>
      </c>
      <c r="J429">
        <v>1.9562270149648999</v>
      </c>
      <c r="K429">
        <v>1.10409821916786E-3</v>
      </c>
      <c r="L429" t="s">
        <v>4</v>
      </c>
      <c r="M429">
        <v>85.613760027575907</v>
      </c>
      <c r="N429">
        <v>9.2376897181051607</v>
      </c>
      <c r="O429">
        <v>3.12467463538482</v>
      </c>
      <c r="P429" s="5">
        <v>4.5429997767867798E-8</v>
      </c>
      <c r="Q429" t="s">
        <v>4</v>
      </c>
      <c r="R429" s="4" t="s">
        <v>87</v>
      </c>
      <c r="S429" t="s">
        <v>4</v>
      </c>
      <c r="T429" t="s">
        <v>92</v>
      </c>
      <c r="U429" t="s">
        <v>92</v>
      </c>
      <c r="V429" t="s">
        <v>92</v>
      </c>
      <c r="W429" t="s">
        <v>92</v>
      </c>
      <c r="X429" t="s">
        <v>4</v>
      </c>
      <c r="Y429" t="s">
        <v>2731</v>
      </c>
      <c r="Z429" t="s">
        <v>2732</v>
      </c>
      <c r="AA429" t="s">
        <v>2733</v>
      </c>
      <c r="AB429" t="s">
        <v>4</v>
      </c>
      <c r="AC429" s="3" t="s">
        <v>93</v>
      </c>
      <c r="AD429" t="s">
        <v>4</v>
      </c>
      <c r="AE429" t="s">
        <v>2735</v>
      </c>
      <c r="AF429" t="s">
        <v>7194</v>
      </c>
      <c r="AG429" t="s">
        <v>7195</v>
      </c>
      <c r="AH429" t="s">
        <v>112</v>
      </c>
      <c r="AK429" t="s">
        <v>2738</v>
      </c>
      <c r="AL429" t="s">
        <v>2739</v>
      </c>
      <c r="AM429" t="s">
        <v>2740</v>
      </c>
      <c r="AN429" t="s">
        <v>2741</v>
      </c>
      <c r="AO429" t="s">
        <v>2742</v>
      </c>
      <c r="AP429" t="s">
        <v>2743</v>
      </c>
      <c r="AQ429" t="s">
        <v>2744</v>
      </c>
      <c r="AU429" t="s">
        <v>112</v>
      </c>
      <c r="AV429" t="s">
        <v>2745</v>
      </c>
      <c r="AW429" t="s">
        <v>114</v>
      </c>
      <c r="AX429" t="s">
        <v>2746</v>
      </c>
      <c r="AY429" t="s">
        <v>2747</v>
      </c>
      <c r="AZ429" t="s">
        <v>4</v>
      </c>
      <c r="BA429" s="3" t="s">
        <v>95</v>
      </c>
      <c r="BB429" s="6" t="s">
        <v>95</v>
      </c>
      <c r="BC429" s="3" t="s">
        <v>95</v>
      </c>
      <c r="BD429" t="s">
        <v>4</v>
      </c>
      <c r="BE429">
        <v>2381</v>
      </c>
      <c r="BF429" t="s">
        <v>148</v>
      </c>
      <c r="CK429">
        <v>3</v>
      </c>
      <c r="CL429" t="s">
        <v>4</v>
      </c>
      <c r="CM429" t="s">
        <v>98</v>
      </c>
      <c r="CN429" t="s">
        <v>98</v>
      </c>
      <c r="CO429" t="s">
        <v>99</v>
      </c>
      <c r="CP429" t="s">
        <v>100</v>
      </c>
      <c r="CQ429" s="7">
        <v>429</v>
      </c>
      <c r="CR429" t="s">
        <v>100</v>
      </c>
      <c r="CS429" s="7" t="s">
        <v>101</v>
      </c>
      <c r="CT429" t="s">
        <v>152</v>
      </c>
      <c r="CU429" t="s">
        <v>102</v>
      </c>
      <c r="CV429" t="s">
        <v>100</v>
      </c>
    </row>
    <row r="430" spans="1:100">
      <c r="A430" s="3" t="s">
        <v>7196</v>
      </c>
      <c r="B430" s="4" t="s">
        <v>7197</v>
      </c>
      <c r="C430">
        <v>107.220144729609</v>
      </c>
      <c r="D430">
        <v>259.370440124347</v>
      </c>
      <c r="E430">
        <f>-1.27431675162811</f>
        <v>-1.27431675162811</v>
      </c>
      <c r="F430" s="5">
        <v>5.88845480688043E-6</v>
      </c>
      <c r="G430" t="s">
        <v>4</v>
      </c>
      <c r="H430">
        <v>107.220144729609</v>
      </c>
      <c r="I430">
        <v>31.166899389403302</v>
      </c>
      <c r="J430">
        <v>1.81238773689928</v>
      </c>
      <c r="K430" s="5">
        <v>2.8249595483975801E-8</v>
      </c>
      <c r="L430" t="s">
        <v>4</v>
      </c>
      <c r="M430">
        <v>259.370440124347</v>
      </c>
      <c r="N430">
        <v>31.166899389403302</v>
      </c>
      <c r="O430">
        <v>3.0867044885273902</v>
      </c>
      <c r="P430" s="5">
        <v>8.3313145644810004E-23</v>
      </c>
      <c r="Q430" t="s">
        <v>4</v>
      </c>
      <c r="R430" s="4" t="s">
        <v>87</v>
      </c>
      <c r="S430" t="s">
        <v>4</v>
      </c>
      <c r="T430" t="s">
        <v>88</v>
      </c>
      <c r="U430" t="s">
        <v>89</v>
      </c>
      <c r="V430" t="s">
        <v>90</v>
      </c>
      <c r="W430" t="s">
        <v>91</v>
      </c>
      <c r="X430" t="s">
        <v>4</v>
      </c>
      <c r="Y430" t="s">
        <v>7198</v>
      </c>
      <c r="Z430" t="s">
        <v>7199</v>
      </c>
      <c r="AA430" t="s">
        <v>7200</v>
      </c>
      <c r="AB430" t="s">
        <v>4</v>
      </c>
      <c r="AC430" s="3" t="s">
        <v>7201</v>
      </c>
      <c r="AD430" t="s">
        <v>4</v>
      </c>
      <c r="AE430" t="s">
        <v>7202</v>
      </c>
      <c r="AF430" t="s">
        <v>7203</v>
      </c>
      <c r="AG430" t="s">
        <v>7204</v>
      </c>
      <c r="AH430" t="s">
        <v>112</v>
      </c>
      <c r="AU430" t="s">
        <v>112</v>
      </c>
      <c r="AV430" t="s">
        <v>4518</v>
      </c>
      <c r="AW430" t="s">
        <v>114</v>
      </c>
      <c r="AX430" t="s">
        <v>144</v>
      </c>
      <c r="AY430" t="s">
        <v>4519</v>
      </c>
      <c r="AZ430" t="s">
        <v>4</v>
      </c>
      <c r="BA430" s="3" t="s">
        <v>95</v>
      </c>
      <c r="BB430" t="s">
        <v>96</v>
      </c>
      <c r="BC430" s="3" t="s">
        <v>95</v>
      </c>
      <c r="BD430" t="s">
        <v>4</v>
      </c>
      <c r="BE430">
        <v>2770</v>
      </c>
      <c r="BF430" t="s">
        <v>97</v>
      </c>
      <c r="BP430" t="s">
        <v>7205</v>
      </c>
      <c r="CK430">
        <v>4</v>
      </c>
      <c r="CL430" t="s">
        <v>4</v>
      </c>
      <c r="CM430" t="s">
        <v>98</v>
      </c>
      <c r="CN430" t="s">
        <v>98</v>
      </c>
      <c r="CO430" t="s">
        <v>99</v>
      </c>
      <c r="CP430" t="s">
        <v>100</v>
      </c>
      <c r="CQ430" s="7">
        <v>430</v>
      </c>
      <c r="CR430" t="s">
        <v>100</v>
      </c>
      <c r="CS430" s="7" t="s">
        <v>101</v>
      </c>
      <c r="CT430" t="s">
        <v>152</v>
      </c>
      <c r="CU430" t="s">
        <v>102</v>
      </c>
      <c r="CV430" t="s">
        <v>100</v>
      </c>
    </row>
    <row r="431" spans="1:100">
      <c r="A431" s="3" t="s">
        <v>7206</v>
      </c>
      <c r="B431" s="4" t="s">
        <v>7207</v>
      </c>
      <c r="C431">
        <v>1057.47610665058</v>
      </c>
      <c r="D431">
        <v>2864.8031511143299</v>
      </c>
      <c r="E431">
        <f>-1.43819355157592</f>
        <v>-1.4381935515759201</v>
      </c>
      <c r="F431" s="5">
        <v>8.98650370459653E-13</v>
      </c>
      <c r="G431" t="s">
        <v>4</v>
      </c>
      <c r="H431">
        <v>1057.47610665058</v>
      </c>
      <c r="I431">
        <v>341.93109510496203</v>
      </c>
      <c r="J431">
        <v>1.62259211488967</v>
      </c>
      <c r="K431" s="5">
        <v>1.95734336841947E-15</v>
      </c>
      <c r="L431" t="s">
        <v>4</v>
      </c>
      <c r="M431">
        <v>2864.8031511143299</v>
      </c>
      <c r="N431">
        <v>341.93109510496203</v>
      </c>
      <c r="O431">
        <v>3.0607856664656001</v>
      </c>
      <c r="P431" s="5">
        <v>5.3283241771456002E-53</v>
      </c>
      <c r="Q431" t="s">
        <v>4</v>
      </c>
      <c r="R431" s="4" t="s">
        <v>87</v>
      </c>
      <c r="S431" t="s">
        <v>4</v>
      </c>
      <c r="T431" t="s">
        <v>92</v>
      </c>
      <c r="U431" t="s">
        <v>92</v>
      </c>
      <c r="V431" t="s">
        <v>92</v>
      </c>
      <c r="W431" t="s">
        <v>92</v>
      </c>
      <c r="X431" t="s">
        <v>4</v>
      </c>
      <c r="Y431" t="s">
        <v>92</v>
      </c>
      <c r="Z431" t="s">
        <v>92</v>
      </c>
      <c r="AA431" t="s">
        <v>92</v>
      </c>
      <c r="AB431" t="s">
        <v>4</v>
      </c>
      <c r="AC431" s="3" t="s">
        <v>93</v>
      </c>
      <c r="AD431" t="s">
        <v>4</v>
      </c>
      <c r="AE431" t="s">
        <v>7208</v>
      </c>
      <c r="AF431" t="s">
        <v>7209</v>
      </c>
      <c r="AG431" t="s">
        <v>7210</v>
      </c>
      <c r="AH431" t="s">
        <v>112</v>
      </c>
      <c r="AU431" t="s">
        <v>112</v>
      </c>
      <c r="AV431" t="s">
        <v>7211</v>
      </c>
      <c r="AW431" t="s">
        <v>114</v>
      </c>
      <c r="AZ431" t="s">
        <v>4</v>
      </c>
      <c r="BA431" s="3" t="s">
        <v>115</v>
      </c>
      <c r="BB431" s="6" t="s">
        <v>95</v>
      </c>
      <c r="BC431" s="3" t="s">
        <v>95</v>
      </c>
      <c r="BD431" t="s">
        <v>4</v>
      </c>
      <c r="BE431">
        <v>2495</v>
      </c>
      <c r="BF431" t="s">
        <v>97</v>
      </c>
      <c r="BG431">
        <v>98.611099999999993</v>
      </c>
      <c r="BH431">
        <v>99.722200000000001</v>
      </c>
      <c r="BI431">
        <v>95.555599999999998</v>
      </c>
      <c r="BJ431">
        <v>86.111099999999993</v>
      </c>
      <c r="BK431">
        <v>73.611099999999993</v>
      </c>
      <c r="BL431">
        <v>73.333299999999994</v>
      </c>
      <c r="BM431">
        <v>73.888900000000007</v>
      </c>
      <c r="BN431">
        <v>74.166700000000006</v>
      </c>
      <c r="BO431">
        <v>72.777799999999999</v>
      </c>
      <c r="BP431">
        <v>41.3889</v>
      </c>
      <c r="CK431">
        <v>4</v>
      </c>
      <c r="CL431" t="s">
        <v>4</v>
      </c>
      <c r="CM431" t="s">
        <v>98</v>
      </c>
      <c r="CN431" t="s">
        <v>98</v>
      </c>
      <c r="CO431" t="s">
        <v>99</v>
      </c>
      <c r="CP431" t="s">
        <v>100</v>
      </c>
      <c r="CQ431" s="7">
        <v>431</v>
      </c>
      <c r="CR431" t="s">
        <v>100</v>
      </c>
      <c r="CS431" s="7" t="s">
        <v>101</v>
      </c>
      <c r="CT431" t="s">
        <v>152</v>
      </c>
      <c r="CU431" t="s">
        <v>102</v>
      </c>
      <c r="CV431" t="s">
        <v>100</v>
      </c>
    </row>
    <row r="432" spans="1:100">
      <c r="A432" s="3" t="s">
        <v>7212</v>
      </c>
      <c r="B432" s="4" t="s">
        <v>7213</v>
      </c>
      <c r="C432">
        <v>2189.70589518316</v>
      </c>
      <c r="D432">
        <v>8742.7344393359599</v>
      </c>
      <c r="E432">
        <f>-1.99733025222532</f>
        <v>-1.99733025222532</v>
      </c>
      <c r="F432" s="5">
        <v>1.62573011327812E-5</v>
      </c>
      <c r="G432" t="s">
        <v>4</v>
      </c>
      <c r="H432">
        <v>2189.70589518316</v>
      </c>
      <c r="I432">
        <v>1056.6187378417501</v>
      </c>
      <c r="J432">
        <v>1.0492814266689501</v>
      </c>
      <c r="K432">
        <v>2.5937832953768999E-2</v>
      </c>
      <c r="L432" t="s">
        <v>4</v>
      </c>
      <c r="M432">
        <v>8742.7344393359599</v>
      </c>
      <c r="N432">
        <v>1056.6187378417501</v>
      </c>
      <c r="O432">
        <v>3.0466116788942701</v>
      </c>
      <c r="P432" s="5">
        <v>4.4622325277563503E-12</v>
      </c>
      <c r="Q432" t="s">
        <v>4</v>
      </c>
      <c r="R432" s="4" t="s">
        <v>87</v>
      </c>
      <c r="S432" t="s">
        <v>4</v>
      </c>
      <c r="T432" t="s">
        <v>7214</v>
      </c>
      <c r="U432" t="s">
        <v>7215</v>
      </c>
      <c r="V432" t="s">
        <v>7216</v>
      </c>
      <c r="W432" t="s">
        <v>123</v>
      </c>
      <c r="X432" t="s">
        <v>4</v>
      </c>
      <c r="Y432" t="s">
        <v>7217</v>
      </c>
      <c r="Z432" t="s">
        <v>7218</v>
      </c>
      <c r="AA432" t="s">
        <v>7219</v>
      </c>
      <c r="AB432" t="s">
        <v>4</v>
      </c>
      <c r="AC432" s="3" t="s">
        <v>7220</v>
      </c>
      <c r="AD432" t="s">
        <v>4</v>
      </c>
      <c r="AE432" t="s">
        <v>7221</v>
      </c>
      <c r="AF432" t="s">
        <v>834</v>
      </c>
      <c r="AG432" t="s">
        <v>7222</v>
      </c>
      <c r="AH432" t="s">
        <v>112</v>
      </c>
      <c r="AU432" t="s">
        <v>112</v>
      </c>
      <c r="AV432" t="s">
        <v>7223</v>
      </c>
      <c r="AW432" t="s">
        <v>114</v>
      </c>
      <c r="AX432" t="s">
        <v>536</v>
      </c>
      <c r="AY432" t="s">
        <v>7224</v>
      </c>
      <c r="AZ432" t="s">
        <v>4</v>
      </c>
      <c r="BA432" s="3" t="s">
        <v>115</v>
      </c>
      <c r="BB432" s="6" t="s">
        <v>95</v>
      </c>
      <c r="BC432" s="3" t="s">
        <v>95</v>
      </c>
      <c r="BD432" t="s">
        <v>4</v>
      </c>
      <c r="BE432">
        <v>5994</v>
      </c>
      <c r="BF432" t="s">
        <v>213</v>
      </c>
      <c r="BG432">
        <v>10.2941</v>
      </c>
      <c r="BH432">
        <v>94.607799999999997</v>
      </c>
      <c r="BI432">
        <v>87.745099999999994</v>
      </c>
      <c r="BJ432">
        <v>81.372600000000006</v>
      </c>
      <c r="BK432">
        <v>73.627399999999994</v>
      </c>
      <c r="BL432">
        <v>15.098000000000001</v>
      </c>
      <c r="BM432">
        <v>73.431399999999996</v>
      </c>
      <c r="BN432">
        <v>73.333299999999994</v>
      </c>
      <c r="BO432">
        <v>77.352900000000005</v>
      </c>
      <c r="BP432">
        <v>44.509799999999998</v>
      </c>
      <c r="BQ432">
        <v>37.941200000000002</v>
      </c>
      <c r="BR432">
        <v>29.313700000000001</v>
      </c>
      <c r="BS432">
        <v>30.490200000000002</v>
      </c>
      <c r="BT432">
        <v>17.8431</v>
      </c>
      <c r="BU432">
        <v>32.647100000000002</v>
      </c>
      <c r="BV432" t="s">
        <v>7225</v>
      </c>
      <c r="BX432">
        <v>40.882399999999997</v>
      </c>
      <c r="BZ432" t="s">
        <v>7226</v>
      </c>
      <c r="CA432">
        <v>36.960799999999999</v>
      </c>
      <c r="CK432">
        <v>8</v>
      </c>
      <c r="CL432" t="s">
        <v>4</v>
      </c>
      <c r="CM432" t="s">
        <v>7227</v>
      </c>
      <c r="CN432" t="s">
        <v>7228</v>
      </c>
      <c r="CO432" t="s">
        <v>219</v>
      </c>
      <c r="CP432" t="s">
        <v>100</v>
      </c>
      <c r="CQ432" s="7">
        <v>432</v>
      </c>
      <c r="CR432" t="s">
        <v>100</v>
      </c>
      <c r="CS432" s="7" t="s">
        <v>101</v>
      </c>
      <c r="CT432" t="s">
        <v>152</v>
      </c>
      <c r="CU432" t="s">
        <v>102</v>
      </c>
      <c r="CV432" t="s">
        <v>100</v>
      </c>
    </row>
    <row r="433" spans="1:100">
      <c r="A433" s="3" t="s">
        <v>7229</v>
      </c>
      <c r="B433" s="4" t="s">
        <v>7230</v>
      </c>
      <c r="C433">
        <v>70.170824174696307</v>
      </c>
      <c r="D433">
        <v>163.743847206227</v>
      </c>
      <c r="E433">
        <f>-1.22472329451554</f>
        <v>-1.22472329451554</v>
      </c>
      <c r="F433">
        <v>3.8939826773364501E-2</v>
      </c>
      <c r="G433" t="s">
        <v>4</v>
      </c>
      <c r="H433">
        <v>70.170824174696307</v>
      </c>
      <c r="I433">
        <v>19.588407367380299</v>
      </c>
      <c r="J433">
        <v>1.8142543024583999</v>
      </c>
      <c r="K433">
        <v>2.9720271690693899E-3</v>
      </c>
      <c r="L433" t="s">
        <v>4</v>
      </c>
      <c r="M433">
        <v>163.743847206227</v>
      </c>
      <c r="N433">
        <v>19.588407367380299</v>
      </c>
      <c r="O433">
        <v>3.0389775969739401</v>
      </c>
      <c r="P433" s="5">
        <v>1.8360688543103301E-7</v>
      </c>
      <c r="Q433" t="s">
        <v>4</v>
      </c>
      <c r="R433" s="4" t="s">
        <v>87</v>
      </c>
      <c r="S433" t="s">
        <v>4</v>
      </c>
      <c r="T433" t="s">
        <v>7231</v>
      </c>
      <c r="U433" t="s">
        <v>7232</v>
      </c>
      <c r="V433" t="s">
        <v>7233</v>
      </c>
      <c r="W433" t="s">
        <v>203</v>
      </c>
      <c r="X433" t="s">
        <v>4</v>
      </c>
      <c r="Y433" t="s">
        <v>7234</v>
      </c>
      <c r="Z433" t="s">
        <v>7235</v>
      </c>
      <c r="AA433" t="s">
        <v>7236</v>
      </c>
      <c r="AB433" t="s">
        <v>4</v>
      </c>
      <c r="AC433" s="3" t="s">
        <v>93</v>
      </c>
      <c r="AD433" t="s">
        <v>4</v>
      </c>
      <c r="AE433" t="s">
        <v>7237</v>
      </c>
      <c r="AF433" t="s">
        <v>7238</v>
      </c>
      <c r="AG433" t="s">
        <v>7239</v>
      </c>
      <c r="AH433" t="s">
        <v>282</v>
      </c>
      <c r="AU433" t="s">
        <v>112</v>
      </c>
      <c r="AV433" t="s">
        <v>7240</v>
      </c>
      <c r="AW433" t="s">
        <v>114</v>
      </c>
      <c r="AX433" t="s">
        <v>371</v>
      </c>
      <c r="AY433" t="s">
        <v>4662</v>
      </c>
      <c r="AZ433" t="s">
        <v>4</v>
      </c>
      <c r="BA433" s="3" t="s">
        <v>115</v>
      </c>
      <c r="BB433" s="6" t="s">
        <v>95</v>
      </c>
      <c r="BC433" s="3" t="s">
        <v>95</v>
      </c>
      <c r="BD433" t="s">
        <v>4</v>
      </c>
      <c r="BE433">
        <v>5669</v>
      </c>
      <c r="BF433" t="s">
        <v>386</v>
      </c>
      <c r="BG433">
        <v>98.818899999999999</v>
      </c>
      <c r="BH433">
        <v>35.039400000000001</v>
      </c>
      <c r="BI433">
        <v>95.669300000000007</v>
      </c>
      <c r="BJ433">
        <v>35.039400000000001</v>
      </c>
      <c r="BK433">
        <v>85.826800000000006</v>
      </c>
      <c r="BL433">
        <v>51.968499999999999</v>
      </c>
      <c r="BM433">
        <v>34.645699999999998</v>
      </c>
      <c r="BN433">
        <v>84.251999999999995</v>
      </c>
      <c r="BO433" t="s">
        <v>7241</v>
      </c>
      <c r="BP433">
        <v>44.094499999999996</v>
      </c>
      <c r="BQ433">
        <v>33.464599999999997</v>
      </c>
      <c r="BR433">
        <v>31.496099999999998</v>
      </c>
      <c r="BX433">
        <v>34.252000000000002</v>
      </c>
      <c r="BY433">
        <v>30.315000000000001</v>
      </c>
      <c r="BZ433">
        <v>35.039400000000001</v>
      </c>
      <c r="CA433">
        <v>29.921299999999999</v>
      </c>
      <c r="CB433">
        <v>16.929099999999998</v>
      </c>
      <c r="CG433" t="s">
        <v>7242</v>
      </c>
      <c r="CH433" t="s">
        <v>7243</v>
      </c>
      <c r="CI433" t="s">
        <v>7244</v>
      </c>
      <c r="CK433">
        <v>7</v>
      </c>
      <c r="CL433" t="s">
        <v>4</v>
      </c>
      <c r="CM433" t="s">
        <v>7245</v>
      </c>
      <c r="CN433" t="s">
        <v>7246</v>
      </c>
      <c r="CO433" t="s">
        <v>99</v>
      </c>
      <c r="CP433" t="s">
        <v>100</v>
      </c>
      <c r="CQ433" s="7">
        <v>433</v>
      </c>
      <c r="CR433" t="s">
        <v>100</v>
      </c>
      <c r="CS433" s="7" t="s">
        <v>101</v>
      </c>
      <c r="CT433" t="s">
        <v>152</v>
      </c>
      <c r="CU433" t="s">
        <v>102</v>
      </c>
      <c r="CV433" t="s">
        <v>100</v>
      </c>
    </row>
    <row r="434" spans="1:100">
      <c r="A434" s="3" t="s">
        <v>7247</v>
      </c>
      <c r="B434" s="4" t="s">
        <v>7248</v>
      </c>
      <c r="C434">
        <v>238.72262025758101</v>
      </c>
      <c r="D434">
        <v>498.903986352819</v>
      </c>
      <c r="E434">
        <f>-1.06201431708866</f>
        <v>-1.06201431708866</v>
      </c>
      <c r="F434">
        <v>1.0845649403749E-4</v>
      </c>
      <c r="G434" t="s">
        <v>4</v>
      </c>
      <c r="H434">
        <v>238.72262025758101</v>
      </c>
      <c r="I434">
        <v>59.616616992258201</v>
      </c>
      <c r="J434">
        <v>1.9735988726978899</v>
      </c>
      <c r="K434" s="5">
        <v>9.0393200992496506E-12</v>
      </c>
      <c r="L434" t="s">
        <v>4</v>
      </c>
      <c r="M434">
        <v>498.903986352819</v>
      </c>
      <c r="N434">
        <v>59.616616992258201</v>
      </c>
      <c r="O434">
        <v>3.0356131897865501</v>
      </c>
      <c r="P434" s="5">
        <v>5.8373953397882502E-27</v>
      </c>
      <c r="Q434" t="s">
        <v>4</v>
      </c>
      <c r="R434" s="4" t="s">
        <v>87</v>
      </c>
      <c r="S434" t="s">
        <v>4</v>
      </c>
      <c r="T434" t="s">
        <v>92</v>
      </c>
      <c r="U434" t="s">
        <v>92</v>
      </c>
      <c r="V434" t="s">
        <v>92</v>
      </c>
      <c r="W434" t="s">
        <v>92</v>
      </c>
      <c r="X434" t="s">
        <v>4</v>
      </c>
      <c r="Y434" t="s">
        <v>92</v>
      </c>
      <c r="Z434" t="s">
        <v>92</v>
      </c>
      <c r="AA434" t="s">
        <v>92</v>
      </c>
      <c r="AB434" t="s">
        <v>4</v>
      </c>
      <c r="AC434" s="3" t="s">
        <v>93</v>
      </c>
      <c r="AD434" t="s">
        <v>4</v>
      </c>
      <c r="AE434" t="s">
        <v>3064</v>
      </c>
      <c r="AF434" t="s">
        <v>7249</v>
      </c>
      <c r="AG434" t="s">
        <v>2282</v>
      </c>
      <c r="AH434" t="s">
        <v>112</v>
      </c>
      <c r="AL434" t="s">
        <v>3066</v>
      </c>
      <c r="AM434" t="s">
        <v>302</v>
      </c>
      <c r="AQ434" t="s">
        <v>303</v>
      </c>
      <c r="AU434" t="s">
        <v>112</v>
      </c>
      <c r="AV434" t="s">
        <v>3067</v>
      </c>
      <c r="AW434" t="s">
        <v>114</v>
      </c>
      <c r="AX434" t="s">
        <v>144</v>
      </c>
      <c r="AY434" t="s">
        <v>3068</v>
      </c>
      <c r="AZ434" t="s">
        <v>4</v>
      </c>
      <c r="BA434" s="3" t="s">
        <v>95</v>
      </c>
      <c r="BB434" s="6" t="s">
        <v>95</v>
      </c>
      <c r="BC434" s="3" t="s">
        <v>95</v>
      </c>
      <c r="BD434" t="s">
        <v>4</v>
      </c>
      <c r="BE434">
        <v>4626</v>
      </c>
      <c r="BF434" t="s">
        <v>112</v>
      </c>
      <c r="BG434">
        <v>7.8947399999999996</v>
      </c>
      <c r="BH434">
        <v>63.157899999999998</v>
      </c>
      <c r="BL434" t="s">
        <v>7250</v>
      </c>
      <c r="BP434">
        <v>22.368400000000001</v>
      </c>
      <c r="CK434">
        <v>5</v>
      </c>
      <c r="CL434" t="s">
        <v>4</v>
      </c>
      <c r="CM434" t="s">
        <v>98</v>
      </c>
      <c r="CN434" t="s">
        <v>98</v>
      </c>
      <c r="CO434" t="s">
        <v>99</v>
      </c>
      <c r="CP434" t="s">
        <v>100</v>
      </c>
      <c r="CQ434" s="7">
        <v>434</v>
      </c>
      <c r="CR434" t="s">
        <v>100</v>
      </c>
      <c r="CS434" s="7" t="s">
        <v>101</v>
      </c>
      <c r="CT434" t="s">
        <v>152</v>
      </c>
      <c r="CU434" t="s">
        <v>102</v>
      </c>
      <c r="CV434" t="s">
        <v>100</v>
      </c>
    </row>
    <row r="435" spans="1:100">
      <c r="A435" s="3" t="s">
        <v>7251</v>
      </c>
      <c r="B435" s="4" t="s">
        <v>7252</v>
      </c>
      <c r="C435">
        <v>270.87010374097002</v>
      </c>
      <c r="D435">
        <v>955.91667869497996</v>
      </c>
      <c r="E435">
        <f>-1.81983493074207</f>
        <v>-1.81983493074207</v>
      </c>
      <c r="F435">
        <v>9.7951381170106305E-3</v>
      </c>
      <c r="G435" t="s">
        <v>4</v>
      </c>
      <c r="H435">
        <v>270.87010374097002</v>
      </c>
      <c r="I435">
        <v>117.547124685851</v>
      </c>
      <c r="J435">
        <v>1.2126435266189799</v>
      </c>
      <c r="K435">
        <v>8.6457170880866893E-2</v>
      </c>
      <c r="L435" t="s">
        <v>4</v>
      </c>
      <c r="M435">
        <v>955.91667869497996</v>
      </c>
      <c r="N435">
        <v>117.547124685851</v>
      </c>
      <c r="O435">
        <v>3.0324784573610399</v>
      </c>
      <c r="P435" s="5">
        <v>4.3898333149044696E-6</v>
      </c>
      <c r="Q435" t="s">
        <v>4</v>
      </c>
      <c r="R435" s="4" t="s">
        <v>87</v>
      </c>
      <c r="S435" t="s">
        <v>4</v>
      </c>
      <c r="T435" t="s">
        <v>92</v>
      </c>
      <c r="U435" t="s">
        <v>92</v>
      </c>
      <c r="V435" t="s">
        <v>92</v>
      </c>
      <c r="W435" t="s">
        <v>92</v>
      </c>
      <c r="X435" t="s">
        <v>4</v>
      </c>
      <c r="Y435" t="s">
        <v>92</v>
      </c>
      <c r="Z435" t="s">
        <v>92</v>
      </c>
      <c r="AA435" t="s">
        <v>92</v>
      </c>
      <c r="AB435" t="s">
        <v>4</v>
      </c>
      <c r="AC435" s="3" t="s">
        <v>93</v>
      </c>
      <c r="AD435" t="s">
        <v>4</v>
      </c>
      <c r="AE435" s="4" t="s">
        <v>94</v>
      </c>
      <c r="AZ435" t="s">
        <v>4</v>
      </c>
      <c r="BA435" s="3" t="s">
        <v>95</v>
      </c>
      <c r="BB435" s="6" t="s">
        <v>95</v>
      </c>
      <c r="BC435" s="3" t="s">
        <v>95</v>
      </c>
      <c r="BD435" t="s">
        <v>4</v>
      </c>
      <c r="BE435">
        <v>763</v>
      </c>
      <c r="BF435" t="s">
        <v>604</v>
      </c>
      <c r="BG435">
        <v>36.651600000000002</v>
      </c>
      <c r="CK435">
        <v>1.5</v>
      </c>
      <c r="CL435" t="s">
        <v>4</v>
      </c>
      <c r="CM435" t="s">
        <v>98</v>
      </c>
      <c r="CN435" t="s">
        <v>98</v>
      </c>
      <c r="CO435" t="s">
        <v>99</v>
      </c>
      <c r="CP435" t="s">
        <v>100</v>
      </c>
      <c r="CQ435" s="7">
        <v>435</v>
      </c>
      <c r="CR435" t="s">
        <v>100</v>
      </c>
      <c r="CS435" t="s">
        <v>100</v>
      </c>
      <c r="CT435" t="s">
        <v>152</v>
      </c>
      <c r="CU435" t="s">
        <v>102</v>
      </c>
      <c r="CV435" t="s">
        <v>100</v>
      </c>
    </row>
    <row r="436" spans="1:100">
      <c r="A436" s="3" t="s">
        <v>7253</v>
      </c>
      <c r="B436" s="4" t="s">
        <v>7254</v>
      </c>
      <c r="C436">
        <v>1931.4431539550801</v>
      </c>
      <c r="D436">
        <v>4421.8450638863396</v>
      </c>
      <c r="E436">
        <f>-1.19514931924106</f>
        <v>-1.19514931924106</v>
      </c>
      <c r="F436" s="5">
        <v>3.6487691734928999E-13</v>
      </c>
      <c r="G436" t="s">
        <v>4</v>
      </c>
      <c r="H436">
        <v>1931.4431539550801</v>
      </c>
      <c r="I436">
        <v>543.85583219128398</v>
      </c>
      <c r="J436">
        <v>1.8309759379303201</v>
      </c>
      <c r="K436" s="5">
        <v>1.26685342508228E-28</v>
      </c>
      <c r="L436" t="s">
        <v>4</v>
      </c>
      <c r="M436">
        <v>4421.8450638863396</v>
      </c>
      <c r="N436">
        <v>543.85583219128398</v>
      </c>
      <c r="O436">
        <v>3.0261252571713801</v>
      </c>
      <c r="P436" s="5">
        <v>3.9461612284223901E-77</v>
      </c>
      <c r="Q436" t="s">
        <v>4</v>
      </c>
      <c r="R436" s="4" t="s">
        <v>87</v>
      </c>
      <c r="S436" t="s">
        <v>4</v>
      </c>
      <c r="T436" t="s">
        <v>7255</v>
      </c>
      <c r="U436" t="s">
        <v>7256</v>
      </c>
      <c r="V436" t="s">
        <v>7257</v>
      </c>
      <c r="W436" t="s">
        <v>203</v>
      </c>
      <c r="X436" t="s">
        <v>4</v>
      </c>
      <c r="Y436" t="s">
        <v>7258</v>
      </c>
      <c r="Z436" t="s">
        <v>7259</v>
      </c>
      <c r="AA436" t="s">
        <v>7260</v>
      </c>
      <c r="AB436" t="s">
        <v>4</v>
      </c>
      <c r="AC436" s="3" t="s">
        <v>7261</v>
      </c>
      <c r="AD436" t="s">
        <v>4</v>
      </c>
      <c r="AE436" t="s">
        <v>7262</v>
      </c>
      <c r="AF436" t="s">
        <v>834</v>
      </c>
      <c r="AG436" t="s">
        <v>7263</v>
      </c>
      <c r="AH436" t="s">
        <v>112</v>
      </c>
      <c r="AJ436" t="s">
        <v>7264</v>
      </c>
      <c r="AL436" t="s">
        <v>7265</v>
      </c>
      <c r="AQ436" t="s">
        <v>7266</v>
      </c>
      <c r="AU436" t="s">
        <v>112</v>
      </c>
      <c r="AV436" t="s">
        <v>7267</v>
      </c>
      <c r="AW436" t="s">
        <v>114</v>
      </c>
      <c r="AX436" t="s">
        <v>132</v>
      </c>
      <c r="AY436" t="s">
        <v>7268</v>
      </c>
      <c r="AZ436" t="s">
        <v>4</v>
      </c>
      <c r="BA436" s="3" t="s">
        <v>115</v>
      </c>
      <c r="BB436" s="6" t="s">
        <v>95</v>
      </c>
      <c r="BC436" s="3" t="s">
        <v>95</v>
      </c>
      <c r="BD436" t="s">
        <v>4</v>
      </c>
      <c r="BE436">
        <v>9357</v>
      </c>
      <c r="BF436" t="s">
        <v>169</v>
      </c>
      <c r="BG436">
        <v>69.172899999999998</v>
      </c>
      <c r="BH436">
        <v>74.586500000000001</v>
      </c>
      <c r="BI436">
        <v>90.977400000000003</v>
      </c>
      <c r="BJ436">
        <v>85.413499999999999</v>
      </c>
      <c r="BK436">
        <v>78.646600000000007</v>
      </c>
      <c r="BL436">
        <v>53.984999999999999</v>
      </c>
      <c r="BM436">
        <v>82.1053</v>
      </c>
      <c r="BN436">
        <v>82.1053</v>
      </c>
      <c r="BO436">
        <v>50.676699999999997</v>
      </c>
      <c r="BP436">
        <v>38.045099999999998</v>
      </c>
      <c r="BQ436" t="s">
        <v>7269</v>
      </c>
      <c r="BR436" t="s">
        <v>7270</v>
      </c>
      <c r="BS436" t="s">
        <v>7271</v>
      </c>
      <c r="BT436">
        <v>21.353400000000001</v>
      </c>
      <c r="BV436" t="s">
        <v>7272</v>
      </c>
      <c r="BW436">
        <v>31.578900000000001</v>
      </c>
      <c r="BX436">
        <v>30.526299999999999</v>
      </c>
      <c r="BZ436">
        <v>19.398499999999999</v>
      </c>
      <c r="CA436">
        <v>27.6692</v>
      </c>
      <c r="CB436">
        <v>15.037599999999999</v>
      </c>
      <c r="CC436" t="s">
        <v>7273</v>
      </c>
      <c r="CD436" t="s">
        <v>7274</v>
      </c>
      <c r="CE436">
        <v>16.842099999999999</v>
      </c>
      <c r="CF436" t="s">
        <v>7275</v>
      </c>
      <c r="CG436">
        <v>21.503799999999998</v>
      </c>
      <c r="CH436">
        <v>19.849599999999999</v>
      </c>
      <c r="CI436" t="s">
        <v>7276</v>
      </c>
      <c r="CK436">
        <v>9</v>
      </c>
      <c r="CL436" t="s">
        <v>4</v>
      </c>
      <c r="CM436" t="s">
        <v>7277</v>
      </c>
      <c r="CN436" t="s">
        <v>7278</v>
      </c>
      <c r="CO436" t="s">
        <v>219</v>
      </c>
      <c r="CP436" t="s">
        <v>100</v>
      </c>
      <c r="CQ436" s="7">
        <v>436</v>
      </c>
      <c r="CR436" t="s">
        <v>100</v>
      </c>
      <c r="CS436" s="7" t="s">
        <v>101</v>
      </c>
      <c r="CT436" t="s">
        <v>152</v>
      </c>
      <c r="CU436" t="s">
        <v>102</v>
      </c>
      <c r="CV436" t="s">
        <v>235</v>
      </c>
    </row>
    <row r="437" spans="1:100">
      <c r="A437" s="3" t="s">
        <v>7279</v>
      </c>
      <c r="B437" s="4" t="s">
        <v>7280</v>
      </c>
      <c r="C437">
        <v>53.745673734586703</v>
      </c>
      <c r="D437">
        <v>178.97433575570699</v>
      </c>
      <c r="E437">
        <f>-1.73445229328615</f>
        <v>-1.7344522932861499</v>
      </c>
      <c r="F437">
        <v>1.90879461825347E-3</v>
      </c>
      <c r="G437" t="s">
        <v>4</v>
      </c>
      <c r="H437">
        <v>53.745673734586703</v>
      </c>
      <c r="I437">
        <v>22.563883447235298</v>
      </c>
      <c r="J437">
        <v>1.2502094716771499</v>
      </c>
      <c r="K437">
        <v>3.6892888662535303E-2</v>
      </c>
      <c r="L437" t="s">
        <v>4</v>
      </c>
      <c r="M437">
        <v>178.97433575570699</v>
      </c>
      <c r="N437">
        <v>22.563883447235298</v>
      </c>
      <c r="O437">
        <v>2.9846617649632998</v>
      </c>
      <c r="P437" s="5">
        <v>8.2965473930929904E-8</v>
      </c>
      <c r="Q437" t="s">
        <v>4</v>
      </c>
      <c r="R437" s="4" t="s">
        <v>87</v>
      </c>
      <c r="S437" t="s">
        <v>4</v>
      </c>
      <c r="T437" t="s">
        <v>7281</v>
      </c>
      <c r="U437" t="s">
        <v>7282</v>
      </c>
      <c r="V437" t="s">
        <v>7283</v>
      </c>
      <c r="W437" t="s">
        <v>328</v>
      </c>
      <c r="X437" t="s">
        <v>4</v>
      </c>
      <c r="Y437" t="s">
        <v>7284</v>
      </c>
      <c r="Z437" t="s">
        <v>7285</v>
      </c>
      <c r="AA437" t="s">
        <v>7286</v>
      </c>
      <c r="AB437" t="s">
        <v>4</v>
      </c>
      <c r="AC437" s="3" t="s">
        <v>7287</v>
      </c>
      <c r="AD437" t="s">
        <v>4</v>
      </c>
      <c r="AE437" t="s">
        <v>7288</v>
      </c>
      <c r="AF437" t="s">
        <v>7289</v>
      </c>
      <c r="AG437" t="s">
        <v>7290</v>
      </c>
      <c r="AH437" t="s">
        <v>112</v>
      </c>
      <c r="AU437" t="s">
        <v>112</v>
      </c>
      <c r="AV437" t="s">
        <v>7291</v>
      </c>
      <c r="AW437" t="s">
        <v>114</v>
      </c>
      <c r="AX437" t="s">
        <v>132</v>
      </c>
      <c r="AY437" t="s">
        <v>3494</v>
      </c>
      <c r="AZ437" t="s">
        <v>4</v>
      </c>
      <c r="BA437" s="3" t="s">
        <v>95</v>
      </c>
      <c r="BB437" t="s">
        <v>96</v>
      </c>
      <c r="BC437" s="3" t="s">
        <v>197</v>
      </c>
      <c r="BD437" t="s">
        <v>4</v>
      </c>
      <c r="BE437">
        <v>4745</v>
      </c>
      <c r="BF437" t="s">
        <v>282</v>
      </c>
      <c r="BG437">
        <v>58.1126</v>
      </c>
      <c r="BI437">
        <v>87.582800000000006</v>
      </c>
      <c r="BJ437">
        <v>92.384100000000004</v>
      </c>
      <c r="BK437">
        <v>44.701999999999998</v>
      </c>
      <c r="BL437">
        <v>47.847700000000003</v>
      </c>
      <c r="BM437">
        <v>83.1126</v>
      </c>
      <c r="BN437">
        <v>89.900700000000001</v>
      </c>
      <c r="BO437">
        <v>55.1325</v>
      </c>
      <c r="BP437">
        <v>52.483400000000003</v>
      </c>
      <c r="BQ437">
        <v>62.417200000000001</v>
      </c>
      <c r="BR437">
        <v>50.496699999999997</v>
      </c>
      <c r="BS437" t="s">
        <v>7292</v>
      </c>
      <c r="BV437" t="s">
        <v>7293</v>
      </c>
      <c r="BW437">
        <v>64.569500000000005</v>
      </c>
      <c r="BY437" t="s">
        <v>7294</v>
      </c>
      <c r="BZ437" t="s">
        <v>7295</v>
      </c>
      <c r="CB437">
        <v>43.542999999999999</v>
      </c>
      <c r="CC437">
        <v>58.940399999999997</v>
      </c>
      <c r="CK437">
        <v>6</v>
      </c>
      <c r="CL437" t="s">
        <v>4</v>
      </c>
      <c r="CM437" t="s">
        <v>98</v>
      </c>
      <c r="CN437" t="s">
        <v>98</v>
      </c>
      <c r="CO437" t="s">
        <v>99</v>
      </c>
      <c r="CP437" t="s">
        <v>100</v>
      </c>
      <c r="CQ437" s="7">
        <v>437</v>
      </c>
      <c r="CR437" t="s">
        <v>100</v>
      </c>
      <c r="CS437" s="7" t="s">
        <v>101</v>
      </c>
      <c r="CT437" t="s">
        <v>152</v>
      </c>
      <c r="CU437" t="s">
        <v>102</v>
      </c>
      <c r="CV437" t="s">
        <v>100</v>
      </c>
    </row>
    <row r="438" spans="1:100">
      <c r="A438" s="3" t="s">
        <v>7296</v>
      </c>
      <c r="B438" s="4" t="s">
        <v>7297</v>
      </c>
      <c r="C438">
        <v>29.1493874114487</v>
      </c>
      <c r="D438">
        <v>63.969491531418399</v>
      </c>
      <c r="E438">
        <f>-1.13145563054715</f>
        <v>-1.1314556305471499</v>
      </c>
      <c r="F438">
        <v>3.8289402424439102E-2</v>
      </c>
      <c r="G438" t="s">
        <v>4</v>
      </c>
      <c r="H438">
        <v>29.1493874114487</v>
      </c>
      <c r="I438">
        <v>8.3961533219463806</v>
      </c>
      <c r="J438">
        <v>1.8527419305722901</v>
      </c>
      <c r="K438">
        <v>3.4596447184915601E-3</v>
      </c>
      <c r="L438" t="s">
        <v>4</v>
      </c>
      <c r="M438">
        <v>63.969491531418399</v>
      </c>
      <c r="N438">
        <v>8.3961533219463806</v>
      </c>
      <c r="O438">
        <v>2.98419756111945</v>
      </c>
      <c r="P438" s="5">
        <v>7.1428198328071504E-7</v>
      </c>
      <c r="Q438" t="s">
        <v>4</v>
      </c>
      <c r="R438" s="4" t="s">
        <v>87</v>
      </c>
      <c r="S438" t="s">
        <v>4</v>
      </c>
      <c r="T438" t="s">
        <v>92</v>
      </c>
      <c r="U438" t="s">
        <v>92</v>
      </c>
      <c r="V438" t="s">
        <v>92</v>
      </c>
      <c r="W438" t="s">
        <v>92</v>
      </c>
      <c r="X438" t="s">
        <v>4</v>
      </c>
      <c r="Y438" t="s">
        <v>7298</v>
      </c>
      <c r="Z438" t="s">
        <v>7299</v>
      </c>
      <c r="AA438" t="s">
        <v>7300</v>
      </c>
      <c r="AB438" t="s">
        <v>4</v>
      </c>
      <c r="AC438" s="3" t="s">
        <v>7301</v>
      </c>
      <c r="AD438" t="s">
        <v>4</v>
      </c>
      <c r="AE438" s="4" t="s">
        <v>94</v>
      </c>
      <c r="AZ438" t="s">
        <v>4</v>
      </c>
      <c r="BA438" s="3" t="s">
        <v>95</v>
      </c>
      <c r="BB438" s="6" t="s">
        <v>95</v>
      </c>
      <c r="BC438" s="3" t="s">
        <v>95</v>
      </c>
      <c r="BD438" t="s">
        <v>4</v>
      </c>
      <c r="BE438">
        <v>5236</v>
      </c>
      <c r="BF438" t="s">
        <v>282</v>
      </c>
      <c r="BM438">
        <v>26.259</v>
      </c>
      <c r="BP438" t="s">
        <v>7302</v>
      </c>
      <c r="BR438">
        <v>21.942399999999999</v>
      </c>
      <c r="BV438" t="s">
        <v>7303</v>
      </c>
      <c r="BW438">
        <v>21.582699999999999</v>
      </c>
      <c r="BZ438" t="s">
        <v>7304</v>
      </c>
      <c r="CK438">
        <v>6</v>
      </c>
      <c r="CL438" t="s">
        <v>4</v>
      </c>
      <c r="CM438" t="s">
        <v>98</v>
      </c>
      <c r="CN438" t="s">
        <v>98</v>
      </c>
      <c r="CO438" t="s">
        <v>99</v>
      </c>
      <c r="CP438" t="s">
        <v>100</v>
      </c>
      <c r="CQ438" s="7">
        <v>438</v>
      </c>
      <c r="CR438" t="s">
        <v>100</v>
      </c>
      <c r="CS438" s="7" t="s">
        <v>101</v>
      </c>
      <c r="CT438" t="s">
        <v>152</v>
      </c>
      <c r="CU438" t="s">
        <v>102</v>
      </c>
      <c r="CV438" t="s">
        <v>100</v>
      </c>
    </row>
    <row r="439" spans="1:100">
      <c r="A439" s="3" t="s">
        <v>7305</v>
      </c>
      <c r="B439" s="4" t="s">
        <v>7306</v>
      </c>
      <c r="C439">
        <v>841.69695730793296</v>
      </c>
      <c r="D439">
        <v>2656.1049918326598</v>
      </c>
      <c r="E439">
        <f>-1.65769525149421</f>
        <v>-1.65769525149421</v>
      </c>
      <c r="F439" s="5">
        <v>5.59071505116806E-12</v>
      </c>
      <c r="G439" t="s">
        <v>4</v>
      </c>
      <c r="H439">
        <v>841.69695730793296</v>
      </c>
      <c r="I439">
        <v>341.67303280790202</v>
      </c>
      <c r="J439">
        <v>1.31011021621024</v>
      </c>
      <c r="K439" s="5">
        <v>9.5912613993584502E-8</v>
      </c>
      <c r="L439" t="s">
        <v>4</v>
      </c>
      <c r="M439">
        <v>2656.1049918326598</v>
      </c>
      <c r="N439">
        <v>341.67303280790202</v>
      </c>
      <c r="O439">
        <v>2.9678054677044501</v>
      </c>
      <c r="P439" s="5">
        <v>4.3610655862803901E-36</v>
      </c>
      <c r="Q439" t="s">
        <v>4</v>
      </c>
      <c r="R439" s="4" t="s">
        <v>87</v>
      </c>
      <c r="S439" t="s">
        <v>4</v>
      </c>
      <c r="T439" t="s">
        <v>92</v>
      </c>
      <c r="U439" t="s">
        <v>92</v>
      </c>
      <c r="V439" t="s">
        <v>92</v>
      </c>
      <c r="W439" t="s">
        <v>92</v>
      </c>
      <c r="X439" t="s">
        <v>4</v>
      </c>
      <c r="Y439" t="s">
        <v>7307</v>
      </c>
      <c r="Z439" t="s">
        <v>7308</v>
      </c>
      <c r="AA439" t="s">
        <v>7309</v>
      </c>
      <c r="AB439" t="s">
        <v>4</v>
      </c>
      <c r="AC439" s="3" t="s">
        <v>93</v>
      </c>
      <c r="AD439" t="s">
        <v>4</v>
      </c>
      <c r="AE439" t="s">
        <v>7310</v>
      </c>
      <c r="AF439" t="s">
        <v>7311</v>
      </c>
      <c r="AG439" t="s">
        <v>859</v>
      </c>
      <c r="AH439" t="s">
        <v>2253</v>
      </c>
      <c r="AU439" t="s">
        <v>112</v>
      </c>
      <c r="AV439" t="s">
        <v>7312</v>
      </c>
      <c r="AW439" t="s">
        <v>114</v>
      </c>
      <c r="AX439" t="s">
        <v>536</v>
      </c>
      <c r="AY439" t="s">
        <v>7313</v>
      </c>
      <c r="AZ439" t="s">
        <v>4</v>
      </c>
      <c r="BA439" s="3" t="s">
        <v>95</v>
      </c>
      <c r="BB439" s="6" t="s">
        <v>95</v>
      </c>
      <c r="BC439" s="3" t="s">
        <v>95</v>
      </c>
      <c r="BD439" t="s">
        <v>4</v>
      </c>
      <c r="BE439">
        <v>4331</v>
      </c>
      <c r="BF439" t="s">
        <v>112</v>
      </c>
      <c r="BG439">
        <v>100</v>
      </c>
      <c r="BH439">
        <v>100</v>
      </c>
      <c r="BI439">
        <v>92.1053</v>
      </c>
      <c r="BJ439">
        <v>77.631600000000006</v>
      </c>
      <c r="BK439">
        <v>80.263199999999998</v>
      </c>
      <c r="BL439">
        <v>88.157899999999998</v>
      </c>
      <c r="BM439">
        <v>89.473699999999994</v>
      </c>
      <c r="BN439">
        <v>89.473699999999994</v>
      </c>
      <c r="BO439">
        <v>80.263199999999998</v>
      </c>
      <c r="CK439">
        <v>5</v>
      </c>
      <c r="CL439" t="s">
        <v>4</v>
      </c>
      <c r="CM439" t="s">
        <v>98</v>
      </c>
      <c r="CN439" t="s">
        <v>98</v>
      </c>
      <c r="CO439" t="s">
        <v>99</v>
      </c>
      <c r="CP439" t="s">
        <v>100</v>
      </c>
      <c r="CQ439" s="7">
        <v>439</v>
      </c>
      <c r="CR439" t="s">
        <v>100</v>
      </c>
      <c r="CS439" s="7" t="s">
        <v>101</v>
      </c>
      <c r="CT439" t="s">
        <v>152</v>
      </c>
      <c r="CU439" t="s">
        <v>102</v>
      </c>
      <c r="CV439" t="s">
        <v>100</v>
      </c>
    </row>
    <row r="440" spans="1:100">
      <c r="A440" s="3" t="s">
        <v>7314</v>
      </c>
      <c r="B440" s="4" t="s">
        <v>7315</v>
      </c>
      <c r="C440">
        <v>113.810096972248</v>
      </c>
      <c r="D440">
        <v>346.00904181335198</v>
      </c>
      <c r="E440">
        <f>-1.60083030300061</f>
        <v>-1.6008303030006099</v>
      </c>
      <c r="F440" s="5">
        <v>2.4644822404621801E-10</v>
      </c>
      <c r="G440" t="s">
        <v>4</v>
      </c>
      <c r="H440">
        <v>113.810096972248</v>
      </c>
      <c r="I440">
        <v>44.642476149783903</v>
      </c>
      <c r="J440">
        <v>1.35769738301454</v>
      </c>
      <c r="K440" s="5">
        <v>3.9858731124989999E-6</v>
      </c>
      <c r="L440" t="s">
        <v>4</v>
      </c>
      <c r="M440">
        <v>346.00904181335198</v>
      </c>
      <c r="N440">
        <v>44.642476149783903</v>
      </c>
      <c r="O440">
        <v>2.9585276860151501</v>
      </c>
      <c r="P440" s="5">
        <v>1.95565363695534E-26</v>
      </c>
      <c r="Q440" t="s">
        <v>4</v>
      </c>
      <c r="R440" s="4" t="s">
        <v>87</v>
      </c>
      <c r="S440" t="s">
        <v>4</v>
      </c>
      <c r="T440" t="s">
        <v>92</v>
      </c>
      <c r="U440" t="s">
        <v>92</v>
      </c>
      <c r="V440" t="s">
        <v>92</v>
      </c>
      <c r="W440" t="s">
        <v>92</v>
      </c>
      <c r="X440" t="s">
        <v>4</v>
      </c>
      <c r="Y440" t="s">
        <v>7316</v>
      </c>
      <c r="Z440" t="s">
        <v>7317</v>
      </c>
      <c r="AA440" t="s">
        <v>7318</v>
      </c>
      <c r="AB440" t="s">
        <v>4</v>
      </c>
      <c r="AC440" s="3" t="s">
        <v>7319</v>
      </c>
      <c r="AD440" t="s">
        <v>4</v>
      </c>
      <c r="AE440" s="4" t="s">
        <v>94</v>
      </c>
      <c r="AZ440" t="s">
        <v>4</v>
      </c>
      <c r="BA440" s="3" t="s">
        <v>95</v>
      </c>
      <c r="BB440" s="6" t="s">
        <v>95</v>
      </c>
      <c r="BC440" s="3" t="s">
        <v>95</v>
      </c>
      <c r="BD440" t="s">
        <v>4</v>
      </c>
      <c r="BE440">
        <v>2467</v>
      </c>
      <c r="BF440" t="s">
        <v>97</v>
      </c>
      <c r="BG440">
        <v>72.982500000000002</v>
      </c>
      <c r="BH440">
        <v>94.0351</v>
      </c>
      <c r="BI440">
        <v>77.8947</v>
      </c>
      <c r="BJ440">
        <v>20</v>
      </c>
      <c r="BK440">
        <v>49.122799999999998</v>
      </c>
      <c r="BL440">
        <v>36.1404</v>
      </c>
      <c r="BM440">
        <v>49.473700000000001</v>
      </c>
      <c r="BN440">
        <v>49.473700000000001</v>
      </c>
      <c r="BO440">
        <v>57.192999999999998</v>
      </c>
      <c r="CK440">
        <v>4</v>
      </c>
      <c r="CL440" t="s">
        <v>4</v>
      </c>
      <c r="CM440" t="s">
        <v>98</v>
      </c>
      <c r="CN440" t="s">
        <v>98</v>
      </c>
      <c r="CO440" t="s">
        <v>99</v>
      </c>
      <c r="CP440" t="s">
        <v>100</v>
      </c>
      <c r="CQ440" s="7">
        <v>440</v>
      </c>
      <c r="CR440" t="s">
        <v>100</v>
      </c>
      <c r="CS440" s="7" t="s">
        <v>101</v>
      </c>
      <c r="CT440" t="s">
        <v>152</v>
      </c>
      <c r="CU440" t="s">
        <v>102</v>
      </c>
      <c r="CV440" t="s">
        <v>100</v>
      </c>
    </row>
    <row r="441" spans="1:100">
      <c r="A441" s="3" t="s">
        <v>7320</v>
      </c>
      <c r="B441" s="4" t="s">
        <v>7321</v>
      </c>
      <c r="C441">
        <v>142.133427225286</v>
      </c>
      <c r="D441">
        <v>555.68243594083594</v>
      </c>
      <c r="E441">
        <f>-1.96620619344446</f>
        <v>-1.9662061934444599</v>
      </c>
      <c r="F441" s="5">
        <v>1.7411312902873399E-9</v>
      </c>
      <c r="G441" t="s">
        <v>4</v>
      </c>
      <c r="H441">
        <v>142.133427225286</v>
      </c>
      <c r="I441">
        <v>71.208501733375499</v>
      </c>
      <c r="J441">
        <v>0.96891807190656998</v>
      </c>
      <c r="K441">
        <v>6.5975977118598204E-3</v>
      </c>
      <c r="L441" t="s">
        <v>4</v>
      </c>
      <c r="M441">
        <v>555.68243594083594</v>
      </c>
      <c r="N441">
        <v>71.208501733375499</v>
      </c>
      <c r="O441">
        <v>2.9351242653510301</v>
      </c>
      <c r="P441" s="5">
        <v>7.3644242324733203E-19</v>
      </c>
      <c r="Q441" t="s">
        <v>4</v>
      </c>
      <c r="R441" s="4" t="s">
        <v>87</v>
      </c>
      <c r="S441" t="s">
        <v>4</v>
      </c>
      <c r="T441" t="s">
        <v>2288</v>
      </c>
      <c r="U441" t="s">
        <v>2289</v>
      </c>
      <c r="V441" t="s">
        <v>2290</v>
      </c>
      <c r="W441" t="s">
        <v>203</v>
      </c>
      <c r="X441" t="s">
        <v>4</v>
      </c>
      <c r="Y441" t="s">
        <v>2291</v>
      </c>
      <c r="Z441" t="s">
        <v>2292</v>
      </c>
      <c r="AA441" t="s">
        <v>2293</v>
      </c>
      <c r="AB441" t="s">
        <v>4</v>
      </c>
      <c r="AC441" s="3" t="s">
        <v>2294</v>
      </c>
      <c r="AD441" t="s">
        <v>4</v>
      </c>
      <c r="AE441" t="s">
        <v>7322</v>
      </c>
      <c r="AF441" t="s">
        <v>7323</v>
      </c>
      <c r="AG441" t="s">
        <v>7324</v>
      </c>
      <c r="AH441" t="s">
        <v>112</v>
      </c>
      <c r="AU441" t="s">
        <v>112</v>
      </c>
      <c r="AV441" t="s">
        <v>7325</v>
      </c>
      <c r="AW441" t="s">
        <v>114</v>
      </c>
      <c r="AX441" t="s">
        <v>536</v>
      </c>
      <c r="AY441" t="s">
        <v>7326</v>
      </c>
      <c r="AZ441" t="s">
        <v>4</v>
      </c>
      <c r="BA441" s="3" t="s">
        <v>95</v>
      </c>
      <c r="BB441" s="6" t="s">
        <v>95</v>
      </c>
      <c r="BC441" s="3" t="s">
        <v>95</v>
      </c>
      <c r="BD441" t="s">
        <v>4</v>
      </c>
      <c r="BE441">
        <v>2609</v>
      </c>
      <c r="BF441" t="s">
        <v>97</v>
      </c>
      <c r="BG441">
        <v>93.502399999999994</v>
      </c>
      <c r="BI441" t="s">
        <v>7327</v>
      </c>
      <c r="BJ441">
        <v>10.935</v>
      </c>
      <c r="BK441">
        <v>44.374000000000002</v>
      </c>
      <c r="BL441" t="s">
        <v>7328</v>
      </c>
      <c r="BM441">
        <v>47.226599999999998</v>
      </c>
      <c r="BN441">
        <v>53.8827</v>
      </c>
      <c r="BO441">
        <v>56.418399999999998</v>
      </c>
      <c r="BP441" t="s">
        <v>7329</v>
      </c>
      <c r="CK441">
        <v>4</v>
      </c>
      <c r="CL441" t="s">
        <v>4</v>
      </c>
      <c r="CM441" t="s">
        <v>98</v>
      </c>
      <c r="CN441" t="s">
        <v>98</v>
      </c>
      <c r="CO441" t="s">
        <v>99</v>
      </c>
      <c r="CP441" t="s">
        <v>100</v>
      </c>
      <c r="CQ441" s="7">
        <v>441</v>
      </c>
      <c r="CR441" t="s">
        <v>100</v>
      </c>
      <c r="CS441" t="s">
        <v>100</v>
      </c>
      <c r="CT441" t="s">
        <v>152</v>
      </c>
      <c r="CU441" t="s">
        <v>102</v>
      </c>
      <c r="CV441" t="s">
        <v>100</v>
      </c>
    </row>
    <row r="442" spans="1:100">
      <c r="A442" s="3" t="s">
        <v>7330</v>
      </c>
      <c r="B442" s="4" t="s">
        <v>7331</v>
      </c>
      <c r="C442">
        <v>4293.9030860635103</v>
      </c>
      <c r="D442">
        <v>8817.6063720526308</v>
      </c>
      <c r="E442">
        <f>-1.03810836046335</f>
        <v>-1.0381083604633501</v>
      </c>
      <c r="F442" s="5">
        <v>2.3107113050587299E-6</v>
      </c>
      <c r="G442" t="s">
        <v>4</v>
      </c>
      <c r="H442">
        <v>4293.9030860635103</v>
      </c>
      <c r="I442">
        <v>1173.7840893878999</v>
      </c>
      <c r="J442">
        <v>1.8687402471832699</v>
      </c>
      <c r="K442" s="5">
        <v>8.4546615965620303E-19</v>
      </c>
      <c r="L442" t="s">
        <v>4</v>
      </c>
      <c r="M442">
        <v>8817.6063720526308</v>
      </c>
      <c r="N442">
        <v>1173.7840893878999</v>
      </c>
      <c r="O442">
        <v>2.9068486076466198</v>
      </c>
      <c r="P442" s="5">
        <v>2.4128358722366198E-44</v>
      </c>
      <c r="Q442" t="s">
        <v>4</v>
      </c>
      <c r="R442" s="4" t="s">
        <v>87</v>
      </c>
      <c r="S442" t="s">
        <v>4</v>
      </c>
      <c r="T442" t="s">
        <v>92</v>
      </c>
      <c r="U442" t="s">
        <v>92</v>
      </c>
      <c r="V442" t="s">
        <v>92</v>
      </c>
      <c r="W442" t="s">
        <v>92</v>
      </c>
      <c r="X442" t="s">
        <v>4</v>
      </c>
      <c r="Y442" t="s">
        <v>92</v>
      </c>
      <c r="Z442" t="s">
        <v>92</v>
      </c>
      <c r="AA442" t="s">
        <v>92</v>
      </c>
      <c r="AB442" t="s">
        <v>4</v>
      </c>
      <c r="AC442" s="3" t="s">
        <v>93</v>
      </c>
      <c r="AD442" t="s">
        <v>4</v>
      </c>
      <c r="AE442" s="4" t="s">
        <v>94</v>
      </c>
      <c r="AZ442" t="s">
        <v>4</v>
      </c>
      <c r="BA442" s="3" t="s">
        <v>115</v>
      </c>
      <c r="BB442" s="6" t="s">
        <v>95</v>
      </c>
      <c r="BC442" s="3" t="s">
        <v>95</v>
      </c>
      <c r="BD442" t="s">
        <v>4</v>
      </c>
      <c r="BE442">
        <v>2314</v>
      </c>
      <c r="BF442" t="s">
        <v>148</v>
      </c>
      <c r="BG442">
        <v>97.586500000000001</v>
      </c>
      <c r="BH442">
        <v>62.751399999999997</v>
      </c>
      <c r="BI442">
        <v>92.357200000000006</v>
      </c>
      <c r="BJ442">
        <v>73.049099999999996</v>
      </c>
      <c r="BK442">
        <v>66.291200000000003</v>
      </c>
      <c r="BL442" t="s">
        <v>7332</v>
      </c>
      <c r="BM442" t="s">
        <v>7333</v>
      </c>
      <c r="BN442" t="s">
        <v>7334</v>
      </c>
      <c r="BO442">
        <v>68.624300000000005</v>
      </c>
      <c r="CK442">
        <v>3</v>
      </c>
      <c r="CL442" t="s">
        <v>4</v>
      </c>
      <c r="CM442" t="s">
        <v>98</v>
      </c>
      <c r="CN442" t="s">
        <v>98</v>
      </c>
      <c r="CO442" t="s">
        <v>99</v>
      </c>
      <c r="CP442" t="s">
        <v>100</v>
      </c>
      <c r="CQ442" s="7">
        <v>442</v>
      </c>
      <c r="CR442" t="s">
        <v>100</v>
      </c>
      <c r="CS442" s="7" t="s">
        <v>101</v>
      </c>
      <c r="CT442" t="s">
        <v>152</v>
      </c>
      <c r="CU442" t="s">
        <v>102</v>
      </c>
      <c r="CV442" t="s">
        <v>100</v>
      </c>
    </row>
    <row r="443" spans="1:100">
      <c r="A443" s="3" t="s">
        <v>7335</v>
      </c>
      <c r="B443" s="4" t="s">
        <v>7336</v>
      </c>
      <c r="C443">
        <v>31.618906079748701</v>
      </c>
      <c r="D443">
        <v>86.097739997419396</v>
      </c>
      <c r="E443">
        <f>-1.45259645602282</f>
        <v>-1.4525964560228199</v>
      </c>
      <c r="F443">
        <v>3.12264850103155E-2</v>
      </c>
      <c r="G443" t="s">
        <v>4</v>
      </c>
      <c r="H443">
        <v>31.618906079748701</v>
      </c>
      <c r="I443">
        <v>11.656860253995999</v>
      </c>
      <c r="J443">
        <v>1.38878082294618</v>
      </c>
      <c r="K443">
        <v>5.5997321250106202E-2</v>
      </c>
      <c r="L443" t="s">
        <v>4</v>
      </c>
      <c r="M443">
        <v>86.097739997419396</v>
      </c>
      <c r="N443">
        <v>11.656860253995999</v>
      </c>
      <c r="O443">
        <v>2.8413772789689999</v>
      </c>
      <c r="P443" s="5">
        <v>2.89019660398103E-5</v>
      </c>
      <c r="Q443" t="s">
        <v>4</v>
      </c>
      <c r="R443" s="4" t="s">
        <v>87</v>
      </c>
      <c r="S443" t="s">
        <v>4</v>
      </c>
      <c r="T443" t="s">
        <v>92</v>
      </c>
      <c r="U443" t="s">
        <v>92</v>
      </c>
      <c r="V443" t="s">
        <v>92</v>
      </c>
      <c r="W443" t="s">
        <v>92</v>
      </c>
      <c r="X443" t="s">
        <v>4</v>
      </c>
      <c r="Y443" t="s">
        <v>7337</v>
      </c>
      <c r="Z443" t="s">
        <v>7338</v>
      </c>
      <c r="AA443" t="s">
        <v>7339</v>
      </c>
      <c r="AB443" t="s">
        <v>4</v>
      </c>
      <c r="AC443" s="3" t="s">
        <v>93</v>
      </c>
      <c r="AD443" t="s">
        <v>4</v>
      </c>
      <c r="AE443" t="s">
        <v>7340</v>
      </c>
      <c r="AF443" t="s">
        <v>7341</v>
      </c>
      <c r="AG443" t="s">
        <v>7342</v>
      </c>
      <c r="AH443" t="s">
        <v>386</v>
      </c>
      <c r="AU443" t="s">
        <v>112</v>
      </c>
      <c r="AV443" t="s">
        <v>2998</v>
      </c>
      <c r="AW443" t="s">
        <v>114</v>
      </c>
      <c r="AX443" t="s">
        <v>536</v>
      </c>
      <c r="AY443" t="s">
        <v>2999</v>
      </c>
      <c r="AZ443" t="s">
        <v>4</v>
      </c>
      <c r="BA443" s="3" t="s">
        <v>95</v>
      </c>
      <c r="BB443" s="6" t="s">
        <v>95</v>
      </c>
      <c r="BC443" s="3" t="s">
        <v>95</v>
      </c>
      <c r="BD443" t="s">
        <v>4</v>
      </c>
      <c r="BE443">
        <v>1606</v>
      </c>
      <c r="BF443" t="s">
        <v>151</v>
      </c>
      <c r="CK443">
        <v>2</v>
      </c>
      <c r="CL443" t="s">
        <v>4</v>
      </c>
      <c r="CM443" t="s">
        <v>98</v>
      </c>
      <c r="CN443" t="s">
        <v>98</v>
      </c>
      <c r="CO443" t="s">
        <v>99</v>
      </c>
      <c r="CP443" t="s">
        <v>100</v>
      </c>
      <c r="CQ443" s="7">
        <v>443</v>
      </c>
      <c r="CR443" t="s">
        <v>100</v>
      </c>
      <c r="CS443" t="s">
        <v>100</v>
      </c>
      <c r="CT443" t="s">
        <v>152</v>
      </c>
      <c r="CU443" t="s">
        <v>102</v>
      </c>
      <c r="CV443" t="s">
        <v>100</v>
      </c>
    </row>
    <row r="444" spans="1:100">
      <c r="A444" s="3" t="s">
        <v>7343</v>
      </c>
      <c r="B444" s="4" t="s">
        <v>7344</v>
      </c>
      <c r="C444">
        <v>208.572429320113</v>
      </c>
      <c r="D444">
        <v>465.58256624282501</v>
      </c>
      <c r="E444">
        <f>-1.15800558051073</f>
        <v>-1.1580055805107301</v>
      </c>
      <c r="F444" s="5">
        <v>1.6350598677652501E-5</v>
      </c>
      <c r="G444" t="s">
        <v>4</v>
      </c>
      <c r="H444">
        <v>208.572429320113</v>
      </c>
      <c r="I444">
        <v>64.690907076835998</v>
      </c>
      <c r="J444">
        <v>1.6795262669266799</v>
      </c>
      <c r="K444" s="5">
        <v>4.3204295560381203E-9</v>
      </c>
      <c r="L444" t="s">
        <v>4</v>
      </c>
      <c r="M444">
        <v>465.58256624282501</v>
      </c>
      <c r="N444">
        <v>64.690907076835998</v>
      </c>
      <c r="O444">
        <v>2.8375318474374001</v>
      </c>
      <c r="P444" s="5">
        <v>1.28944330973854E-24</v>
      </c>
      <c r="Q444" t="s">
        <v>4</v>
      </c>
      <c r="R444" s="4" t="s">
        <v>87</v>
      </c>
      <c r="S444" t="s">
        <v>4</v>
      </c>
      <c r="T444" t="s">
        <v>92</v>
      </c>
      <c r="U444" t="s">
        <v>92</v>
      </c>
      <c r="V444" t="s">
        <v>92</v>
      </c>
      <c r="W444" t="s">
        <v>92</v>
      </c>
      <c r="X444" t="s">
        <v>4</v>
      </c>
      <c r="Y444" t="s">
        <v>92</v>
      </c>
      <c r="Z444" t="s">
        <v>92</v>
      </c>
      <c r="AA444" t="s">
        <v>92</v>
      </c>
      <c r="AB444" t="s">
        <v>4</v>
      </c>
      <c r="AC444" s="3" t="s">
        <v>93</v>
      </c>
      <c r="AD444" t="s">
        <v>4</v>
      </c>
      <c r="AE444" s="4" t="s">
        <v>94</v>
      </c>
      <c r="AZ444" t="s">
        <v>4</v>
      </c>
      <c r="BA444" s="3" t="s">
        <v>95</v>
      </c>
      <c r="BB444" s="6" t="s">
        <v>95</v>
      </c>
      <c r="BC444" s="3" t="s">
        <v>95</v>
      </c>
      <c r="BD444" t="s">
        <v>4</v>
      </c>
      <c r="BE444">
        <v>2484</v>
      </c>
      <c r="BF444" t="s">
        <v>97</v>
      </c>
      <c r="BG444">
        <v>61.788600000000002</v>
      </c>
      <c r="BH444">
        <v>95.935000000000002</v>
      </c>
      <c r="BI444">
        <v>96.748000000000005</v>
      </c>
      <c r="BK444">
        <v>70.325199999999995</v>
      </c>
      <c r="BP444" t="s">
        <v>7345</v>
      </c>
      <c r="CK444">
        <v>4</v>
      </c>
      <c r="CL444" t="s">
        <v>4</v>
      </c>
      <c r="CM444" t="s">
        <v>98</v>
      </c>
      <c r="CN444" t="s">
        <v>98</v>
      </c>
      <c r="CO444" t="s">
        <v>99</v>
      </c>
      <c r="CP444" t="s">
        <v>100</v>
      </c>
      <c r="CQ444" s="7">
        <v>444</v>
      </c>
      <c r="CR444" t="s">
        <v>100</v>
      </c>
      <c r="CS444" s="7" t="s">
        <v>101</v>
      </c>
      <c r="CT444" t="s">
        <v>152</v>
      </c>
      <c r="CU444" t="s">
        <v>102</v>
      </c>
      <c r="CV444" t="s">
        <v>100</v>
      </c>
    </row>
    <row r="445" spans="1:100">
      <c r="A445" s="3" t="s">
        <v>7346</v>
      </c>
      <c r="B445" s="4" t="s">
        <v>7347</v>
      </c>
      <c r="C445">
        <v>178.134036254347</v>
      </c>
      <c r="D445">
        <v>428.843590153832</v>
      </c>
      <c r="E445">
        <f>-1.26593680139452</f>
        <v>-1.26593680139452</v>
      </c>
      <c r="F445">
        <v>5.8406865704448098E-4</v>
      </c>
      <c r="G445" t="s">
        <v>4</v>
      </c>
      <c r="H445">
        <v>178.134036254347</v>
      </c>
      <c r="I445">
        <v>61.416460827603103</v>
      </c>
      <c r="J445">
        <v>1.5692870985827601</v>
      </c>
      <c r="K445" s="5">
        <v>3.3752480624586799E-5</v>
      </c>
      <c r="L445" t="s">
        <v>4</v>
      </c>
      <c r="M445">
        <v>428.843590153832</v>
      </c>
      <c r="N445">
        <v>61.416460827603103</v>
      </c>
      <c r="O445">
        <v>2.8352238999772799</v>
      </c>
      <c r="P445" s="5">
        <v>5.18998906078991E-15</v>
      </c>
      <c r="Q445" t="s">
        <v>4</v>
      </c>
      <c r="R445" s="4" t="s">
        <v>87</v>
      </c>
      <c r="S445" t="s">
        <v>4</v>
      </c>
      <c r="T445" t="s">
        <v>2950</v>
      </c>
      <c r="U445" t="s">
        <v>2951</v>
      </c>
      <c r="V445" t="s">
        <v>2952</v>
      </c>
      <c r="W445" t="s">
        <v>123</v>
      </c>
      <c r="X445" t="s">
        <v>4</v>
      </c>
      <c r="Y445" t="s">
        <v>7348</v>
      </c>
      <c r="Z445" t="s">
        <v>7349</v>
      </c>
      <c r="AA445" t="s">
        <v>7350</v>
      </c>
      <c r="AB445" t="s">
        <v>4</v>
      </c>
      <c r="AC445" s="3" t="s">
        <v>7351</v>
      </c>
      <c r="AD445" t="s">
        <v>4</v>
      </c>
      <c r="AE445" t="s">
        <v>7352</v>
      </c>
      <c r="AF445" t="s">
        <v>7353</v>
      </c>
      <c r="AG445" t="s">
        <v>7354</v>
      </c>
      <c r="AH445" t="s">
        <v>112</v>
      </c>
      <c r="AU445" t="s">
        <v>112</v>
      </c>
      <c r="AV445" t="s">
        <v>7355</v>
      </c>
      <c r="AW445" t="s">
        <v>114</v>
      </c>
      <c r="AX445" t="s">
        <v>371</v>
      </c>
      <c r="AY445" t="s">
        <v>7356</v>
      </c>
      <c r="AZ445" t="s">
        <v>4</v>
      </c>
      <c r="BA445" s="3" t="s">
        <v>95</v>
      </c>
      <c r="BB445" s="6" t="s">
        <v>95</v>
      </c>
      <c r="BC445" s="3" t="s">
        <v>95</v>
      </c>
      <c r="BD445" t="s">
        <v>4</v>
      </c>
      <c r="BE445">
        <v>3763</v>
      </c>
      <c r="BF445" t="s">
        <v>112</v>
      </c>
      <c r="BI445">
        <v>30.0687</v>
      </c>
      <c r="BJ445">
        <v>77.319599999999994</v>
      </c>
      <c r="BL445">
        <v>63.402099999999997</v>
      </c>
      <c r="BN445">
        <v>61.168399999999998</v>
      </c>
      <c r="BQ445" t="s">
        <v>7357</v>
      </c>
      <c r="BR445" t="s">
        <v>7358</v>
      </c>
      <c r="BS445" t="s">
        <v>7359</v>
      </c>
      <c r="BW445" t="s">
        <v>7360</v>
      </c>
      <c r="BX445" t="s">
        <v>7361</v>
      </c>
      <c r="BY445" t="s">
        <v>7362</v>
      </c>
      <c r="BZ445" t="s">
        <v>7363</v>
      </c>
      <c r="CA445" t="s">
        <v>7364</v>
      </c>
      <c r="CK445">
        <v>5</v>
      </c>
      <c r="CL445" t="s">
        <v>4</v>
      </c>
      <c r="CM445" t="s">
        <v>7365</v>
      </c>
      <c r="CN445" t="s">
        <v>7366</v>
      </c>
      <c r="CO445" t="s">
        <v>99</v>
      </c>
      <c r="CP445" t="s">
        <v>100</v>
      </c>
      <c r="CQ445" s="7">
        <v>445</v>
      </c>
      <c r="CR445" t="s">
        <v>100</v>
      </c>
      <c r="CS445" s="7" t="s">
        <v>101</v>
      </c>
      <c r="CT445" t="s">
        <v>152</v>
      </c>
      <c r="CU445" t="s">
        <v>102</v>
      </c>
      <c r="CV445" t="s">
        <v>100</v>
      </c>
    </row>
    <row r="446" spans="1:100">
      <c r="A446" s="3" t="s">
        <v>7367</v>
      </c>
      <c r="B446" s="4" t="s">
        <v>7368</v>
      </c>
      <c r="C446">
        <v>169.50484378239599</v>
      </c>
      <c r="D446">
        <v>366.22193100240497</v>
      </c>
      <c r="E446">
        <f>-1.11184808667331</f>
        <v>-1.11184808667331</v>
      </c>
      <c r="F446">
        <v>1.2405609178530499E-2</v>
      </c>
      <c r="G446" t="s">
        <v>4</v>
      </c>
      <c r="H446">
        <v>169.50484378239599</v>
      </c>
      <c r="I446">
        <v>50.279172680389898</v>
      </c>
      <c r="J446">
        <v>1.72217434255694</v>
      </c>
      <c r="K446">
        <v>1.0800497333323501E-4</v>
      </c>
      <c r="L446" t="s">
        <v>4</v>
      </c>
      <c r="M446">
        <v>366.22193100240497</v>
      </c>
      <c r="N446">
        <v>50.279172680389898</v>
      </c>
      <c r="O446">
        <v>2.8340224292302501</v>
      </c>
      <c r="P446" s="5">
        <v>3.3303086761117899E-11</v>
      </c>
      <c r="Q446" t="s">
        <v>4</v>
      </c>
      <c r="R446" s="4" t="s">
        <v>87</v>
      </c>
      <c r="S446" t="s">
        <v>4</v>
      </c>
      <c r="T446" t="s">
        <v>92</v>
      </c>
      <c r="U446" t="s">
        <v>92</v>
      </c>
      <c r="V446" t="s">
        <v>92</v>
      </c>
      <c r="W446" t="s">
        <v>92</v>
      </c>
      <c r="X446" t="s">
        <v>4</v>
      </c>
      <c r="Y446" t="s">
        <v>6115</v>
      </c>
      <c r="Z446" t="s">
        <v>6116</v>
      </c>
      <c r="AA446" t="s">
        <v>6117</v>
      </c>
      <c r="AB446" t="s">
        <v>4</v>
      </c>
      <c r="AC446" s="3" t="s">
        <v>6118</v>
      </c>
      <c r="AD446" t="s">
        <v>4</v>
      </c>
      <c r="AE446" t="s">
        <v>7369</v>
      </c>
      <c r="AF446" t="s">
        <v>7370</v>
      </c>
      <c r="AG446" t="s">
        <v>3580</v>
      </c>
      <c r="AH446" t="s">
        <v>314</v>
      </c>
      <c r="AU446" t="s">
        <v>112</v>
      </c>
      <c r="AV446" t="s">
        <v>7371</v>
      </c>
      <c r="AW446" t="s">
        <v>114</v>
      </c>
      <c r="AX446" t="s">
        <v>596</v>
      </c>
      <c r="AY446" t="s">
        <v>7372</v>
      </c>
      <c r="AZ446" t="s">
        <v>4</v>
      </c>
      <c r="BA446" s="3" t="s">
        <v>95</v>
      </c>
      <c r="BB446" s="6" t="s">
        <v>95</v>
      </c>
      <c r="BC446" s="3" t="s">
        <v>95</v>
      </c>
      <c r="BD446" t="s">
        <v>4</v>
      </c>
      <c r="BE446">
        <v>2123</v>
      </c>
      <c r="BF446" t="s">
        <v>148</v>
      </c>
      <c r="BG446">
        <v>97.530900000000003</v>
      </c>
      <c r="BH446">
        <v>99.794200000000004</v>
      </c>
      <c r="BI446">
        <v>93.621399999999994</v>
      </c>
      <c r="BJ446">
        <v>64.814800000000005</v>
      </c>
      <c r="BK446">
        <v>48.971200000000003</v>
      </c>
      <c r="BL446">
        <v>22.633700000000001</v>
      </c>
      <c r="BM446">
        <v>49.588500000000003</v>
      </c>
      <c r="BN446">
        <v>50.823</v>
      </c>
      <c r="BO446">
        <v>47.530900000000003</v>
      </c>
      <c r="CK446">
        <v>3</v>
      </c>
      <c r="CL446" t="s">
        <v>4</v>
      </c>
      <c r="CM446" t="s">
        <v>98</v>
      </c>
      <c r="CN446" t="s">
        <v>98</v>
      </c>
      <c r="CO446" t="s">
        <v>99</v>
      </c>
      <c r="CP446" t="s">
        <v>100</v>
      </c>
      <c r="CQ446" s="7">
        <v>446</v>
      </c>
      <c r="CR446" t="s">
        <v>100</v>
      </c>
      <c r="CS446" s="7" t="s">
        <v>101</v>
      </c>
      <c r="CT446" t="s">
        <v>152</v>
      </c>
      <c r="CU446" t="s">
        <v>102</v>
      </c>
      <c r="CV446" t="s">
        <v>100</v>
      </c>
    </row>
    <row r="447" spans="1:100">
      <c r="A447" s="3" t="s">
        <v>7373</v>
      </c>
      <c r="B447" s="4" t="s">
        <v>7374</v>
      </c>
      <c r="C447">
        <v>68.289184370181999</v>
      </c>
      <c r="D447">
        <v>237.36687287124099</v>
      </c>
      <c r="E447">
        <f>-1.79555919913517</f>
        <v>-1.79555919913517</v>
      </c>
      <c r="F447">
        <v>5.5946089368551803E-3</v>
      </c>
      <c r="G447" t="s">
        <v>4</v>
      </c>
      <c r="H447">
        <v>68.289184370181999</v>
      </c>
      <c r="I447">
        <v>33.836317589727201</v>
      </c>
      <c r="J447">
        <v>1.0262148901186501</v>
      </c>
      <c r="K447">
        <v>0.12987074768607901</v>
      </c>
      <c r="L447" t="s">
        <v>4</v>
      </c>
      <c r="M447">
        <v>237.36687287124099</v>
      </c>
      <c r="N447">
        <v>33.836317589727201</v>
      </c>
      <c r="O447">
        <v>2.8217740892538199</v>
      </c>
      <c r="P447" s="5">
        <v>6.4029071522601804E-6</v>
      </c>
      <c r="Q447" t="s">
        <v>4</v>
      </c>
      <c r="R447" s="4" t="s">
        <v>87</v>
      </c>
      <c r="S447" t="s">
        <v>4</v>
      </c>
      <c r="T447" t="s">
        <v>7375</v>
      </c>
      <c r="U447" t="s">
        <v>7376</v>
      </c>
      <c r="V447" t="s">
        <v>7377</v>
      </c>
      <c r="W447" t="s">
        <v>328</v>
      </c>
      <c r="X447" t="s">
        <v>4</v>
      </c>
      <c r="Y447" t="s">
        <v>508</v>
      </c>
      <c r="Z447" t="s">
        <v>509</v>
      </c>
      <c r="AA447" t="s">
        <v>510</v>
      </c>
      <c r="AB447" t="s">
        <v>4</v>
      </c>
      <c r="AC447" s="3" t="s">
        <v>511</v>
      </c>
      <c r="AD447" t="s">
        <v>4</v>
      </c>
      <c r="AE447" t="s">
        <v>7378</v>
      </c>
      <c r="AF447" t="s">
        <v>7379</v>
      </c>
      <c r="AG447" t="s">
        <v>7380</v>
      </c>
      <c r="AH447" t="s">
        <v>112</v>
      </c>
      <c r="AU447" t="s">
        <v>112</v>
      </c>
      <c r="AV447" t="s">
        <v>7381</v>
      </c>
      <c r="AW447" t="s">
        <v>114</v>
      </c>
      <c r="AX447" t="s">
        <v>1907</v>
      </c>
      <c r="AY447" t="s">
        <v>7382</v>
      </c>
      <c r="AZ447" t="s">
        <v>4</v>
      </c>
      <c r="BA447" s="3" t="s">
        <v>95</v>
      </c>
      <c r="BB447" t="s">
        <v>96</v>
      </c>
      <c r="BC447" s="3" t="s">
        <v>95</v>
      </c>
      <c r="BD447" t="s">
        <v>4</v>
      </c>
      <c r="BE447">
        <v>4801</v>
      </c>
      <c r="BF447" t="s">
        <v>282</v>
      </c>
      <c r="BG447">
        <v>99.6721</v>
      </c>
      <c r="BI447">
        <v>92.131100000000004</v>
      </c>
      <c r="BJ447">
        <v>68.196700000000007</v>
      </c>
      <c r="BK447">
        <v>56.3934</v>
      </c>
      <c r="BL447">
        <v>74.754099999999994</v>
      </c>
      <c r="BM447">
        <v>77.704899999999995</v>
      </c>
      <c r="BN447">
        <v>77.377099999999999</v>
      </c>
      <c r="BO447">
        <v>66.885199999999998</v>
      </c>
      <c r="BR447">
        <v>48.5246</v>
      </c>
      <c r="BS447">
        <v>47.540999999999997</v>
      </c>
      <c r="BU447">
        <v>42.295099999999998</v>
      </c>
      <c r="BV447" t="s">
        <v>7383</v>
      </c>
      <c r="BX447">
        <v>49.180300000000003</v>
      </c>
      <c r="CB447">
        <v>43.6066</v>
      </c>
      <c r="CK447">
        <v>6</v>
      </c>
      <c r="CL447" t="s">
        <v>4</v>
      </c>
      <c r="CM447" t="s">
        <v>98</v>
      </c>
      <c r="CN447" t="s">
        <v>98</v>
      </c>
      <c r="CO447" t="s">
        <v>99</v>
      </c>
      <c r="CP447" t="s">
        <v>100</v>
      </c>
      <c r="CQ447" s="7">
        <v>447</v>
      </c>
      <c r="CR447" t="s">
        <v>100</v>
      </c>
      <c r="CS447" t="s">
        <v>100</v>
      </c>
      <c r="CT447" t="s">
        <v>152</v>
      </c>
      <c r="CU447" t="s">
        <v>102</v>
      </c>
      <c r="CV447" t="s">
        <v>100</v>
      </c>
    </row>
    <row r="448" spans="1:100">
      <c r="A448" s="3" t="s">
        <v>7384</v>
      </c>
      <c r="B448" s="4" t="s">
        <v>7385</v>
      </c>
      <c r="C448">
        <v>433.365547893165</v>
      </c>
      <c r="D448">
        <v>1332.12730283151</v>
      </c>
      <c r="E448">
        <f>-1.6203521072505</f>
        <v>-1.6203521072505001</v>
      </c>
      <c r="F448">
        <v>1.10880479323345E-3</v>
      </c>
      <c r="G448" t="s">
        <v>4</v>
      </c>
      <c r="H448">
        <v>433.365547893165</v>
      </c>
      <c r="I448">
        <v>192.162465138908</v>
      </c>
      <c r="J448">
        <v>1.1792006489020299</v>
      </c>
      <c r="K448">
        <v>1.7918731425607199E-2</v>
      </c>
      <c r="L448" t="s">
        <v>4</v>
      </c>
      <c r="M448">
        <v>1332.12730283151</v>
      </c>
      <c r="N448">
        <v>192.162465138908</v>
      </c>
      <c r="O448">
        <v>2.79955275615254</v>
      </c>
      <c r="P448" s="5">
        <v>2.32556115965558E-9</v>
      </c>
      <c r="Q448" t="s">
        <v>4</v>
      </c>
      <c r="R448" s="4" t="s">
        <v>87</v>
      </c>
      <c r="S448" t="s">
        <v>4</v>
      </c>
      <c r="T448" t="s">
        <v>92</v>
      </c>
      <c r="U448" t="s">
        <v>92</v>
      </c>
      <c r="V448" t="s">
        <v>92</v>
      </c>
      <c r="W448" t="s">
        <v>92</v>
      </c>
      <c r="X448" t="s">
        <v>4</v>
      </c>
      <c r="Y448" t="s">
        <v>92</v>
      </c>
      <c r="Z448" t="s">
        <v>92</v>
      </c>
      <c r="AA448" t="s">
        <v>92</v>
      </c>
      <c r="AB448" t="s">
        <v>4</v>
      </c>
      <c r="AC448" s="3" t="s">
        <v>93</v>
      </c>
      <c r="AD448" t="s">
        <v>4</v>
      </c>
      <c r="AE448" s="4" t="s">
        <v>94</v>
      </c>
      <c r="AZ448" t="s">
        <v>4</v>
      </c>
      <c r="BA448" s="3" t="s">
        <v>95</v>
      </c>
      <c r="BB448" t="s">
        <v>96</v>
      </c>
      <c r="BC448" s="3" t="s">
        <v>95</v>
      </c>
      <c r="BD448" t="s">
        <v>4</v>
      </c>
      <c r="BE448">
        <v>715</v>
      </c>
      <c r="BF448" t="s">
        <v>604</v>
      </c>
      <c r="BG448">
        <v>84.615399999999994</v>
      </c>
      <c r="BH448">
        <v>97.802199999999999</v>
      </c>
      <c r="CK448">
        <v>1.5</v>
      </c>
      <c r="CL448" t="s">
        <v>4</v>
      </c>
      <c r="CM448" t="s">
        <v>98</v>
      </c>
      <c r="CN448" t="s">
        <v>98</v>
      </c>
      <c r="CO448" t="s">
        <v>99</v>
      </c>
      <c r="CP448" t="s">
        <v>100</v>
      </c>
      <c r="CQ448" s="7">
        <v>449</v>
      </c>
      <c r="CR448" t="s">
        <v>100</v>
      </c>
      <c r="CS448" s="7" t="s">
        <v>101</v>
      </c>
      <c r="CT448" t="s">
        <v>152</v>
      </c>
      <c r="CU448" t="s">
        <v>102</v>
      </c>
      <c r="CV448" t="s">
        <v>100</v>
      </c>
    </row>
    <row r="449" spans="1:100">
      <c r="A449" s="3" t="s">
        <v>7386</v>
      </c>
      <c r="B449" s="4" t="s">
        <v>7387</v>
      </c>
      <c r="C449">
        <v>28.618355338699001</v>
      </c>
      <c r="D449">
        <v>67.496204199835205</v>
      </c>
      <c r="E449">
        <f>-1.23753552440463</f>
        <v>-1.23753552440463</v>
      </c>
      <c r="F449">
        <v>1.8499880928810799E-2</v>
      </c>
      <c r="G449" t="s">
        <v>4</v>
      </c>
      <c r="H449">
        <v>28.618355338699001</v>
      </c>
      <c r="I449">
        <v>9.7755308047838305</v>
      </c>
      <c r="J449">
        <v>1.52355046611066</v>
      </c>
      <c r="K449">
        <v>1.1553708356436701E-2</v>
      </c>
      <c r="L449" t="s">
        <v>4</v>
      </c>
      <c r="M449">
        <v>67.496204199835205</v>
      </c>
      <c r="N449">
        <v>9.7755308047838305</v>
      </c>
      <c r="O449">
        <v>2.7610859905152898</v>
      </c>
      <c r="P449" s="5">
        <v>1.13742826675765E-6</v>
      </c>
      <c r="Q449" t="s">
        <v>4</v>
      </c>
      <c r="R449" s="4" t="s">
        <v>87</v>
      </c>
      <c r="S449" t="s">
        <v>4</v>
      </c>
      <c r="T449" t="s">
        <v>92</v>
      </c>
      <c r="U449" t="s">
        <v>92</v>
      </c>
      <c r="V449" t="s">
        <v>92</v>
      </c>
      <c r="W449" t="s">
        <v>92</v>
      </c>
      <c r="X449" t="s">
        <v>4</v>
      </c>
      <c r="Y449" t="s">
        <v>7388</v>
      </c>
      <c r="Z449" t="s">
        <v>7389</v>
      </c>
      <c r="AA449" t="s">
        <v>7390</v>
      </c>
      <c r="AB449" t="s">
        <v>4</v>
      </c>
      <c r="AC449" s="3" t="s">
        <v>7391</v>
      </c>
      <c r="AD449" t="s">
        <v>4</v>
      </c>
      <c r="AE449" s="4" t="s">
        <v>94</v>
      </c>
      <c r="AZ449" t="s">
        <v>4</v>
      </c>
      <c r="BA449" s="3" t="s">
        <v>95</v>
      </c>
      <c r="BB449" s="6" t="s">
        <v>95</v>
      </c>
      <c r="BC449" s="3" t="s">
        <v>197</v>
      </c>
      <c r="BD449" t="s">
        <v>4</v>
      </c>
      <c r="BE449">
        <v>1308</v>
      </c>
      <c r="BF449" t="s">
        <v>151</v>
      </c>
      <c r="BG449">
        <v>97.321399999999997</v>
      </c>
      <c r="BJ449">
        <v>53.571399999999997</v>
      </c>
      <c r="BK449">
        <v>40.178600000000003</v>
      </c>
      <c r="BL449">
        <v>50.892899999999997</v>
      </c>
      <c r="BM449">
        <v>50.892899999999997</v>
      </c>
      <c r="BN449">
        <v>50.892899999999997</v>
      </c>
      <c r="CK449">
        <v>2</v>
      </c>
      <c r="CL449" t="s">
        <v>4</v>
      </c>
      <c r="CM449" t="s">
        <v>98</v>
      </c>
      <c r="CN449" t="s">
        <v>98</v>
      </c>
      <c r="CO449" t="s">
        <v>99</v>
      </c>
      <c r="CP449" t="s">
        <v>100</v>
      </c>
      <c r="CQ449" s="7">
        <v>450</v>
      </c>
      <c r="CR449" t="s">
        <v>100</v>
      </c>
      <c r="CS449" s="7" t="s">
        <v>101</v>
      </c>
      <c r="CT449" t="s">
        <v>152</v>
      </c>
      <c r="CU449" t="s">
        <v>102</v>
      </c>
      <c r="CV449" t="s">
        <v>100</v>
      </c>
    </row>
    <row r="450" spans="1:100">
      <c r="A450" s="3" t="s">
        <v>7392</v>
      </c>
      <c r="B450" s="4" t="s">
        <v>7393</v>
      </c>
      <c r="C450">
        <v>3534.5218579466</v>
      </c>
      <c r="D450">
        <v>9002.7666129254594</v>
      </c>
      <c r="E450">
        <f>-1.34879094239747</f>
        <v>-1.34879094239747</v>
      </c>
      <c r="F450" s="5">
        <v>5.5002787835911404E-10</v>
      </c>
      <c r="G450" t="s">
        <v>4</v>
      </c>
      <c r="H450">
        <v>3534.5218579466</v>
      </c>
      <c r="I450">
        <v>1329.377744594</v>
      </c>
      <c r="J450">
        <v>1.4104979630252199</v>
      </c>
      <c r="K450" s="5">
        <v>5.2031692917453897E-11</v>
      </c>
      <c r="L450" t="s">
        <v>4</v>
      </c>
      <c r="M450">
        <v>9002.7666129254594</v>
      </c>
      <c r="N450">
        <v>1329.377744594</v>
      </c>
      <c r="O450">
        <v>2.7592889054226899</v>
      </c>
      <c r="P450" s="5">
        <v>1.29188506586562E-39</v>
      </c>
      <c r="Q450" t="s">
        <v>4</v>
      </c>
      <c r="R450" s="4" t="s">
        <v>87</v>
      </c>
      <c r="S450" t="s">
        <v>4</v>
      </c>
      <c r="T450" t="s">
        <v>7394</v>
      </c>
      <c r="U450" t="s">
        <v>7395</v>
      </c>
      <c r="V450" t="s">
        <v>7396</v>
      </c>
      <c r="W450" t="s">
        <v>91</v>
      </c>
      <c r="X450" t="s">
        <v>4</v>
      </c>
      <c r="Y450" t="s">
        <v>92</v>
      </c>
      <c r="Z450" t="s">
        <v>92</v>
      </c>
      <c r="AA450" t="s">
        <v>92</v>
      </c>
      <c r="AB450" t="s">
        <v>4</v>
      </c>
      <c r="AC450" s="3" t="s">
        <v>7397</v>
      </c>
      <c r="AD450" t="s">
        <v>4</v>
      </c>
      <c r="AE450" t="s">
        <v>7398</v>
      </c>
      <c r="AF450" t="s">
        <v>7399</v>
      </c>
      <c r="AG450" t="s">
        <v>7400</v>
      </c>
      <c r="AH450" t="s">
        <v>112</v>
      </c>
      <c r="AJ450" t="s">
        <v>7401</v>
      </c>
      <c r="AU450" t="s">
        <v>112</v>
      </c>
      <c r="AV450" t="s">
        <v>7402</v>
      </c>
      <c r="AW450" t="s">
        <v>114</v>
      </c>
      <c r="AZ450" t="s">
        <v>4</v>
      </c>
      <c r="BA450" s="3" t="s">
        <v>115</v>
      </c>
      <c r="BB450" s="6" t="s">
        <v>95</v>
      </c>
      <c r="BC450" s="3" t="s">
        <v>95</v>
      </c>
      <c r="BD450" t="s">
        <v>4</v>
      </c>
      <c r="BE450">
        <v>3859</v>
      </c>
      <c r="BF450" t="s">
        <v>112</v>
      </c>
      <c r="BG450">
        <v>51.957299999999996</v>
      </c>
      <c r="BH450">
        <v>52.313200000000002</v>
      </c>
      <c r="BI450">
        <v>95.729500000000002</v>
      </c>
      <c r="BJ450">
        <v>95.017799999999994</v>
      </c>
      <c r="BK450">
        <v>94.306100000000001</v>
      </c>
      <c r="BL450">
        <v>50.177900000000001</v>
      </c>
      <c r="BM450">
        <v>93.950199999999995</v>
      </c>
      <c r="BN450">
        <v>94.306100000000001</v>
      </c>
      <c r="BO450">
        <v>93.594300000000004</v>
      </c>
      <c r="BP450">
        <v>64.768699999999995</v>
      </c>
      <c r="BR450">
        <v>25.622800000000002</v>
      </c>
      <c r="BS450">
        <v>33.451999999999998</v>
      </c>
      <c r="BT450">
        <v>36.654800000000002</v>
      </c>
      <c r="BU450">
        <v>38.434199999999997</v>
      </c>
      <c r="BV450" t="s">
        <v>7403</v>
      </c>
      <c r="BW450">
        <v>30.960899999999999</v>
      </c>
      <c r="BX450">
        <v>36.654800000000002</v>
      </c>
      <c r="BY450">
        <v>25.2669</v>
      </c>
      <c r="CA450">
        <v>29.1815</v>
      </c>
      <c r="CK450">
        <v>5</v>
      </c>
      <c r="CL450" t="s">
        <v>4</v>
      </c>
      <c r="CM450" t="s">
        <v>7404</v>
      </c>
      <c r="CN450" t="s">
        <v>7405</v>
      </c>
      <c r="CO450" t="s">
        <v>219</v>
      </c>
      <c r="CP450" t="s">
        <v>100</v>
      </c>
      <c r="CQ450" s="7">
        <v>451</v>
      </c>
      <c r="CR450" t="s">
        <v>100</v>
      </c>
      <c r="CS450" s="7" t="s">
        <v>101</v>
      </c>
      <c r="CT450" t="s">
        <v>152</v>
      </c>
      <c r="CU450" t="s">
        <v>102</v>
      </c>
      <c r="CV450" t="s">
        <v>100</v>
      </c>
    </row>
    <row r="451" spans="1:100">
      <c r="A451" s="3" t="s">
        <v>7406</v>
      </c>
      <c r="B451" s="4" t="s">
        <v>7407</v>
      </c>
      <c r="C451">
        <v>562.06913511748405</v>
      </c>
      <c r="D451">
        <v>1642.22280886559</v>
      </c>
      <c r="E451">
        <f>-1.54667169531245</f>
        <v>-1.54667169531245</v>
      </c>
      <c r="F451" s="5">
        <v>5.7896587968884798E-6</v>
      </c>
      <c r="G451" t="s">
        <v>4</v>
      </c>
      <c r="H451">
        <v>562.06913511748405</v>
      </c>
      <c r="I451">
        <v>244.50213851800001</v>
      </c>
      <c r="J451">
        <v>1.20936664787005</v>
      </c>
      <c r="K451">
        <v>4.5952892521801202E-4</v>
      </c>
      <c r="L451" t="s">
        <v>4</v>
      </c>
      <c r="M451">
        <v>1642.22280886559</v>
      </c>
      <c r="N451">
        <v>244.50213851800001</v>
      </c>
      <c r="O451">
        <v>2.7560383431825</v>
      </c>
      <c r="P451" s="5">
        <v>4.3280813510641198E-17</v>
      </c>
      <c r="Q451" t="s">
        <v>4</v>
      </c>
      <c r="R451" s="4" t="s">
        <v>87</v>
      </c>
      <c r="S451" t="s">
        <v>4</v>
      </c>
      <c r="T451" t="s">
        <v>92</v>
      </c>
      <c r="U451" t="s">
        <v>92</v>
      </c>
      <c r="V451" t="s">
        <v>92</v>
      </c>
      <c r="W451" t="s">
        <v>92</v>
      </c>
      <c r="X451" t="s">
        <v>4</v>
      </c>
      <c r="Y451" t="s">
        <v>92</v>
      </c>
      <c r="Z451" t="s">
        <v>92</v>
      </c>
      <c r="AA451" t="s">
        <v>92</v>
      </c>
      <c r="AB451" t="s">
        <v>4</v>
      </c>
      <c r="AC451" s="3" t="s">
        <v>7408</v>
      </c>
      <c r="AD451" t="s">
        <v>4</v>
      </c>
      <c r="AE451" s="4" t="s">
        <v>94</v>
      </c>
      <c r="AZ451" t="s">
        <v>4</v>
      </c>
      <c r="BA451" s="3" t="s">
        <v>115</v>
      </c>
      <c r="BB451" s="6" t="s">
        <v>95</v>
      </c>
      <c r="BC451" s="3" t="s">
        <v>95</v>
      </c>
      <c r="BD451" t="s">
        <v>4</v>
      </c>
      <c r="BE451">
        <v>2352</v>
      </c>
      <c r="BF451" t="s">
        <v>148</v>
      </c>
      <c r="BH451" t="s">
        <v>7409</v>
      </c>
      <c r="BI451">
        <v>84.287800000000004</v>
      </c>
      <c r="BJ451">
        <v>61.233499999999999</v>
      </c>
      <c r="BK451">
        <v>19.383299999999998</v>
      </c>
      <c r="BL451">
        <v>2.0558000000000001</v>
      </c>
      <c r="BM451" t="s">
        <v>7410</v>
      </c>
      <c r="BN451">
        <v>20.9985</v>
      </c>
      <c r="BO451" t="s">
        <v>7411</v>
      </c>
      <c r="CK451">
        <v>3</v>
      </c>
      <c r="CL451" t="s">
        <v>4</v>
      </c>
      <c r="CM451" t="s">
        <v>98</v>
      </c>
      <c r="CN451" t="s">
        <v>98</v>
      </c>
      <c r="CO451" t="s">
        <v>99</v>
      </c>
      <c r="CP451" t="s">
        <v>100</v>
      </c>
      <c r="CQ451" s="7">
        <v>452</v>
      </c>
      <c r="CR451" t="s">
        <v>100</v>
      </c>
      <c r="CS451" s="7" t="s">
        <v>101</v>
      </c>
      <c r="CT451" t="s">
        <v>152</v>
      </c>
      <c r="CU451" t="s">
        <v>102</v>
      </c>
      <c r="CV451" t="s">
        <v>100</v>
      </c>
    </row>
    <row r="452" spans="1:100">
      <c r="A452" s="3" t="s">
        <v>7412</v>
      </c>
      <c r="B452" s="4" t="s">
        <v>7413</v>
      </c>
      <c r="C452">
        <v>2299.77152848078</v>
      </c>
      <c r="D452">
        <v>7185.9372827438901</v>
      </c>
      <c r="E452">
        <f>-1.64375262120791</f>
        <v>-1.6437526212079101</v>
      </c>
      <c r="F452" s="5">
        <v>1.30772223096382E-9</v>
      </c>
      <c r="G452" t="s">
        <v>4</v>
      </c>
      <c r="H452">
        <v>2299.77152848078</v>
      </c>
      <c r="I452">
        <v>1070.4619546337599</v>
      </c>
      <c r="J452">
        <v>1.1058240518993001</v>
      </c>
      <c r="K452" s="5">
        <v>5.5367904663662403E-5</v>
      </c>
      <c r="L452" t="s">
        <v>4</v>
      </c>
      <c r="M452">
        <v>7185.9372827438901</v>
      </c>
      <c r="N452">
        <v>1070.4619546337599</v>
      </c>
      <c r="O452">
        <v>2.7495766731072102</v>
      </c>
      <c r="P452" s="5">
        <v>7.3881588451244597E-26</v>
      </c>
      <c r="Q452" t="s">
        <v>4</v>
      </c>
      <c r="R452" s="4" t="s">
        <v>87</v>
      </c>
      <c r="S452" t="s">
        <v>4</v>
      </c>
      <c r="T452" t="s">
        <v>92</v>
      </c>
      <c r="U452" t="s">
        <v>92</v>
      </c>
      <c r="V452" t="s">
        <v>92</v>
      </c>
      <c r="W452" t="s">
        <v>92</v>
      </c>
      <c r="X452" t="s">
        <v>4</v>
      </c>
      <c r="Y452" t="s">
        <v>92</v>
      </c>
      <c r="Z452" t="s">
        <v>92</v>
      </c>
      <c r="AA452" t="s">
        <v>92</v>
      </c>
      <c r="AB452" t="s">
        <v>4</v>
      </c>
      <c r="AC452" s="3" t="s">
        <v>93</v>
      </c>
      <c r="AD452" t="s">
        <v>4</v>
      </c>
      <c r="AE452" s="4" t="s">
        <v>94</v>
      </c>
      <c r="AZ452" t="s">
        <v>4</v>
      </c>
      <c r="BA452" s="3" t="s">
        <v>95</v>
      </c>
      <c r="BB452" s="6" t="s">
        <v>95</v>
      </c>
      <c r="BC452" s="3" t="s">
        <v>95</v>
      </c>
      <c r="BD452" t="s">
        <v>4</v>
      </c>
      <c r="BE452">
        <v>2306</v>
      </c>
      <c r="BF452" t="s">
        <v>148</v>
      </c>
      <c r="BG452">
        <v>65.601500000000001</v>
      </c>
      <c r="BI452">
        <v>85.902299999999997</v>
      </c>
      <c r="BJ452">
        <v>38.157899999999998</v>
      </c>
      <c r="BK452">
        <v>57.142899999999997</v>
      </c>
      <c r="BL452">
        <v>29.8872</v>
      </c>
      <c r="BM452">
        <v>31.390999999999998</v>
      </c>
      <c r="BN452">
        <v>47.368400000000001</v>
      </c>
      <c r="CK452">
        <v>3</v>
      </c>
      <c r="CL452" t="s">
        <v>4</v>
      </c>
      <c r="CM452" t="s">
        <v>98</v>
      </c>
      <c r="CN452" t="s">
        <v>98</v>
      </c>
      <c r="CO452" t="s">
        <v>99</v>
      </c>
      <c r="CP452" t="s">
        <v>100</v>
      </c>
      <c r="CQ452" s="7">
        <v>453</v>
      </c>
      <c r="CR452" t="s">
        <v>100</v>
      </c>
      <c r="CS452" s="7" t="s">
        <v>101</v>
      </c>
      <c r="CT452" t="s">
        <v>152</v>
      </c>
      <c r="CU452" t="s">
        <v>102</v>
      </c>
      <c r="CV452" t="s">
        <v>100</v>
      </c>
    </row>
    <row r="453" spans="1:100">
      <c r="A453" s="3" t="s">
        <v>7414</v>
      </c>
      <c r="B453" s="4" t="s">
        <v>7415</v>
      </c>
      <c r="C453">
        <v>161.02558075856899</v>
      </c>
      <c r="D453">
        <v>445.31518997167899</v>
      </c>
      <c r="E453">
        <f>-1.46584351460874</f>
        <v>-1.4658435146087401</v>
      </c>
      <c r="F453" s="5">
        <v>5.68921476103535E-7</v>
      </c>
      <c r="G453" t="s">
        <v>4</v>
      </c>
      <c r="H453">
        <v>161.02558075856899</v>
      </c>
      <c r="I453">
        <v>68.486337713669997</v>
      </c>
      <c r="J453">
        <v>1.26145070858196</v>
      </c>
      <c r="K453" s="5">
        <v>6.6136908057907505E-5</v>
      </c>
      <c r="L453" t="s">
        <v>4</v>
      </c>
      <c r="M453">
        <v>445.31518997167899</v>
      </c>
      <c r="N453">
        <v>68.486337713669997</v>
      </c>
      <c r="O453">
        <v>2.7272942231906998</v>
      </c>
      <c r="P453" s="5">
        <v>8.6212488594036295E-20</v>
      </c>
      <c r="Q453" t="s">
        <v>4</v>
      </c>
      <c r="R453" s="4" t="s">
        <v>87</v>
      </c>
      <c r="S453" t="s">
        <v>4</v>
      </c>
      <c r="T453" t="s">
        <v>7416</v>
      </c>
      <c r="U453" t="s">
        <v>7417</v>
      </c>
      <c r="V453" t="s">
        <v>7418</v>
      </c>
      <c r="W453" t="s">
        <v>203</v>
      </c>
      <c r="X453" t="s">
        <v>4</v>
      </c>
      <c r="Y453" t="s">
        <v>7419</v>
      </c>
      <c r="Z453" t="s">
        <v>7420</v>
      </c>
      <c r="AA453" t="s">
        <v>7421</v>
      </c>
      <c r="AB453" t="s">
        <v>4</v>
      </c>
      <c r="AC453" s="3" t="s">
        <v>7422</v>
      </c>
      <c r="AD453" t="s">
        <v>4</v>
      </c>
      <c r="AE453" t="s">
        <v>7423</v>
      </c>
      <c r="AF453" t="s">
        <v>7424</v>
      </c>
      <c r="AG453" t="s">
        <v>7425</v>
      </c>
      <c r="AH453" t="s">
        <v>638</v>
      </c>
      <c r="AJ453" t="s">
        <v>876</v>
      </c>
      <c r="AK453" t="s">
        <v>7426</v>
      </c>
      <c r="AL453" t="s">
        <v>7427</v>
      </c>
      <c r="AM453" t="s">
        <v>7428</v>
      </c>
      <c r="AQ453" t="s">
        <v>4497</v>
      </c>
      <c r="AR453" t="s">
        <v>7429</v>
      </c>
      <c r="AU453" t="s">
        <v>112</v>
      </c>
      <c r="AV453" t="s">
        <v>7430</v>
      </c>
      <c r="AW453" t="s">
        <v>114</v>
      </c>
      <c r="AX453" t="s">
        <v>536</v>
      </c>
      <c r="AY453" t="s">
        <v>7431</v>
      </c>
      <c r="AZ453" t="s">
        <v>4</v>
      </c>
      <c r="BA453" s="3" t="s">
        <v>95</v>
      </c>
      <c r="BB453" s="6" t="s">
        <v>95</v>
      </c>
      <c r="BC453" s="3" t="s">
        <v>95</v>
      </c>
      <c r="BD453" t="s">
        <v>4</v>
      </c>
      <c r="BE453">
        <v>8731</v>
      </c>
      <c r="BF453" t="s">
        <v>169</v>
      </c>
      <c r="BG453">
        <v>98.072800000000001</v>
      </c>
      <c r="BH453">
        <v>54.603900000000003</v>
      </c>
      <c r="BI453">
        <v>91.648799999999994</v>
      </c>
      <c r="BL453">
        <v>0.64239800000000002</v>
      </c>
      <c r="BO453">
        <v>67.665999999999997</v>
      </c>
      <c r="BP453">
        <v>32.762300000000003</v>
      </c>
      <c r="BQ453">
        <v>25.4818</v>
      </c>
      <c r="BR453" t="s">
        <v>7432</v>
      </c>
      <c r="BS453">
        <v>24.196999999999999</v>
      </c>
      <c r="BT453" t="s">
        <v>7433</v>
      </c>
      <c r="BU453">
        <v>23.554600000000001</v>
      </c>
      <c r="BV453" t="s">
        <v>7434</v>
      </c>
      <c r="BW453">
        <v>7.49465</v>
      </c>
      <c r="BX453">
        <v>23.126300000000001</v>
      </c>
      <c r="BZ453">
        <v>18.415400000000002</v>
      </c>
      <c r="CA453">
        <v>24.625299999999999</v>
      </c>
      <c r="CB453">
        <v>23.982900000000001</v>
      </c>
      <c r="CC453" t="s">
        <v>7435</v>
      </c>
      <c r="CD453">
        <v>25.4818</v>
      </c>
      <c r="CE453">
        <v>20.984999999999999</v>
      </c>
      <c r="CF453" t="s">
        <v>7436</v>
      </c>
      <c r="CG453">
        <v>21.627400000000002</v>
      </c>
      <c r="CH453">
        <v>21.199100000000001</v>
      </c>
      <c r="CI453" t="s">
        <v>7437</v>
      </c>
      <c r="CJ453">
        <v>22.2698</v>
      </c>
      <c r="CK453">
        <v>9</v>
      </c>
      <c r="CL453" t="s">
        <v>4</v>
      </c>
      <c r="CM453" t="s">
        <v>7438</v>
      </c>
      <c r="CN453" t="s">
        <v>7439</v>
      </c>
      <c r="CO453" t="s">
        <v>219</v>
      </c>
      <c r="CP453" t="s">
        <v>100</v>
      </c>
      <c r="CQ453" s="7">
        <v>454</v>
      </c>
      <c r="CR453" t="s">
        <v>100</v>
      </c>
      <c r="CS453" s="7" t="s">
        <v>101</v>
      </c>
      <c r="CT453" t="s">
        <v>152</v>
      </c>
      <c r="CU453" t="s">
        <v>102</v>
      </c>
      <c r="CV453" t="s">
        <v>100</v>
      </c>
    </row>
    <row r="454" spans="1:100">
      <c r="A454" s="3" t="s">
        <v>7440</v>
      </c>
      <c r="B454" s="4" t="s">
        <v>7441</v>
      </c>
      <c r="C454">
        <v>17.937850762369902</v>
      </c>
      <c r="D454">
        <v>47.057922897106799</v>
      </c>
      <c r="E454">
        <f>-1.39292671634763</f>
        <v>-1.39292671634763</v>
      </c>
      <c r="F454">
        <v>3.9766036105231099E-2</v>
      </c>
      <c r="G454" t="s">
        <v>4</v>
      </c>
      <c r="H454">
        <v>17.937850762369902</v>
      </c>
      <c r="I454">
        <v>7.4466029667865703</v>
      </c>
      <c r="J454">
        <v>1.3328211335425999</v>
      </c>
      <c r="K454">
        <v>8.4858479765825195E-2</v>
      </c>
      <c r="L454" t="s">
        <v>4</v>
      </c>
      <c r="M454">
        <v>47.057922897106799</v>
      </c>
      <c r="N454">
        <v>7.4466029667865703</v>
      </c>
      <c r="O454">
        <v>2.7257478498902299</v>
      </c>
      <c r="P454">
        <v>1.49904597430979E-4</v>
      </c>
      <c r="Q454" t="s">
        <v>4</v>
      </c>
      <c r="R454" s="4" t="s">
        <v>87</v>
      </c>
      <c r="S454" t="s">
        <v>4</v>
      </c>
      <c r="T454" t="s">
        <v>92</v>
      </c>
      <c r="U454" t="s">
        <v>92</v>
      </c>
      <c r="V454" t="s">
        <v>92</v>
      </c>
      <c r="W454" t="s">
        <v>92</v>
      </c>
      <c r="X454" t="s">
        <v>4</v>
      </c>
      <c r="Y454" t="s">
        <v>92</v>
      </c>
      <c r="Z454" t="s">
        <v>92</v>
      </c>
      <c r="AA454" t="s">
        <v>92</v>
      </c>
      <c r="AB454" t="s">
        <v>4</v>
      </c>
      <c r="AC454" s="3" t="s">
        <v>93</v>
      </c>
      <c r="AD454" t="s">
        <v>4</v>
      </c>
      <c r="AE454" s="4" t="s">
        <v>94</v>
      </c>
      <c r="AZ454" t="s">
        <v>4</v>
      </c>
      <c r="BA454" s="3" t="s">
        <v>95</v>
      </c>
      <c r="BB454" s="6" t="s">
        <v>95</v>
      </c>
      <c r="BC454" s="3" t="s">
        <v>95</v>
      </c>
      <c r="BD454" t="s">
        <v>4</v>
      </c>
      <c r="BE454">
        <v>2619</v>
      </c>
      <c r="BF454" t="s">
        <v>97</v>
      </c>
      <c r="BG454">
        <v>76.378</v>
      </c>
      <c r="BH454">
        <v>98.425200000000004</v>
      </c>
      <c r="BI454">
        <v>83.464600000000004</v>
      </c>
      <c r="BJ454">
        <v>72.440899999999999</v>
      </c>
      <c r="BK454">
        <v>66.929100000000005</v>
      </c>
      <c r="BL454">
        <v>69.291300000000007</v>
      </c>
      <c r="BM454">
        <v>75.590599999999995</v>
      </c>
      <c r="BN454">
        <v>70.866100000000003</v>
      </c>
      <c r="BO454">
        <v>72.440899999999999</v>
      </c>
      <c r="BP454">
        <v>41.732300000000002</v>
      </c>
      <c r="CK454">
        <v>4</v>
      </c>
      <c r="CL454" t="s">
        <v>4</v>
      </c>
      <c r="CM454" t="s">
        <v>98</v>
      </c>
      <c r="CN454" t="s">
        <v>98</v>
      </c>
      <c r="CO454" t="s">
        <v>99</v>
      </c>
      <c r="CP454" t="s">
        <v>100</v>
      </c>
      <c r="CQ454" s="7">
        <v>455</v>
      </c>
      <c r="CR454" t="s">
        <v>100</v>
      </c>
      <c r="CS454" t="s">
        <v>100</v>
      </c>
      <c r="CT454" t="s">
        <v>152</v>
      </c>
      <c r="CU454" t="s">
        <v>102</v>
      </c>
      <c r="CV454" t="s">
        <v>100</v>
      </c>
    </row>
    <row r="455" spans="1:100">
      <c r="A455" s="3" t="s">
        <v>7442</v>
      </c>
      <c r="B455" s="4" t="s">
        <v>7443</v>
      </c>
      <c r="C455">
        <v>97.337051275434405</v>
      </c>
      <c r="D455">
        <v>223.942365127041</v>
      </c>
      <c r="E455">
        <f>-1.19949448881617</f>
        <v>-1.19949448881617</v>
      </c>
      <c r="F455">
        <v>2.5217993514624801E-3</v>
      </c>
      <c r="G455" t="s">
        <v>4</v>
      </c>
      <c r="H455">
        <v>97.337051275434405</v>
      </c>
      <c r="I455">
        <v>33.192682622886601</v>
      </c>
      <c r="J455">
        <v>1.5248719325070099</v>
      </c>
      <c r="K455">
        <v>2.8706635532576501E-4</v>
      </c>
      <c r="L455" t="s">
        <v>4</v>
      </c>
      <c r="M455">
        <v>223.942365127041</v>
      </c>
      <c r="N455">
        <v>33.192682622886601</v>
      </c>
      <c r="O455">
        <v>2.7243664213231802</v>
      </c>
      <c r="P455" s="5">
        <v>1.00808798244155E-11</v>
      </c>
      <c r="Q455" t="s">
        <v>4</v>
      </c>
      <c r="R455" s="4" t="s">
        <v>87</v>
      </c>
      <c r="S455" t="s">
        <v>4</v>
      </c>
      <c r="T455" t="s">
        <v>2243</v>
      </c>
      <c r="U455" t="s">
        <v>2244</v>
      </c>
      <c r="V455" t="s">
        <v>2245</v>
      </c>
      <c r="W455" t="s">
        <v>123</v>
      </c>
      <c r="X455" t="s">
        <v>4</v>
      </c>
      <c r="Y455" t="s">
        <v>7444</v>
      </c>
      <c r="Z455" t="s">
        <v>7445</v>
      </c>
      <c r="AA455" t="s">
        <v>7446</v>
      </c>
      <c r="AB455" t="s">
        <v>4</v>
      </c>
      <c r="AC455" s="3" t="s">
        <v>7447</v>
      </c>
      <c r="AD455" t="s">
        <v>4</v>
      </c>
      <c r="AE455" t="s">
        <v>7448</v>
      </c>
      <c r="AF455" t="s">
        <v>7449</v>
      </c>
      <c r="AG455" t="s">
        <v>7450</v>
      </c>
      <c r="AH455" t="s">
        <v>112</v>
      </c>
      <c r="AI455" t="s">
        <v>7451</v>
      </c>
      <c r="AJ455" t="s">
        <v>7452</v>
      </c>
      <c r="AL455" t="s">
        <v>7453</v>
      </c>
      <c r="AQ455" t="s">
        <v>861</v>
      </c>
      <c r="AU455" t="s">
        <v>112</v>
      </c>
      <c r="AV455" t="s">
        <v>7454</v>
      </c>
      <c r="AW455" t="s">
        <v>114</v>
      </c>
      <c r="AX455" t="s">
        <v>1938</v>
      </c>
      <c r="AY455" t="s">
        <v>7455</v>
      </c>
      <c r="AZ455" t="s">
        <v>4</v>
      </c>
      <c r="BA455" s="3" t="s">
        <v>115</v>
      </c>
      <c r="BB455" s="6" t="s">
        <v>95</v>
      </c>
      <c r="BC455" s="3" t="s">
        <v>95</v>
      </c>
      <c r="BD455" t="s">
        <v>4</v>
      </c>
      <c r="BE455">
        <v>7614</v>
      </c>
      <c r="BF455" t="s">
        <v>213</v>
      </c>
      <c r="BG455">
        <v>92.381</v>
      </c>
      <c r="BH455" t="s">
        <v>7456</v>
      </c>
      <c r="BI455">
        <v>92.698400000000007</v>
      </c>
      <c r="BJ455">
        <v>81.587299999999999</v>
      </c>
      <c r="BK455">
        <v>67.619</v>
      </c>
      <c r="BL455">
        <v>17.301600000000001</v>
      </c>
      <c r="BM455" t="s">
        <v>7457</v>
      </c>
      <c r="BN455">
        <v>74.920599999999993</v>
      </c>
      <c r="BO455" t="s">
        <v>7458</v>
      </c>
      <c r="BP455">
        <v>35.396799999999999</v>
      </c>
      <c r="BQ455" t="s">
        <v>7459</v>
      </c>
      <c r="BR455">
        <v>48.412700000000001</v>
      </c>
      <c r="BS455">
        <v>48.8889</v>
      </c>
      <c r="BT455">
        <v>37.142899999999997</v>
      </c>
      <c r="BV455" t="s">
        <v>7460</v>
      </c>
      <c r="BW455">
        <v>40.476199999999999</v>
      </c>
      <c r="BX455">
        <v>45.555599999999998</v>
      </c>
      <c r="BZ455" t="s">
        <v>7461</v>
      </c>
      <c r="CA455">
        <v>39.047600000000003</v>
      </c>
      <c r="CB455">
        <v>1.11111</v>
      </c>
      <c r="CC455">
        <v>30.952400000000001</v>
      </c>
      <c r="CD455">
        <v>29.206299999999999</v>
      </c>
      <c r="CG455">
        <v>41.587299999999999</v>
      </c>
      <c r="CH455">
        <v>41.587299999999999</v>
      </c>
      <c r="CI455">
        <v>41.428600000000003</v>
      </c>
      <c r="CK455">
        <v>8</v>
      </c>
      <c r="CL455" t="s">
        <v>4</v>
      </c>
      <c r="CM455" t="s">
        <v>7462</v>
      </c>
      <c r="CN455" t="s">
        <v>7463</v>
      </c>
      <c r="CO455" t="s">
        <v>99</v>
      </c>
      <c r="CP455" t="s">
        <v>100</v>
      </c>
      <c r="CQ455" s="7">
        <v>456</v>
      </c>
      <c r="CR455" t="s">
        <v>100</v>
      </c>
      <c r="CS455" s="7" t="s">
        <v>101</v>
      </c>
      <c r="CT455" t="s">
        <v>152</v>
      </c>
      <c r="CU455" t="s">
        <v>102</v>
      </c>
      <c r="CV455" t="s">
        <v>100</v>
      </c>
    </row>
    <row r="456" spans="1:100">
      <c r="A456" s="3" t="s">
        <v>7464</v>
      </c>
      <c r="B456" s="4" t="s">
        <v>7465</v>
      </c>
      <c r="C456">
        <v>2575.6308435034298</v>
      </c>
      <c r="D456">
        <v>7780.6842340087396</v>
      </c>
      <c r="E456">
        <f>-1.59500320044147</f>
        <v>-1.59500320044147</v>
      </c>
      <c r="F456" s="5">
        <v>1.17746662269811E-17</v>
      </c>
      <c r="G456" t="s">
        <v>4</v>
      </c>
      <c r="H456">
        <v>2575.6308435034298</v>
      </c>
      <c r="I456">
        <v>1185.4447774789401</v>
      </c>
      <c r="J456">
        <v>1.11705620168924</v>
      </c>
      <c r="K456" s="5">
        <v>3.1618917557598901E-9</v>
      </c>
      <c r="L456" t="s">
        <v>4</v>
      </c>
      <c r="M456">
        <v>7780.6842340087396</v>
      </c>
      <c r="N456">
        <v>1185.4447774789401</v>
      </c>
      <c r="O456">
        <v>2.7120594021306998</v>
      </c>
      <c r="P456" s="5">
        <v>5.7506022952333703E-50</v>
      </c>
      <c r="Q456" t="s">
        <v>4</v>
      </c>
      <c r="R456" s="4" t="s">
        <v>87</v>
      </c>
      <c r="S456" t="s">
        <v>4</v>
      </c>
      <c r="T456" t="s">
        <v>7466</v>
      </c>
      <c r="U456" t="s">
        <v>7467</v>
      </c>
      <c r="V456" t="s">
        <v>7468</v>
      </c>
      <c r="W456" t="s">
        <v>328</v>
      </c>
      <c r="X456" t="s">
        <v>4</v>
      </c>
      <c r="Y456" t="s">
        <v>7469</v>
      </c>
      <c r="Z456" t="s">
        <v>7470</v>
      </c>
      <c r="AA456" t="s">
        <v>7471</v>
      </c>
      <c r="AB456" t="s">
        <v>4</v>
      </c>
      <c r="AC456" s="3" t="s">
        <v>7472</v>
      </c>
      <c r="AD456" t="s">
        <v>4</v>
      </c>
      <c r="AE456" t="s">
        <v>7473</v>
      </c>
      <c r="AF456" t="s">
        <v>834</v>
      </c>
      <c r="AG456" t="s">
        <v>7474</v>
      </c>
      <c r="AH456" t="s">
        <v>112</v>
      </c>
      <c r="AJ456" t="s">
        <v>7475</v>
      </c>
      <c r="AL456" t="s">
        <v>7476</v>
      </c>
      <c r="AQ456" t="s">
        <v>7477</v>
      </c>
      <c r="AU456" t="s">
        <v>112</v>
      </c>
      <c r="AV456" t="s">
        <v>7478</v>
      </c>
      <c r="AW456" t="s">
        <v>114</v>
      </c>
      <c r="AX456" t="s">
        <v>1879</v>
      </c>
      <c r="AY456" t="s">
        <v>7479</v>
      </c>
      <c r="AZ456" t="s">
        <v>4</v>
      </c>
      <c r="BA456" s="3" t="s">
        <v>95</v>
      </c>
      <c r="BB456" s="6" t="s">
        <v>95</v>
      </c>
      <c r="BC456" s="3" t="s">
        <v>95</v>
      </c>
      <c r="BD456" t="s">
        <v>4</v>
      </c>
      <c r="BE456">
        <v>9168</v>
      </c>
      <c r="BF456" t="s">
        <v>169</v>
      </c>
      <c r="BG456" t="s">
        <v>7480</v>
      </c>
      <c r="BH456">
        <v>7.82681</v>
      </c>
      <c r="BI456">
        <v>96.669399999999996</v>
      </c>
      <c r="BJ456">
        <v>72.689400000000006</v>
      </c>
      <c r="BK456">
        <v>80.266400000000004</v>
      </c>
      <c r="BL456">
        <v>38.801000000000002</v>
      </c>
      <c r="BM456">
        <v>86.094899999999996</v>
      </c>
      <c r="BN456">
        <v>85.928399999999996</v>
      </c>
      <c r="BO456">
        <v>70.940899999999999</v>
      </c>
      <c r="BP456">
        <v>66.944199999999995</v>
      </c>
      <c r="BS456">
        <v>45.878399999999999</v>
      </c>
      <c r="BT456">
        <v>23.7302</v>
      </c>
      <c r="BU456">
        <v>29.725200000000001</v>
      </c>
      <c r="BV456" t="s">
        <v>7481</v>
      </c>
      <c r="BX456">
        <v>38.134900000000002</v>
      </c>
      <c r="BZ456">
        <v>37.718600000000002</v>
      </c>
      <c r="CA456">
        <v>31.140699999999999</v>
      </c>
      <c r="CB456">
        <v>29.392199999999999</v>
      </c>
      <c r="CE456" t="s">
        <v>7482</v>
      </c>
      <c r="CF456">
        <v>22.897600000000001</v>
      </c>
      <c r="CG456">
        <v>31.224</v>
      </c>
      <c r="CH456">
        <v>31.556999999999999</v>
      </c>
      <c r="CI456">
        <v>30.9742</v>
      </c>
      <c r="CK456">
        <v>9</v>
      </c>
      <c r="CL456" t="s">
        <v>4</v>
      </c>
      <c r="CM456" t="s">
        <v>7483</v>
      </c>
      <c r="CN456" t="s">
        <v>7484</v>
      </c>
      <c r="CO456" t="s">
        <v>219</v>
      </c>
      <c r="CP456" t="s">
        <v>100</v>
      </c>
      <c r="CQ456" s="7">
        <v>457</v>
      </c>
      <c r="CR456" t="s">
        <v>100</v>
      </c>
      <c r="CS456" s="7" t="s">
        <v>101</v>
      </c>
      <c r="CT456" t="s">
        <v>152</v>
      </c>
      <c r="CU456" t="s">
        <v>102</v>
      </c>
      <c r="CV456" t="s">
        <v>100</v>
      </c>
    </row>
    <row r="457" spans="1:100">
      <c r="A457" s="3" t="s">
        <v>7485</v>
      </c>
      <c r="B457" s="4" t="s">
        <v>7486</v>
      </c>
      <c r="C457">
        <v>2628.3464117506901</v>
      </c>
      <c r="D457">
        <v>5688.0573027980399</v>
      </c>
      <c r="E457">
        <f>-1.11365131072733</f>
        <v>-1.11365131072733</v>
      </c>
      <c r="F457" s="5">
        <v>1.67143233221674E-8</v>
      </c>
      <c r="G457" t="s">
        <v>4</v>
      </c>
      <c r="H457">
        <v>2628.3464117506901</v>
      </c>
      <c r="I457">
        <v>873.41490229836995</v>
      </c>
      <c r="J457">
        <v>1.585877309132</v>
      </c>
      <c r="K457" s="5">
        <v>2.4789716754905202E-16</v>
      </c>
      <c r="L457" t="s">
        <v>4</v>
      </c>
      <c r="M457">
        <v>5688.0573027980399</v>
      </c>
      <c r="N457">
        <v>873.41490229836995</v>
      </c>
      <c r="O457">
        <v>2.69952861985933</v>
      </c>
      <c r="P457" s="5">
        <v>8.9199131959168095E-46</v>
      </c>
      <c r="Q457" t="s">
        <v>4</v>
      </c>
      <c r="R457" s="4" t="s">
        <v>87</v>
      </c>
      <c r="S457" t="s">
        <v>4</v>
      </c>
      <c r="T457" t="s">
        <v>7487</v>
      </c>
      <c r="U457" t="s">
        <v>7488</v>
      </c>
      <c r="V457" t="s">
        <v>7489</v>
      </c>
      <c r="W457" t="s">
        <v>123</v>
      </c>
      <c r="X457" t="s">
        <v>4</v>
      </c>
      <c r="Y457" t="s">
        <v>7490</v>
      </c>
      <c r="Z457" t="s">
        <v>7491</v>
      </c>
      <c r="AA457" t="s">
        <v>7492</v>
      </c>
      <c r="AB457" t="s">
        <v>4</v>
      </c>
      <c r="AC457" s="3" t="s">
        <v>7493</v>
      </c>
      <c r="AD457" t="s">
        <v>4</v>
      </c>
      <c r="AE457" t="s">
        <v>7494</v>
      </c>
      <c r="AF457" t="s">
        <v>7495</v>
      </c>
      <c r="AG457" t="s">
        <v>7496</v>
      </c>
      <c r="AH457" t="s">
        <v>112</v>
      </c>
      <c r="AK457" t="s">
        <v>3114</v>
      </c>
      <c r="AL457" t="s">
        <v>7497</v>
      </c>
      <c r="AM457" t="s">
        <v>7498</v>
      </c>
      <c r="AQ457" t="s">
        <v>7499</v>
      </c>
      <c r="AU457" t="s">
        <v>112</v>
      </c>
      <c r="AV457" t="s">
        <v>7500</v>
      </c>
      <c r="AW457" t="s">
        <v>114</v>
      </c>
      <c r="AX457" t="s">
        <v>536</v>
      </c>
      <c r="AY457" t="s">
        <v>7501</v>
      </c>
      <c r="AZ457" t="s">
        <v>4</v>
      </c>
      <c r="BA457" s="3" t="s">
        <v>115</v>
      </c>
      <c r="BB457" s="6" t="s">
        <v>95</v>
      </c>
      <c r="BC457" s="3" t="s">
        <v>95</v>
      </c>
      <c r="BD457" t="s">
        <v>4</v>
      </c>
      <c r="BE457">
        <v>8902</v>
      </c>
      <c r="BF457" t="s">
        <v>169</v>
      </c>
      <c r="BG457">
        <v>99.018000000000001</v>
      </c>
      <c r="BH457">
        <v>88.215999999999994</v>
      </c>
      <c r="BI457" t="s">
        <v>7502</v>
      </c>
      <c r="BJ457">
        <v>86.251999999999995</v>
      </c>
      <c r="BK457">
        <v>79.869100000000003</v>
      </c>
      <c r="BL457">
        <v>77.414100000000005</v>
      </c>
      <c r="BM457">
        <v>80.032700000000006</v>
      </c>
      <c r="BN457">
        <v>80.196399999999997</v>
      </c>
      <c r="BO457">
        <v>77.250399999999999</v>
      </c>
      <c r="BP457">
        <v>49.590800000000002</v>
      </c>
      <c r="BR457">
        <v>37.970500000000001</v>
      </c>
      <c r="BS457">
        <v>38.6252</v>
      </c>
      <c r="BT457">
        <v>34.0426</v>
      </c>
      <c r="BU457" t="s">
        <v>7503</v>
      </c>
      <c r="BV457" t="s">
        <v>7504</v>
      </c>
      <c r="BW457">
        <v>35.515500000000003</v>
      </c>
      <c r="BX457">
        <v>38.788899999999998</v>
      </c>
      <c r="BY457">
        <v>24.549900000000001</v>
      </c>
      <c r="BZ457">
        <v>43.698900000000002</v>
      </c>
      <c r="CA457">
        <v>37.806899999999999</v>
      </c>
      <c r="CB457">
        <v>25.040900000000001</v>
      </c>
      <c r="CC457">
        <v>36.661200000000001</v>
      </c>
      <c r="CD457">
        <v>31.914899999999999</v>
      </c>
      <c r="CE457">
        <v>25.368200000000002</v>
      </c>
      <c r="CF457">
        <v>33.715200000000003</v>
      </c>
      <c r="CG457">
        <v>35.351900000000001</v>
      </c>
      <c r="CH457">
        <v>36.006500000000003</v>
      </c>
      <c r="CI457">
        <v>34.860900000000001</v>
      </c>
      <c r="CJ457">
        <v>25.368200000000002</v>
      </c>
      <c r="CK457">
        <v>9</v>
      </c>
      <c r="CL457" t="s">
        <v>4</v>
      </c>
      <c r="CM457" t="s">
        <v>7505</v>
      </c>
      <c r="CN457" t="s">
        <v>7506</v>
      </c>
      <c r="CO457" t="s">
        <v>219</v>
      </c>
      <c r="CP457" t="s">
        <v>100</v>
      </c>
      <c r="CQ457" s="7">
        <v>458</v>
      </c>
      <c r="CR457" t="s">
        <v>100</v>
      </c>
      <c r="CS457" s="7" t="s">
        <v>101</v>
      </c>
      <c r="CT457" t="s">
        <v>152</v>
      </c>
      <c r="CU457" t="s">
        <v>102</v>
      </c>
      <c r="CV457" t="s">
        <v>100</v>
      </c>
    </row>
    <row r="458" spans="1:100">
      <c r="A458" s="3" t="s">
        <v>7507</v>
      </c>
      <c r="B458" s="4" t="s">
        <v>7508</v>
      </c>
      <c r="C458">
        <v>7.4843105584163201</v>
      </c>
      <c r="D458">
        <v>29.581183907157701</v>
      </c>
      <c r="E458">
        <f>-1.98487966978043</f>
        <v>-1.9848796697804301</v>
      </c>
      <c r="F458">
        <v>2.6490202492224599E-2</v>
      </c>
      <c r="G458" t="s">
        <v>4</v>
      </c>
      <c r="H458">
        <v>7.4843105584163201</v>
      </c>
      <c r="I458">
        <v>4.3004999851029604</v>
      </c>
      <c r="J458">
        <v>0.70439206750037497</v>
      </c>
      <c r="K458">
        <v>0.50894680187588703</v>
      </c>
      <c r="L458" t="s">
        <v>4</v>
      </c>
      <c r="M458">
        <v>29.581183907157701</v>
      </c>
      <c r="N458">
        <v>4.3004999851029604</v>
      </c>
      <c r="O458">
        <v>2.6892717372808002</v>
      </c>
      <c r="P458">
        <v>4.2288282622465799E-3</v>
      </c>
      <c r="Q458" t="s">
        <v>4</v>
      </c>
      <c r="R458" s="4" t="s">
        <v>87</v>
      </c>
      <c r="S458" t="s">
        <v>4</v>
      </c>
      <c r="T458" t="s">
        <v>88</v>
      </c>
      <c r="U458" t="s">
        <v>89</v>
      </c>
      <c r="V458" t="s">
        <v>90</v>
      </c>
      <c r="W458" t="s">
        <v>91</v>
      </c>
      <c r="X458" t="s">
        <v>4</v>
      </c>
      <c r="Y458" t="s">
        <v>92</v>
      </c>
      <c r="Z458" t="s">
        <v>92</v>
      </c>
      <c r="AA458" t="s">
        <v>92</v>
      </c>
      <c r="AB458" t="s">
        <v>4</v>
      </c>
      <c r="AC458" s="3" t="s">
        <v>93</v>
      </c>
      <c r="AD458" t="s">
        <v>4</v>
      </c>
      <c r="AE458" t="s">
        <v>7509</v>
      </c>
      <c r="AF458" t="s">
        <v>7510</v>
      </c>
      <c r="AG458" t="s">
        <v>7511</v>
      </c>
      <c r="AH458" t="s">
        <v>638</v>
      </c>
      <c r="AI458" t="s">
        <v>7512</v>
      </c>
      <c r="AU458" t="s">
        <v>112</v>
      </c>
      <c r="AV458" t="s">
        <v>7513</v>
      </c>
      <c r="AW458" t="s">
        <v>114</v>
      </c>
      <c r="AX458" t="s">
        <v>144</v>
      </c>
      <c r="AY458" t="s">
        <v>1563</v>
      </c>
      <c r="AZ458" t="s">
        <v>4</v>
      </c>
      <c r="BA458" s="3" t="s">
        <v>95</v>
      </c>
      <c r="BB458" t="s">
        <v>96</v>
      </c>
      <c r="BC458" s="3" t="s">
        <v>95</v>
      </c>
      <c r="BD458" t="s">
        <v>4</v>
      </c>
      <c r="BE458">
        <v>4646</v>
      </c>
      <c r="BF458" t="s">
        <v>112</v>
      </c>
      <c r="BG458" t="s">
        <v>7514</v>
      </c>
      <c r="BL458">
        <v>74.226799999999997</v>
      </c>
      <c r="CK458">
        <v>5</v>
      </c>
      <c r="CL458" t="s">
        <v>4</v>
      </c>
      <c r="CM458" t="s">
        <v>98</v>
      </c>
      <c r="CN458" t="s">
        <v>98</v>
      </c>
      <c r="CO458" t="s">
        <v>99</v>
      </c>
      <c r="CP458" t="s">
        <v>100</v>
      </c>
      <c r="CQ458" s="7">
        <v>459</v>
      </c>
      <c r="CR458" t="s">
        <v>100</v>
      </c>
      <c r="CS458" t="s">
        <v>100</v>
      </c>
      <c r="CT458" t="s">
        <v>152</v>
      </c>
      <c r="CU458" t="s">
        <v>102</v>
      </c>
      <c r="CV458" t="s">
        <v>100</v>
      </c>
    </row>
    <row r="459" spans="1:100">
      <c r="A459" s="3" t="s">
        <v>7515</v>
      </c>
      <c r="B459" s="4" t="s">
        <v>7516</v>
      </c>
      <c r="C459">
        <v>1532.2886450077799</v>
      </c>
      <c r="D459">
        <v>4214.7100921989504</v>
      </c>
      <c r="E459">
        <f>-1.459520263943</f>
        <v>-1.4595202639430001</v>
      </c>
      <c r="F459" s="5">
        <v>6.2974254086579901E-19</v>
      </c>
      <c r="G459" t="s">
        <v>4</v>
      </c>
      <c r="H459">
        <v>1532.2886450077799</v>
      </c>
      <c r="I459">
        <v>656.81830818988897</v>
      </c>
      <c r="J459">
        <v>1.2214274441761299</v>
      </c>
      <c r="K459" s="5">
        <v>2.9726742058703998E-13</v>
      </c>
      <c r="L459" t="s">
        <v>4</v>
      </c>
      <c r="M459">
        <v>4214.7100921989504</v>
      </c>
      <c r="N459">
        <v>656.81830818988897</v>
      </c>
      <c r="O459">
        <v>2.68094770811914</v>
      </c>
      <c r="P459" s="5">
        <v>8.1900313685637598E-61</v>
      </c>
      <c r="Q459" t="s">
        <v>4</v>
      </c>
      <c r="R459" s="4" t="s">
        <v>87</v>
      </c>
      <c r="S459" t="s">
        <v>4</v>
      </c>
      <c r="T459" t="s">
        <v>200</v>
      </c>
      <c r="U459" t="s">
        <v>201</v>
      </c>
      <c r="V459" t="s">
        <v>202</v>
      </c>
      <c r="W459" t="s">
        <v>203</v>
      </c>
      <c r="X459" t="s">
        <v>4</v>
      </c>
      <c r="Y459" t="s">
        <v>7517</v>
      </c>
      <c r="Z459" t="s">
        <v>7518</v>
      </c>
      <c r="AA459" t="s">
        <v>7519</v>
      </c>
      <c r="AB459" t="s">
        <v>4</v>
      </c>
      <c r="AC459" s="3" t="s">
        <v>7520</v>
      </c>
      <c r="AD459" t="s">
        <v>4</v>
      </c>
      <c r="AE459" t="s">
        <v>7521</v>
      </c>
      <c r="AF459" t="s">
        <v>7522</v>
      </c>
      <c r="AG459" t="s">
        <v>7523</v>
      </c>
      <c r="AH459" t="s">
        <v>112</v>
      </c>
      <c r="AJ459" t="s">
        <v>7524</v>
      </c>
      <c r="AK459" t="s">
        <v>7525</v>
      </c>
      <c r="AL459" t="s">
        <v>7526</v>
      </c>
      <c r="AM459" t="s">
        <v>7527</v>
      </c>
      <c r="AN459" t="s">
        <v>7528</v>
      </c>
      <c r="AQ459" t="s">
        <v>7529</v>
      </c>
      <c r="AU459" t="s">
        <v>112</v>
      </c>
      <c r="AV459" t="s">
        <v>7530</v>
      </c>
      <c r="AW459" t="s">
        <v>114</v>
      </c>
      <c r="AX459" t="s">
        <v>132</v>
      </c>
      <c r="AY459" t="s">
        <v>7531</v>
      </c>
      <c r="AZ459" t="s">
        <v>4</v>
      </c>
      <c r="BA459" s="3" t="s">
        <v>95</v>
      </c>
      <c r="BB459" s="6" t="s">
        <v>95</v>
      </c>
      <c r="BC459" s="3" t="s">
        <v>95</v>
      </c>
      <c r="BD459" t="s">
        <v>4</v>
      </c>
      <c r="BE459">
        <v>8126</v>
      </c>
      <c r="BF459" t="s">
        <v>213</v>
      </c>
      <c r="BG459">
        <v>69.897999999999996</v>
      </c>
      <c r="BI459">
        <v>87.244900000000001</v>
      </c>
      <c r="BJ459">
        <v>72.448999999999998</v>
      </c>
      <c r="BM459">
        <v>70.663300000000007</v>
      </c>
      <c r="BN459">
        <v>76.785700000000006</v>
      </c>
      <c r="BO459">
        <v>75.765299999999996</v>
      </c>
      <c r="BP459">
        <v>18.622399999999999</v>
      </c>
      <c r="CD459">
        <v>23.979600000000001</v>
      </c>
      <c r="CE459">
        <v>18.3673</v>
      </c>
      <c r="CK459">
        <v>8</v>
      </c>
      <c r="CL459" t="s">
        <v>4</v>
      </c>
      <c r="CM459" t="s">
        <v>98</v>
      </c>
      <c r="CN459" t="s">
        <v>98</v>
      </c>
      <c r="CO459" t="s">
        <v>99</v>
      </c>
      <c r="CP459" t="s">
        <v>100</v>
      </c>
      <c r="CQ459" s="7">
        <v>460</v>
      </c>
      <c r="CR459" t="s">
        <v>100</v>
      </c>
      <c r="CS459" s="7" t="s">
        <v>101</v>
      </c>
      <c r="CT459" t="s">
        <v>152</v>
      </c>
      <c r="CU459" t="s">
        <v>102</v>
      </c>
      <c r="CV459" t="s">
        <v>100</v>
      </c>
    </row>
    <row r="460" spans="1:100">
      <c r="A460" s="3" t="s">
        <v>7532</v>
      </c>
      <c r="B460" s="4" t="s">
        <v>7533</v>
      </c>
      <c r="C460">
        <v>4179.3075175124104</v>
      </c>
      <c r="D460">
        <v>10091.3224651398</v>
      </c>
      <c r="E460">
        <f>-1.27181938193468</f>
        <v>-1.2718193819346799</v>
      </c>
      <c r="F460">
        <v>7.10193564345466E-4</v>
      </c>
      <c r="G460" t="s">
        <v>4</v>
      </c>
      <c r="H460">
        <v>4179.3075175124104</v>
      </c>
      <c r="I460">
        <v>1577.7289411956001</v>
      </c>
      <c r="J460">
        <v>1.4066599544530001</v>
      </c>
      <c r="K460">
        <v>1.12612065032271E-4</v>
      </c>
      <c r="L460" t="s">
        <v>4</v>
      </c>
      <c r="M460">
        <v>10091.3224651398</v>
      </c>
      <c r="N460">
        <v>1577.7289411956001</v>
      </c>
      <c r="O460">
        <v>2.6784793363876802</v>
      </c>
      <c r="P460" s="5">
        <v>1.83830691225378E-14</v>
      </c>
      <c r="Q460" t="s">
        <v>4</v>
      </c>
      <c r="R460" s="4" t="s">
        <v>87</v>
      </c>
      <c r="S460" t="s">
        <v>4</v>
      </c>
      <c r="T460" t="s">
        <v>92</v>
      </c>
      <c r="U460" t="s">
        <v>92</v>
      </c>
      <c r="V460" t="s">
        <v>92</v>
      </c>
      <c r="W460" t="s">
        <v>92</v>
      </c>
      <c r="X460" t="s">
        <v>4</v>
      </c>
      <c r="Y460" t="s">
        <v>7534</v>
      </c>
      <c r="Z460" t="s">
        <v>7535</v>
      </c>
      <c r="AA460" t="s">
        <v>7536</v>
      </c>
      <c r="AB460" t="s">
        <v>4</v>
      </c>
      <c r="AC460" s="3" t="s">
        <v>7537</v>
      </c>
      <c r="AD460" t="s">
        <v>4</v>
      </c>
      <c r="AE460" t="s">
        <v>7538</v>
      </c>
      <c r="AF460" t="s">
        <v>7539</v>
      </c>
      <c r="AG460" t="s">
        <v>7540</v>
      </c>
      <c r="AH460" t="s">
        <v>386</v>
      </c>
      <c r="AU460" t="s">
        <v>112</v>
      </c>
      <c r="AV460" t="s">
        <v>7541</v>
      </c>
      <c r="AW460" t="s">
        <v>114</v>
      </c>
      <c r="AX460" t="s">
        <v>2139</v>
      </c>
      <c r="AY460" t="s">
        <v>7542</v>
      </c>
      <c r="AZ460" t="s">
        <v>4</v>
      </c>
      <c r="BA460" s="3" t="s">
        <v>95</v>
      </c>
      <c r="BB460" s="6" t="s">
        <v>95</v>
      </c>
      <c r="BC460" s="3" t="s">
        <v>95</v>
      </c>
      <c r="BD460" t="s">
        <v>4</v>
      </c>
      <c r="BE460">
        <v>7906</v>
      </c>
      <c r="BF460" t="s">
        <v>213</v>
      </c>
      <c r="BG460">
        <v>74.264700000000005</v>
      </c>
      <c r="BI460">
        <v>87.745099999999994</v>
      </c>
      <c r="BJ460">
        <v>81.127399999999994</v>
      </c>
      <c r="BK460">
        <v>59.313699999999997</v>
      </c>
      <c r="BM460">
        <v>50.735300000000002</v>
      </c>
      <c r="BN460">
        <v>75.980400000000003</v>
      </c>
      <c r="BO460">
        <v>73.039199999999994</v>
      </c>
      <c r="BW460">
        <v>24.264700000000001</v>
      </c>
      <c r="BX460">
        <v>26.470600000000001</v>
      </c>
      <c r="BZ460">
        <v>25.490200000000002</v>
      </c>
      <c r="CB460">
        <v>23.7745</v>
      </c>
      <c r="CE460">
        <v>20.3431</v>
      </c>
      <c r="CF460">
        <v>21.813700000000001</v>
      </c>
      <c r="CG460">
        <v>23.529399999999999</v>
      </c>
      <c r="CH460">
        <v>22.548999999999999</v>
      </c>
      <c r="CI460">
        <v>20.833300000000001</v>
      </c>
      <c r="CK460">
        <v>8</v>
      </c>
      <c r="CL460" t="s">
        <v>4</v>
      </c>
      <c r="CM460" t="s">
        <v>98</v>
      </c>
      <c r="CN460" t="s">
        <v>98</v>
      </c>
      <c r="CO460" t="s">
        <v>99</v>
      </c>
      <c r="CP460" t="s">
        <v>100</v>
      </c>
      <c r="CQ460" s="7">
        <v>461</v>
      </c>
      <c r="CR460" t="s">
        <v>100</v>
      </c>
      <c r="CS460" s="7" t="s">
        <v>101</v>
      </c>
      <c r="CT460" t="s">
        <v>152</v>
      </c>
      <c r="CU460" t="s">
        <v>102</v>
      </c>
      <c r="CV460" t="s">
        <v>100</v>
      </c>
    </row>
    <row r="461" spans="1:100">
      <c r="A461" s="3" t="s">
        <v>7543</v>
      </c>
      <c r="B461" s="4" t="s">
        <v>7544</v>
      </c>
      <c r="C461">
        <v>366.03973757833802</v>
      </c>
      <c r="D461">
        <v>1070.1340858410099</v>
      </c>
      <c r="E461">
        <f>-1.5483014118442</f>
        <v>-1.5483014118442</v>
      </c>
      <c r="F461" s="5">
        <v>1.41080114298852E-7</v>
      </c>
      <c r="G461" t="s">
        <v>4</v>
      </c>
      <c r="H461">
        <v>366.03973757833802</v>
      </c>
      <c r="I461">
        <v>168.52218906316199</v>
      </c>
      <c r="J461">
        <v>1.11761521507169</v>
      </c>
      <c r="K461">
        <v>2.4683565571497802E-4</v>
      </c>
      <c r="L461" t="s">
        <v>4</v>
      </c>
      <c r="M461">
        <v>1070.1340858410099</v>
      </c>
      <c r="N461">
        <v>168.52218906316199</v>
      </c>
      <c r="O461">
        <v>2.66591662691589</v>
      </c>
      <c r="P461" s="5">
        <v>2.7381096572398801E-20</v>
      </c>
      <c r="Q461" t="s">
        <v>4</v>
      </c>
      <c r="R461" s="4" t="s">
        <v>87</v>
      </c>
      <c r="S461" t="s">
        <v>4</v>
      </c>
      <c r="T461" t="s">
        <v>92</v>
      </c>
      <c r="U461" t="s">
        <v>92</v>
      </c>
      <c r="V461" t="s">
        <v>92</v>
      </c>
      <c r="W461" t="s">
        <v>92</v>
      </c>
      <c r="X461" t="s">
        <v>4</v>
      </c>
      <c r="Y461" t="s">
        <v>7545</v>
      </c>
      <c r="Z461" t="s">
        <v>7546</v>
      </c>
      <c r="AA461" t="s">
        <v>7547</v>
      </c>
      <c r="AB461" t="s">
        <v>4</v>
      </c>
      <c r="AC461" s="3" t="s">
        <v>7548</v>
      </c>
      <c r="AD461" t="s">
        <v>4</v>
      </c>
      <c r="AE461" t="s">
        <v>7549</v>
      </c>
      <c r="AF461" t="s">
        <v>7550</v>
      </c>
      <c r="AG461" t="s">
        <v>6589</v>
      </c>
      <c r="AH461" t="s">
        <v>386</v>
      </c>
      <c r="AU461" t="s">
        <v>112</v>
      </c>
      <c r="AV461" t="s">
        <v>7551</v>
      </c>
      <c r="AW461" t="s">
        <v>114</v>
      </c>
      <c r="AX461" t="s">
        <v>7552</v>
      </c>
      <c r="AY461" t="s">
        <v>7553</v>
      </c>
      <c r="AZ461" t="s">
        <v>4</v>
      </c>
      <c r="BA461" s="3" t="s">
        <v>95</v>
      </c>
      <c r="BB461" s="6" t="s">
        <v>95</v>
      </c>
      <c r="BC461" s="3" t="s">
        <v>95</v>
      </c>
      <c r="BD461" t="s">
        <v>4</v>
      </c>
      <c r="BE461">
        <v>7952</v>
      </c>
      <c r="BF461" t="s">
        <v>213</v>
      </c>
      <c r="BG461">
        <v>98.514899999999997</v>
      </c>
      <c r="BH461">
        <v>67.821799999999996</v>
      </c>
      <c r="BI461">
        <v>88.118799999999993</v>
      </c>
      <c r="BJ461">
        <v>67.0792</v>
      </c>
      <c r="BK461">
        <v>82.673299999999998</v>
      </c>
      <c r="BL461">
        <v>80.940600000000003</v>
      </c>
      <c r="BM461">
        <v>82.178200000000004</v>
      </c>
      <c r="BN461">
        <v>81.683199999999999</v>
      </c>
      <c r="BO461">
        <v>82.9208</v>
      </c>
      <c r="BP461">
        <v>30.445499999999999</v>
      </c>
      <c r="BR461">
        <v>24.009899999999998</v>
      </c>
      <c r="BU461">
        <v>27.970300000000002</v>
      </c>
      <c r="BW461">
        <v>21.287099999999999</v>
      </c>
      <c r="CB461">
        <v>13.613899999999999</v>
      </c>
      <c r="CD461">
        <v>26.2376</v>
      </c>
      <c r="CE461">
        <v>21.534700000000001</v>
      </c>
      <c r="CF461">
        <v>17.574300000000001</v>
      </c>
      <c r="CG461">
        <v>24.009899999999998</v>
      </c>
      <c r="CH461">
        <v>23.0198</v>
      </c>
      <c r="CI461">
        <v>24.009899999999998</v>
      </c>
      <c r="CK461">
        <v>8</v>
      </c>
      <c r="CL461" t="s">
        <v>4</v>
      </c>
      <c r="CM461" t="s">
        <v>98</v>
      </c>
      <c r="CN461" t="s">
        <v>98</v>
      </c>
      <c r="CO461" t="s">
        <v>99</v>
      </c>
      <c r="CP461" t="s">
        <v>100</v>
      </c>
      <c r="CQ461" s="7">
        <v>462</v>
      </c>
      <c r="CR461" t="s">
        <v>100</v>
      </c>
      <c r="CS461" s="7" t="s">
        <v>101</v>
      </c>
      <c r="CT461" t="s">
        <v>152</v>
      </c>
      <c r="CU461" t="s">
        <v>102</v>
      </c>
      <c r="CV461" t="s">
        <v>100</v>
      </c>
    </row>
    <row r="462" spans="1:100">
      <c r="A462" s="3" t="s">
        <v>7554</v>
      </c>
      <c r="B462" s="4" t="s">
        <v>7555</v>
      </c>
      <c r="C462">
        <v>1644.06428289724</v>
      </c>
      <c r="D462">
        <v>5765.6814550443096</v>
      </c>
      <c r="E462">
        <f>-1.81011363082425</f>
        <v>-1.81011363082425</v>
      </c>
      <c r="F462" s="5">
        <v>6.5077695298832299E-10</v>
      </c>
      <c r="G462" t="s">
        <v>4</v>
      </c>
      <c r="H462">
        <v>1644.06428289724</v>
      </c>
      <c r="I462">
        <v>914.69528327567104</v>
      </c>
      <c r="J462">
        <v>0.84288674737744995</v>
      </c>
      <c r="K462">
        <v>5.3483639676643602E-3</v>
      </c>
      <c r="L462" t="s">
        <v>4</v>
      </c>
      <c r="M462">
        <v>5765.6814550443096</v>
      </c>
      <c r="N462">
        <v>914.69528327567104</v>
      </c>
      <c r="O462">
        <v>2.6530003782017002</v>
      </c>
      <c r="P462" s="5">
        <v>8.6184801014780795E-21</v>
      </c>
      <c r="Q462" t="s">
        <v>4</v>
      </c>
      <c r="R462" s="4" t="s">
        <v>87</v>
      </c>
      <c r="S462" t="s">
        <v>4</v>
      </c>
      <c r="T462" t="s">
        <v>7556</v>
      </c>
      <c r="U462" t="s">
        <v>7557</v>
      </c>
      <c r="V462" t="s">
        <v>7558</v>
      </c>
      <c r="W462" t="s">
        <v>1833</v>
      </c>
      <c r="X462" t="s">
        <v>4</v>
      </c>
      <c r="Y462" t="s">
        <v>7559</v>
      </c>
      <c r="Z462" t="s">
        <v>7560</v>
      </c>
      <c r="AA462" t="s">
        <v>7561</v>
      </c>
      <c r="AB462" t="s">
        <v>4</v>
      </c>
      <c r="AC462" s="3" t="s">
        <v>7562</v>
      </c>
      <c r="AD462" t="s">
        <v>4</v>
      </c>
      <c r="AE462" t="s">
        <v>7563</v>
      </c>
      <c r="AF462" t="s">
        <v>7564</v>
      </c>
      <c r="AG462" t="s">
        <v>7565</v>
      </c>
      <c r="AH462" t="s">
        <v>112</v>
      </c>
      <c r="AL462" t="s">
        <v>7566</v>
      </c>
      <c r="AM462" t="s">
        <v>7567</v>
      </c>
      <c r="AQ462" t="s">
        <v>7568</v>
      </c>
      <c r="AU462" t="s">
        <v>112</v>
      </c>
      <c r="AV462" t="s">
        <v>7569</v>
      </c>
      <c r="AW462" t="s">
        <v>114</v>
      </c>
      <c r="AX462" t="s">
        <v>733</v>
      </c>
      <c r="AY462" t="s">
        <v>7570</v>
      </c>
      <c r="AZ462" t="s">
        <v>4</v>
      </c>
      <c r="BA462" s="3" t="s">
        <v>95</v>
      </c>
      <c r="BB462" s="6" t="s">
        <v>95</v>
      </c>
      <c r="BC462" s="3" t="s">
        <v>95</v>
      </c>
      <c r="BD462" t="s">
        <v>4</v>
      </c>
      <c r="BE462">
        <v>8630</v>
      </c>
      <c r="BF462" t="s">
        <v>169</v>
      </c>
      <c r="BG462">
        <v>96.718800000000002</v>
      </c>
      <c r="BH462">
        <v>96.25</v>
      </c>
      <c r="BI462">
        <v>92.8125</v>
      </c>
      <c r="BJ462">
        <v>64.6875</v>
      </c>
      <c r="BK462">
        <v>79.843800000000002</v>
      </c>
      <c r="BM462">
        <v>80.781199999999998</v>
      </c>
      <c r="BN462">
        <v>81.093800000000002</v>
      </c>
      <c r="BO462">
        <v>75.3125</v>
      </c>
      <c r="BP462">
        <v>30.625</v>
      </c>
      <c r="BQ462">
        <v>23.4375</v>
      </c>
      <c r="BS462">
        <v>24.531199999999998</v>
      </c>
      <c r="BT462">
        <v>28.125</v>
      </c>
      <c r="BZ462">
        <v>11.4062</v>
      </c>
      <c r="CA462">
        <v>27.656199999999998</v>
      </c>
      <c r="CB462">
        <v>22.968800000000002</v>
      </c>
      <c r="CC462">
        <v>21.093800000000002</v>
      </c>
      <c r="CD462">
        <v>10.7812</v>
      </c>
      <c r="CE462">
        <v>19.218800000000002</v>
      </c>
      <c r="CG462" t="s">
        <v>7571</v>
      </c>
      <c r="CH462" t="s">
        <v>7572</v>
      </c>
      <c r="CK462">
        <v>9</v>
      </c>
      <c r="CL462" t="s">
        <v>4</v>
      </c>
      <c r="CM462" t="s">
        <v>7573</v>
      </c>
      <c r="CN462" t="s">
        <v>7574</v>
      </c>
      <c r="CO462" t="s">
        <v>219</v>
      </c>
      <c r="CP462" t="s">
        <v>100</v>
      </c>
      <c r="CQ462" s="7">
        <v>463</v>
      </c>
      <c r="CR462" t="s">
        <v>100</v>
      </c>
      <c r="CS462" t="s">
        <v>100</v>
      </c>
      <c r="CT462" t="s">
        <v>152</v>
      </c>
      <c r="CU462" t="s">
        <v>102</v>
      </c>
      <c r="CV462" t="s">
        <v>100</v>
      </c>
    </row>
    <row r="463" spans="1:100">
      <c r="A463" s="3" t="s">
        <v>7575</v>
      </c>
      <c r="B463" s="4" t="s">
        <v>7576</v>
      </c>
      <c r="C463">
        <v>713.58008813985202</v>
      </c>
      <c r="D463">
        <v>1676.76685926551</v>
      </c>
      <c r="E463">
        <f>-1.23187354550375</f>
        <v>-1.2318735455037499</v>
      </c>
      <c r="F463" s="5">
        <v>3.2055316551123202E-9</v>
      </c>
      <c r="G463" t="s">
        <v>4</v>
      </c>
      <c r="H463">
        <v>713.58008813985202</v>
      </c>
      <c r="I463">
        <v>266.14803517454499</v>
      </c>
      <c r="J463">
        <v>1.4198632992745901</v>
      </c>
      <c r="K463" s="5">
        <v>2.1462115954255099E-11</v>
      </c>
      <c r="L463" t="s">
        <v>4</v>
      </c>
      <c r="M463">
        <v>1676.76685926551</v>
      </c>
      <c r="N463">
        <v>266.14803517454499</v>
      </c>
      <c r="O463">
        <v>2.6517368447783398</v>
      </c>
      <c r="P463" s="5">
        <v>8.4376880180696095E-38</v>
      </c>
      <c r="Q463" t="s">
        <v>4</v>
      </c>
      <c r="R463" s="4" t="s">
        <v>87</v>
      </c>
      <c r="S463" t="s">
        <v>4</v>
      </c>
      <c r="T463" t="s">
        <v>92</v>
      </c>
      <c r="U463" t="s">
        <v>92</v>
      </c>
      <c r="V463" t="s">
        <v>92</v>
      </c>
      <c r="W463" t="s">
        <v>92</v>
      </c>
      <c r="X463" t="s">
        <v>4</v>
      </c>
      <c r="Y463" t="s">
        <v>7577</v>
      </c>
      <c r="Z463" t="s">
        <v>7578</v>
      </c>
      <c r="AA463" t="s">
        <v>7579</v>
      </c>
      <c r="AB463" t="s">
        <v>4</v>
      </c>
      <c r="AC463" s="3" t="s">
        <v>7580</v>
      </c>
      <c r="AD463" t="s">
        <v>4</v>
      </c>
      <c r="AE463" t="s">
        <v>7581</v>
      </c>
      <c r="AF463" t="s">
        <v>7582</v>
      </c>
      <c r="AG463" t="s">
        <v>7583</v>
      </c>
      <c r="AH463" t="s">
        <v>314</v>
      </c>
      <c r="AU463" t="s">
        <v>112</v>
      </c>
      <c r="AV463" t="s">
        <v>7584</v>
      </c>
      <c r="AW463" t="s">
        <v>114</v>
      </c>
      <c r="AX463" t="s">
        <v>1938</v>
      </c>
      <c r="AY463" t="s">
        <v>7585</v>
      </c>
      <c r="AZ463" t="s">
        <v>4</v>
      </c>
      <c r="BA463" s="3" t="s">
        <v>115</v>
      </c>
      <c r="BB463" s="6" t="s">
        <v>95</v>
      </c>
      <c r="BC463" s="3" t="s">
        <v>95</v>
      </c>
      <c r="BD463" t="s">
        <v>4</v>
      </c>
      <c r="BE463">
        <v>2912</v>
      </c>
      <c r="BF463" t="s">
        <v>97</v>
      </c>
      <c r="BG463">
        <v>99.453599999999994</v>
      </c>
      <c r="BH463">
        <v>100</v>
      </c>
      <c r="BI463">
        <v>93.442599999999999</v>
      </c>
      <c r="BJ463">
        <v>72.131100000000004</v>
      </c>
      <c r="BK463">
        <v>80.874300000000005</v>
      </c>
      <c r="BL463">
        <v>57.923499999999997</v>
      </c>
      <c r="BM463">
        <v>88.524600000000007</v>
      </c>
      <c r="BN463">
        <v>89.070999999999998</v>
      </c>
      <c r="BO463">
        <v>87.978099999999998</v>
      </c>
      <c r="BP463">
        <v>46.994500000000002</v>
      </c>
      <c r="CK463">
        <v>4</v>
      </c>
      <c r="CL463" t="s">
        <v>4</v>
      </c>
      <c r="CM463" t="s">
        <v>98</v>
      </c>
      <c r="CN463" t="s">
        <v>98</v>
      </c>
      <c r="CO463" t="s">
        <v>99</v>
      </c>
      <c r="CP463" t="s">
        <v>100</v>
      </c>
      <c r="CQ463" s="7">
        <v>464</v>
      </c>
      <c r="CR463" t="s">
        <v>100</v>
      </c>
      <c r="CS463" s="7" t="s">
        <v>101</v>
      </c>
      <c r="CT463" t="s">
        <v>152</v>
      </c>
      <c r="CU463" t="s">
        <v>102</v>
      </c>
      <c r="CV463" t="s">
        <v>100</v>
      </c>
    </row>
    <row r="464" spans="1:100">
      <c r="A464" s="3" t="s">
        <v>7586</v>
      </c>
      <c r="B464" s="4" t="s">
        <v>7587</v>
      </c>
      <c r="C464">
        <v>748.63599904775197</v>
      </c>
      <c r="D464">
        <v>1509.18464269989</v>
      </c>
      <c r="E464">
        <f>-1.01108703273158</f>
        <v>-1.01108703273158</v>
      </c>
      <c r="F464" s="5">
        <v>7.6616838423719706E-5</v>
      </c>
      <c r="G464" t="s">
        <v>4</v>
      </c>
      <c r="H464">
        <v>748.63599904775197</v>
      </c>
      <c r="I464">
        <v>243.253111645187</v>
      </c>
      <c r="J464">
        <v>1.6265742670257499</v>
      </c>
      <c r="K464" s="5">
        <v>9.5411851246036898E-11</v>
      </c>
      <c r="L464" t="s">
        <v>4</v>
      </c>
      <c r="M464">
        <v>1509.18464269989</v>
      </c>
      <c r="N464">
        <v>243.253111645187</v>
      </c>
      <c r="O464">
        <v>2.6376612997573301</v>
      </c>
      <c r="P464" s="5">
        <v>6.2293203239469097E-27</v>
      </c>
      <c r="Q464" t="s">
        <v>4</v>
      </c>
      <c r="R464" s="4" t="s">
        <v>87</v>
      </c>
      <c r="S464" t="s">
        <v>4</v>
      </c>
      <c r="T464" t="s">
        <v>7588</v>
      </c>
      <c r="U464" t="s">
        <v>7589</v>
      </c>
      <c r="V464" t="s">
        <v>7590</v>
      </c>
      <c r="W464" t="s">
        <v>203</v>
      </c>
      <c r="X464" t="s">
        <v>4</v>
      </c>
      <c r="Y464" t="s">
        <v>7591</v>
      </c>
      <c r="Z464" t="s">
        <v>7592</v>
      </c>
      <c r="AA464" t="s">
        <v>7593</v>
      </c>
      <c r="AB464" t="s">
        <v>4</v>
      </c>
      <c r="AC464" s="3" t="s">
        <v>7594</v>
      </c>
      <c r="AD464" t="s">
        <v>4</v>
      </c>
      <c r="AE464" t="s">
        <v>7595</v>
      </c>
      <c r="AF464" t="s">
        <v>7596</v>
      </c>
      <c r="AG464" t="s">
        <v>7597</v>
      </c>
      <c r="AH464" t="s">
        <v>112</v>
      </c>
      <c r="AJ464" t="s">
        <v>7598</v>
      </c>
      <c r="AL464" t="s">
        <v>7599</v>
      </c>
      <c r="AM464" t="s">
        <v>7600</v>
      </c>
      <c r="AN464" t="s">
        <v>7601</v>
      </c>
      <c r="AO464" t="s">
        <v>7602</v>
      </c>
      <c r="AP464" t="s">
        <v>7603</v>
      </c>
      <c r="AQ464" t="s">
        <v>7604</v>
      </c>
      <c r="AU464" t="s">
        <v>112</v>
      </c>
      <c r="AV464" t="s">
        <v>7605</v>
      </c>
      <c r="AW464" t="s">
        <v>114</v>
      </c>
      <c r="AX464" t="s">
        <v>371</v>
      </c>
      <c r="AY464" t="s">
        <v>7606</v>
      </c>
      <c r="AZ464" t="s">
        <v>4</v>
      </c>
      <c r="BA464" s="3" t="s">
        <v>95</v>
      </c>
      <c r="BB464" s="6" t="s">
        <v>95</v>
      </c>
      <c r="BC464" s="3" t="s">
        <v>95</v>
      </c>
      <c r="BD464" t="s">
        <v>4</v>
      </c>
      <c r="BE464">
        <v>9253</v>
      </c>
      <c r="BF464" t="s">
        <v>169</v>
      </c>
      <c r="BG464" t="s">
        <v>7607</v>
      </c>
      <c r="BI464">
        <v>92.035399999999996</v>
      </c>
      <c r="BJ464">
        <v>84.070800000000006</v>
      </c>
      <c r="BK464">
        <v>78.761099999999999</v>
      </c>
      <c r="BM464">
        <v>74.336299999999994</v>
      </c>
      <c r="BN464">
        <v>83.1858</v>
      </c>
      <c r="BO464">
        <v>83.1858</v>
      </c>
      <c r="BP464">
        <v>57.522100000000002</v>
      </c>
      <c r="BQ464">
        <v>47.787599999999998</v>
      </c>
      <c r="BR464">
        <v>38.938099999999999</v>
      </c>
      <c r="BT464">
        <v>49.557499999999997</v>
      </c>
      <c r="BU464">
        <v>47.787599999999998</v>
      </c>
      <c r="BV464" t="s">
        <v>7608</v>
      </c>
      <c r="BX464">
        <v>49.557499999999997</v>
      </c>
      <c r="CA464">
        <v>57.522100000000002</v>
      </c>
      <c r="CB464">
        <v>38.938099999999999</v>
      </c>
      <c r="CF464">
        <v>28.3186</v>
      </c>
      <c r="CG464">
        <v>31.8584</v>
      </c>
      <c r="CH464">
        <v>31.8584</v>
      </c>
      <c r="CI464">
        <v>35.398200000000003</v>
      </c>
      <c r="CJ464">
        <v>30.973500000000001</v>
      </c>
      <c r="CK464">
        <v>9</v>
      </c>
      <c r="CL464" t="s">
        <v>4</v>
      </c>
      <c r="CM464" t="s">
        <v>7609</v>
      </c>
      <c r="CN464" t="s">
        <v>7610</v>
      </c>
      <c r="CO464" t="s">
        <v>219</v>
      </c>
      <c r="CP464" t="s">
        <v>100</v>
      </c>
      <c r="CQ464" s="7">
        <v>465</v>
      </c>
      <c r="CR464" t="s">
        <v>100</v>
      </c>
      <c r="CS464" s="7" t="s">
        <v>101</v>
      </c>
      <c r="CT464" t="s">
        <v>152</v>
      </c>
      <c r="CU464" t="s">
        <v>102</v>
      </c>
      <c r="CV464" t="s">
        <v>100</v>
      </c>
    </row>
    <row r="465" spans="1:100">
      <c r="A465" s="3" t="s">
        <v>7611</v>
      </c>
      <c r="B465" s="4" t="s">
        <v>7612</v>
      </c>
      <c r="C465">
        <v>531.57161713308801</v>
      </c>
      <c r="D465">
        <v>1320.76998357559</v>
      </c>
      <c r="E465">
        <f>-1.31271960883263</f>
        <v>-1.3127196088326301</v>
      </c>
      <c r="F465">
        <v>3.8585938771106801E-4</v>
      </c>
      <c r="G465" t="s">
        <v>4</v>
      </c>
      <c r="H465">
        <v>531.57161713308801</v>
      </c>
      <c r="I465">
        <v>212.24737161843299</v>
      </c>
      <c r="J465">
        <v>1.31330637686022</v>
      </c>
      <c r="K465">
        <v>3.4808143332120398E-4</v>
      </c>
      <c r="L465" t="s">
        <v>4</v>
      </c>
      <c r="M465">
        <v>1320.76998357559</v>
      </c>
      <c r="N465">
        <v>212.24737161843299</v>
      </c>
      <c r="O465">
        <v>2.6260259856928498</v>
      </c>
      <c r="P465" s="5">
        <v>6.7114694919856804E-14</v>
      </c>
      <c r="Q465" t="s">
        <v>4</v>
      </c>
      <c r="R465" s="4" t="s">
        <v>87</v>
      </c>
      <c r="S465" t="s">
        <v>4</v>
      </c>
      <c r="T465" t="s">
        <v>7613</v>
      </c>
      <c r="U465" t="s">
        <v>7614</v>
      </c>
      <c r="V465" t="s">
        <v>7615</v>
      </c>
      <c r="W465" t="s">
        <v>328</v>
      </c>
      <c r="X465" t="s">
        <v>4</v>
      </c>
      <c r="Y465" t="s">
        <v>7616</v>
      </c>
      <c r="Z465" t="s">
        <v>7617</v>
      </c>
      <c r="AA465" t="s">
        <v>7618</v>
      </c>
      <c r="AB465" t="s">
        <v>4</v>
      </c>
      <c r="AC465" s="3" t="s">
        <v>7619</v>
      </c>
      <c r="AD465" t="s">
        <v>4</v>
      </c>
      <c r="AE465" t="s">
        <v>7620</v>
      </c>
      <c r="AF465" t="s">
        <v>7621</v>
      </c>
      <c r="AG465" t="s">
        <v>7622</v>
      </c>
      <c r="AH465" t="s">
        <v>112</v>
      </c>
      <c r="AK465" t="s">
        <v>7623</v>
      </c>
      <c r="AL465" t="s">
        <v>7624</v>
      </c>
      <c r="AM465" t="s">
        <v>7625</v>
      </c>
      <c r="AO465" t="s">
        <v>7626</v>
      </c>
      <c r="AP465" t="s">
        <v>7627</v>
      </c>
      <c r="AQ465" t="s">
        <v>7628</v>
      </c>
      <c r="AU465" t="s">
        <v>112</v>
      </c>
      <c r="AV465" t="s">
        <v>7629</v>
      </c>
      <c r="AW465" t="s">
        <v>114</v>
      </c>
      <c r="AX465" t="s">
        <v>1879</v>
      </c>
      <c r="AY465" t="s">
        <v>7630</v>
      </c>
      <c r="AZ465" t="s">
        <v>4</v>
      </c>
      <c r="BA465" s="3" t="s">
        <v>95</v>
      </c>
      <c r="BB465" s="6" t="s">
        <v>95</v>
      </c>
      <c r="BC465" s="3" t="s">
        <v>95</v>
      </c>
      <c r="BD465" t="s">
        <v>4</v>
      </c>
      <c r="BE465">
        <v>7564</v>
      </c>
      <c r="BF465" t="s">
        <v>213</v>
      </c>
      <c r="BG465">
        <v>93.333299999999994</v>
      </c>
      <c r="BH465">
        <v>100</v>
      </c>
      <c r="BJ465">
        <v>70.256399999999999</v>
      </c>
      <c r="BK465">
        <v>64.102599999999995</v>
      </c>
      <c r="BM465">
        <v>72.820499999999996</v>
      </c>
      <c r="BN465">
        <v>73.846199999999996</v>
      </c>
      <c r="BO465">
        <v>66.666700000000006</v>
      </c>
      <c r="BP465">
        <v>44.102600000000002</v>
      </c>
      <c r="BZ465">
        <v>32.307699999999997</v>
      </c>
      <c r="CA465">
        <v>32.307699999999997</v>
      </c>
      <c r="CB465">
        <v>28.7179</v>
      </c>
      <c r="CF465">
        <v>25.1282</v>
      </c>
      <c r="CG465" t="s">
        <v>7631</v>
      </c>
      <c r="CH465">
        <v>26.666699999999999</v>
      </c>
      <c r="CI465">
        <v>25.1282</v>
      </c>
      <c r="CK465">
        <v>8</v>
      </c>
      <c r="CL465" t="s">
        <v>4</v>
      </c>
      <c r="CM465" t="s">
        <v>7632</v>
      </c>
      <c r="CN465" t="s">
        <v>7633</v>
      </c>
      <c r="CO465" t="s">
        <v>219</v>
      </c>
      <c r="CP465" t="s">
        <v>100</v>
      </c>
      <c r="CQ465" s="7">
        <v>466</v>
      </c>
      <c r="CR465" t="s">
        <v>100</v>
      </c>
      <c r="CS465" s="7" t="s">
        <v>101</v>
      </c>
      <c r="CT465" t="s">
        <v>152</v>
      </c>
      <c r="CU465" t="s">
        <v>102</v>
      </c>
      <c r="CV465" t="s">
        <v>100</v>
      </c>
    </row>
    <row r="466" spans="1:100">
      <c r="A466" s="3" t="s">
        <v>7634</v>
      </c>
      <c r="B466" s="4" t="s">
        <v>7635</v>
      </c>
      <c r="C466">
        <v>359.543310651566</v>
      </c>
      <c r="D466">
        <v>1106.18439432492</v>
      </c>
      <c r="E466">
        <f>-1.62053483007593</f>
        <v>-1.6205348300759299</v>
      </c>
      <c r="F466" s="5">
        <v>2.8689364626246702E-7</v>
      </c>
      <c r="G466" t="s">
        <v>4</v>
      </c>
      <c r="H466">
        <v>359.543310651566</v>
      </c>
      <c r="I466">
        <v>178.67298068167</v>
      </c>
      <c r="J466">
        <v>1.0041239054893401</v>
      </c>
      <c r="K466">
        <v>2.1916249573264101E-3</v>
      </c>
      <c r="L466" t="s">
        <v>4</v>
      </c>
      <c r="M466">
        <v>1106.18439432492</v>
      </c>
      <c r="N466">
        <v>178.67298068167</v>
      </c>
      <c r="O466">
        <v>2.62465873556526</v>
      </c>
      <c r="P466" s="5">
        <v>1.7888667600895999E-17</v>
      </c>
      <c r="Q466" t="s">
        <v>4</v>
      </c>
      <c r="R466" s="4" t="s">
        <v>87</v>
      </c>
      <c r="S466" t="s">
        <v>4</v>
      </c>
      <c r="T466" t="s">
        <v>7636</v>
      </c>
      <c r="U466" t="s">
        <v>7637</v>
      </c>
      <c r="V466" t="s">
        <v>7638</v>
      </c>
      <c r="W466" t="s">
        <v>976</v>
      </c>
      <c r="X466" t="s">
        <v>4</v>
      </c>
      <c r="Y466" t="s">
        <v>7639</v>
      </c>
      <c r="Z466" t="s">
        <v>7640</v>
      </c>
      <c r="AA466" t="s">
        <v>7641</v>
      </c>
      <c r="AB466" t="s">
        <v>4</v>
      </c>
      <c r="AC466" s="3" t="s">
        <v>7642</v>
      </c>
      <c r="AD466" t="s">
        <v>4</v>
      </c>
      <c r="AE466" t="s">
        <v>7643</v>
      </c>
      <c r="AF466" t="s">
        <v>7644</v>
      </c>
      <c r="AG466" t="s">
        <v>7645</v>
      </c>
      <c r="AH466" t="s">
        <v>112</v>
      </c>
      <c r="AL466" t="s">
        <v>7646</v>
      </c>
      <c r="AM466" t="s">
        <v>7647</v>
      </c>
      <c r="AQ466" t="s">
        <v>3133</v>
      </c>
      <c r="AR466" t="s">
        <v>7648</v>
      </c>
      <c r="AU466" t="s">
        <v>112</v>
      </c>
      <c r="AV466" t="s">
        <v>7649</v>
      </c>
      <c r="AW466" t="s">
        <v>114</v>
      </c>
      <c r="AX466" t="s">
        <v>909</v>
      </c>
      <c r="AY466" t="s">
        <v>7650</v>
      </c>
      <c r="AZ466" t="s">
        <v>4</v>
      </c>
      <c r="BA466" s="3" t="s">
        <v>95</v>
      </c>
      <c r="BB466" s="6" t="s">
        <v>95</v>
      </c>
      <c r="BC466" s="3" t="s">
        <v>95</v>
      </c>
      <c r="BD466" t="s">
        <v>4</v>
      </c>
      <c r="BE466">
        <v>1311</v>
      </c>
      <c r="BF466" t="s">
        <v>151</v>
      </c>
      <c r="BG466">
        <v>15.0943</v>
      </c>
      <c r="BI466">
        <v>71.698099999999997</v>
      </c>
      <c r="CK466">
        <v>2</v>
      </c>
      <c r="CL466" t="s">
        <v>4</v>
      </c>
      <c r="CM466" t="s">
        <v>98</v>
      </c>
      <c r="CN466" t="s">
        <v>98</v>
      </c>
      <c r="CO466" t="s">
        <v>99</v>
      </c>
      <c r="CP466" t="s">
        <v>100</v>
      </c>
      <c r="CQ466" s="7">
        <v>467</v>
      </c>
      <c r="CR466" t="s">
        <v>100</v>
      </c>
      <c r="CS466" s="7" t="s">
        <v>101</v>
      </c>
      <c r="CT466" t="s">
        <v>152</v>
      </c>
      <c r="CU466" t="s">
        <v>102</v>
      </c>
      <c r="CV466" t="s">
        <v>100</v>
      </c>
    </row>
    <row r="467" spans="1:100">
      <c r="A467" s="3" t="s">
        <v>7651</v>
      </c>
      <c r="B467" s="4" t="s">
        <v>7652</v>
      </c>
      <c r="C467">
        <v>498.15754852907497</v>
      </c>
      <c r="D467">
        <v>1652.81286097002</v>
      </c>
      <c r="E467">
        <f>-1.73007011849193</f>
        <v>-1.73007011849193</v>
      </c>
      <c r="F467" s="5">
        <v>4.5795274426218498E-8</v>
      </c>
      <c r="G467" t="s">
        <v>4</v>
      </c>
      <c r="H467">
        <v>498.15754852907497</v>
      </c>
      <c r="I467">
        <v>271.82564820695501</v>
      </c>
      <c r="J467">
        <v>0.88311312920221596</v>
      </c>
      <c r="K467">
        <v>7.2762869455193901E-3</v>
      </c>
      <c r="L467" t="s">
        <v>4</v>
      </c>
      <c r="M467">
        <v>1652.81286097002</v>
      </c>
      <c r="N467">
        <v>271.82564820695501</v>
      </c>
      <c r="O467">
        <v>2.6131832476941499</v>
      </c>
      <c r="P467" s="5">
        <v>2.15091813619958E-17</v>
      </c>
      <c r="Q467" t="s">
        <v>4</v>
      </c>
      <c r="R467" s="4" t="s">
        <v>87</v>
      </c>
      <c r="S467" t="s">
        <v>4</v>
      </c>
      <c r="T467" t="s">
        <v>200</v>
      </c>
      <c r="U467" t="s">
        <v>201</v>
      </c>
      <c r="V467" t="s">
        <v>202</v>
      </c>
      <c r="W467" t="s">
        <v>203</v>
      </c>
      <c r="X467" t="s">
        <v>4</v>
      </c>
      <c r="Y467" t="s">
        <v>6583</v>
      </c>
      <c r="Z467" t="s">
        <v>6584</v>
      </c>
      <c r="AA467" t="s">
        <v>6585</v>
      </c>
      <c r="AB467" t="s">
        <v>4</v>
      </c>
      <c r="AC467" s="3" t="s">
        <v>7049</v>
      </c>
      <c r="AD467" t="s">
        <v>4</v>
      </c>
      <c r="AE467" t="s">
        <v>7653</v>
      </c>
      <c r="AF467" t="s">
        <v>7654</v>
      </c>
      <c r="AG467" t="s">
        <v>7655</v>
      </c>
      <c r="AH467" t="s">
        <v>112</v>
      </c>
      <c r="AK467" t="s">
        <v>163</v>
      </c>
      <c r="AL467" t="s">
        <v>6590</v>
      </c>
      <c r="AM467" t="s">
        <v>6591</v>
      </c>
      <c r="AQ467" t="s">
        <v>6592</v>
      </c>
      <c r="AU467" t="s">
        <v>112</v>
      </c>
      <c r="AV467" t="s">
        <v>6593</v>
      </c>
      <c r="AW467" t="s">
        <v>114</v>
      </c>
      <c r="AX467" t="s">
        <v>167</v>
      </c>
      <c r="AY467" t="s">
        <v>212</v>
      </c>
      <c r="AZ467" t="s">
        <v>4</v>
      </c>
      <c r="BA467" s="3" t="s">
        <v>95</v>
      </c>
      <c r="BB467" s="6" t="s">
        <v>95</v>
      </c>
      <c r="BC467" s="3" t="s">
        <v>95</v>
      </c>
      <c r="BD467" t="s">
        <v>4</v>
      </c>
      <c r="BE467">
        <v>10198</v>
      </c>
      <c r="BF467" t="s">
        <v>169</v>
      </c>
      <c r="BG467">
        <v>93.630600000000001</v>
      </c>
      <c r="BH467">
        <v>100</v>
      </c>
      <c r="BI467">
        <v>87.261099999999999</v>
      </c>
      <c r="BJ467">
        <v>81.2102</v>
      </c>
      <c r="BK467">
        <v>76.114599999999996</v>
      </c>
      <c r="BL467">
        <v>41.082799999999999</v>
      </c>
      <c r="BM467">
        <v>78.662400000000005</v>
      </c>
      <c r="BN467">
        <v>78.980900000000005</v>
      </c>
      <c r="BO467">
        <v>77.388499999999993</v>
      </c>
      <c r="BP467">
        <v>55.732500000000002</v>
      </c>
      <c r="BQ467">
        <v>33.121000000000002</v>
      </c>
      <c r="BS467">
        <v>34.7134</v>
      </c>
      <c r="BT467" t="s">
        <v>7656</v>
      </c>
      <c r="BU467">
        <v>45.541400000000003</v>
      </c>
      <c r="BV467" t="s">
        <v>7657</v>
      </c>
      <c r="BX467">
        <v>37.261099999999999</v>
      </c>
      <c r="BZ467">
        <v>37.579599999999999</v>
      </c>
      <c r="CB467">
        <v>22.611499999999999</v>
      </c>
      <c r="CC467" t="s">
        <v>7658</v>
      </c>
      <c r="CD467" t="s">
        <v>7659</v>
      </c>
      <c r="CF467">
        <v>44.904499999999999</v>
      </c>
      <c r="CG467">
        <v>51.273899999999998</v>
      </c>
      <c r="CH467">
        <v>50.636899999999997</v>
      </c>
      <c r="CI467">
        <v>50.955399999999997</v>
      </c>
      <c r="CK467">
        <v>9</v>
      </c>
      <c r="CL467" t="s">
        <v>4</v>
      </c>
      <c r="CM467" t="s">
        <v>98</v>
      </c>
      <c r="CN467" t="s">
        <v>98</v>
      </c>
      <c r="CO467" t="s">
        <v>99</v>
      </c>
      <c r="CP467" t="s">
        <v>100</v>
      </c>
      <c r="CQ467" s="7">
        <v>468</v>
      </c>
      <c r="CR467" t="s">
        <v>100</v>
      </c>
      <c r="CS467" t="s">
        <v>100</v>
      </c>
      <c r="CT467" t="s">
        <v>152</v>
      </c>
      <c r="CU467" t="s">
        <v>102</v>
      </c>
      <c r="CV467" t="s">
        <v>100</v>
      </c>
    </row>
    <row r="468" spans="1:100">
      <c r="A468" s="3" t="s">
        <v>7660</v>
      </c>
      <c r="B468" s="4" t="s">
        <v>7661</v>
      </c>
      <c r="C468">
        <v>107.27371169578301</v>
      </c>
      <c r="D468">
        <v>256.33136450022897</v>
      </c>
      <c r="E468">
        <f>-1.25613006832082</f>
        <v>-1.2561300683208201</v>
      </c>
      <c r="F468">
        <v>1.0155125372218099E-2</v>
      </c>
      <c r="G468" t="s">
        <v>4</v>
      </c>
      <c r="H468">
        <v>107.27371169578301</v>
      </c>
      <c r="I468">
        <v>42.058024802285303</v>
      </c>
      <c r="J468">
        <v>1.35148508698293</v>
      </c>
      <c r="K468">
        <v>6.7258355549883299E-3</v>
      </c>
      <c r="L468" t="s">
        <v>4</v>
      </c>
      <c r="M468">
        <v>256.33136450022897</v>
      </c>
      <c r="N468">
        <v>42.058024802285303</v>
      </c>
      <c r="O468">
        <v>2.6076151553037499</v>
      </c>
      <c r="P468" s="5">
        <v>3.4712393364432898E-8</v>
      </c>
      <c r="Q468" t="s">
        <v>4</v>
      </c>
      <c r="R468" s="4" t="s">
        <v>87</v>
      </c>
      <c r="S468" t="s">
        <v>4</v>
      </c>
      <c r="T468" t="s">
        <v>92</v>
      </c>
      <c r="U468" t="s">
        <v>92</v>
      </c>
      <c r="V468" t="s">
        <v>92</v>
      </c>
      <c r="W468" t="s">
        <v>92</v>
      </c>
      <c r="X468" t="s">
        <v>4</v>
      </c>
      <c r="Y468" t="s">
        <v>92</v>
      </c>
      <c r="Z468" t="s">
        <v>92</v>
      </c>
      <c r="AA468" t="s">
        <v>92</v>
      </c>
      <c r="AB468" t="s">
        <v>4</v>
      </c>
      <c r="AC468" s="3" t="s">
        <v>93</v>
      </c>
      <c r="AD468" t="s">
        <v>4</v>
      </c>
      <c r="AE468" t="s">
        <v>6967</v>
      </c>
      <c r="AF468" t="s">
        <v>7662</v>
      </c>
      <c r="AG468" t="s">
        <v>7663</v>
      </c>
      <c r="AH468" t="s">
        <v>112</v>
      </c>
      <c r="AU468" t="s">
        <v>112</v>
      </c>
      <c r="AV468" t="s">
        <v>6970</v>
      </c>
      <c r="AW468" t="s">
        <v>114</v>
      </c>
      <c r="AZ468" t="s">
        <v>4</v>
      </c>
      <c r="BA468" s="3" t="s">
        <v>95</v>
      </c>
      <c r="BB468" s="6" t="s">
        <v>95</v>
      </c>
      <c r="BC468" s="3" t="s">
        <v>95</v>
      </c>
      <c r="BD468" t="s">
        <v>4</v>
      </c>
      <c r="BE468">
        <v>5030</v>
      </c>
      <c r="BF468" t="s">
        <v>282</v>
      </c>
      <c r="BQ468">
        <v>14.7249</v>
      </c>
      <c r="BX468">
        <v>14.7249</v>
      </c>
      <c r="CA468">
        <v>13.430400000000001</v>
      </c>
      <c r="CC468" t="s">
        <v>7664</v>
      </c>
      <c r="CD468">
        <v>11.3269</v>
      </c>
      <c r="CK468">
        <v>6</v>
      </c>
      <c r="CL468" t="s">
        <v>4</v>
      </c>
      <c r="CM468" t="s">
        <v>7665</v>
      </c>
      <c r="CN468" t="s">
        <v>7666</v>
      </c>
      <c r="CO468" t="s">
        <v>1218</v>
      </c>
      <c r="CP468" t="s">
        <v>100</v>
      </c>
      <c r="CQ468" s="7">
        <v>469</v>
      </c>
      <c r="CR468" t="s">
        <v>100</v>
      </c>
      <c r="CS468" s="7" t="s">
        <v>101</v>
      </c>
      <c r="CT468" t="s">
        <v>152</v>
      </c>
      <c r="CU468" t="s">
        <v>102</v>
      </c>
      <c r="CV468" t="s">
        <v>100</v>
      </c>
    </row>
    <row r="469" spans="1:100">
      <c r="A469" s="3" t="s">
        <v>7667</v>
      </c>
      <c r="B469" s="4" t="s">
        <v>7668</v>
      </c>
      <c r="C469">
        <v>296.90085586441103</v>
      </c>
      <c r="D469">
        <v>805.71805345601103</v>
      </c>
      <c r="E469">
        <f>-1.4405949259783</f>
        <v>-1.4405949259783</v>
      </c>
      <c r="F469" s="5">
        <v>7.8221185411687504E-6</v>
      </c>
      <c r="G469" t="s">
        <v>4</v>
      </c>
      <c r="H469">
        <v>296.90085586441103</v>
      </c>
      <c r="I469">
        <v>134.51726917305601</v>
      </c>
      <c r="J469">
        <v>1.15405777480928</v>
      </c>
      <c r="K469">
        <v>5.0562184033098399E-4</v>
      </c>
      <c r="L469" t="s">
        <v>4</v>
      </c>
      <c r="M469">
        <v>805.71805345601103</v>
      </c>
      <c r="N469">
        <v>134.51726917305601</v>
      </c>
      <c r="O469">
        <v>2.5946527007875799</v>
      </c>
      <c r="P469" s="5">
        <v>1.57999731580651E-16</v>
      </c>
      <c r="Q469" t="s">
        <v>4</v>
      </c>
      <c r="R469" s="4" t="s">
        <v>87</v>
      </c>
      <c r="S469" t="s">
        <v>4</v>
      </c>
      <c r="T469" t="s">
        <v>7669</v>
      </c>
      <c r="U469" t="s">
        <v>7670</v>
      </c>
      <c r="V469" t="s">
        <v>7671</v>
      </c>
      <c r="W469" t="s">
        <v>328</v>
      </c>
      <c r="X469" t="s">
        <v>4</v>
      </c>
      <c r="Y469" t="s">
        <v>7672</v>
      </c>
      <c r="Z469" t="s">
        <v>7673</v>
      </c>
      <c r="AA469" t="s">
        <v>7674</v>
      </c>
      <c r="AB469" t="s">
        <v>4</v>
      </c>
      <c r="AC469" s="3" t="s">
        <v>7675</v>
      </c>
      <c r="AD469" t="s">
        <v>4</v>
      </c>
      <c r="AE469" t="s">
        <v>7676</v>
      </c>
      <c r="AF469" t="s">
        <v>7677</v>
      </c>
      <c r="AG469" t="s">
        <v>7678</v>
      </c>
      <c r="AH469" t="s">
        <v>112</v>
      </c>
      <c r="AJ469" t="s">
        <v>7679</v>
      </c>
      <c r="AU469" t="s">
        <v>112</v>
      </c>
      <c r="AV469" t="s">
        <v>7680</v>
      </c>
      <c r="AW469" t="s">
        <v>114</v>
      </c>
      <c r="AX469" t="s">
        <v>371</v>
      </c>
      <c r="AY469" t="s">
        <v>7681</v>
      </c>
      <c r="AZ469" t="s">
        <v>4</v>
      </c>
      <c r="BA469" s="3" t="s">
        <v>95</v>
      </c>
      <c r="BB469" s="6" t="s">
        <v>95</v>
      </c>
      <c r="BC469" s="3" t="s">
        <v>95</v>
      </c>
      <c r="BD469" t="s">
        <v>4</v>
      </c>
      <c r="BE469">
        <v>5357</v>
      </c>
      <c r="BF469" t="s">
        <v>386</v>
      </c>
      <c r="BG469">
        <v>98.401399999999995</v>
      </c>
      <c r="BH469">
        <v>39.431600000000003</v>
      </c>
      <c r="BI469" t="s">
        <v>7682</v>
      </c>
      <c r="BJ469">
        <v>74.245099999999994</v>
      </c>
      <c r="BK469">
        <v>53.1083</v>
      </c>
      <c r="BL469">
        <v>72.646500000000003</v>
      </c>
      <c r="BM469">
        <v>74.067499999999995</v>
      </c>
      <c r="BN469">
        <v>74.245099999999994</v>
      </c>
      <c r="BO469">
        <v>75.3108</v>
      </c>
      <c r="BP469">
        <v>43.694499999999998</v>
      </c>
      <c r="BQ469">
        <v>45.293100000000003</v>
      </c>
      <c r="BR469">
        <v>47.9574</v>
      </c>
      <c r="BS469">
        <v>52.930700000000002</v>
      </c>
      <c r="BT469">
        <v>48.134999999999998</v>
      </c>
      <c r="BV469" t="s">
        <v>7683</v>
      </c>
      <c r="BY469">
        <v>48.312600000000003</v>
      </c>
      <c r="BZ469">
        <v>38.0107</v>
      </c>
      <c r="CA469">
        <v>53.4636</v>
      </c>
      <c r="CB469">
        <v>6.2167000000000003</v>
      </c>
      <c r="CE469">
        <v>14.9201</v>
      </c>
      <c r="CF469">
        <v>13.8544</v>
      </c>
      <c r="CG469" t="s">
        <v>7684</v>
      </c>
      <c r="CH469" t="s">
        <v>7685</v>
      </c>
      <c r="CI469" t="s">
        <v>7686</v>
      </c>
      <c r="CK469">
        <v>7</v>
      </c>
      <c r="CL469" t="s">
        <v>4</v>
      </c>
      <c r="CM469" t="s">
        <v>7687</v>
      </c>
      <c r="CN469" t="s">
        <v>7688</v>
      </c>
      <c r="CO469" t="s">
        <v>219</v>
      </c>
      <c r="CP469" t="s">
        <v>100</v>
      </c>
      <c r="CQ469" s="7">
        <v>470</v>
      </c>
      <c r="CR469" t="s">
        <v>100</v>
      </c>
      <c r="CS469" s="7" t="s">
        <v>101</v>
      </c>
      <c r="CT469" t="s">
        <v>152</v>
      </c>
      <c r="CU469" t="s">
        <v>102</v>
      </c>
      <c r="CV469" t="s">
        <v>100</v>
      </c>
    </row>
    <row r="470" spans="1:100">
      <c r="A470" s="3" t="s">
        <v>7689</v>
      </c>
      <c r="B470" s="4" t="s">
        <v>7690</v>
      </c>
      <c r="C470">
        <v>832.83871011602105</v>
      </c>
      <c r="D470">
        <v>3055.7417647427801</v>
      </c>
      <c r="E470">
        <f>-1.87545581975204</f>
        <v>-1.8754558197520399</v>
      </c>
      <c r="F470" s="5">
        <v>1.93746913385872E-10</v>
      </c>
      <c r="G470" t="s">
        <v>4</v>
      </c>
      <c r="H470">
        <v>832.83871011602105</v>
      </c>
      <c r="I470">
        <v>508.56089868140799</v>
      </c>
      <c r="J470">
        <v>0.70807245843730504</v>
      </c>
      <c r="K470">
        <v>2.22440886144845E-2</v>
      </c>
      <c r="L470" t="s">
        <v>4</v>
      </c>
      <c r="M470">
        <v>3055.7417647427801</v>
      </c>
      <c r="N470">
        <v>508.56089868140799</v>
      </c>
      <c r="O470">
        <v>2.5835282781893398</v>
      </c>
      <c r="P470" s="5">
        <v>2.2261306678585901E-19</v>
      </c>
      <c r="Q470" t="s">
        <v>4</v>
      </c>
      <c r="R470" s="4" t="s">
        <v>87</v>
      </c>
      <c r="S470" t="s">
        <v>4</v>
      </c>
      <c r="T470" t="s">
        <v>7691</v>
      </c>
      <c r="U470" t="s">
        <v>7692</v>
      </c>
      <c r="V470" t="s">
        <v>7693</v>
      </c>
      <c r="W470" t="s">
        <v>7694</v>
      </c>
      <c r="X470" t="s">
        <v>4</v>
      </c>
      <c r="Y470" t="s">
        <v>7695</v>
      </c>
      <c r="Z470" t="s">
        <v>7696</v>
      </c>
      <c r="AA470" t="s">
        <v>7697</v>
      </c>
      <c r="AB470" t="s">
        <v>4</v>
      </c>
      <c r="AC470" s="3" t="s">
        <v>7698</v>
      </c>
      <c r="AD470" t="s">
        <v>4</v>
      </c>
      <c r="AE470" t="s">
        <v>7699</v>
      </c>
      <c r="AF470" t="s">
        <v>7700</v>
      </c>
      <c r="AG470" t="s">
        <v>7701</v>
      </c>
      <c r="AH470" t="s">
        <v>112</v>
      </c>
      <c r="AJ470" t="s">
        <v>7702</v>
      </c>
      <c r="AK470" t="s">
        <v>7703</v>
      </c>
      <c r="AL470" t="s">
        <v>7704</v>
      </c>
      <c r="AQ470" t="s">
        <v>7705</v>
      </c>
      <c r="AU470" t="s">
        <v>112</v>
      </c>
      <c r="AV470" t="s">
        <v>7706</v>
      </c>
      <c r="AW470" t="s">
        <v>114</v>
      </c>
      <c r="AX470" t="s">
        <v>144</v>
      </c>
      <c r="AY470" t="s">
        <v>7707</v>
      </c>
      <c r="AZ470" t="s">
        <v>4</v>
      </c>
      <c r="BA470" s="3" t="s">
        <v>95</v>
      </c>
      <c r="BB470" s="6" t="s">
        <v>95</v>
      </c>
      <c r="BC470" s="3" t="s">
        <v>95</v>
      </c>
      <c r="BD470" t="s">
        <v>4</v>
      </c>
      <c r="BE470">
        <v>8565</v>
      </c>
      <c r="BF470" t="s">
        <v>169</v>
      </c>
      <c r="BG470">
        <v>78.260900000000007</v>
      </c>
      <c r="BH470">
        <v>93.478300000000004</v>
      </c>
      <c r="BI470">
        <v>62.318800000000003</v>
      </c>
      <c r="BJ470">
        <v>73.188400000000001</v>
      </c>
      <c r="BK470">
        <v>70.289900000000003</v>
      </c>
      <c r="BM470">
        <v>35.1449</v>
      </c>
      <c r="BN470">
        <v>86.231899999999996</v>
      </c>
      <c r="BO470">
        <v>73.912999999999997</v>
      </c>
      <c r="BP470">
        <v>48.188400000000001</v>
      </c>
      <c r="BQ470">
        <v>28.623200000000001</v>
      </c>
      <c r="BR470">
        <v>40.217399999999998</v>
      </c>
      <c r="BS470">
        <v>29.347799999999999</v>
      </c>
      <c r="BT470" t="s">
        <v>7708</v>
      </c>
      <c r="BU470">
        <v>15.942</v>
      </c>
      <c r="BV470" t="s">
        <v>7709</v>
      </c>
      <c r="BW470">
        <v>36.231900000000003</v>
      </c>
      <c r="BX470">
        <v>42.391300000000001</v>
      </c>
      <c r="BZ470">
        <v>30.7971</v>
      </c>
      <c r="CA470">
        <v>41.304299999999998</v>
      </c>
      <c r="CB470">
        <v>39.492800000000003</v>
      </c>
      <c r="CC470">
        <v>31.521699999999999</v>
      </c>
      <c r="CD470">
        <v>28.985499999999998</v>
      </c>
      <c r="CE470">
        <v>29.347799999999999</v>
      </c>
      <c r="CF470">
        <v>31.8841</v>
      </c>
      <c r="CG470">
        <v>40.942</v>
      </c>
      <c r="CH470">
        <v>41.304299999999998</v>
      </c>
      <c r="CI470">
        <v>39.8551</v>
      </c>
      <c r="CJ470">
        <v>28.260899999999999</v>
      </c>
      <c r="CK470">
        <v>9</v>
      </c>
      <c r="CL470" t="s">
        <v>4</v>
      </c>
      <c r="CM470" t="s">
        <v>7710</v>
      </c>
      <c r="CN470" t="s">
        <v>7711</v>
      </c>
      <c r="CO470" t="s">
        <v>219</v>
      </c>
      <c r="CP470" t="s">
        <v>100</v>
      </c>
      <c r="CQ470" s="7">
        <v>471</v>
      </c>
      <c r="CR470" t="s">
        <v>100</v>
      </c>
      <c r="CS470" t="s">
        <v>100</v>
      </c>
      <c r="CT470" t="s">
        <v>152</v>
      </c>
      <c r="CU470" t="s">
        <v>102</v>
      </c>
      <c r="CV470" t="s">
        <v>100</v>
      </c>
    </row>
    <row r="471" spans="1:100">
      <c r="A471" s="3" t="s">
        <v>7712</v>
      </c>
      <c r="B471" s="4" t="s">
        <v>7713</v>
      </c>
      <c r="C471">
        <v>31.134078844328801</v>
      </c>
      <c r="D471">
        <v>81.1964387564703</v>
      </c>
      <c r="E471">
        <f>-1.38586932305481</f>
        <v>-1.38586932305481</v>
      </c>
      <c r="F471">
        <v>5.1139322831369504E-3</v>
      </c>
      <c r="G471" t="s">
        <v>4</v>
      </c>
      <c r="H471">
        <v>31.134078844328801</v>
      </c>
      <c r="I471">
        <v>13.938726331434101</v>
      </c>
      <c r="J471">
        <v>1.19300341610285</v>
      </c>
      <c r="K471">
        <v>3.4247801275620202E-2</v>
      </c>
      <c r="L471" t="s">
        <v>4</v>
      </c>
      <c r="M471">
        <v>81.1964387564703</v>
      </c>
      <c r="N471">
        <v>13.938726331434101</v>
      </c>
      <c r="O471">
        <v>2.57887273915766</v>
      </c>
      <c r="P471" s="5">
        <v>7.9622718035656097E-7</v>
      </c>
      <c r="Q471" t="s">
        <v>4</v>
      </c>
      <c r="R471" s="4" t="s">
        <v>87</v>
      </c>
      <c r="S471" t="s">
        <v>4</v>
      </c>
      <c r="T471" t="s">
        <v>92</v>
      </c>
      <c r="U471" t="s">
        <v>92</v>
      </c>
      <c r="V471" t="s">
        <v>92</v>
      </c>
      <c r="W471" t="s">
        <v>92</v>
      </c>
      <c r="X471" t="s">
        <v>4</v>
      </c>
      <c r="Y471" t="s">
        <v>7095</v>
      </c>
      <c r="Z471" t="s">
        <v>7096</v>
      </c>
      <c r="AA471" t="s">
        <v>7096</v>
      </c>
      <c r="AB471" t="s">
        <v>4</v>
      </c>
      <c r="AC471" s="3" t="s">
        <v>93</v>
      </c>
      <c r="AD471" t="s">
        <v>4</v>
      </c>
      <c r="AE471" t="s">
        <v>7098</v>
      </c>
      <c r="AF471" t="s">
        <v>7099</v>
      </c>
      <c r="AG471" t="s">
        <v>7100</v>
      </c>
      <c r="AH471" t="s">
        <v>112</v>
      </c>
      <c r="AU471" t="s">
        <v>112</v>
      </c>
      <c r="AV471" t="s">
        <v>7101</v>
      </c>
      <c r="AW471" t="s">
        <v>114</v>
      </c>
      <c r="AX471" t="s">
        <v>144</v>
      </c>
      <c r="AY471" t="s">
        <v>7102</v>
      </c>
      <c r="AZ471" t="s">
        <v>4</v>
      </c>
      <c r="BA471" s="3" t="s">
        <v>95</v>
      </c>
      <c r="BB471" s="6" t="s">
        <v>95</v>
      </c>
      <c r="BC471" s="3" t="s">
        <v>197</v>
      </c>
      <c r="BD471" t="s">
        <v>4</v>
      </c>
      <c r="BE471">
        <v>1676</v>
      </c>
      <c r="BF471" t="s">
        <v>151</v>
      </c>
      <c r="BG471">
        <v>95.3125</v>
      </c>
      <c r="BJ471" t="s">
        <v>7103</v>
      </c>
      <c r="BK471">
        <v>61.718800000000002</v>
      </c>
      <c r="BO471" t="s">
        <v>7104</v>
      </c>
      <c r="CK471">
        <v>2</v>
      </c>
      <c r="CL471" t="s">
        <v>4</v>
      </c>
      <c r="CM471" t="s">
        <v>98</v>
      </c>
      <c r="CN471" t="s">
        <v>98</v>
      </c>
      <c r="CO471" t="s">
        <v>99</v>
      </c>
      <c r="CP471" t="s">
        <v>100</v>
      </c>
      <c r="CQ471" s="7">
        <v>472</v>
      </c>
      <c r="CR471" t="s">
        <v>100</v>
      </c>
      <c r="CS471" s="7" t="s">
        <v>101</v>
      </c>
      <c r="CT471" t="s">
        <v>152</v>
      </c>
      <c r="CU471" t="s">
        <v>102</v>
      </c>
      <c r="CV471" t="s">
        <v>100</v>
      </c>
    </row>
    <row r="472" spans="1:100">
      <c r="A472" s="3" t="s">
        <v>7714</v>
      </c>
      <c r="B472" s="4" t="s">
        <v>7715</v>
      </c>
      <c r="C472">
        <v>122.44919001172801</v>
      </c>
      <c r="D472">
        <v>319.31230876255597</v>
      </c>
      <c r="E472">
        <f>-1.38234544233145</f>
        <v>-1.3823454423314501</v>
      </c>
      <c r="F472">
        <v>3.3971921589272102E-3</v>
      </c>
      <c r="G472" t="s">
        <v>4</v>
      </c>
      <c r="H472">
        <v>122.44919001172801</v>
      </c>
      <c r="I472">
        <v>54.4679906196315</v>
      </c>
      <c r="J472">
        <v>1.1846218453497901</v>
      </c>
      <c r="K472">
        <v>1.4399485077762101E-2</v>
      </c>
      <c r="L472" t="s">
        <v>4</v>
      </c>
      <c r="M472">
        <v>319.31230876255597</v>
      </c>
      <c r="N472">
        <v>54.4679906196315</v>
      </c>
      <c r="O472">
        <v>2.5669672876812402</v>
      </c>
      <c r="P472" s="5">
        <v>1.76032537272919E-8</v>
      </c>
      <c r="Q472" t="s">
        <v>4</v>
      </c>
      <c r="R472" s="4" t="s">
        <v>87</v>
      </c>
      <c r="S472" t="s">
        <v>4</v>
      </c>
      <c r="T472" t="s">
        <v>7716</v>
      </c>
      <c r="U472" t="s">
        <v>7717</v>
      </c>
      <c r="V472" t="s">
        <v>7718</v>
      </c>
      <c r="W472" t="s">
        <v>328</v>
      </c>
      <c r="X472" t="s">
        <v>4</v>
      </c>
      <c r="Y472" t="s">
        <v>7719</v>
      </c>
      <c r="Z472" t="s">
        <v>7720</v>
      </c>
      <c r="AA472" t="s">
        <v>7721</v>
      </c>
      <c r="AB472" t="s">
        <v>4</v>
      </c>
      <c r="AC472" s="3" t="s">
        <v>7722</v>
      </c>
      <c r="AD472" t="s">
        <v>4</v>
      </c>
      <c r="AE472" t="s">
        <v>7723</v>
      </c>
      <c r="AF472" t="s">
        <v>834</v>
      </c>
      <c r="AG472" t="s">
        <v>7724</v>
      </c>
      <c r="AH472" t="s">
        <v>112</v>
      </c>
      <c r="AU472" t="s">
        <v>112</v>
      </c>
      <c r="AV472" t="s">
        <v>7725</v>
      </c>
      <c r="AW472" t="s">
        <v>114</v>
      </c>
      <c r="AX472" t="s">
        <v>7726</v>
      </c>
      <c r="AY472" t="s">
        <v>7727</v>
      </c>
      <c r="AZ472" t="s">
        <v>4</v>
      </c>
      <c r="BA472" s="3" t="s">
        <v>95</v>
      </c>
      <c r="BB472" t="s">
        <v>96</v>
      </c>
      <c r="BC472" s="3" t="s">
        <v>95</v>
      </c>
      <c r="BD472" t="s">
        <v>4</v>
      </c>
      <c r="BE472">
        <v>5913</v>
      </c>
      <c r="BF472" t="s">
        <v>213</v>
      </c>
      <c r="BG472">
        <v>97.853499999999997</v>
      </c>
      <c r="BI472">
        <v>87.121200000000002</v>
      </c>
      <c r="BJ472">
        <v>81.439400000000006</v>
      </c>
      <c r="BK472">
        <v>74.747500000000002</v>
      </c>
      <c r="BM472">
        <v>45.707099999999997</v>
      </c>
      <c r="BN472">
        <v>76.388900000000007</v>
      </c>
      <c r="BO472">
        <v>76.388900000000007</v>
      </c>
      <c r="BP472" t="s">
        <v>7728</v>
      </c>
      <c r="BS472" t="s">
        <v>7729</v>
      </c>
      <c r="CF472" t="s">
        <v>7730</v>
      </c>
      <c r="CG472" t="s">
        <v>7731</v>
      </c>
      <c r="CH472" t="s">
        <v>7732</v>
      </c>
      <c r="CI472" t="s">
        <v>7733</v>
      </c>
      <c r="CK472">
        <v>8</v>
      </c>
      <c r="CL472" t="s">
        <v>4</v>
      </c>
      <c r="CM472" t="s">
        <v>98</v>
      </c>
      <c r="CN472" t="s">
        <v>98</v>
      </c>
      <c r="CO472" t="s">
        <v>99</v>
      </c>
      <c r="CP472" t="s">
        <v>100</v>
      </c>
      <c r="CQ472" s="7">
        <v>473</v>
      </c>
      <c r="CR472" t="s">
        <v>100</v>
      </c>
      <c r="CS472" s="7" t="s">
        <v>101</v>
      </c>
      <c r="CT472" t="s">
        <v>152</v>
      </c>
      <c r="CU472" t="s">
        <v>102</v>
      </c>
      <c r="CV472" t="s">
        <v>100</v>
      </c>
    </row>
    <row r="473" spans="1:100">
      <c r="A473" s="3" t="s">
        <v>7734</v>
      </c>
      <c r="B473" s="4" t="s">
        <v>7735</v>
      </c>
      <c r="C473">
        <v>404.523660554125</v>
      </c>
      <c r="D473">
        <v>960.77153718903105</v>
      </c>
      <c r="E473">
        <f>-1.24711032157985</f>
        <v>-1.24711032157985</v>
      </c>
      <c r="F473" s="5">
        <v>6.6719354186474398E-6</v>
      </c>
      <c r="G473" t="s">
        <v>4</v>
      </c>
      <c r="H473">
        <v>404.523660554125</v>
      </c>
      <c r="I473">
        <v>162.310154567366</v>
      </c>
      <c r="J473">
        <v>1.3069116648663599</v>
      </c>
      <c r="K473" s="5">
        <v>3.4782415406407498E-6</v>
      </c>
      <c r="L473" t="s">
        <v>4</v>
      </c>
      <c r="M473">
        <v>960.77153718903105</v>
      </c>
      <c r="N473">
        <v>162.310154567366</v>
      </c>
      <c r="O473">
        <v>2.5540219864462101</v>
      </c>
      <c r="P473" s="5">
        <v>3.7476785656581101E-21</v>
      </c>
      <c r="Q473" t="s">
        <v>4</v>
      </c>
      <c r="R473" s="4" t="s">
        <v>87</v>
      </c>
      <c r="S473" t="s">
        <v>4</v>
      </c>
      <c r="T473" t="s">
        <v>7736</v>
      </c>
      <c r="U473" t="s">
        <v>7737</v>
      </c>
      <c r="V473" t="s">
        <v>7738</v>
      </c>
      <c r="W473" t="s">
        <v>976</v>
      </c>
      <c r="X473" t="s">
        <v>4</v>
      </c>
      <c r="Y473" t="s">
        <v>7739</v>
      </c>
      <c r="Z473" t="s">
        <v>7740</v>
      </c>
      <c r="AA473" t="s">
        <v>7741</v>
      </c>
      <c r="AB473" t="s">
        <v>4</v>
      </c>
      <c r="AC473" s="3" t="s">
        <v>7742</v>
      </c>
      <c r="AD473" t="s">
        <v>4</v>
      </c>
      <c r="AE473" t="s">
        <v>7743</v>
      </c>
      <c r="AF473" t="s">
        <v>7744</v>
      </c>
      <c r="AG473" t="s">
        <v>6532</v>
      </c>
      <c r="AH473" t="s">
        <v>112</v>
      </c>
      <c r="AJ473" t="s">
        <v>7745</v>
      </c>
      <c r="AL473" t="s">
        <v>7746</v>
      </c>
      <c r="AM473" t="s">
        <v>7747</v>
      </c>
      <c r="AQ473" t="s">
        <v>3868</v>
      </c>
      <c r="AR473" t="s">
        <v>7748</v>
      </c>
      <c r="AU473" t="s">
        <v>112</v>
      </c>
      <c r="AV473" t="s">
        <v>7749</v>
      </c>
      <c r="AW473" t="s">
        <v>114</v>
      </c>
      <c r="AX473" t="s">
        <v>132</v>
      </c>
      <c r="AY473" t="s">
        <v>7750</v>
      </c>
      <c r="AZ473" t="s">
        <v>4</v>
      </c>
      <c r="BA473" s="3" t="s">
        <v>95</v>
      </c>
      <c r="BB473" t="s">
        <v>96</v>
      </c>
      <c r="BC473" s="3" t="s">
        <v>95</v>
      </c>
      <c r="BD473" t="s">
        <v>4</v>
      </c>
      <c r="BE473">
        <v>2340</v>
      </c>
      <c r="BF473" t="s">
        <v>148</v>
      </c>
      <c r="BH473">
        <v>86.842100000000002</v>
      </c>
      <c r="BI473">
        <v>88.596500000000006</v>
      </c>
      <c r="BJ473">
        <v>73.684200000000004</v>
      </c>
      <c r="BK473">
        <v>68.8596</v>
      </c>
      <c r="BO473">
        <v>63.157899999999998</v>
      </c>
      <c r="CK473">
        <v>3</v>
      </c>
      <c r="CL473" t="s">
        <v>4</v>
      </c>
      <c r="CM473" t="s">
        <v>98</v>
      </c>
      <c r="CN473" t="s">
        <v>98</v>
      </c>
      <c r="CO473" t="s">
        <v>99</v>
      </c>
      <c r="CP473" t="s">
        <v>100</v>
      </c>
      <c r="CQ473" s="7">
        <v>474</v>
      </c>
      <c r="CR473" t="s">
        <v>100</v>
      </c>
      <c r="CS473" s="7" t="s">
        <v>101</v>
      </c>
      <c r="CT473" t="s">
        <v>152</v>
      </c>
      <c r="CU473" t="s">
        <v>102</v>
      </c>
      <c r="CV473" t="s">
        <v>100</v>
      </c>
    </row>
    <row r="474" spans="1:100">
      <c r="A474" s="3" t="s">
        <v>7751</v>
      </c>
      <c r="B474" s="4" t="s">
        <v>7752</v>
      </c>
      <c r="C474">
        <v>1206.5015037660901</v>
      </c>
      <c r="D474">
        <v>2555.6003634246099</v>
      </c>
      <c r="E474">
        <f>-1.08250299872513</f>
        <v>-1.08250299872513</v>
      </c>
      <c r="F474" s="5">
        <v>1.2077190700131701E-10</v>
      </c>
      <c r="G474" t="s">
        <v>4</v>
      </c>
      <c r="H474">
        <v>1206.5015037660901</v>
      </c>
      <c r="I474">
        <v>436.073554759263</v>
      </c>
      <c r="J474">
        <v>1.46820231530157</v>
      </c>
      <c r="K474" s="5">
        <v>5.3972783929146399E-18</v>
      </c>
      <c r="L474" t="s">
        <v>4</v>
      </c>
      <c r="M474">
        <v>2555.6003634246099</v>
      </c>
      <c r="N474">
        <v>436.073554759263</v>
      </c>
      <c r="O474">
        <v>2.5507053140267</v>
      </c>
      <c r="P474" s="5">
        <v>6.5227476517932596E-53</v>
      </c>
      <c r="Q474" t="s">
        <v>4</v>
      </c>
      <c r="R474" s="4" t="s">
        <v>87</v>
      </c>
      <c r="S474" t="s">
        <v>4</v>
      </c>
      <c r="T474" t="s">
        <v>7753</v>
      </c>
      <c r="U474" t="s">
        <v>7754</v>
      </c>
      <c r="V474" t="s">
        <v>7755</v>
      </c>
      <c r="W474" t="s">
        <v>123</v>
      </c>
      <c r="X474" t="s">
        <v>4</v>
      </c>
      <c r="Y474" t="s">
        <v>7756</v>
      </c>
      <c r="Z474" t="s">
        <v>7757</v>
      </c>
      <c r="AA474" t="s">
        <v>7758</v>
      </c>
      <c r="AB474" t="s">
        <v>4</v>
      </c>
      <c r="AC474" s="3" t="s">
        <v>7759</v>
      </c>
      <c r="AD474" t="s">
        <v>4</v>
      </c>
      <c r="AE474" t="s">
        <v>7760</v>
      </c>
      <c r="AF474" t="s">
        <v>7761</v>
      </c>
      <c r="AG474" t="s">
        <v>7762</v>
      </c>
      <c r="AH474" t="s">
        <v>112</v>
      </c>
      <c r="AL474" t="s">
        <v>7763</v>
      </c>
      <c r="AQ474" t="s">
        <v>7764</v>
      </c>
      <c r="AU474" t="s">
        <v>112</v>
      </c>
      <c r="AV474" t="s">
        <v>7765</v>
      </c>
      <c r="AW474" t="s">
        <v>114</v>
      </c>
      <c r="AX474" t="s">
        <v>733</v>
      </c>
      <c r="AY474" t="s">
        <v>7766</v>
      </c>
      <c r="AZ474" t="s">
        <v>4</v>
      </c>
      <c r="BA474" s="3" t="s">
        <v>95</v>
      </c>
      <c r="BB474" s="6" t="s">
        <v>95</v>
      </c>
      <c r="BC474" s="3" t="s">
        <v>95</v>
      </c>
      <c r="BD474" t="s">
        <v>4</v>
      </c>
      <c r="BE474">
        <v>9896</v>
      </c>
      <c r="BF474" t="s">
        <v>169</v>
      </c>
      <c r="BG474">
        <v>98.396799999999999</v>
      </c>
      <c r="BH474">
        <v>95.190399999999997</v>
      </c>
      <c r="BI474">
        <v>90.581199999999995</v>
      </c>
      <c r="BJ474">
        <v>77.755499999999998</v>
      </c>
      <c r="BK474">
        <v>69.539100000000005</v>
      </c>
      <c r="BL474">
        <v>45.491</v>
      </c>
      <c r="BM474">
        <v>52.304600000000001</v>
      </c>
      <c r="BN474">
        <v>77.9559</v>
      </c>
      <c r="BO474">
        <v>72.545100000000005</v>
      </c>
      <c r="BP474">
        <v>45.090200000000003</v>
      </c>
      <c r="BR474">
        <v>30.861699999999999</v>
      </c>
      <c r="BS474">
        <v>27.054099999999998</v>
      </c>
      <c r="BT474">
        <v>28.857700000000001</v>
      </c>
      <c r="BV474" t="s">
        <v>7767</v>
      </c>
      <c r="BW474">
        <v>36.272500000000001</v>
      </c>
      <c r="BX474">
        <v>35.871699999999997</v>
      </c>
      <c r="BZ474">
        <v>25.0501</v>
      </c>
      <c r="CA474">
        <v>35.4709</v>
      </c>
      <c r="CB474">
        <v>20.440899999999999</v>
      </c>
      <c r="CG474">
        <v>28.657299999999999</v>
      </c>
      <c r="CH474">
        <v>28.857700000000001</v>
      </c>
      <c r="CI474">
        <v>27.6553</v>
      </c>
      <c r="CK474">
        <v>9</v>
      </c>
      <c r="CL474" t="s">
        <v>4</v>
      </c>
      <c r="CM474" t="s">
        <v>7768</v>
      </c>
      <c r="CN474" t="s">
        <v>7769</v>
      </c>
      <c r="CO474" t="s">
        <v>219</v>
      </c>
      <c r="CP474" t="s">
        <v>100</v>
      </c>
      <c r="CQ474" s="7">
        <v>475</v>
      </c>
      <c r="CR474" t="s">
        <v>100</v>
      </c>
      <c r="CS474" s="7" t="s">
        <v>101</v>
      </c>
      <c r="CT474" t="s">
        <v>152</v>
      </c>
      <c r="CU474" t="s">
        <v>102</v>
      </c>
      <c r="CV474" t="s">
        <v>100</v>
      </c>
    </row>
    <row r="475" spans="1:100">
      <c r="A475" s="3" t="s">
        <v>7770</v>
      </c>
      <c r="B475" s="4" t="s">
        <v>7771</v>
      </c>
      <c r="C475">
        <v>23.8535278209254</v>
      </c>
      <c r="D475">
        <v>91.020266043082003</v>
      </c>
      <c r="E475">
        <f>-1.93496977206192</f>
        <v>-1.9349697720619199</v>
      </c>
      <c r="F475">
        <v>1.6164172629427E-4</v>
      </c>
      <c r="G475" t="s">
        <v>4</v>
      </c>
      <c r="H475">
        <v>23.8535278209254</v>
      </c>
      <c r="I475">
        <v>16.136388997377399</v>
      </c>
      <c r="J475">
        <v>0.61566662022567997</v>
      </c>
      <c r="K475">
        <v>0.307449649229182</v>
      </c>
      <c r="L475" t="s">
        <v>4</v>
      </c>
      <c r="M475">
        <v>91.020266043082003</v>
      </c>
      <c r="N475">
        <v>16.136388997377399</v>
      </c>
      <c r="O475">
        <v>2.5506363922876001</v>
      </c>
      <c r="P475" s="5">
        <v>1.6989261767033999E-6</v>
      </c>
      <c r="Q475" t="s">
        <v>4</v>
      </c>
      <c r="R475" s="4" t="s">
        <v>87</v>
      </c>
      <c r="S475" t="s">
        <v>4</v>
      </c>
      <c r="T475" t="s">
        <v>7772</v>
      </c>
      <c r="U475" t="s">
        <v>7773</v>
      </c>
      <c r="V475" t="s">
        <v>7774</v>
      </c>
      <c r="W475" t="s">
        <v>123</v>
      </c>
      <c r="X475" t="s">
        <v>4</v>
      </c>
      <c r="Y475" t="s">
        <v>7775</v>
      </c>
      <c r="Z475" t="s">
        <v>7776</v>
      </c>
      <c r="AA475" t="s">
        <v>7777</v>
      </c>
      <c r="AB475" t="s">
        <v>4</v>
      </c>
      <c r="AC475" s="3" t="s">
        <v>93</v>
      </c>
      <c r="AD475" t="s">
        <v>4</v>
      </c>
      <c r="AE475" s="4" t="s">
        <v>94</v>
      </c>
      <c r="AZ475" t="s">
        <v>4</v>
      </c>
      <c r="BA475" s="3" t="s">
        <v>95</v>
      </c>
      <c r="BB475" s="6" t="s">
        <v>95</v>
      </c>
      <c r="BC475" s="3" t="s">
        <v>95</v>
      </c>
      <c r="BD475" t="s">
        <v>4</v>
      </c>
      <c r="BE475">
        <v>3120</v>
      </c>
      <c r="BF475" t="s">
        <v>97</v>
      </c>
      <c r="BI475">
        <v>63.763100000000001</v>
      </c>
      <c r="BJ475">
        <v>58.5366</v>
      </c>
      <c r="BN475">
        <v>75.609800000000007</v>
      </c>
      <c r="BO475">
        <v>75.958200000000005</v>
      </c>
      <c r="BP475">
        <v>39.721299999999999</v>
      </c>
      <c r="CK475">
        <v>4</v>
      </c>
      <c r="CL475" t="s">
        <v>4</v>
      </c>
      <c r="CM475" t="s">
        <v>98</v>
      </c>
      <c r="CN475" t="s">
        <v>98</v>
      </c>
      <c r="CO475" t="s">
        <v>99</v>
      </c>
      <c r="CP475" t="s">
        <v>100</v>
      </c>
      <c r="CQ475" s="7">
        <v>476</v>
      </c>
      <c r="CR475" t="s">
        <v>100</v>
      </c>
      <c r="CS475" t="s">
        <v>100</v>
      </c>
      <c r="CT475" t="s">
        <v>152</v>
      </c>
      <c r="CU475" t="s">
        <v>102</v>
      </c>
      <c r="CV475" t="s">
        <v>100</v>
      </c>
    </row>
    <row r="476" spans="1:100">
      <c r="A476" s="3" t="s">
        <v>7778</v>
      </c>
      <c r="B476" s="4" t="s">
        <v>7779</v>
      </c>
      <c r="C476">
        <v>199.650724714929</v>
      </c>
      <c r="D476">
        <v>502.48826996266598</v>
      </c>
      <c r="E476">
        <f>-1.33050020276095</f>
        <v>-1.33050020276095</v>
      </c>
      <c r="F476">
        <v>2.3704230493687401E-4</v>
      </c>
      <c r="G476" t="s">
        <v>4</v>
      </c>
      <c r="H476">
        <v>199.650724714929</v>
      </c>
      <c r="I476">
        <v>86.0742204030946</v>
      </c>
      <c r="J476">
        <v>1.2076873908927801</v>
      </c>
      <c r="K476">
        <v>1.1659715298785601E-3</v>
      </c>
      <c r="L476" t="s">
        <v>4</v>
      </c>
      <c r="M476">
        <v>502.48826996266598</v>
      </c>
      <c r="N476">
        <v>86.0742204030946</v>
      </c>
      <c r="O476">
        <v>2.5381875936537299</v>
      </c>
      <c r="P476" s="5">
        <v>6.0637265954982904E-13</v>
      </c>
      <c r="Q476" t="s">
        <v>4</v>
      </c>
      <c r="R476" s="4" t="s">
        <v>87</v>
      </c>
      <c r="S476" t="s">
        <v>4</v>
      </c>
      <c r="T476" t="s">
        <v>88</v>
      </c>
      <c r="U476" t="s">
        <v>89</v>
      </c>
      <c r="V476" t="s">
        <v>90</v>
      </c>
      <c r="W476" t="s">
        <v>91</v>
      </c>
      <c r="X476" t="s">
        <v>4</v>
      </c>
      <c r="Y476" t="s">
        <v>92</v>
      </c>
      <c r="Z476" t="s">
        <v>92</v>
      </c>
      <c r="AA476" t="s">
        <v>92</v>
      </c>
      <c r="AB476" t="s">
        <v>4</v>
      </c>
      <c r="AC476" s="3" t="s">
        <v>93</v>
      </c>
      <c r="AD476" t="s">
        <v>4</v>
      </c>
      <c r="AE476" s="4" t="s">
        <v>94</v>
      </c>
      <c r="AZ476" t="s">
        <v>4</v>
      </c>
      <c r="BA476" s="3" t="s">
        <v>95</v>
      </c>
      <c r="BB476" t="s">
        <v>96</v>
      </c>
      <c r="BC476" s="3" t="s">
        <v>197</v>
      </c>
      <c r="BD476" t="s">
        <v>4</v>
      </c>
      <c r="BE476">
        <v>2400</v>
      </c>
      <c r="BF476" t="s">
        <v>148</v>
      </c>
      <c r="BG476">
        <v>64.444400000000002</v>
      </c>
      <c r="BH476">
        <v>85.777799999999999</v>
      </c>
      <c r="BI476">
        <v>52</v>
      </c>
      <c r="BJ476">
        <v>62.666699999999999</v>
      </c>
      <c r="BK476" t="s">
        <v>7780</v>
      </c>
      <c r="BL476">
        <v>51.1111</v>
      </c>
      <c r="BM476">
        <v>49.333300000000001</v>
      </c>
      <c r="BN476">
        <v>52.444400000000002</v>
      </c>
      <c r="BO476" t="s">
        <v>7781</v>
      </c>
      <c r="CK476">
        <v>3</v>
      </c>
      <c r="CL476" t="s">
        <v>4</v>
      </c>
      <c r="CM476" t="s">
        <v>98</v>
      </c>
      <c r="CN476" t="s">
        <v>98</v>
      </c>
      <c r="CO476" t="s">
        <v>99</v>
      </c>
      <c r="CP476" t="s">
        <v>100</v>
      </c>
      <c r="CQ476" s="7">
        <v>477</v>
      </c>
      <c r="CR476" t="s">
        <v>100</v>
      </c>
      <c r="CS476" s="7" t="s">
        <v>101</v>
      </c>
      <c r="CT476" t="s">
        <v>152</v>
      </c>
      <c r="CU476" t="s">
        <v>102</v>
      </c>
      <c r="CV476" t="s">
        <v>100</v>
      </c>
    </row>
    <row r="477" spans="1:100">
      <c r="A477" s="3" t="s">
        <v>7782</v>
      </c>
      <c r="B477" s="4" t="s">
        <v>7783</v>
      </c>
      <c r="C477">
        <v>888.04838905974304</v>
      </c>
      <c r="D477">
        <v>3163.2134299230102</v>
      </c>
      <c r="E477">
        <f>-1.83308340026852</f>
        <v>-1.8330834002685199</v>
      </c>
      <c r="F477" s="5">
        <v>2.5945920072394801E-10</v>
      </c>
      <c r="G477" t="s">
        <v>4</v>
      </c>
      <c r="H477">
        <v>888.04838905974304</v>
      </c>
      <c r="I477">
        <v>544.91247331392799</v>
      </c>
      <c r="J477">
        <v>0.70317704861625396</v>
      </c>
      <c r="K477">
        <v>2.0904045287491398E-2</v>
      </c>
      <c r="L477" t="s">
        <v>4</v>
      </c>
      <c r="M477">
        <v>3163.2134299230102</v>
      </c>
      <c r="N477">
        <v>544.91247331392799</v>
      </c>
      <c r="O477">
        <v>2.53626044888478</v>
      </c>
      <c r="P477" s="5">
        <v>2.6349713528353302E-19</v>
      </c>
      <c r="Q477" t="s">
        <v>4</v>
      </c>
      <c r="R477" s="4" t="s">
        <v>87</v>
      </c>
      <c r="S477" t="s">
        <v>4</v>
      </c>
      <c r="T477" t="s">
        <v>92</v>
      </c>
      <c r="U477" t="s">
        <v>92</v>
      </c>
      <c r="V477" t="s">
        <v>92</v>
      </c>
      <c r="W477" t="s">
        <v>92</v>
      </c>
      <c r="X477" t="s">
        <v>4</v>
      </c>
      <c r="Y477" t="s">
        <v>7784</v>
      </c>
      <c r="Z477" t="s">
        <v>7785</v>
      </c>
      <c r="AA477" t="s">
        <v>7786</v>
      </c>
      <c r="AB477" t="s">
        <v>4</v>
      </c>
      <c r="AC477" s="3" t="s">
        <v>7787</v>
      </c>
      <c r="AD477" t="s">
        <v>4</v>
      </c>
      <c r="AE477" t="s">
        <v>7788</v>
      </c>
      <c r="AF477" t="s">
        <v>7789</v>
      </c>
      <c r="AG477" t="s">
        <v>7790</v>
      </c>
      <c r="AH477" t="s">
        <v>282</v>
      </c>
      <c r="AU477" t="s">
        <v>112</v>
      </c>
      <c r="AV477" t="s">
        <v>7791</v>
      </c>
      <c r="AW477" t="s">
        <v>114</v>
      </c>
      <c r="AX477" t="s">
        <v>132</v>
      </c>
      <c r="AY477" t="s">
        <v>7792</v>
      </c>
      <c r="AZ477" t="s">
        <v>4</v>
      </c>
      <c r="BA477" s="3" t="s">
        <v>95</v>
      </c>
      <c r="BB477" t="s">
        <v>96</v>
      </c>
      <c r="BC477" s="3" t="s">
        <v>95</v>
      </c>
      <c r="BD477" t="s">
        <v>4</v>
      </c>
      <c r="BE477">
        <v>4457</v>
      </c>
      <c r="BF477" t="s">
        <v>112</v>
      </c>
      <c r="BG477">
        <v>85.3887</v>
      </c>
      <c r="BH477">
        <v>86.997299999999996</v>
      </c>
      <c r="BK477">
        <v>62.466500000000003</v>
      </c>
      <c r="BL477">
        <v>49.463799999999999</v>
      </c>
      <c r="BM477">
        <v>69.973200000000006</v>
      </c>
      <c r="BN477">
        <v>68.900800000000004</v>
      </c>
      <c r="BO477" t="s">
        <v>7793</v>
      </c>
      <c r="BP477">
        <v>28.9544</v>
      </c>
      <c r="BQ477">
        <v>17.962499999999999</v>
      </c>
      <c r="BR477">
        <v>17.828399999999998</v>
      </c>
      <c r="BS477">
        <v>21.179600000000001</v>
      </c>
      <c r="CK477">
        <v>5</v>
      </c>
      <c r="CL477" t="s">
        <v>4</v>
      </c>
      <c r="CM477" t="s">
        <v>98</v>
      </c>
      <c r="CN477" t="s">
        <v>98</v>
      </c>
      <c r="CO477" t="s">
        <v>99</v>
      </c>
      <c r="CP477" t="s">
        <v>100</v>
      </c>
      <c r="CQ477" s="7">
        <v>478</v>
      </c>
      <c r="CR477" t="s">
        <v>100</v>
      </c>
      <c r="CS477" t="s">
        <v>100</v>
      </c>
      <c r="CT477" t="s">
        <v>152</v>
      </c>
      <c r="CU477" t="s">
        <v>102</v>
      </c>
      <c r="CV477" t="s">
        <v>100</v>
      </c>
    </row>
    <row r="478" spans="1:100">
      <c r="A478" s="3" t="s">
        <v>7794</v>
      </c>
      <c r="B478" s="4" t="s">
        <v>7795</v>
      </c>
      <c r="C478">
        <v>32.652038204720199</v>
      </c>
      <c r="D478">
        <v>119.90153929051399</v>
      </c>
      <c r="E478">
        <f>-1.87504158567692</f>
        <v>-1.87504158567692</v>
      </c>
      <c r="F478">
        <v>5.4613613085980998E-3</v>
      </c>
      <c r="G478" t="s">
        <v>4</v>
      </c>
      <c r="H478">
        <v>32.652038204720199</v>
      </c>
      <c r="I478">
        <v>20.5066512511263</v>
      </c>
      <c r="J478">
        <v>0.65807747949931905</v>
      </c>
      <c r="K478">
        <v>0.37313129790823402</v>
      </c>
      <c r="L478" t="s">
        <v>4</v>
      </c>
      <c r="M478">
        <v>119.90153929051399</v>
      </c>
      <c r="N478">
        <v>20.5066512511263</v>
      </c>
      <c r="O478">
        <v>2.5331190651762299</v>
      </c>
      <c r="P478">
        <v>1.3618419203710301E-4</v>
      </c>
      <c r="Q478" t="s">
        <v>4</v>
      </c>
      <c r="R478" s="4" t="s">
        <v>87</v>
      </c>
      <c r="S478" t="s">
        <v>4</v>
      </c>
      <c r="T478" t="s">
        <v>628</v>
      </c>
      <c r="U478" t="s">
        <v>629</v>
      </c>
      <c r="V478" t="s">
        <v>630</v>
      </c>
      <c r="W478" t="s">
        <v>328</v>
      </c>
      <c r="X478" t="s">
        <v>4</v>
      </c>
      <c r="Y478" t="s">
        <v>7796</v>
      </c>
      <c r="Z478" t="s">
        <v>7797</v>
      </c>
      <c r="AA478" t="s">
        <v>7798</v>
      </c>
      <c r="AB478" t="s">
        <v>4</v>
      </c>
      <c r="AC478" s="3" t="s">
        <v>7799</v>
      </c>
      <c r="AD478" t="s">
        <v>4</v>
      </c>
      <c r="AE478" t="s">
        <v>7800</v>
      </c>
      <c r="AF478" t="s">
        <v>7801</v>
      </c>
      <c r="AG478" t="s">
        <v>7802</v>
      </c>
      <c r="AH478" t="s">
        <v>112</v>
      </c>
      <c r="AU478" t="s">
        <v>112</v>
      </c>
      <c r="AV478" t="s">
        <v>7803</v>
      </c>
      <c r="AW478" t="s">
        <v>114</v>
      </c>
      <c r="AX478" t="s">
        <v>909</v>
      </c>
      <c r="AY478" t="s">
        <v>3494</v>
      </c>
      <c r="AZ478" t="s">
        <v>4</v>
      </c>
      <c r="BA478" s="3" t="s">
        <v>95</v>
      </c>
      <c r="BB478" t="s">
        <v>96</v>
      </c>
      <c r="BC478" s="3" t="s">
        <v>197</v>
      </c>
      <c r="BD478" t="s">
        <v>4</v>
      </c>
      <c r="BE478">
        <v>5227</v>
      </c>
      <c r="BF478" t="s">
        <v>282</v>
      </c>
      <c r="BG478">
        <v>89.135800000000003</v>
      </c>
      <c r="BH478" t="s">
        <v>7804</v>
      </c>
      <c r="BI478">
        <v>90.370400000000004</v>
      </c>
      <c r="BJ478">
        <v>87.160499999999999</v>
      </c>
      <c r="BK478">
        <v>70.6173</v>
      </c>
      <c r="BM478">
        <v>81.975300000000004</v>
      </c>
      <c r="BN478">
        <v>82.469099999999997</v>
      </c>
      <c r="BO478">
        <v>70.6173</v>
      </c>
      <c r="BP478">
        <v>55.802500000000002</v>
      </c>
      <c r="BQ478">
        <v>60.740699999999997</v>
      </c>
      <c r="BR478">
        <v>65.185199999999995</v>
      </c>
      <c r="BS478">
        <v>63.456800000000001</v>
      </c>
      <c r="BT478">
        <v>57.283999999999999</v>
      </c>
      <c r="BU478">
        <v>37.036999999999999</v>
      </c>
      <c r="BV478" t="s">
        <v>7805</v>
      </c>
      <c r="BW478">
        <v>63.950600000000001</v>
      </c>
      <c r="BX478">
        <v>63.456800000000001</v>
      </c>
      <c r="BY478">
        <v>52.839500000000001</v>
      </c>
      <c r="BZ478">
        <v>15.0617</v>
      </c>
      <c r="CA478">
        <v>64.197500000000005</v>
      </c>
      <c r="CB478">
        <v>16.049399999999999</v>
      </c>
      <c r="CC478">
        <v>51.1111</v>
      </c>
      <c r="CD478">
        <v>40.987699999999997</v>
      </c>
      <c r="CK478">
        <v>6</v>
      </c>
      <c r="CL478" t="s">
        <v>4</v>
      </c>
      <c r="CM478" t="s">
        <v>7806</v>
      </c>
      <c r="CN478" t="s">
        <v>7807</v>
      </c>
      <c r="CO478" t="s">
        <v>99</v>
      </c>
      <c r="CP478" t="s">
        <v>100</v>
      </c>
      <c r="CQ478" s="7">
        <v>479</v>
      </c>
      <c r="CR478" t="s">
        <v>100</v>
      </c>
      <c r="CS478" t="s">
        <v>100</v>
      </c>
      <c r="CT478" t="s">
        <v>152</v>
      </c>
      <c r="CU478" t="s">
        <v>102</v>
      </c>
      <c r="CV478" t="s">
        <v>100</v>
      </c>
    </row>
    <row r="479" spans="1:100">
      <c r="A479" s="3" t="s">
        <v>7808</v>
      </c>
      <c r="B479" s="4" t="s">
        <v>7809</v>
      </c>
      <c r="C479">
        <v>1469.9227104685699</v>
      </c>
      <c r="D479">
        <v>5190.0491225905198</v>
      </c>
      <c r="E479">
        <f>-1.81989844768691</f>
        <v>-1.81989844768691</v>
      </c>
      <c r="F479" s="5">
        <v>3.34625197854308E-13</v>
      </c>
      <c r="G479" t="s">
        <v>4</v>
      </c>
      <c r="H479">
        <v>1469.9227104685699</v>
      </c>
      <c r="I479">
        <v>900.88174589343498</v>
      </c>
      <c r="J479">
        <v>0.70774776533330896</v>
      </c>
      <c r="K479">
        <v>6.7421703664035902E-3</v>
      </c>
      <c r="L479" t="s">
        <v>4</v>
      </c>
      <c r="M479">
        <v>5190.0491225905198</v>
      </c>
      <c r="N479">
        <v>900.88174589343498</v>
      </c>
      <c r="O479">
        <v>2.52764621302022</v>
      </c>
      <c r="P479" s="5">
        <v>3.5109585740842198E-25</v>
      </c>
      <c r="Q479" t="s">
        <v>4</v>
      </c>
      <c r="R479" s="4" t="s">
        <v>87</v>
      </c>
      <c r="S479" t="s">
        <v>4</v>
      </c>
      <c r="T479" t="s">
        <v>7810</v>
      </c>
      <c r="U479" t="s">
        <v>7811</v>
      </c>
      <c r="V479" t="s">
        <v>7812</v>
      </c>
      <c r="W479" t="s">
        <v>328</v>
      </c>
      <c r="X479" t="s">
        <v>4</v>
      </c>
      <c r="Y479" t="s">
        <v>7813</v>
      </c>
      <c r="Z479" t="s">
        <v>7814</v>
      </c>
      <c r="AA479" t="s">
        <v>7815</v>
      </c>
      <c r="AB479" t="s">
        <v>4</v>
      </c>
      <c r="AC479" s="3" t="s">
        <v>7816</v>
      </c>
      <c r="AD479" t="s">
        <v>4</v>
      </c>
      <c r="AE479" t="s">
        <v>7817</v>
      </c>
      <c r="AF479" t="s">
        <v>7818</v>
      </c>
      <c r="AG479" t="s">
        <v>7819</v>
      </c>
      <c r="AH479" t="s">
        <v>112</v>
      </c>
      <c r="AJ479" t="s">
        <v>7820</v>
      </c>
      <c r="AK479" t="s">
        <v>3194</v>
      </c>
      <c r="AL479" t="s">
        <v>7821</v>
      </c>
      <c r="AM479" t="s">
        <v>302</v>
      </c>
      <c r="AN479" t="s">
        <v>5297</v>
      </c>
      <c r="AQ479" t="s">
        <v>7822</v>
      </c>
      <c r="AU479" t="s">
        <v>112</v>
      </c>
      <c r="AV479" t="s">
        <v>7823</v>
      </c>
      <c r="AW479" t="s">
        <v>114</v>
      </c>
      <c r="AX479" t="s">
        <v>2157</v>
      </c>
      <c r="AY479" t="s">
        <v>5829</v>
      </c>
      <c r="AZ479" t="s">
        <v>4</v>
      </c>
      <c r="BA479" s="3" t="s">
        <v>95</v>
      </c>
      <c r="BB479" t="s">
        <v>96</v>
      </c>
      <c r="BC479" s="3" t="s">
        <v>95</v>
      </c>
      <c r="BD479" t="s">
        <v>4</v>
      </c>
      <c r="BE479">
        <v>8645</v>
      </c>
      <c r="BF479" t="s">
        <v>169</v>
      </c>
      <c r="BG479">
        <v>89.171999999999997</v>
      </c>
      <c r="BH479">
        <v>36.518000000000001</v>
      </c>
      <c r="BI479">
        <v>89.171999999999997</v>
      </c>
      <c r="BJ479">
        <v>88.534999999999997</v>
      </c>
      <c r="BK479">
        <v>78.980900000000005</v>
      </c>
      <c r="BL479" t="s">
        <v>7824</v>
      </c>
      <c r="BM479">
        <v>88.322699999999998</v>
      </c>
      <c r="BN479">
        <v>88.322699999999998</v>
      </c>
      <c r="BO479">
        <v>88.534999999999997</v>
      </c>
      <c r="BP479" t="s">
        <v>7825</v>
      </c>
      <c r="BQ479">
        <v>70.063699999999997</v>
      </c>
      <c r="BR479" t="s">
        <v>7826</v>
      </c>
      <c r="BS479">
        <v>67.728200000000001</v>
      </c>
      <c r="BU479">
        <v>70.912899999999993</v>
      </c>
      <c r="BV479" t="s">
        <v>7827</v>
      </c>
      <c r="BW479">
        <v>71.337599999999995</v>
      </c>
      <c r="BX479">
        <v>74.097700000000003</v>
      </c>
      <c r="BY479">
        <v>17.197500000000002</v>
      </c>
      <c r="BZ479">
        <v>71.974500000000006</v>
      </c>
      <c r="CA479">
        <v>71.762200000000007</v>
      </c>
      <c r="CB479">
        <v>68.7898</v>
      </c>
      <c r="CC479">
        <v>70.488299999999995</v>
      </c>
      <c r="CD479">
        <v>67.303600000000003</v>
      </c>
      <c r="CE479" t="s">
        <v>7828</v>
      </c>
      <c r="CF479">
        <v>66.879000000000005</v>
      </c>
      <c r="CJ479">
        <v>58.386400000000002</v>
      </c>
      <c r="CK479">
        <v>9</v>
      </c>
      <c r="CL479" t="s">
        <v>4</v>
      </c>
      <c r="CM479" t="s">
        <v>7829</v>
      </c>
      <c r="CN479" t="s">
        <v>7830</v>
      </c>
      <c r="CO479" t="s">
        <v>1218</v>
      </c>
      <c r="CP479" t="s">
        <v>100</v>
      </c>
      <c r="CQ479" s="7">
        <v>480</v>
      </c>
      <c r="CR479" t="s">
        <v>100</v>
      </c>
      <c r="CS479" t="s">
        <v>100</v>
      </c>
      <c r="CT479" t="s">
        <v>152</v>
      </c>
      <c r="CU479" t="s">
        <v>102</v>
      </c>
      <c r="CV479" t="s">
        <v>100</v>
      </c>
    </row>
    <row r="480" spans="1:100">
      <c r="A480" s="3" t="s">
        <v>7831</v>
      </c>
      <c r="B480" s="4" t="s">
        <v>7832</v>
      </c>
      <c r="C480">
        <v>2225.4241411456201</v>
      </c>
      <c r="D480">
        <v>7152.6237721918596</v>
      </c>
      <c r="E480">
        <f>-1.68442546675381</f>
        <v>-1.6844254667538101</v>
      </c>
      <c r="F480" s="5">
        <v>4.5240213648510198E-10</v>
      </c>
      <c r="G480" t="s">
        <v>4</v>
      </c>
      <c r="H480">
        <v>2225.4241411456201</v>
      </c>
      <c r="I480">
        <v>1258.80203373467</v>
      </c>
      <c r="J480">
        <v>0.81974881404469402</v>
      </c>
      <c r="K480">
        <v>3.2015921955482998E-3</v>
      </c>
      <c r="L480" t="s">
        <v>4</v>
      </c>
      <c r="M480">
        <v>7152.6237721918596</v>
      </c>
      <c r="N480">
        <v>1258.80203373467</v>
      </c>
      <c r="O480">
        <v>2.5041742807984999</v>
      </c>
      <c r="P480" s="5">
        <v>9.8240943190704503E-22</v>
      </c>
      <c r="Q480" t="s">
        <v>4</v>
      </c>
      <c r="R480" s="4" t="s">
        <v>87</v>
      </c>
      <c r="S480" t="s">
        <v>4</v>
      </c>
      <c r="T480" t="s">
        <v>5900</v>
      </c>
      <c r="U480" t="s">
        <v>5901</v>
      </c>
      <c r="V480" t="s">
        <v>5902</v>
      </c>
      <c r="W480" t="s">
        <v>976</v>
      </c>
      <c r="X480" t="s">
        <v>4</v>
      </c>
      <c r="Y480" t="s">
        <v>5903</v>
      </c>
      <c r="Z480" t="s">
        <v>5904</v>
      </c>
      <c r="AA480" t="s">
        <v>5905</v>
      </c>
      <c r="AB480" t="s">
        <v>4</v>
      </c>
      <c r="AC480" s="3" t="s">
        <v>7833</v>
      </c>
      <c r="AD480" t="s">
        <v>4</v>
      </c>
      <c r="AE480" t="s">
        <v>5906</v>
      </c>
      <c r="AF480" t="s">
        <v>7834</v>
      </c>
      <c r="AG480" t="s">
        <v>7835</v>
      </c>
      <c r="AH480" t="s">
        <v>112</v>
      </c>
      <c r="AJ480" t="s">
        <v>876</v>
      </c>
      <c r="AL480" t="s">
        <v>5909</v>
      </c>
      <c r="AM480" t="s">
        <v>302</v>
      </c>
      <c r="AQ480" t="s">
        <v>303</v>
      </c>
      <c r="AU480" t="s">
        <v>112</v>
      </c>
      <c r="AV480" t="s">
        <v>5910</v>
      </c>
      <c r="AW480" t="s">
        <v>114</v>
      </c>
      <c r="AX480" t="s">
        <v>5911</v>
      </c>
      <c r="AY480" t="s">
        <v>5912</v>
      </c>
      <c r="AZ480" t="s">
        <v>4</v>
      </c>
      <c r="BA480" s="3" t="s">
        <v>95</v>
      </c>
      <c r="BB480" s="6" t="s">
        <v>95</v>
      </c>
      <c r="BC480" s="3" t="s">
        <v>95</v>
      </c>
      <c r="BD480" t="s">
        <v>4</v>
      </c>
      <c r="BE480">
        <v>8574</v>
      </c>
      <c r="BF480" t="s">
        <v>169</v>
      </c>
      <c r="BG480">
        <v>100</v>
      </c>
      <c r="BH480">
        <v>38.297899999999998</v>
      </c>
      <c r="BI480">
        <v>61.170200000000001</v>
      </c>
      <c r="BJ480">
        <v>95.212800000000001</v>
      </c>
      <c r="BK480">
        <v>93.351100000000002</v>
      </c>
      <c r="BL480">
        <v>94.148899999999998</v>
      </c>
      <c r="BM480">
        <v>94.946799999999996</v>
      </c>
      <c r="BN480">
        <v>94.946799999999996</v>
      </c>
      <c r="BO480">
        <v>92.819100000000006</v>
      </c>
      <c r="BP480">
        <v>77.659599999999998</v>
      </c>
      <c r="BR480">
        <v>49.202100000000002</v>
      </c>
      <c r="BS480">
        <v>52.127699999999997</v>
      </c>
      <c r="BT480" t="s">
        <v>7836</v>
      </c>
      <c r="BU480" t="s">
        <v>7837</v>
      </c>
      <c r="BV480" t="s">
        <v>7838</v>
      </c>
      <c r="BW480">
        <v>47.340400000000002</v>
      </c>
      <c r="BX480">
        <v>54.521299999999997</v>
      </c>
      <c r="BZ480">
        <v>40.159599999999998</v>
      </c>
      <c r="CA480">
        <v>50.265999999999998</v>
      </c>
      <c r="CB480">
        <v>38.297899999999998</v>
      </c>
      <c r="CC480">
        <v>30.0532</v>
      </c>
      <c r="CD480">
        <v>39.095700000000001</v>
      </c>
      <c r="CE480" t="s">
        <v>7839</v>
      </c>
      <c r="CF480" t="s">
        <v>7840</v>
      </c>
      <c r="CG480">
        <v>42.287199999999999</v>
      </c>
      <c r="CH480">
        <v>42.287199999999999</v>
      </c>
      <c r="CI480">
        <v>40.159599999999998</v>
      </c>
      <c r="CK480">
        <v>9</v>
      </c>
      <c r="CL480" t="s">
        <v>4</v>
      </c>
      <c r="CM480" t="s">
        <v>7841</v>
      </c>
      <c r="CN480" t="s">
        <v>7842</v>
      </c>
      <c r="CO480" t="s">
        <v>219</v>
      </c>
      <c r="CP480" t="s">
        <v>100</v>
      </c>
      <c r="CQ480" s="7">
        <v>481</v>
      </c>
      <c r="CR480" t="s">
        <v>100</v>
      </c>
      <c r="CS480" t="s">
        <v>100</v>
      </c>
      <c r="CT480" t="s">
        <v>152</v>
      </c>
      <c r="CU480" t="s">
        <v>102</v>
      </c>
      <c r="CV480" t="s">
        <v>100</v>
      </c>
    </row>
    <row r="481" spans="1:100">
      <c r="A481" s="3" t="s">
        <v>7843</v>
      </c>
      <c r="B481" s="4" t="s">
        <v>7844</v>
      </c>
      <c r="C481">
        <v>1603.4117839281701</v>
      </c>
      <c r="D481">
        <v>4051.39064155193</v>
      </c>
      <c r="E481">
        <f>-1.33704977411801</f>
        <v>-1.3370497741180101</v>
      </c>
      <c r="F481">
        <v>1.1573942563851101E-4</v>
      </c>
      <c r="G481" t="s">
        <v>4</v>
      </c>
      <c r="H481">
        <v>1603.4117839281701</v>
      </c>
      <c r="I481">
        <v>717.39469788832901</v>
      </c>
      <c r="J481">
        <v>1.1611811591304599</v>
      </c>
      <c r="K481">
        <v>7.1906135755587695E-4</v>
      </c>
      <c r="L481" t="s">
        <v>4</v>
      </c>
      <c r="M481">
        <v>4051.39064155193</v>
      </c>
      <c r="N481">
        <v>717.39469788832901</v>
      </c>
      <c r="O481">
        <v>2.49823093324847</v>
      </c>
      <c r="P481" s="5">
        <v>2.1452780000352199E-14</v>
      </c>
      <c r="Q481" t="s">
        <v>4</v>
      </c>
      <c r="R481" s="4" t="s">
        <v>87</v>
      </c>
      <c r="S481" t="s">
        <v>4</v>
      </c>
      <c r="T481" t="s">
        <v>92</v>
      </c>
      <c r="U481" t="s">
        <v>92</v>
      </c>
      <c r="V481" t="s">
        <v>92</v>
      </c>
      <c r="W481" t="s">
        <v>92</v>
      </c>
      <c r="X481" t="s">
        <v>4</v>
      </c>
      <c r="Y481" t="s">
        <v>92</v>
      </c>
      <c r="Z481" t="s">
        <v>92</v>
      </c>
      <c r="AA481" t="s">
        <v>92</v>
      </c>
      <c r="AB481" t="s">
        <v>4</v>
      </c>
      <c r="AC481" s="3" t="s">
        <v>93</v>
      </c>
      <c r="AD481" t="s">
        <v>4</v>
      </c>
      <c r="AE481" s="4" t="s">
        <v>94</v>
      </c>
      <c r="AZ481" t="s">
        <v>4</v>
      </c>
      <c r="BA481" s="3" t="s">
        <v>95</v>
      </c>
      <c r="BB481" s="6" t="s">
        <v>95</v>
      </c>
      <c r="BC481" s="3" t="s">
        <v>95</v>
      </c>
      <c r="BD481" t="s">
        <v>4</v>
      </c>
      <c r="BE481">
        <v>1980</v>
      </c>
      <c r="BF481" t="s">
        <v>148</v>
      </c>
      <c r="BG481">
        <v>83.5227</v>
      </c>
      <c r="BJ481">
        <v>38.636400000000002</v>
      </c>
      <c r="BK481">
        <v>32.386400000000002</v>
      </c>
      <c r="BM481">
        <v>31.534099999999999</v>
      </c>
      <c r="BN481">
        <v>31.534099999999999</v>
      </c>
      <c r="BO481">
        <v>31.534099999999999</v>
      </c>
      <c r="CK481">
        <v>3</v>
      </c>
      <c r="CL481" t="s">
        <v>4</v>
      </c>
      <c r="CM481" t="s">
        <v>98</v>
      </c>
      <c r="CN481" t="s">
        <v>98</v>
      </c>
      <c r="CO481" t="s">
        <v>99</v>
      </c>
      <c r="CP481" t="s">
        <v>100</v>
      </c>
      <c r="CQ481" s="7">
        <v>482</v>
      </c>
      <c r="CR481" t="s">
        <v>100</v>
      </c>
      <c r="CS481" s="7" t="s">
        <v>101</v>
      </c>
      <c r="CT481" t="s">
        <v>152</v>
      </c>
      <c r="CU481" t="s">
        <v>102</v>
      </c>
      <c r="CV481" t="s">
        <v>100</v>
      </c>
    </row>
    <row r="482" spans="1:100">
      <c r="A482" s="3" t="s">
        <v>7845</v>
      </c>
      <c r="B482" s="4" t="s">
        <v>7846</v>
      </c>
      <c r="C482">
        <v>1598.01421061563</v>
      </c>
      <c r="D482">
        <v>4235.5606006223597</v>
      </c>
      <c r="E482">
        <f>-1.40588191028553</f>
        <v>-1.40588191028553</v>
      </c>
      <c r="F482" s="5">
        <v>1.03598292145135E-22</v>
      </c>
      <c r="G482" t="s">
        <v>4</v>
      </c>
      <c r="H482">
        <v>1598.01421061563</v>
      </c>
      <c r="I482">
        <v>748.89095935649402</v>
      </c>
      <c r="J482">
        <v>1.0917466874340001</v>
      </c>
      <c r="K482" s="5">
        <v>1.13320350192145E-13</v>
      </c>
      <c r="L482" t="s">
        <v>4</v>
      </c>
      <c r="M482">
        <v>4235.5606006223597</v>
      </c>
      <c r="N482">
        <v>748.89095935649402</v>
      </c>
      <c r="O482">
        <v>2.4976285977195301</v>
      </c>
      <c r="P482" s="5">
        <v>2.8225279511489499E-68</v>
      </c>
      <c r="Q482" t="s">
        <v>4</v>
      </c>
      <c r="R482" s="4" t="s">
        <v>87</v>
      </c>
      <c r="S482" t="s">
        <v>4</v>
      </c>
      <c r="T482" t="s">
        <v>7847</v>
      </c>
      <c r="U482" t="s">
        <v>7848</v>
      </c>
      <c r="V482" t="s">
        <v>7849</v>
      </c>
      <c r="W482" t="s">
        <v>7033</v>
      </c>
      <c r="X482" t="s">
        <v>4</v>
      </c>
      <c r="Y482" t="s">
        <v>7850</v>
      </c>
      <c r="Z482" t="s">
        <v>7851</v>
      </c>
      <c r="AA482" t="s">
        <v>7852</v>
      </c>
      <c r="AB482" t="s">
        <v>4</v>
      </c>
      <c r="AC482" s="3" t="s">
        <v>7853</v>
      </c>
      <c r="AD482" t="s">
        <v>4</v>
      </c>
      <c r="AE482" t="s">
        <v>7854</v>
      </c>
      <c r="AF482" t="s">
        <v>7855</v>
      </c>
      <c r="AG482" t="s">
        <v>7856</v>
      </c>
      <c r="AH482" t="s">
        <v>314</v>
      </c>
      <c r="AU482" t="s">
        <v>112</v>
      </c>
      <c r="AV482" t="s">
        <v>7857</v>
      </c>
      <c r="AW482" t="s">
        <v>114</v>
      </c>
      <c r="AX482" t="s">
        <v>144</v>
      </c>
      <c r="AY482" t="s">
        <v>7858</v>
      </c>
      <c r="AZ482" t="s">
        <v>4</v>
      </c>
      <c r="BA482" s="3" t="s">
        <v>95</v>
      </c>
      <c r="BB482" s="6" t="s">
        <v>95</v>
      </c>
      <c r="BC482" s="3" t="s">
        <v>95</v>
      </c>
      <c r="BD482" t="s">
        <v>4</v>
      </c>
      <c r="BE482">
        <v>8714</v>
      </c>
      <c r="BF482" t="s">
        <v>169</v>
      </c>
      <c r="BG482">
        <v>36.542400000000001</v>
      </c>
      <c r="BI482">
        <v>86.646000000000001</v>
      </c>
      <c r="BJ482">
        <v>24.120100000000001</v>
      </c>
      <c r="BN482">
        <v>71.221500000000006</v>
      </c>
      <c r="BO482">
        <v>67.701899999999995</v>
      </c>
      <c r="BP482">
        <v>15.631500000000001</v>
      </c>
      <c r="BQ482">
        <v>20.3934</v>
      </c>
      <c r="BR482">
        <v>23.498999999999999</v>
      </c>
      <c r="BS482">
        <v>19.3582</v>
      </c>
      <c r="BU482">
        <v>11.3872</v>
      </c>
      <c r="BV482" t="s">
        <v>7859</v>
      </c>
      <c r="BX482">
        <v>21.6356</v>
      </c>
      <c r="BY482">
        <v>14.596299999999999</v>
      </c>
      <c r="CA482">
        <v>22.463799999999999</v>
      </c>
      <c r="CB482">
        <v>6.3147000000000002</v>
      </c>
      <c r="CD482">
        <v>10.973100000000001</v>
      </c>
      <c r="CE482">
        <v>9.4202899999999996</v>
      </c>
      <c r="CF482">
        <v>12.5259</v>
      </c>
      <c r="CG482">
        <v>13.457599999999999</v>
      </c>
      <c r="CH482">
        <v>13.7681</v>
      </c>
      <c r="CI482">
        <v>13.147</v>
      </c>
      <c r="CJ482">
        <v>10.766</v>
      </c>
      <c r="CK482">
        <v>9</v>
      </c>
      <c r="CL482" t="s">
        <v>4</v>
      </c>
      <c r="CM482" t="s">
        <v>7860</v>
      </c>
      <c r="CN482" t="s">
        <v>7861</v>
      </c>
      <c r="CO482" t="s">
        <v>219</v>
      </c>
      <c r="CP482" t="s">
        <v>100</v>
      </c>
      <c r="CQ482" s="7">
        <v>483</v>
      </c>
      <c r="CR482" t="s">
        <v>100</v>
      </c>
      <c r="CS482" s="7" t="s">
        <v>101</v>
      </c>
      <c r="CT482" t="s">
        <v>152</v>
      </c>
      <c r="CU482" t="s">
        <v>102</v>
      </c>
      <c r="CV482" t="s">
        <v>100</v>
      </c>
    </row>
    <row r="483" spans="1:100">
      <c r="A483" s="3" t="s">
        <v>7862</v>
      </c>
      <c r="B483" s="4" t="s">
        <v>7863</v>
      </c>
      <c r="C483">
        <v>108.33854198092</v>
      </c>
      <c r="D483">
        <v>267.330194772852</v>
      </c>
      <c r="E483">
        <f>-1.30107608074826</f>
        <v>-1.30107608074826</v>
      </c>
      <c r="F483">
        <v>8.5807258707613701E-3</v>
      </c>
      <c r="G483" t="s">
        <v>4</v>
      </c>
      <c r="H483">
        <v>108.33854198092</v>
      </c>
      <c r="I483">
        <v>46.548166851468501</v>
      </c>
      <c r="J483">
        <v>1.19480133499723</v>
      </c>
      <c r="K483">
        <v>1.8272032476319901E-2</v>
      </c>
      <c r="L483" t="s">
        <v>4</v>
      </c>
      <c r="M483">
        <v>267.330194772852</v>
      </c>
      <c r="N483">
        <v>46.548166851468501</v>
      </c>
      <c r="O483">
        <v>2.4958774157454902</v>
      </c>
      <c r="P483" s="5">
        <v>1.6556575113450699E-7</v>
      </c>
      <c r="Q483" t="s">
        <v>4</v>
      </c>
      <c r="R483" s="4" t="s">
        <v>87</v>
      </c>
      <c r="S483" t="s">
        <v>4</v>
      </c>
      <c r="T483" t="s">
        <v>92</v>
      </c>
      <c r="U483" t="s">
        <v>92</v>
      </c>
      <c r="V483" t="s">
        <v>92</v>
      </c>
      <c r="W483" t="s">
        <v>92</v>
      </c>
      <c r="X483" t="s">
        <v>4</v>
      </c>
      <c r="Y483" t="s">
        <v>92</v>
      </c>
      <c r="Z483" t="s">
        <v>92</v>
      </c>
      <c r="AA483" t="s">
        <v>92</v>
      </c>
      <c r="AB483" t="s">
        <v>4</v>
      </c>
      <c r="AC483" s="3" t="s">
        <v>93</v>
      </c>
      <c r="AD483" t="s">
        <v>4</v>
      </c>
      <c r="AE483" s="4" t="s">
        <v>94</v>
      </c>
      <c r="AZ483" t="s">
        <v>4</v>
      </c>
      <c r="BA483" s="3" t="s">
        <v>95</v>
      </c>
      <c r="BB483" s="6" t="s">
        <v>95</v>
      </c>
      <c r="BC483" s="3" t="s">
        <v>95</v>
      </c>
      <c r="BD483" t="s">
        <v>4</v>
      </c>
      <c r="BE483">
        <v>3085</v>
      </c>
      <c r="BF483" t="s">
        <v>97</v>
      </c>
      <c r="BI483">
        <v>94.936700000000002</v>
      </c>
      <c r="BJ483">
        <v>89.873400000000004</v>
      </c>
      <c r="BK483">
        <v>91.139200000000002</v>
      </c>
      <c r="BP483">
        <v>45.569600000000001</v>
      </c>
      <c r="CK483">
        <v>4</v>
      </c>
      <c r="CL483" t="s">
        <v>4</v>
      </c>
      <c r="CM483" t="s">
        <v>98</v>
      </c>
      <c r="CN483" t="s">
        <v>98</v>
      </c>
      <c r="CO483" t="s">
        <v>99</v>
      </c>
      <c r="CP483" t="s">
        <v>100</v>
      </c>
      <c r="CQ483" s="7">
        <v>484</v>
      </c>
      <c r="CR483" t="s">
        <v>100</v>
      </c>
      <c r="CS483" s="7" t="s">
        <v>101</v>
      </c>
      <c r="CT483" t="s">
        <v>152</v>
      </c>
      <c r="CU483" t="s">
        <v>102</v>
      </c>
      <c r="CV483" t="s">
        <v>100</v>
      </c>
    </row>
    <row r="484" spans="1:100">
      <c r="A484" s="3" t="s">
        <v>7864</v>
      </c>
      <c r="B484" s="4" t="s">
        <v>7865</v>
      </c>
      <c r="C484">
        <v>97.419264277864301</v>
      </c>
      <c r="D484">
        <v>360.34393855580799</v>
      </c>
      <c r="E484">
        <f>-1.88467823558551</f>
        <v>-1.8846782355855101</v>
      </c>
      <c r="F484" s="5">
        <v>3.9768703660585599E-7</v>
      </c>
      <c r="G484" t="s">
        <v>4</v>
      </c>
      <c r="H484">
        <v>97.419264277864301</v>
      </c>
      <c r="I484">
        <v>63.978069175803</v>
      </c>
      <c r="J484">
        <v>0.61067480864838597</v>
      </c>
      <c r="K484">
        <v>0.13870954713525699</v>
      </c>
      <c r="L484" t="s">
        <v>4</v>
      </c>
      <c r="M484">
        <v>360.34393855580799</v>
      </c>
      <c r="N484">
        <v>63.978069175803</v>
      </c>
      <c r="O484">
        <v>2.49535304423389</v>
      </c>
      <c r="P484" s="5">
        <v>1.9351690702539299E-11</v>
      </c>
      <c r="Q484" t="s">
        <v>4</v>
      </c>
      <c r="R484" s="4" t="s">
        <v>87</v>
      </c>
      <c r="S484" t="s">
        <v>4</v>
      </c>
      <c r="T484" t="s">
        <v>1261</v>
      </c>
      <c r="U484" t="s">
        <v>1262</v>
      </c>
      <c r="V484" t="s">
        <v>1263</v>
      </c>
      <c r="W484" t="s">
        <v>328</v>
      </c>
      <c r="X484" t="s">
        <v>4</v>
      </c>
      <c r="Y484" t="s">
        <v>1264</v>
      </c>
      <c r="Z484" t="s">
        <v>1265</v>
      </c>
      <c r="AA484" t="s">
        <v>1266</v>
      </c>
      <c r="AB484" t="s">
        <v>4</v>
      </c>
      <c r="AC484" s="3" t="s">
        <v>93</v>
      </c>
      <c r="AD484" t="s">
        <v>4</v>
      </c>
      <c r="AE484" t="s">
        <v>7866</v>
      </c>
      <c r="AF484" t="s">
        <v>7867</v>
      </c>
      <c r="AG484" t="s">
        <v>7868</v>
      </c>
      <c r="AH484" t="s">
        <v>7869</v>
      </c>
      <c r="AU484" t="s">
        <v>112</v>
      </c>
      <c r="AV484" t="s">
        <v>7870</v>
      </c>
      <c r="AW484" t="s">
        <v>114</v>
      </c>
      <c r="AX484" t="s">
        <v>371</v>
      </c>
      <c r="AY484" t="s">
        <v>7871</v>
      </c>
      <c r="AZ484" t="s">
        <v>4</v>
      </c>
      <c r="BA484" s="3" t="s">
        <v>115</v>
      </c>
      <c r="BB484" s="6" t="s">
        <v>95</v>
      </c>
      <c r="BC484" s="3" t="s">
        <v>95</v>
      </c>
      <c r="BD484" t="s">
        <v>4</v>
      </c>
      <c r="BE484">
        <v>1689</v>
      </c>
      <c r="BF484" t="s">
        <v>151</v>
      </c>
      <c r="BG484">
        <v>79.464299999999994</v>
      </c>
      <c r="BH484">
        <v>51.964300000000001</v>
      </c>
      <c r="BJ484" t="s">
        <v>7872</v>
      </c>
      <c r="BK484">
        <v>15.357100000000001</v>
      </c>
      <c r="BL484">
        <v>13.928599999999999</v>
      </c>
      <c r="CK484">
        <v>2</v>
      </c>
      <c r="CL484" t="s">
        <v>4</v>
      </c>
      <c r="CM484" t="s">
        <v>98</v>
      </c>
      <c r="CN484" t="s">
        <v>98</v>
      </c>
      <c r="CO484" t="s">
        <v>99</v>
      </c>
      <c r="CP484" t="s">
        <v>100</v>
      </c>
      <c r="CQ484" s="7">
        <v>485</v>
      </c>
      <c r="CR484" t="s">
        <v>100</v>
      </c>
      <c r="CS484" t="s">
        <v>100</v>
      </c>
      <c r="CT484" t="s">
        <v>152</v>
      </c>
      <c r="CU484" t="s">
        <v>102</v>
      </c>
      <c r="CV484" t="s">
        <v>100</v>
      </c>
    </row>
    <row r="485" spans="1:100">
      <c r="A485" s="3" t="s">
        <v>7873</v>
      </c>
      <c r="B485" s="4" t="s">
        <v>7874</v>
      </c>
      <c r="C485">
        <v>361.25227456904702</v>
      </c>
      <c r="D485">
        <v>756.92140106128397</v>
      </c>
      <c r="E485">
        <f>-1.06595816122399</f>
        <v>-1.0659581612239899</v>
      </c>
      <c r="F485" s="5">
        <v>1.52203575243465E-5</v>
      </c>
      <c r="G485" t="s">
        <v>4</v>
      </c>
      <c r="H485">
        <v>361.25227456904702</v>
      </c>
      <c r="I485">
        <v>133.88883016090799</v>
      </c>
      <c r="J485">
        <v>1.4279127254383801</v>
      </c>
      <c r="K485" s="5">
        <v>1.48035319652318E-8</v>
      </c>
      <c r="L485" t="s">
        <v>4</v>
      </c>
      <c r="M485">
        <v>756.92140106128397</v>
      </c>
      <c r="N485">
        <v>133.88883016090799</v>
      </c>
      <c r="O485">
        <v>2.49387088666237</v>
      </c>
      <c r="P485" s="5">
        <v>1.8247847750372598E-24</v>
      </c>
      <c r="Q485" t="s">
        <v>4</v>
      </c>
      <c r="R485" s="4" t="s">
        <v>87</v>
      </c>
      <c r="S485" t="s">
        <v>4</v>
      </c>
      <c r="T485" t="s">
        <v>92</v>
      </c>
      <c r="U485" t="s">
        <v>92</v>
      </c>
      <c r="V485" t="s">
        <v>92</v>
      </c>
      <c r="W485" t="s">
        <v>92</v>
      </c>
      <c r="X485" t="s">
        <v>4</v>
      </c>
      <c r="Y485" t="s">
        <v>92</v>
      </c>
      <c r="Z485" t="s">
        <v>92</v>
      </c>
      <c r="AA485" t="s">
        <v>92</v>
      </c>
      <c r="AB485" t="s">
        <v>4</v>
      </c>
      <c r="AC485" s="3" t="s">
        <v>93</v>
      </c>
      <c r="AD485" t="s">
        <v>4</v>
      </c>
      <c r="AE485" s="4" t="s">
        <v>94</v>
      </c>
      <c r="AZ485" t="s">
        <v>4</v>
      </c>
      <c r="BA485" s="3" t="s">
        <v>95</v>
      </c>
      <c r="BB485" s="6" t="s">
        <v>95</v>
      </c>
      <c r="BC485" s="3" t="s">
        <v>197</v>
      </c>
      <c r="BD485" t="s">
        <v>4</v>
      </c>
      <c r="BE485">
        <v>2725</v>
      </c>
      <c r="BF485" t="s">
        <v>97</v>
      </c>
      <c r="BG485">
        <v>76.569000000000003</v>
      </c>
      <c r="BH485">
        <v>84.518799999999999</v>
      </c>
      <c r="BI485">
        <v>71.966499999999996</v>
      </c>
      <c r="BJ485">
        <v>65.690399999999997</v>
      </c>
      <c r="BK485">
        <v>64.435199999999995</v>
      </c>
      <c r="BL485">
        <v>64.8536</v>
      </c>
      <c r="BM485">
        <v>64.0167</v>
      </c>
      <c r="BN485">
        <v>64.0167</v>
      </c>
      <c r="BO485">
        <v>42.259399999999999</v>
      </c>
      <c r="BP485">
        <v>23.012599999999999</v>
      </c>
      <c r="CK485">
        <v>4</v>
      </c>
      <c r="CL485" t="s">
        <v>4</v>
      </c>
      <c r="CM485" t="s">
        <v>98</v>
      </c>
      <c r="CN485" t="s">
        <v>98</v>
      </c>
      <c r="CO485" t="s">
        <v>99</v>
      </c>
      <c r="CP485" t="s">
        <v>100</v>
      </c>
      <c r="CQ485" s="7">
        <v>486</v>
      </c>
      <c r="CR485" t="s">
        <v>100</v>
      </c>
      <c r="CS485" s="7" t="s">
        <v>101</v>
      </c>
      <c r="CT485" t="s">
        <v>152</v>
      </c>
      <c r="CU485" t="s">
        <v>102</v>
      </c>
      <c r="CV485" t="s">
        <v>100</v>
      </c>
    </row>
    <row r="486" spans="1:100">
      <c r="A486" s="3" t="s">
        <v>7875</v>
      </c>
      <c r="B486" s="4" t="s">
        <v>7876</v>
      </c>
      <c r="C486">
        <v>8817.9126970673096</v>
      </c>
      <c r="D486">
        <v>35017.342261598598</v>
      </c>
      <c r="E486">
        <f>-1.98959734170424</f>
        <v>-1.9895973417042401</v>
      </c>
      <c r="F486" s="5">
        <v>6.34206712887912E-15</v>
      </c>
      <c r="G486" t="s">
        <v>4</v>
      </c>
      <c r="H486">
        <v>8817.9126970673096</v>
      </c>
      <c r="I486">
        <v>6267.2176741603398</v>
      </c>
      <c r="J486">
        <v>0.49299692405963902</v>
      </c>
      <c r="K486">
        <v>6.9572608571393205E-2</v>
      </c>
      <c r="L486" t="s">
        <v>4</v>
      </c>
      <c r="M486">
        <v>35017.342261598598</v>
      </c>
      <c r="N486">
        <v>6267.2176741603398</v>
      </c>
      <c r="O486">
        <v>2.48259426576388</v>
      </c>
      <c r="P486" s="5">
        <v>1.56156450219422E-23</v>
      </c>
      <c r="Q486" t="s">
        <v>4</v>
      </c>
      <c r="R486" s="4" t="s">
        <v>87</v>
      </c>
      <c r="S486" t="s">
        <v>4</v>
      </c>
      <c r="T486" t="s">
        <v>7877</v>
      </c>
      <c r="U486" t="s">
        <v>7878</v>
      </c>
      <c r="V486" t="s">
        <v>7879</v>
      </c>
      <c r="W486" t="s">
        <v>192</v>
      </c>
      <c r="X486" t="s">
        <v>4</v>
      </c>
      <c r="Y486" t="s">
        <v>7880</v>
      </c>
      <c r="Z486" t="s">
        <v>7881</v>
      </c>
      <c r="AA486" t="s">
        <v>7882</v>
      </c>
      <c r="AB486" t="s">
        <v>4</v>
      </c>
      <c r="AC486" s="3" t="s">
        <v>7883</v>
      </c>
      <c r="AD486" t="s">
        <v>4</v>
      </c>
      <c r="AE486" t="s">
        <v>7884</v>
      </c>
      <c r="AF486" t="s">
        <v>3682</v>
      </c>
      <c r="AG486" t="s">
        <v>1714</v>
      </c>
      <c r="AH486" t="s">
        <v>112</v>
      </c>
      <c r="AJ486" t="s">
        <v>7885</v>
      </c>
      <c r="AL486" t="s">
        <v>7886</v>
      </c>
      <c r="AQ486" t="s">
        <v>3999</v>
      </c>
      <c r="AU486" t="s">
        <v>112</v>
      </c>
      <c r="AV486" t="s">
        <v>7887</v>
      </c>
      <c r="AW486" t="s">
        <v>114</v>
      </c>
      <c r="AX486" t="s">
        <v>596</v>
      </c>
      <c r="AY486" t="s">
        <v>7888</v>
      </c>
      <c r="AZ486" t="s">
        <v>4</v>
      </c>
      <c r="BA486" s="3" t="s">
        <v>95</v>
      </c>
      <c r="BB486" s="6" t="s">
        <v>95</v>
      </c>
      <c r="BC486" s="3" t="s">
        <v>95</v>
      </c>
      <c r="BD486" t="s">
        <v>4</v>
      </c>
      <c r="BE486">
        <v>9722</v>
      </c>
      <c r="BF486" t="s">
        <v>169</v>
      </c>
      <c r="BG486">
        <v>82.009299999999996</v>
      </c>
      <c r="BH486">
        <v>27.102799999999998</v>
      </c>
      <c r="BI486">
        <v>89.7196</v>
      </c>
      <c r="BJ486">
        <v>86.682199999999995</v>
      </c>
      <c r="BK486">
        <v>81.775700000000001</v>
      </c>
      <c r="BL486">
        <v>53.271000000000001</v>
      </c>
      <c r="BM486">
        <v>77.102800000000002</v>
      </c>
      <c r="BN486">
        <v>85.981300000000005</v>
      </c>
      <c r="BO486">
        <v>79.439300000000003</v>
      </c>
      <c r="BP486">
        <v>22.663599999999999</v>
      </c>
      <c r="BQ486">
        <v>38.551400000000001</v>
      </c>
      <c r="BR486">
        <v>36.915900000000001</v>
      </c>
      <c r="BS486" t="s">
        <v>7889</v>
      </c>
      <c r="BT486">
        <v>29.672899999999998</v>
      </c>
      <c r="BU486" t="s">
        <v>7890</v>
      </c>
      <c r="BV486" t="s">
        <v>7891</v>
      </c>
      <c r="BX486">
        <v>28.738299999999999</v>
      </c>
      <c r="BZ486">
        <v>42.523400000000002</v>
      </c>
      <c r="CA486">
        <v>41.121499999999997</v>
      </c>
      <c r="CB486" t="s">
        <v>7892</v>
      </c>
      <c r="CC486">
        <v>30.373799999999999</v>
      </c>
      <c r="CD486">
        <v>29.906500000000001</v>
      </c>
      <c r="CE486">
        <v>19.8598</v>
      </c>
      <c r="CF486">
        <v>27.803699999999999</v>
      </c>
      <c r="CG486">
        <v>21.027999999999999</v>
      </c>
      <c r="CH486">
        <v>21.027999999999999</v>
      </c>
      <c r="CI486">
        <v>20.7944</v>
      </c>
      <c r="CJ486">
        <v>19.158899999999999</v>
      </c>
      <c r="CK486">
        <v>9</v>
      </c>
      <c r="CL486" t="s">
        <v>4</v>
      </c>
      <c r="CM486" t="s">
        <v>7893</v>
      </c>
      <c r="CN486" t="s">
        <v>7894</v>
      </c>
      <c r="CO486" t="s">
        <v>1218</v>
      </c>
      <c r="CP486" t="s">
        <v>100</v>
      </c>
      <c r="CQ486" s="7">
        <v>487</v>
      </c>
      <c r="CR486" t="s">
        <v>100</v>
      </c>
      <c r="CS486" t="s">
        <v>100</v>
      </c>
      <c r="CT486" t="s">
        <v>152</v>
      </c>
      <c r="CU486" t="s">
        <v>102</v>
      </c>
      <c r="CV486" t="s">
        <v>7895</v>
      </c>
    </row>
    <row r="487" spans="1:100">
      <c r="A487" s="3" t="s">
        <v>7896</v>
      </c>
      <c r="B487" s="4" t="s">
        <v>7897</v>
      </c>
      <c r="C487">
        <v>2826.8198500516601</v>
      </c>
      <c r="D487">
        <v>6713.7100966814296</v>
      </c>
      <c r="E487">
        <f>-1.24804964079067</f>
        <v>-1.24804964079067</v>
      </c>
      <c r="F487" s="5">
        <v>2.8519306013264999E-19</v>
      </c>
      <c r="G487" t="s">
        <v>4</v>
      </c>
      <c r="H487">
        <v>2826.8198500516601</v>
      </c>
      <c r="I487">
        <v>1209.8053257639599</v>
      </c>
      <c r="J487">
        <v>1.2226362769727199</v>
      </c>
      <c r="K487" s="5">
        <v>2.40684221803646E-18</v>
      </c>
      <c r="L487" t="s">
        <v>4</v>
      </c>
      <c r="M487">
        <v>6713.7100966814296</v>
      </c>
      <c r="N487">
        <v>1209.8053257639599</v>
      </c>
      <c r="O487">
        <v>2.4706859177633902</v>
      </c>
      <c r="P487" s="5">
        <v>1.4814573957496499E-72</v>
      </c>
      <c r="Q487" t="s">
        <v>4</v>
      </c>
      <c r="R487" s="4" t="s">
        <v>87</v>
      </c>
      <c r="S487" t="s">
        <v>4</v>
      </c>
      <c r="T487" t="s">
        <v>7898</v>
      </c>
      <c r="U487" t="s">
        <v>7899</v>
      </c>
      <c r="V487" t="s">
        <v>7900</v>
      </c>
      <c r="W487" t="s">
        <v>328</v>
      </c>
      <c r="X487" t="s">
        <v>4</v>
      </c>
      <c r="Y487" t="s">
        <v>7901</v>
      </c>
      <c r="Z487" t="s">
        <v>7902</v>
      </c>
      <c r="AA487" t="s">
        <v>7903</v>
      </c>
      <c r="AB487" t="s">
        <v>4</v>
      </c>
      <c r="AC487" s="3" t="s">
        <v>7904</v>
      </c>
      <c r="AD487" t="s">
        <v>4</v>
      </c>
      <c r="AE487" t="s">
        <v>7905</v>
      </c>
      <c r="AF487" t="s">
        <v>834</v>
      </c>
      <c r="AG487" t="s">
        <v>7906</v>
      </c>
      <c r="AH487" t="s">
        <v>112</v>
      </c>
      <c r="AL487" t="s">
        <v>7907</v>
      </c>
      <c r="AM487" t="s">
        <v>7908</v>
      </c>
      <c r="AQ487" t="s">
        <v>7909</v>
      </c>
      <c r="AU487" t="s">
        <v>112</v>
      </c>
      <c r="AV487" t="s">
        <v>7910</v>
      </c>
      <c r="AW487" t="s">
        <v>114</v>
      </c>
      <c r="AX487" t="s">
        <v>167</v>
      </c>
      <c r="AY487" t="s">
        <v>7911</v>
      </c>
      <c r="AZ487" t="s">
        <v>4</v>
      </c>
      <c r="BA487" s="3" t="s">
        <v>95</v>
      </c>
      <c r="BB487" s="6" t="s">
        <v>95</v>
      </c>
      <c r="BC487" s="3" t="s">
        <v>95</v>
      </c>
      <c r="BD487" t="s">
        <v>4</v>
      </c>
      <c r="BE487">
        <v>8947</v>
      </c>
      <c r="BF487" t="s">
        <v>169</v>
      </c>
      <c r="BG487">
        <v>58.754199999999997</v>
      </c>
      <c r="BH487">
        <v>14.141400000000001</v>
      </c>
      <c r="BI487" t="s">
        <v>7912</v>
      </c>
      <c r="BJ487">
        <v>94.2761</v>
      </c>
      <c r="BK487">
        <v>91.919200000000004</v>
      </c>
      <c r="BL487">
        <v>26.262599999999999</v>
      </c>
      <c r="BM487">
        <v>83.67</v>
      </c>
      <c r="BN487">
        <v>83.5017</v>
      </c>
      <c r="BO487">
        <v>89.057199999999995</v>
      </c>
      <c r="BP487">
        <v>67.171700000000001</v>
      </c>
      <c r="BQ487">
        <v>38.215499999999999</v>
      </c>
      <c r="BR487">
        <v>35.521900000000002</v>
      </c>
      <c r="BS487">
        <v>30.976400000000002</v>
      </c>
      <c r="BT487">
        <v>23.400700000000001</v>
      </c>
      <c r="BU487">
        <v>39.899000000000001</v>
      </c>
      <c r="BV487" t="s">
        <v>7913</v>
      </c>
      <c r="BW487">
        <v>46.127899999999997</v>
      </c>
      <c r="BX487">
        <v>45.791200000000003</v>
      </c>
      <c r="BZ487">
        <v>28.1145</v>
      </c>
      <c r="CB487">
        <v>36.363599999999998</v>
      </c>
      <c r="CC487">
        <v>31.313099999999999</v>
      </c>
      <c r="CD487">
        <v>33.5017</v>
      </c>
      <c r="CE487">
        <v>29.124600000000001</v>
      </c>
      <c r="CF487">
        <v>32.3232</v>
      </c>
      <c r="CG487" t="s">
        <v>7914</v>
      </c>
      <c r="CH487" t="s">
        <v>7915</v>
      </c>
      <c r="CI487" t="s">
        <v>7916</v>
      </c>
      <c r="CJ487">
        <v>14.309799999999999</v>
      </c>
      <c r="CK487">
        <v>9</v>
      </c>
      <c r="CL487" t="s">
        <v>4</v>
      </c>
      <c r="CM487" t="s">
        <v>98</v>
      </c>
      <c r="CN487" t="s">
        <v>98</v>
      </c>
      <c r="CO487" t="s">
        <v>99</v>
      </c>
      <c r="CP487" t="s">
        <v>100</v>
      </c>
      <c r="CQ487" s="7">
        <v>488</v>
      </c>
      <c r="CR487" t="s">
        <v>100</v>
      </c>
      <c r="CS487" s="7" t="s">
        <v>101</v>
      </c>
      <c r="CT487" t="s">
        <v>152</v>
      </c>
      <c r="CU487" t="s">
        <v>102</v>
      </c>
      <c r="CV487" t="s">
        <v>100</v>
      </c>
    </row>
    <row r="488" spans="1:100">
      <c r="A488" s="3" t="s">
        <v>7917</v>
      </c>
      <c r="B488" s="4" t="s">
        <v>7918</v>
      </c>
      <c r="C488">
        <v>973.76959360141302</v>
      </c>
      <c r="D488">
        <v>2685.3218016753499</v>
      </c>
      <c r="E488">
        <f>-1.46334527452046</f>
        <v>-1.46334527452046</v>
      </c>
      <c r="F488">
        <v>3.4491526111348702E-3</v>
      </c>
      <c r="G488" t="s">
        <v>4</v>
      </c>
      <c r="H488">
        <v>973.76959360141302</v>
      </c>
      <c r="I488">
        <v>483.32588251163202</v>
      </c>
      <c r="J488">
        <v>1.0061675020201399</v>
      </c>
      <c r="K488">
        <v>4.3809717637669103E-2</v>
      </c>
      <c r="L488" t="s">
        <v>4</v>
      </c>
      <c r="M488">
        <v>2685.3218016753499</v>
      </c>
      <c r="N488">
        <v>483.32588251163202</v>
      </c>
      <c r="O488">
        <v>2.4695127765406002</v>
      </c>
      <c r="P488" s="5">
        <v>1.29478370080739E-7</v>
      </c>
      <c r="Q488" t="s">
        <v>4</v>
      </c>
      <c r="R488" s="4" t="s">
        <v>87</v>
      </c>
      <c r="S488" t="s">
        <v>4</v>
      </c>
      <c r="T488" t="s">
        <v>7919</v>
      </c>
      <c r="U488" t="s">
        <v>7920</v>
      </c>
      <c r="V488" t="s">
        <v>7921</v>
      </c>
      <c r="W488" t="s">
        <v>203</v>
      </c>
      <c r="X488" t="s">
        <v>4</v>
      </c>
      <c r="Y488" t="s">
        <v>7922</v>
      </c>
      <c r="Z488" t="s">
        <v>7923</v>
      </c>
      <c r="AA488" t="s">
        <v>7924</v>
      </c>
      <c r="AB488" t="s">
        <v>4</v>
      </c>
      <c r="AC488" s="3" t="s">
        <v>7925</v>
      </c>
      <c r="AD488" t="s">
        <v>4</v>
      </c>
      <c r="AE488" t="s">
        <v>7926</v>
      </c>
      <c r="AF488" t="s">
        <v>7927</v>
      </c>
      <c r="AG488" t="s">
        <v>7928</v>
      </c>
      <c r="AH488" t="s">
        <v>112</v>
      </c>
      <c r="AK488" t="s">
        <v>7929</v>
      </c>
      <c r="AL488" t="s">
        <v>7930</v>
      </c>
      <c r="AQ488" t="s">
        <v>7931</v>
      </c>
      <c r="AU488" t="s">
        <v>112</v>
      </c>
      <c r="AV488" t="s">
        <v>7932</v>
      </c>
      <c r="AW488" t="s">
        <v>114</v>
      </c>
      <c r="AX488" t="s">
        <v>881</v>
      </c>
      <c r="AY488" t="s">
        <v>7933</v>
      </c>
      <c r="AZ488" t="s">
        <v>4</v>
      </c>
      <c r="BA488" s="3" t="s">
        <v>95</v>
      </c>
      <c r="BB488" s="6" t="s">
        <v>95</v>
      </c>
      <c r="BC488" s="3" t="s">
        <v>95</v>
      </c>
      <c r="BD488" t="s">
        <v>4</v>
      </c>
      <c r="BE488">
        <v>8518</v>
      </c>
      <c r="BF488" t="s">
        <v>169</v>
      </c>
      <c r="BG488">
        <v>75.465800000000002</v>
      </c>
      <c r="BH488">
        <v>89.441000000000003</v>
      </c>
      <c r="BI488">
        <v>72.049700000000001</v>
      </c>
      <c r="BJ488">
        <v>69.2547</v>
      </c>
      <c r="BK488">
        <v>45.962699999999998</v>
      </c>
      <c r="BM488">
        <v>12.732900000000001</v>
      </c>
      <c r="BN488">
        <v>12.732900000000001</v>
      </c>
      <c r="BO488">
        <v>31.366499999999998</v>
      </c>
      <c r="BP488">
        <v>37.267099999999999</v>
      </c>
      <c r="BQ488">
        <v>28.882000000000001</v>
      </c>
      <c r="BS488">
        <v>33.229799999999997</v>
      </c>
      <c r="BT488">
        <v>11.4907</v>
      </c>
      <c r="BU488">
        <v>20.186299999999999</v>
      </c>
      <c r="BV488" t="s">
        <v>7934</v>
      </c>
      <c r="BW488">
        <v>13.975199999999999</v>
      </c>
      <c r="BX488">
        <v>13.353999999999999</v>
      </c>
      <c r="BY488">
        <v>24.534199999999998</v>
      </c>
      <c r="BZ488">
        <v>12.111800000000001</v>
      </c>
      <c r="CA488">
        <v>14.2857</v>
      </c>
      <c r="CB488">
        <v>12.732900000000001</v>
      </c>
      <c r="CC488">
        <v>6.8323</v>
      </c>
      <c r="CD488">
        <v>18.0124</v>
      </c>
      <c r="CE488">
        <v>15.528</v>
      </c>
      <c r="CF488">
        <v>12.4224</v>
      </c>
      <c r="CG488" t="s">
        <v>7935</v>
      </c>
      <c r="CH488" t="s">
        <v>7936</v>
      </c>
      <c r="CI488" t="s">
        <v>7937</v>
      </c>
      <c r="CJ488">
        <v>20.186299999999999</v>
      </c>
      <c r="CK488">
        <v>9</v>
      </c>
      <c r="CL488" t="s">
        <v>4</v>
      </c>
      <c r="CM488" t="s">
        <v>7938</v>
      </c>
      <c r="CN488" t="s">
        <v>7939</v>
      </c>
      <c r="CO488" t="s">
        <v>1218</v>
      </c>
      <c r="CP488" t="s">
        <v>100</v>
      </c>
      <c r="CQ488" s="7">
        <v>489</v>
      </c>
      <c r="CR488" t="s">
        <v>100</v>
      </c>
      <c r="CS488" s="7" t="s">
        <v>101</v>
      </c>
      <c r="CT488" t="s">
        <v>152</v>
      </c>
      <c r="CU488" t="s">
        <v>102</v>
      </c>
      <c r="CV488" t="s">
        <v>100</v>
      </c>
    </row>
    <row r="489" spans="1:100">
      <c r="A489" s="3" t="s">
        <v>7940</v>
      </c>
      <c r="B489" s="4" t="s">
        <v>7941</v>
      </c>
      <c r="C489">
        <v>710.78958615201896</v>
      </c>
      <c r="D489">
        <v>1900.3294560061199</v>
      </c>
      <c r="E489">
        <f>-1.41829944834621</f>
        <v>-1.4182994483462099</v>
      </c>
      <c r="F489" s="5">
        <v>6.8636885167790403E-15</v>
      </c>
      <c r="G489" t="s">
        <v>4</v>
      </c>
      <c r="H489">
        <v>710.78958615201896</v>
      </c>
      <c r="I489">
        <v>346.30753913632202</v>
      </c>
      <c r="J489">
        <v>1.0324417388537299</v>
      </c>
      <c r="K489" s="5">
        <v>5.18402052881083E-8</v>
      </c>
      <c r="L489" t="s">
        <v>4</v>
      </c>
      <c r="M489">
        <v>1900.3294560061199</v>
      </c>
      <c r="N489">
        <v>346.30753913632202</v>
      </c>
      <c r="O489">
        <v>2.4507411871999398</v>
      </c>
      <c r="P489" s="5">
        <v>3.0673363824817499E-41</v>
      </c>
      <c r="Q489" t="s">
        <v>4</v>
      </c>
      <c r="R489" s="4" t="s">
        <v>87</v>
      </c>
      <c r="S489" t="s">
        <v>4</v>
      </c>
      <c r="T489" t="s">
        <v>7942</v>
      </c>
      <c r="U489" t="s">
        <v>7943</v>
      </c>
      <c r="V489" t="s">
        <v>7944</v>
      </c>
      <c r="W489" t="s">
        <v>203</v>
      </c>
      <c r="X489" t="s">
        <v>4</v>
      </c>
      <c r="Y489" t="s">
        <v>7945</v>
      </c>
      <c r="Z489" t="s">
        <v>7946</v>
      </c>
      <c r="AA489" t="s">
        <v>7947</v>
      </c>
      <c r="AB489" t="s">
        <v>4</v>
      </c>
      <c r="AC489" s="3" t="s">
        <v>7948</v>
      </c>
      <c r="AD489" t="s">
        <v>4</v>
      </c>
      <c r="AE489" t="s">
        <v>7949</v>
      </c>
      <c r="AF489" t="s">
        <v>7950</v>
      </c>
      <c r="AG489" t="s">
        <v>7951</v>
      </c>
      <c r="AH489" t="s">
        <v>112</v>
      </c>
      <c r="AL489" t="s">
        <v>7952</v>
      </c>
      <c r="AQ489" t="s">
        <v>7953</v>
      </c>
      <c r="AU489" t="s">
        <v>112</v>
      </c>
      <c r="AV489" t="s">
        <v>7954</v>
      </c>
      <c r="AW489" t="s">
        <v>114</v>
      </c>
      <c r="AX489" t="s">
        <v>2669</v>
      </c>
      <c r="AY489" t="s">
        <v>7955</v>
      </c>
      <c r="AZ489" t="s">
        <v>4</v>
      </c>
      <c r="BA489" s="3" t="s">
        <v>95</v>
      </c>
      <c r="BB489" s="6" t="s">
        <v>95</v>
      </c>
      <c r="BC489" s="3" t="s">
        <v>95</v>
      </c>
      <c r="BD489" t="s">
        <v>4</v>
      </c>
      <c r="BE489">
        <v>8657</v>
      </c>
      <c r="BF489" t="s">
        <v>169</v>
      </c>
      <c r="BG489">
        <v>92.210499999999996</v>
      </c>
      <c r="BH489">
        <v>89.684200000000004</v>
      </c>
      <c r="BI489">
        <v>89.8947</v>
      </c>
      <c r="BJ489">
        <v>81.052599999999998</v>
      </c>
      <c r="BK489">
        <v>76.210499999999996</v>
      </c>
      <c r="BL489">
        <v>49.684199999999997</v>
      </c>
      <c r="BM489">
        <v>75.368399999999994</v>
      </c>
      <c r="BN489">
        <v>77.8947</v>
      </c>
      <c r="BO489">
        <v>72</v>
      </c>
      <c r="BP489">
        <v>45.052599999999998</v>
      </c>
      <c r="BQ489">
        <v>36.631599999999999</v>
      </c>
      <c r="BR489">
        <v>41.684199999999997</v>
      </c>
      <c r="BS489">
        <v>36.842100000000002</v>
      </c>
      <c r="BT489">
        <v>33.684199999999997</v>
      </c>
      <c r="BW489">
        <v>19.7895</v>
      </c>
      <c r="BX489">
        <v>38.315800000000003</v>
      </c>
      <c r="BZ489">
        <v>20</v>
      </c>
      <c r="CA489">
        <v>37.473700000000001</v>
      </c>
      <c r="CB489">
        <v>32.210500000000003</v>
      </c>
      <c r="CD489">
        <v>23.578900000000001</v>
      </c>
      <c r="CE489">
        <v>22.1053</v>
      </c>
      <c r="CF489">
        <v>27.157900000000001</v>
      </c>
      <c r="CG489">
        <v>27.578900000000001</v>
      </c>
      <c r="CH489">
        <v>28.631599999999999</v>
      </c>
      <c r="CI489">
        <v>30.736799999999999</v>
      </c>
      <c r="CJ489">
        <v>24</v>
      </c>
      <c r="CK489">
        <v>9</v>
      </c>
      <c r="CL489" t="s">
        <v>4</v>
      </c>
      <c r="CM489" t="s">
        <v>7956</v>
      </c>
      <c r="CN489" t="s">
        <v>7957</v>
      </c>
      <c r="CO489" t="s">
        <v>219</v>
      </c>
      <c r="CP489" t="s">
        <v>100</v>
      </c>
      <c r="CQ489" s="7">
        <v>490</v>
      </c>
      <c r="CR489" t="s">
        <v>100</v>
      </c>
      <c r="CS489" s="7" t="s">
        <v>101</v>
      </c>
      <c r="CT489" t="s">
        <v>152</v>
      </c>
      <c r="CU489" t="s">
        <v>102</v>
      </c>
      <c r="CV489" t="s">
        <v>100</v>
      </c>
    </row>
    <row r="490" spans="1:100">
      <c r="A490" s="3" t="s">
        <v>7958</v>
      </c>
      <c r="B490" s="4" t="s">
        <v>7959</v>
      </c>
      <c r="C490">
        <v>53.888357620505097</v>
      </c>
      <c r="D490">
        <v>188.25040516957699</v>
      </c>
      <c r="E490">
        <f>-1.80374133641384</f>
        <v>-1.8037413364138399</v>
      </c>
      <c r="F490">
        <v>1.3269405860731301E-3</v>
      </c>
      <c r="G490" t="s">
        <v>4</v>
      </c>
      <c r="H490">
        <v>53.888357620505097</v>
      </c>
      <c r="I490">
        <v>35.458793411179201</v>
      </c>
      <c r="J490">
        <v>0.62111774626101501</v>
      </c>
      <c r="K490">
        <v>0.30885538929803702</v>
      </c>
      <c r="L490" t="s">
        <v>4</v>
      </c>
      <c r="M490">
        <v>188.25040516957699</v>
      </c>
      <c r="N490">
        <v>35.458793411179201</v>
      </c>
      <c r="O490">
        <v>2.4248590826748502</v>
      </c>
      <c r="P490" s="5">
        <v>1.04720129519588E-5</v>
      </c>
      <c r="Q490" t="s">
        <v>4</v>
      </c>
      <c r="R490" s="4" t="s">
        <v>87</v>
      </c>
      <c r="S490" t="s">
        <v>4</v>
      </c>
      <c r="T490" t="s">
        <v>92</v>
      </c>
      <c r="U490" t="s">
        <v>92</v>
      </c>
      <c r="V490" t="s">
        <v>92</v>
      </c>
      <c r="W490" t="s">
        <v>92</v>
      </c>
      <c r="X490" t="s">
        <v>4</v>
      </c>
      <c r="Y490" t="s">
        <v>92</v>
      </c>
      <c r="Z490" t="s">
        <v>92</v>
      </c>
      <c r="AA490" t="s">
        <v>92</v>
      </c>
      <c r="AB490" t="s">
        <v>4</v>
      </c>
      <c r="AC490" s="3" t="s">
        <v>7960</v>
      </c>
      <c r="AD490" t="s">
        <v>4</v>
      </c>
      <c r="AE490" s="4" t="s">
        <v>94</v>
      </c>
      <c r="AZ490" t="s">
        <v>4</v>
      </c>
      <c r="BA490" s="3" t="s">
        <v>95</v>
      </c>
      <c r="BB490" s="6" t="s">
        <v>95</v>
      </c>
      <c r="BC490" s="3" t="s">
        <v>197</v>
      </c>
      <c r="BD490" t="s">
        <v>4</v>
      </c>
      <c r="BE490">
        <v>304</v>
      </c>
      <c r="BF490" t="s">
        <v>322</v>
      </c>
      <c r="CK490">
        <v>1</v>
      </c>
      <c r="CL490" t="s">
        <v>4</v>
      </c>
      <c r="CM490" t="s">
        <v>98</v>
      </c>
      <c r="CN490" t="s">
        <v>98</v>
      </c>
      <c r="CO490" t="s">
        <v>99</v>
      </c>
      <c r="CP490" t="s">
        <v>100</v>
      </c>
      <c r="CQ490" s="7">
        <v>491</v>
      </c>
      <c r="CR490" t="s">
        <v>100</v>
      </c>
      <c r="CS490" t="s">
        <v>100</v>
      </c>
      <c r="CT490" t="s">
        <v>152</v>
      </c>
      <c r="CU490" t="s">
        <v>102</v>
      </c>
      <c r="CV490" t="s">
        <v>100</v>
      </c>
    </row>
    <row r="491" spans="1:100">
      <c r="A491" s="3" t="s">
        <v>7961</v>
      </c>
      <c r="B491" s="4" t="s">
        <v>7962</v>
      </c>
      <c r="C491">
        <v>469.16185127877498</v>
      </c>
      <c r="D491">
        <v>1101.1008557059199</v>
      </c>
      <c r="E491">
        <f>-1.23010615530299</f>
        <v>-1.2301061553029899</v>
      </c>
      <c r="F491" s="5">
        <v>5.1655949818701398E-5</v>
      </c>
      <c r="G491" t="s">
        <v>4</v>
      </c>
      <c r="H491">
        <v>469.16185127877498</v>
      </c>
      <c r="I491">
        <v>204.84561896285399</v>
      </c>
      <c r="J491">
        <v>1.1834206531678999</v>
      </c>
      <c r="K491">
        <v>1.0979516833357799E-4</v>
      </c>
      <c r="L491" t="s">
        <v>4</v>
      </c>
      <c r="M491">
        <v>1101.1008557059199</v>
      </c>
      <c r="N491">
        <v>204.84561896285399</v>
      </c>
      <c r="O491">
        <v>2.4135268084709001</v>
      </c>
      <c r="P491" s="5">
        <v>1.4619426556266999E-16</v>
      </c>
      <c r="Q491" t="s">
        <v>4</v>
      </c>
      <c r="R491" s="4" t="s">
        <v>87</v>
      </c>
      <c r="S491" t="s">
        <v>4</v>
      </c>
      <c r="T491" t="s">
        <v>92</v>
      </c>
      <c r="U491" t="s">
        <v>92</v>
      </c>
      <c r="V491" t="s">
        <v>92</v>
      </c>
      <c r="W491" t="s">
        <v>92</v>
      </c>
      <c r="X491" t="s">
        <v>4</v>
      </c>
      <c r="Y491" t="s">
        <v>92</v>
      </c>
      <c r="Z491" t="s">
        <v>92</v>
      </c>
      <c r="AA491" t="s">
        <v>92</v>
      </c>
      <c r="AB491" t="s">
        <v>4</v>
      </c>
      <c r="AC491" s="3" t="s">
        <v>93</v>
      </c>
      <c r="AD491" t="s">
        <v>4</v>
      </c>
      <c r="AE491" s="4" t="s">
        <v>94</v>
      </c>
      <c r="AZ491" t="s">
        <v>4</v>
      </c>
      <c r="BA491" s="3" t="s">
        <v>95</v>
      </c>
      <c r="BB491" s="6" t="s">
        <v>95</v>
      </c>
      <c r="BC491" s="3" t="s">
        <v>95</v>
      </c>
      <c r="BD491" t="s">
        <v>4</v>
      </c>
      <c r="BE491">
        <v>2687</v>
      </c>
      <c r="BF491" t="s">
        <v>97</v>
      </c>
      <c r="BG491">
        <v>85.75</v>
      </c>
      <c r="BH491">
        <v>55.25</v>
      </c>
      <c r="BI491">
        <v>78.25</v>
      </c>
      <c r="BJ491">
        <v>57.75</v>
      </c>
      <c r="BK491">
        <v>55.25</v>
      </c>
      <c r="BM491">
        <v>54.75</v>
      </c>
      <c r="BN491">
        <v>54</v>
      </c>
      <c r="BO491">
        <v>57</v>
      </c>
      <c r="CK491">
        <v>4</v>
      </c>
      <c r="CL491" t="s">
        <v>4</v>
      </c>
      <c r="CM491" t="s">
        <v>98</v>
      </c>
      <c r="CN491" t="s">
        <v>98</v>
      </c>
      <c r="CO491" t="s">
        <v>99</v>
      </c>
      <c r="CP491" t="s">
        <v>100</v>
      </c>
      <c r="CQ491" s="7">
        <v>492</v>
      </c>
      <c r="CR491" t="s">
        <v>100</v>
      </c>
      <c r="CS491" s="7" t="s">
        <v>101</v>
      </c>
      <c r="CT491" t="s">
        <v>152</v>
      </c>
      <c r="CU491" t="s">
        <v>102</v>
      </c>
      <c r="CV491" t="s">
        <v>100</v>
      </c>
    </row>
    <row r="492" spans="1:100">
      <c r="A492" s="3" t="s">
        <v>7963</v>
      </c>
      <c r="B492" s="4" t="s">
        <v>7964</v>
      </c>
      <c r="C492">
        <v>1928.00104282289</v>
      </c>
      <c r="D492">
        <v>6069.8397537049996</v>
      </c>
      <c r="E492">
        <f>-1.6545345647107</f>
        <v>-1.6545345647106999</v>
      </c>
      <c r="F492" s="5">
        <v>4.8595250065161501E-9</v>
      </c>
      <c r="G492" t="s">
        <v>4</v>
      </c>
      <c r="H492">
        <v>1928.00104282289</v>
      </c>
      <c r="I492">
        <v>1139.3698412675899</v>
      </c>
      <c r="J492">
        <v>0.75626399504542297</v>
      </c>
      <c r="K492">
        <v>9.5790071063277995E-3</v>
      </c>
      <c r="L492" t="s">
        <v>4</v>
      </c>
      <c r="M492">
        <v>6069.8397537049996</v>
      </c>
      <c r="N492">
        <v>1139.3698412675899</v>
      </c>
      <c r="O492">
        <v>2.4107985597561199</v>
      </c>
      <c r="P492" s="5">
        <v>1.0722428984343899E-18</v>
      </c>
      <c r="Q492" t="s">
        <v>4</v>
      </c>
      <c r="R492" s="4" t="s">
        <v>87</v>
      </c>
      <c r="S492" t="s">
        <v>4</v>
      </c>
      <c r="T492" t="s">
        <v>7965</v>
      </c>
      <c r="U492" t="s">
        <v>7966</v>
      </c>
      <c r="V492" t="s">
        <v>7967</v>
      </c>
      <c r="W492" t="s">
        <v>203</v>
      </c>
      <c r="X492" t="s">
        <v>4</v>
      </c>
      <c r="Y492" t="s">
        <v>7968</v>
      </c>
      <c r="Z492" t="s">
        <v>7969</v>
      </c>
      <c r="AA492" t="s">
        <v>7970</v>
      </c>
      <c r="AB492" t="s">
        <v>4</v>
      </c>
      <c r="AC492" s="3" t="s">
        <v>7971</v>
      </c>
      <c r="AD492" t="s">
        <v>4</v>
      </c>
      <c r="AE492" t="s">
        <v>7972</v>
      </c>
      <c r="AF492" t="s">
        <v>7973</v>
      </c>
      <c r="AG492" t="s">
        <v>7974</v>
      </c>
      <c r="AH492" t="s">
        <v>112</v>
      </c>
      <c r="AK492" t="s">
        <v>7975</v>
      </c>
      <c r="AL492" t="s">
        <v>7976</v>
      </c>
      <c r="AM492" t="s">
        <v>7977</v>
      </c>
      <c r="AO492" t="s">
        <v>7978</v>
      </c>
      <c r="AP492" t="s">
        <v>7979</v>
      </c>
      <c r="AQ492" t="s">
        <v>342</v>
      </c>
      <c r="AU492" t="s">
        <v>112</v>
      </c>
      <c r="AV492" t="s">
        <v>7980</v>
      </c>
      <c r="AW492" t="s">
        <v>114</v>
      </c>
      <c r="AX492" t="s">
        <v>2669</v>
      </c>
      <c r="AY492" t="s">
        <v>7981</v>
      </c>
      <c r="AZ492" t="s">
        <v>4</v>
      </c>
      <c r="BA492" s="3" t="s">
        <v>95</v>
      </c>
      <c r="BB492" s="6" t="s">
        <v>95</v>
      </c>
      <c r="BC492" s="3" t="s">
        <v>95</v>
      </c>
      <c r="BD492" t="s">
        <v>4</v>
      </c>
      <c r="BE492">
        <v>9012</v>
      </c>
      <c r="BF492" t="s">
        <v>169</v>
      </c>
      <c r="BG492">
        <v>89.929299999999998</v>
      </c>
      <c r="BH492">
        <v>20.848099999999999</v>
      </c>
      <c r="BI492">
        <v>75.971699999999998</v>
      </c>
      <c r="BJ492">
        <v>72.438199999999995</v>
      </c>
      <c r="BK492">
        <v>62.897500000000001</v>
      </c>
      <c r="BL492">
        <v>40.459400000000002</v>
      </c>
      <c r="BM492" t="s">
        <v>7982</v>
      </c>
      <c r="BN492">
        <v>65.370999999999995</v>
      </c>
      <c r="BO492">
        <v>66.607799999999997</v>
      </c>
      <c r="BP492">
        <v>31.448799999999999</v>
      </c>
      <c r="BQ492">
        <v>33.568899999999999</v>
      </c>
      <c r="BR492">
        <v>39.2226</v>
      </c>
      <c r="BS492">
        <v>36.572400000000002</v>
      </c>
      <c r="BU492" t="s">
        <v>7983</v>
      </c>
      <c r="BV492" t="s">
        <v>7984</v>
      </c>
      <c r="BX492">
        <v>40.106000000000002</v>
      </c>
      <c r="BY492">
        <v>33.568899999999999</v>
      </c>
      <c r="BZ492">
        <v>37.985900000000001</v>
      </c>
      <c r="CA492">
        <v>39.2226</v>
      </c>
      <c r="CB492">
        <v>33.9223</v>
      </c>
      <c r="CC492">
        <v>30.5654</v>
      </c>
      <c r="CD492">
        <v>34.0989</v>
      </c>
      <c r="CE492" t="s">
        <v>7985</v>
      </c>
      <c r="CF492" t="s">
        <v>7986</v>
      </c>
      <c r="CG492">
        <v>36.572400000000002</v>
      </c>
      <c r="CH492">
        <v>36.042400000000001</v>
      </c>
      <c r="CI492">
        <v>34.982300000000002</v>
      </c>
      <c r="CJ492">
        <v>30.5654</v>
      </c>
      <c r="CK492">
        <v>9</v>
      </c>
      <c r="CL492" t="s">
        <v>4</v>
      </c>
      <c r="CM492" t="s">
        <v>7987</v>
      </c>
      <c r="CN492" t="s">
        <v>7988</v>
      </c>
      <c r="CO492" t="s">
        <v>1218</v>
      </c>
      <c r="CP492" t="s">
        <v>100</v>
      </c>
      <c r="CQ492" s="7">
        <v>493</v>
      </c>
      <c r="CR492" t="s">
        <v>100</v>
      </c>
      <c r="CS492" t="s">
        <v>100</v>
      </c>
      <c r="CT492" t="s">
        <v>152</v>
      </c>
      <c r="CU492" t="s">
        <v>102</v>
      </c>
      <c r="CV492" t="s">
        <v>100</v>
      </c>
    </row>
    <row r="493" spans="1:100">
      <c r="A493" s="3" t="s">
        <v>7989</v>
      </c>
      <c r="B493" s="4" t="s">
        <v>7990</v>
      </c>
      <c r="C493">
        <v>2976.28200691862</v>
      </c>
      <c r="D493">
        <v>7877.9499527538201</v>
      </c>
      <c r="E493">
        <f>-1.40431081619916</f>
        <v>-1.40431081619916</v>
      </c>
      <c r="F493" s="5">
        <v>1.62728629448699E-9</v>
      </c>
      <c r="G493" t="s">
        <v>4</v>
      </c>
      <c r="H493">
        <v>2976.28200691862</v>
      </c>
      <c r="I493">
        <v>1485.09868801531</v>
      </c>
      <c r="J493">
        <v>1.0034374696778601</v>
      </c>
      <c r="K493" s="5">
        <v>1.90327816586386E-5</v>
      </c>
      <c r="L493" t="s">
        <v>4</v>
      </c>
      <c r="M493">
        <v>7877.9499527538201</v>
      </c>
      <c r="N493">
        <v>1485.09868801531</v>
      </c>
      <c r="O493">
        <v>2.4077482858770201</v>
      </c>
      <c r="P493" s="5">
        <v>7.6963093083899497E-27</v>
      </c>
      <c r="Q493" t="s">
        <v>4</v>
      </c>
      <c r="R493" s="4" t="s">
        <v>87</v>
      </c>
      <c r="S493" t="s">
        <v>4</v>
      </c>
      <c r="T493" t="s">
        <v>7991</v>
      </c>
      <c r="U493" t="s">
        <v>7992</v>
      </c>
      <c r="V493" t="s">
        <v>7993</v>
      </c>
      <c r="W493" t="s">
        <v>328</v>
      </c>
      <c r="X493" t="s">
        <v>4</v>
      </c>
      <c r="Y493" t="s">
        <v>7994</v>
      </c>
      <c r="Z493" t="s">
        <v>7995</v>
      </c>
      <c r="AA493" t="s">
        <v>7996</v>
      </c>
      <c r="AB493" t="s">
        <v>4</v>
      </c>
      <c r="AC493" s="3" t="s">
        <v>7997</v>
      </c>
      <c r="AD493" t="s">
        <v>4</v>
      </c>
      <c r="AE493" t="s">
        <v>7998</v>
      </c>
      <c r="AF493" t="s">
        <v>7999</v>
      </c>
      <c r="AG493" t="s">
        <v>8000</v>
      </c>
      <c r="AH493" t="s">
        <v>112</v>
      </c>
      <c r="AJ493" t="s">
        <v>8001</v>
      </c>
      <c r="AU493" t="s">
        <v>112</v>
      </c>
      <c r="AV493" t="s">
        <v>8002</v>
      </c>
      <c r="AW493" t="s">
        <v>114</v>
      </c>
      <c r="AX493" t="s">
        <v>371</v>
      </c>
      <c r="AY493" t="s">
        <v>8003</v>
      </c>
      <c r="AZ493" t="s">
        <v>4</v>
      </c>
      <c r="BA493" s="3" t="s">
        <v>115</v>
      </c>
      <c r="BB493" s="6" t="s">
        <v>95</v>
      </c>
      <c r="BC493" s="3" t="s">
        <v>95</v>
      </c>
      <c r="BD493" t="s">
        <v>4</v>
      </c>
      <c r="BE493">
        <v>9853</v>
      </c>
      <c r="BF493" t="s">
        <v>169</v>
      </c>
      <c r="BG493">
        <v>92.550799999999995</v>
      </c>
      <c r="BH493">
        <v>100</v>
      </c>
      <c r="BI493" t="s">
        <v>8004</v>
      </c>
      <c r="BJ493">
        <v>76.975200000000001</v>
      </c>
      <c r="BK493">
        <v>69.977400000000003</v>
      </c>
      <c r="BM493">
        <v>72.234800000000007</v>
      </c>
      <c r="BN493">
        <v>72.912000000000006</v>
      </c>
      <c r="BO493">
        <v>72.460499999999996</v>
      </c>
      <c r="BP493">
        <v>48.758499999999998</v>
      </c>
      <c r="BQ493">
        <v>28.668199999999999</v>
      </c>
      <c r="BR493">
        <v>32.505600000000001</v>
      </c>
      <c r="BS493">
        <v>27.5395</v>
      </c>
      <c r="BT493">
        <v>18.058700000000002</v>
      </c>
      <c r="BU493">
        <v>22.1219</v>
      </c>
      <c r="BV493" t="s">
        <v>8005</v>
      </c>
      <c r="BX493">
        <v>32.505600000000001</v>
      </c>
      <c r="BY493">
        <v>21.8962</v>
      </c>
      <c r="BZ493">
        <v>32.505600000000001</v>
      </c>
      <c r="CA493">
        <v>32.505600000000001</v>
      </c>
      <c r="CB493">
        <v>18.735900000000001</v>
      </c>
      <c r="CC493">
        <v>22.573399999999999</v>
      </c>
      <c r="CD493">
        <v>21.219000000000001</v>
      </c>
      <c r="CE493">
        <v>22.3476</v>
      </c>
      <c r="CF493">
        <v>23.476299999999998</v>
      </c>
      <c r="CG493">
        <v>26.185099999999998</v>
      </c>
      <c r="CH493">
        <v>26.636600000000001</v>
      </c>
      <c r="CI493">
        <v>25.2822</v>
      </c>
      <c r="CJ493">
        <v>10.8352</v>
      </c>
      <c r="CK493">
        <v>9</v>
      </c>
      <c r="CL493" t="s">
        <v>4</v>
      </c>
      <c r="CM493" t="s">
        <v>8006</v>
      </c>
      <c r="CN493" t="s">
        <v>8007</v>
      </c>
      <c r="CO493" t="s">
        <v>99</v>
      </c>
      <c r="CP493" t="s">
        <v>100</v>
      </c>
      <c r="CQ493" s="7">
        <v>494</v>
      </c>
      <c r="CR493" t="s">
        <v>100</v>
      </c>
      <c r="CS493" s="7" t="s">
        <v>101</v>
      </c>
      <c r="CT493" t="s">
        <v>152</v>
      </c>
      <c r="CU493" t="s">
        <v>102</v>
      </c>
      <c r="CV493" t="s">
        <v>100</v>
      </c>
    </row>
    <row r="494" spans="1:100">
      <c r="A494" s="3" t="s">
        <v>8008</v>
      </c>
      <c r="B494" s="4" t="s">
        <v>8009</v>
      </c>
      <c r="C494">
        <v>179.06144169169701</v>
      </c>
      <c r="D494">
        <v>615.006508953099</v>
      </c>
      <c r="E494">
        <f>-1.77772237191386</f>
        <v>-1.77772237191386</v>
      </c>
      <c r="F494" s="5">
        <v>1.2714300800184701E-10</v>
      </c>
      <c r="G494" t="s">
        <v>4</v>
      </c>
      <c r="H494">
        <v>179.06144169169701</v>
      </c>
      <c r="I494">
        <v>116.752915772794</v>
      </c>
      <c r="J494">
        <v>0.62217491102935196</v>
      </c>
      <c r="K494">
        <v>4.1502540768858599E-2</v>
      </c>
      <c r="L494" t="s">
        <v>4</v>
      </c>
      <c r="M494">
        <v>615.006508953099</v>
      </c>
      <c r="N494">
        <v>116.752915772794</v>
      </c>
      <c r="O494">
        <v>2.3998972829432099</v>
      </c>
      <c r="P494" s="5">
        <v>6.5156885582876898E-18</v>
      </c>
      <c r="Q494" t="s">
        <v>4</v>
      </c>
      <c r="R494" s="4" t="s">
        <v>87</v>
      </c>
      <c r="S494" t="s">
        <v>4</v>
      </c>
      <c r="T494" t="s">
        <v>8010</v>
      </c>
      <c r="U494" t="s">
        <v>8011</v>
      </c>
      <c r="V494" t="s">
        <v>8012</v>
      </c>
      <c r="W494" t="s">
        <v>976</v>
      </c>
      <c r="X494" t="s">
        <v>4</v>
      </c>
      <c r="Y494" t="s">
        <v>8013</v>
      </c>
      <c r="Z494" t="s">
        <v>8014</v>
      </c>
      <c r="AA494" t="s">
        <v>8015</v>
      </c>
      <c r="AB494" t="s">
        <v>4</v>
      </c>
      <c r="AC494" s="3" t="s">
        <v>8016</v>
      </c>
      <c r="AD494" t="s">
        <v>4</v>
      </c>
      <c r="AE494" t="s">
        <v>8017</v>
      </c>
      <c r="AF494" t="s">
        <v>8018</v>
      </c>
      <c r="AG494" t="s">
        <v>8019</v>
      </c>
      <c r="AH494" t="s">
        <v>112</v>
      </c>
      <c r="AL494" t="s">
        <v>8020</v>
      </c>
      <c r="AM494" t="s">
        <v>8021</v>
      </c>
      <c r="AN494" t="s">
        <v>8022</v>
      </c>
      <c r="AQ494" t="s">
        <v>8023</v>
      </c>
      <c r="AU494" t="s">
        <v>112</v>
      </c>
      <c r="AV494" t="s">
        <v>8024</v>
      </c>
      <c r="AW494" t="s">
        <v>114</v>
      </c>
      <c r="AX494" t="s">
        <v>1879</v>
      </c>
      <c r="AY494" t="s">
        <v>8025</v>
      </c>
      <c r="AZ494" t="s">
        <v>4</v>
      </c>
      <c r="BA494" s="3" t="s">
        <v>95</v>
      </c>
      <c r="BB494" s="6" t="s">
        <v>95</v>
      </c>
      <c r="BC494" s="3" t="s">
        <v>95</v>
      </c>
      <c r="BD494" t="s">
        <v>4</v>
      </c>
      <c r="BE494">
        <v>4957</v>
      </c>
      <c r="BF494" t="s">
        <v>282</v>
      </c>
      <c r="BG494">
        <v>97.975700000000003</v>
      </c>
      <c r="BH494">
        <v>100</v>
      </c>
      <c r="BI494">
        <v>95.951400000000007</v>
      </c>
      <c r="BJ494">
        <v>88.664000000000001</v>
      </c>
      <c r="BK494">
        <v>76.923100000000005</v>
      </c>
      <c r="BM494">
        <v>78.947400000000002</v>
      </c>
      <c r="BN494">
        <v>78.947400000000002</v>
      </c>
      <c r="BO494">
        <v>72.064800000000005</v>
      </c>
      <c r="BP494">
        <v>40.890700000000002</v>
      </c>
      <c r="BQ494">
        <v>29.5547</v>
      </c>
      <c r="BR494">
        <v>37.247</v>
      </c>
      <c r="BS494">
        <v>33.603200000000001</v>
      </c>
      <c r="BT494">
        <v>31.983799999999999</v>
      </c>
      <c r="BU494">
        <v>30.3644</v>
      </c>
      <c r="BW494">
        <v>35.222700000000003</v>
      </c>
      <c r="BX494">
        <v>38.056699999999999</v>
      </c>
      <c r="BY494">
        <v>25.910900000000002</v>
      </c>
      <c r="CA494">
        <v>33.198399999999999</v>
      </c>
      <c r="CC494">
        <v>18.6235</v>
      </c>
      <c r="CD494">
        <v>22.267199999999999</v>
      </c>
      <c r="CK494">
        <v>6</v>
      </c>
      <c r="CL494" t="s">
        <v>4</v>
      </c>
      <c r="CM494" t="s">
        <v>8026</v>
      </c>
      <c r="CN494" t="s">
        <v>8027</v>
      </c>
      <c r="CO494" t="s">
        <v>219</v>
      </c>
      <c r="CP494" t="s">
        <v>100</v>
      </c>
      <c r="CQ494" s="7">
        <v>495</v>
      </c>
      <c r="CR494" t="s">
        <v>100</v>
      </c>
      <c r="CS494" t="s">
        <v>100</v>
      </c>
      <c r="CT494" t="s">
        <v>152</v>
      </c>
      <c r="CU494" t="s">
        <v>102</v>
      </c>
      <c r="CV494" t="s">
        <v>100</v>
      </c>
    </row>
    <row r="495" spans="1:100">
      <c r="A495" s="3" t="s">
        <v>8028</v>
      </c>
      <c r="B495" s="4" t="s">
        <v>8029</v>
      </c>
      <c r="C495">
        <v>32.226709956034803</v>
      </c>
      <c r="D495">
        <v>97.828181083852698</v>
      </c>
      <c r="E495">
        <f>-1.60535505557391</f>
        <v>-1.60535505557391</v>
      </c>
      <c r="F495">
        <v>2.0888658999831E-2</v>
      </c>
      <c r="G495" t="s">
        <v>4</v>
      </c>
      <c r="H495">
        <v>32.226709956034803</v>
      </c>
      <c r="I495">
        <v>18.558126210196399</v>
      </c>
      <c r="J495">
        <v>0.78848191035192094</v>
      </c>
      <c r="K495">
        <v>0.29148231900131999</v>
      </c>
      <c r="L495" t="s">
        <v>4</v>
      </c>
      <c r="M495">
        <v>97.828181083852698</v>
      </c>
      <c r="N495">
        <v>18.558126210196399</v>
      </c>
      <c r="O495">
        <v>2.3938369659258298</v>
      </c>
      <c r="P495">
        <v>4.5327202172600799E-4</v>
      </c>
      <c r="Q495" t="s">
        <v>4</v>
      </c>
      <c r="R495" s="4" t="s">
        <v>87</v>
      </c>
      <c r="S495" t="s">
        <v>4</v>
      </c>
      <c r="T495" t="s">
        <v>92</v>
      </c>
      <c r="U495" t="s">
        <v>92</v>
      </c>
      <c r="V495" t="s">
        <v>92</v>
      </c>
      <c r="W495" t="s">
        <v>92</v>
      </c>
      <c r="X495" t="s">
        <v>4</v>
      </c>
      <c r="Y495" t="s">
        <v>92</v>
      </c>
      <c r="Z495" t="s">
        <v>92</v>
      </c>
      <c r="AA495" t="s">
        <v>92</v>
      </c>
      <c r="AB495" t="s">
        <v>4</v>
      </c>
      <c r="AC495" s="3" t="s">
        <v>93</v>
      </c>
      <c r="AD495" t="s">
        <v>4</v>
      </c>
      <c r="AE495" t="s">
        <v>8030</v>
      </c>
      <c r="AF495" t="s">
        <v>8031</v>
      </c>
      <c r="AG495" t="s">
        <v>8032</v>
      </c>
      <c r="AH495" t="s">
        <v>112</v>
      </c>
      <c r="AU495" t="s">
        <v>112</v>
      </c>
      <c r="AV495" t="s">
        <v>8033</v>
      </c>
      <c r="AW495" t="s">
        <v>114</v>
      </c>
      <c r="AX495" t="s">
        <v>144</v>
      </c>
      <c r="AY495" t="s">
        <v>1908</v>
      </c>
      <c r="AZ495" t="s">
        <v>4</v>
      </c>
      <c r="BA495" s="3" t="s">
        <v>115</v>
      </c>
      <c r="BB495" s="6" t="s">
        <v>95</v>
      </c>
      <c r="BC495" s="3" t="s">
        <v>197</v>
      </c>
      <c r="BD495" t="s">
        <v>4</v>
      </c>
      <c r="BE495">
        <v>2119</v>
      </c>
      <c r="BF495" t="s">
        <v>148</v>
      </c>
      <c r="BG495">
        <v>95.263199999999998</v>
      </c>
      <c r="BH495">
        <v>99.473699999999994</v>
      </c>
      <c r="BI495">
        <v>90.526300000000006</v>
      </c>
      <c r="BJ495">
        <v>47.368400000000001</v>
      </c>
      <c r="BK495">
        <v>56.315800000000003</v>
      </c>
      <c r="BM495">
        <v>40</v>
      </c>
      <c r="BN495">
        <v>40</v>
      </c>
      <c r="BO495">
        <v>61.578899999999997</v>
      </c>
      <c r="CK495">
        <v>3</v>
      </c>
      <c r="CL495" t="s">
        <v>4</v>
      </c>
      <c r="CM495" t="s">
        <v>98</v>
      </c>
      <c r="CN495" t="s">
        <v>98</v>
      </c>
      <c r="CO495" t="s">
        <v>99</v>
      </c>
      <c r="CP495" t="s">
        <v>100</v>
      </c>
      <c r="CQ495" s="7">
        <v>496</v>
      </c>
      <c r="CR495" t="s">
        <v>100</v>
      </c>
      <c r="CS495" t="s">
        <v>100</v>
      </c>
      <c r="CT495" t="s">
        <v>152</v>
      </c>
      <c r="CU495" t="s">
        <v>102</v>
      </c>
      <c r="CV495" t="s">
        <v>100</v>
      </c>
    </row>
    <row r="496" spans="1:100">
      <c r="A496" s="3" t="s">
        <v>8034</v>
      </c>
      <c r="B496" s="4" t="s">
        <v>8035</v>
      </c>
      <c r="C496">
        <v>1241.91341139831</v>
      </c>
      <c r="D496">
        <v>3156.0609121309099</v>
      </c>
      <c r="E496">
        <f>-1.34544124930417</f>
        <v>-1.3454412493041701</v>
      </c>
      <c r="F496" s="5">
        <v>4.3796392031987001E-10</v>
      </c>
      <c r="G496" t="s">
        <v>4</v>
      </c>
      <c r="H496">
        <v>1241.91341139831</v>
      </c>
      <c r="I496">
        <v>603.25250392345902</v>
      </c>
      <c r="J496">
        <v>1.0365663131018701</v>
      </c>
      <c r="K496" s="5">
        <v>2.1803910999587599E-6</v>
      </c>
      <c r="L496" t="s">
        <v>4</v>
      </c>
      <c r="M496">
        <v>3156.0609121309099</v>
      </c>
      <c r="N496">
        <v>603.25250392345902</v>
      </c>
      <c r="O496">
        <v>2.3820075624060402</v>
      </c>
      <c r="P496" s="5">
        <v>8.1294062181868102E-30</v>
      </c>
      <c r="Q496" t="s">
        <v>4</v>
      </c>
      <c r="R496" s="4" t="s">
        <v>87</v>
      </c>
      <c r="S496" t="s">
        <v>4</v>
      </c>
      <c r="T496" t="s">
        <v>92</v>
      </c>
      <c r="U496" t="s">
        <v>92</v>
      </c>
      <c r="V496" t="s">
        <v>92</v>
      </c>
      <c r="W496" t="s">
        <v>92</v>
      </c>
      <c r="X496" t="s">
        <v>4</v>
      </c>
      <c r="Y496" t="s">
        <v>92</v>
      </c>
      <c r="Z496" t="s">
        <v>92</v>
      </c>
      <c r="AA496" t="s">
        <v>92</v>
      </c>
      <c r="AB496" t="s">
        <v>4</v>
      </c>
      <c r="AC496" s="3" t="s">
        <v>93</v>
      </c>
      <c r="AD496" t="s">
        <v>4</v>
      </c>
      <c r="AE496" s="4" t="s">
        <v>94</v>
      </c>
      <c r="AZ496" t="s">
        <v>4</v>
      </c>
      <c r="BA496" s="3" t="s">
        <v>115</v>
      </c>
      <c r="BB496" s="6" t="s">
        <v>95</v>
      </c>
      <c r="BC496" s="3" t="s">
        <v>95</v>
      </c>
      <c r="BD496" t="s">
        <v>4</v>
      </c>
      <c r="BE496">
        <v>1246</v>
      </c>
      <c r="BF496" t="s">
        <v>151</v>
      </c>
      <c r="BG496">
        <v>97.222200000000001</v>
      </c>
      <c r="BH496">
        <v>99.444400000000002</v>
      </c>
      <c r="BI496">
        <v>92.222200000000001</v>
      </c>
      <c r="BJ496">
        <v>80</v>
      </c>
      <c r="BK496">
        <v>55.555599999999998</v>
      </c>
      <c r="BM496">
        <v>71.111099999999993</v>
      </c>
      <c r="BN496">
        <v>71.666700000000006</v>
      </c>
      <c r="BO496">
        <v>74.444400000000002</v>
      </c>
      <c r="CK496">
        <v>2</v>
      </c>
      <c r="CL496" t="s">
        <v>4</v>
      </c>
      <c r="CM496" t="s">
        <v>98</v>
      </c>
      <c r="CN496" t="s">
        <v>98</v>
      </c>
      <c r="CO496" t="s">
        <v>99</v>
      </c>
      <c r="CP496" t="s">
        <v>100</v>
      </c>
      <c r="CQ496" s="7">
        <v>497</v>
      </c>
      <c r="CR496" t="s">
        <v>100</v>
      </c>
      <c r="CS496" s="7" t="s">
        <v>101</v>
      </c>
      <c r="CT496" t="s">
        <v>152</v>
      </c>
      <c r="CU496" t="s">
        <v>102</v>
      </c>
      <c r="CV496" t="s">
        <v>100</v>
      </c>
    </row>
    <row r="497" spans="1:100">
      <c r="A497" s="3" t="s">
        <v>8036</v>
      </c>
      <c r="B497" s="4" t="s">
        <v>8037</v>
      </c>
      <c r="C497">
        <v>323.842826449092</v>
      </c>
      <c r="D497">
        <v>1175.9272657885101</v>
      </c>
      <c r="E497">
        <f>-1.8596454370563</f>
        <v>-1.8596454370563</v>
      </c>
      <c r="F497" s="5">
        <v>2.46985247051426E-9</v>
      </c>
      <c r="G497" t="s">
        <v>4</v>
      </c>
      <c r="H497">
        <v>323.842826449092</v>
      </c>
      <c r="I497">
        <v>224.34538276106099</v>
      </c>
      <c r="J497">
        <v>0.52143757512468902</v>
      </c>
      <c r="K497">
        <v>0.12297622572915901</v>
      </c>
      <c r="L497" t="s">
        <v>4</v>
      </c>
      <c r="M497">
        <v>1175.9272657885101</v>
      </c>
      <c r="N497">
        <v>224.34538276106099</v>
      </c>
      <c r="O497">
        <v>2.3810830121809898</v>
      </c>
      <c r="P497" s="5">
        <v>7.5610371007323004E-15</v>
      </c>
      <c r="Q497" t="s">
        <v>4</v>
      </c>
      <c r="R497" s="4" t="s">
        <v>87</v>
      </c>
      <c r="S497" t="s">
        <v>4</v>
      </c>
      <c r="T497" t="s">
        <v>92</v>
      </c>
      <c r="U497" t="s">
        <v>92</v>
      </c>
      <c r="V497" t="s">
        <v>92</v>
      </c>
      <c r="W497" t="s">
        <v>92</v>
      </c>
      <c r="X497" t="s">
        <v>4</v>
      </c>
      <c r="Y497" t="s">
        <v>92</v>
      </c>
      <c r="Z497" t="s">
        <v>92</v>
      </c>
      <c r="AA497" t="s">
        <v>92</v>
      </c>
      <c r="AB497" t="s">
        <v>4</v>
      </c>
      <c r="AC497" s="3" t="s">
        <v>93</v>
      </c>
      <c r="AD497" t="s">
        <v>4</v>
      </c>
      <c r="AE497" t="s">
        <v>8038</v>
      </c>
      <c r="AF497" t="s">
        <v>6514</v>
      </c>
      <c r="AG497" t="s">
        <v>6515</v>
      </c>
      <c r="AH497" t="s">
        <v>112</v>
      </c>
      <c r="AU497" t="s">
        <v>112</v>
      </c>
      <c r="AV497" t="s">
        <v>8039</v>
      </c>
      <c r="AW497" t="s">
        <v>114</v>
      </c>
      <c r="AZ497" t="s">
        <v>4</v>
      </c>
      <c r="BA497" s="3" t="s">
        <v>95</v>
      </c>
      <c r="BB497" s="6" t="s">
        <v>95</v>
      </c>
      <c r="BC497" s="3" t="s">
        <v>95</v>
      </c>
      <c r="BD497" t="s">
        <v>4</v>
      </c>
      <c r="BE497">
        <v>5002</v>
      </c>
      <c r="BF497" t="s">
        <v>282</v>
      </c>
      <c r="BG497">
        <v>94.088700000000003</v>
      </c>
      <c r="BH497">
        <v>100</v>
      </c>
      <c r="BI497">
        <v>93.103399999999993</v>
      </c>
      <c r="BJ497">
        <v>74.876800000000003</v>
      </c>
      <c r="BK497">
        <v>72.413799999999995</v>
      </c>
      <c r="BL497">
        <v>69.458100000000002</v>
      </c>
      <c r="BM497">
        <v>69.458100000000002</v>
      </c>
      <c r="BN497">
        <v>69.950699999999998</v>
      </c>
      <c r="BO497">
        <v>62.561599999999999</v>
      </c>
      <c r="BP497">
        <v>38.4236</v>
      </c>
      <c r="CB497">
        <v>21.674900000000001</v>
      </c>
      <c r="CK497">
        <v>6</v>
      </c>
      <c r="CL497" t="s">
        <v>4</v>
      </c>
      <c r="CM497" t="s">
        <v>98</v>
      </c>
      <c r="CN497" t="s">
        <v>98</v>
      </c>
      <c r="CO497" t="s">
        <v>99</v>
      </c>
      <c r="CP497" t="s">
        <v>100</v>
      </c>
      <c r="CQ497" s="7">
        <v>498</v>
      </c>
      <c r="CR497" t="s">
        <v>100</v>
      </c>
      <c r="CS497" t="s">
        <v>100</v>
      </c>
      <c r="CT497" t="s">
        <v>152</v>
      </c>
      <c r="CU497" t="s">
        <v>102</v>
      </c>
      <c r="CV497" t="s">
        <v>100</v>
      </c>
    </row>
    <row r="498" spans="1:100">
      <c r="A498" s="3" t="s">
        <v>8040</v>
      </c>
      <c r="B498" s="4" t="s">
        <v>8041</v>
      </c>
      <c r="C498">
        <v>173.96715739859701</v>
      </c>
      <c r="D498">
        <v>393.99928081404698</v>
      </c>
      <c r="E498">
        <f>-1.17929601618519</f>
        <v>-1.17929601618519</v>
      </c>
      <c r="F498" s="5">
        <v>6.1330055821259599E-5</v>
      </c>
      <c r="G498" t="s">
        <v>4</v>
      </c>
      <c r="H498">
        <v>173.96715739859701</v>
      </c>
      <c r="I498">
        <v>74.750558694394797</v>
      </c>
      <c r="J498">
        <v>1.2014729960705</v>
      </c>
      <c r="K498">
        <v>1.07205626191418E-4</v>
      </c>
      <c r="L498" t="s">
        <v>4</v>
      </c>
      <c r="M498">
        <v>393.99928081404698</v>
      </c>
      <c r="N498">
        <v>74.750558694394797</v>
      </c>
      <c r="O498">
        <v>2.3807690122556999</v>
      </c>
      <c r="P498" s="5">
        <v>6.9522380460978196E-16</v>
      </c>
      <c r="Q498" t="s">
        <v>4</v>
      </c>
      <c r="R498" s="4" t="s">
        <v>87</v>
      </c>
      <c r="S498" t="s">
        <v>4</v>
      </c>
      <c r="T498" t="s">
        <v>92</v>
      </c>
      <c r="U498" t="s">
        <v>92</v>
      </c>
      <c r="V498" t="s">
        <v>92</v>
      </c>
      <c r="W498" t="s">
        <v>92</v>
      </c>
      <c r="X498" t="s">
        <v>4</v>
      </c>
      <c r="Y498" t="s">
        <v>8042</v>
      </c>
      <c r="Z498" t="s">
        <v>8043</v>
      </c>
      <c r="AA498" t="s">
        <v>8044</v>
      </c>
      <c r="AB498" t="s">
        <v>4</v>
      </c>
      <c r="AC498" s="3" t="s">
        <v>93</v>
      </c>
      <c r="AD498" t="s">
        <v>4</v>
      </c>
      <c r="AE498" t="s">
        <v>8045</v>
      </c>
      <c r="AF498" t="s">
        <v>8046</v>
      </c>
      <c r="AG498" t="s">
        <v>6231</v>
      </c>
      <c r="AH498" t="s">
        <v>112</v>
      </c>
      <c r="AK498" t="s">
        <v>8047</v>
      </c>
      <c r="AL498" t="s">
        <v>8048</v>
      </c>
      <c r="AQ498" t="s">
        <v>1458</v>
      </c>
      <c r="AU498" t="s">
        <v>112</v>
      </c>
      <c r="AV498" t="s">
        <v>8049</v>
      </c>
      <c r="AW498" t="s">
        <v>114</v>
      </c>
      <c r="AX498" t="s">
        <v>144</v>
      </c>
      <c r="AY498" t="s">
        <v>8050</v>
      </c>
      <c r="AZ498" t="s">
        <v>4</v>
      </c>
      <c r="BA498" s="3" t="s">
        <v>95</v>
      </c>
      <c r="BB498" s="6" t="s">
        <v>95</v>
      </c>
      <c r="BC498" s="3" t="s">
        <v>95</v>
      </c>
      <c r="BD498" t="s">
        <v>4</v>
      </c>
      <c r="BE498">
        <v>8436</v>
      </c>
      <c r="BF498" t="s">
        <v>213</v>
      </c>
      <c r="BG498">
        <v>92.241399999999999</v>
      </c>
      <c r="BH498">
        <v>47.413800000000002</v>
      </c>
      <c r="BI498">
        <v>77.586200000000005</v>
      </c>
      <c r="BJ498">
        <v>66.379300000000001</v>
      </c>
      <c r="BK498">
        <v>83.620699999999999</v>
      </c>
      <c r="BL498">
        <v>84.482799999999997</v>
      </c>
      <c r="BM498">
        <v>82.758600000000001</v>
      </c>
      <c r="BN498">
        <v>81.896600000000007</v>
      </c>
      <c r="BO498">
        <v>82.758600000000001</v>
      </c>
      <c r="BP498">
        <v>62.069000000000003</v>
      </c>
      <c r="BQ498">
        <v>53.448300000000003</v>
      </c>
      <c r="BR498">
        <v>40.517200000000003</v>
      </c>
      <c r="BS498">
        <v>49.137900000000002</v>
      </c>
      <c r="BU498">
        <v>53.448300000000003</v>
      </c>
      <c r="BV498" t="s">
        <v>8051</v>
      </c>
      <c r="BW498">
        <v>47.413800000000002</v>
      </c>
      <c r="BX498" t="s">
        <v>8052</v>
      </c>
      <c r="BZ498">
        <v>54.310299999999998</v>
      </c>
      <c r="CA498">
        <v>49.137900000000002</v>
      </c>
      <c r="CB498">
        <v>46.551699999999997</v>
      </c>
      <c r="CD498">
        <v>40.517200000000003</v>
      </c>
      <c r="CF498" t="s">
        <v>8053</v>
      </c>
      <c r="CG498">
        <v>42.241399999999999</v>
      </c>
      <c r="CH498">
        <v>41.379300000000001</v>
      </c>
      <c r="CI498" t="s">
        <v>8054</v>
      </c>
      <c r="CK498">
        <v>8</v>
      </c>
      <c r="CL498" t="s">
        <v>4</v>
      </c>
      <c r="CM498" t="s">
        <v>8055</v>
      </c>
      <c r="CN498" t="s">
        <v>8056</v>
      </c>
      <c r="CO498" t="s">
        <v>219</v>
      </c>
      <c r="CP498" t="s">
        <v>100</v>
      </c>
      <c r="CQ498" s="7">
        <v>499</v>
      </c>
      <c r="CR498" t="s">
        <v>100</v>
      </c>
      <c r="CS498" s="7" t="s">
        <v>101</v>
      </c>
      <c r="CT498" t="s">
        <v>152</v>
      </c>
      <c r="CU498" t="s">
        <v>102</v>
      </c>
      <c r="CV498" t="s">
        <v>100</v>
      </c>
    </row>
    <row r="499" spans="1:100">
      <c r="A499" s="3" t="s">
        <v>8057</v>
      </c>
      <c r="B499" s="4" t="s">
        <v>8058</v>
      </c>
      <c r="C499">
        <v>2316.57796969938</v>
      </c>
      <c r="D499">
        <v>7131.88497889065</v>
      </c>
      <c r="E499">
        <f>-1.6223953727923</f>
        <v>-1.6223953727923</v>
      </c>
      <c r="F499" s="5">
        <v>6.6659230271153104E-29</v>
      </c>
      <c r="G499" t="s">
        <v>4</v>
      </c>
      <c r="H499">
        <v>2316.57796969938</v>
      </c>
      <c r="I499">
        <v>1378.2348824614701</v>
      </c>
      <c r="J499">
        <v>0.75051749110691901</v>
      </c>
      <c r="K499" s="5">
        <v>6.3763230149823495E-7</v>
      </c>
      <c r="L499" t="s">
        <v>4</v>
      </c>
      <c r="M499">
        <v>7131.88497889065</v>
      </c>
      <c r="N499">
        <v>1378.2348824614701</v>
      </c>
      <c r="O499">
        <v>2.3729128638992201</v>
      </c>
      <c r="P499" s="5">
        <v>5.5273727676478897E-61</v>
      </c>
      <c r="Q499" t="s">
        <v>4</v>
      </c>
      <c r="R499" s="4" t="s">
        <v>87</v>
      </c>
      <c r="S499" t="s">
        <v>4</v>
      </c>
      <c r="T499" t="s">
        <v>8059</v>
      </c>
      <c r="U499" t="s">
        <v>8060</v>
      </c>
      <c r="V499" t="s">
        <v>8061</v>
      </c>
      <c r="W499" t="s">
        <v>203</v>
      </c>
      <c r="X499" t="s">
        <v>4</v>
      </c>
      <c r="Y499" t="s">
        <v>8062</v>
      </c>
      <c r="Z499" t="s">
        <v>8063</v>
      </c>
      <c r="AA499" t="s">
        <v>8064</v>
      </c>
      <c r="AB499" t="s">
        <v>4</v>
      </c>
      <c r="AC499" s="3" t="s">
        <v>8065</v>
      </c>
      <c r="AD499" t="s">
        <v>4</v>
      </c>
      <c r="AE499" t="s">
        <v>8066</v>
      </c>
      <c r="AF499" t="s">
        <v>834</v>
      </c>
      <c r="AG499" t="s">
        <v>8067</v>
      </c>
      <c r="AH499" t="s">
        <v>112</v>
      </c>
      <c r="AJ499" t="s">
        <v>8068</v>
      </c>
      <c r="AL499" t="s">
        <v>8069</v>
      </c>
      <c r="AM499" t="s">
        <v>1583</v>
      </c>
      <c r="AQ499" t="s">
        <v>8070</v>
      </c>
      <c r="AU499" t="s">
        <v>112</v>
      </c>
      <c r="AV499" t="s">
        <v>8071</v>
      </c>
      <c r="AW499" t="s">
        <v>114</v>
      </c>
      <c r="AX499" t="s">
        <v>1308</v>
      </c>
      <c r="AY499" t="s">
        <v>8072</v>
      </c>
      <c r="AZ499" t="s">
        <v>4</v>
      </c>
      <c r="BA499" s="3" t="s">
        <v>95</v>
      </c>
      <c r="BB499" s="6" t="s">
        <v>95</v>
      </c>
      <c r="BC499" s="3" t="s">
        <v>95</v>
      </c>
      <c r="BD499" t="s">
        <v>4</v>
      </c>
      <c r="BE499">
        <v>8879</v>
      </c>
      <c r="BF499" t="s">
        <v>169</v>
      </c>
      <c r="BG499">
        <v>99.174300000000002</v>
      </c>
      <c r="BH499">
        <v>69.266099999999994</v>
      </c>
      <c r="BI499">
        <v>96.513800000000003</v>
      </c>
      <c r="BJ499" t="s">
        <v>8073</v>
      </c>
      <c r="BK499">
        <v>78.807299999999998</v>
      </c>
      <c r="BL499">
        <v>10.367000000000001</v>
      </c>
      <c r="BM499">
        <v>59.174300000000002</v>
      </c>
      <c r="BN499">
        <v>90</v>
      </c>
      <c r="BO499">
        <v>91.4679</v>
      </c>
      <c r="BP499">
        <v>35.137599999999999</v>
      </c>
      <c r="BQ499">
        <v>41.376100000000001</v>
      </c>
      <c r="BR499" t="s">
        <v>8074</v>
      </c>
      <c r="BS499">
        <v>22.844000000000001</v>
      </c>
      <c r="BT499">
        <v>43.394500000000001</v>
      </c>
      <c r="BU499">
        <v>40.825699999999998</v>
      </c>
      <c r="BV499" t="s">
        <v>8075</v>
      </c>
      <c r="BW499" t="s">
        <v>8076</v>
      </c>
      <c r="BX499">
        <v>51.284399999999998</v>
      </c>
      <c r="BY499" t="s">
        <v>8077</v>
      </c>
      <c r="BZ499" t="s">
        <v>8078</v>
      </c>
      <c r="CA499">
        <v>13.945</v>
      </c>
      <c r="CB499">
        <v>44.036700000000003</v>
      </c>
      <c r="CC499">
        <v>42.752299999999998</v>
      </c>
      <c r="CD499">
        <v>39.174300000000002</v>
      </c>
      <c r="CE499">
        <v>36.330300000000001</v>
      </c>
      <c r="CF499">
        <v>36.055</v>
      </c>
      <c r="CG499" t="s">
        <v>8079</v>
      </c>
      <c r="CH499" t="s">
        <v>8080</v>
      </c>
      <c r="CI499" t="s">
        <v>8081</v>
      </c>
      <c r="CJ499">
        <v>14.403700000000001</v>
      </c>
      <c r="CK499">
        <v>9</v>
      </c>
      <c r="CL499" t="s">
        <v>4</v>
      </c>
      <c r="CM499" t="s">
        <v>8082</v>
      </c>
      <c r="CN499" t="s">
        <v>8083</v>
      </c>
      <c r="CO499" t="s">
        <v>219</v>
      </c>
      <c r="CP499" t="s">
        <v>100</v>
      </c>
      <c r="CQ499" s="7">
        <v>500</v>
      </c>
      <c r="CR499" t="s">
        <v>100</v>
      </c>
      <c r="CS499" t="s">
        <v>100</v>
      </c>
      <c r="CT499" t="s">
        <v>152</v>
      </c>
      <c r="CU499" t="s">
        <v>102</v>
      </c>
      <c r="CV499" t="s">
        <v>100</v>
      </c>
    </row>
    <row r="500" spans="1:100">
      <c r="A500" s="3" t="s">
        <v>8084</v>
      </c>
      <c r="B500" s="4" t="s">
        <v>8085</v>
      </c>
      <c r="C500">
        <v>454.17691930838998</v>
      </c>
      <c r="D500">
        <v>1202.1861778628499</v>
      </c>
      <c r="E500">
        <f>-1.40339754281299</f>
        <v>-1.4033975428129899</v>
      </c>
      <c r="F500" s="5">
        <v>4.7853093174385399E-11</v>
      </c>
      <c r="G500" t="s">
        <v>4</v>
      </c>
      <c r="H500">
        <v>454.17691930838998</v>
      </c>
      <c r="I500">
        <v>231.815254199875</v>
      </c>
      <c r="J500">
        <v>0.96945794041506905</v>
      </c>
      <c r="K500" s="5">
        <v>1.53588843074394E-5</v>
      </c>
      <c r="L500" t="s">
        <v>4</v>
      </c>
      <c r="M500">
        <v>1202.1861778628499</v>
      </c>
      <c r="N500">
        <v>231.815254199875</v>
      </c>
      <c r="O500">
        <v>2.3728554832280602</v>
      </c>
      <c r="P500" s="5">
        <v>8.82911170265061E-29</v>
      </c>
      <c r="Q500" t="s">
        <v>4</v>
      </c>
      <c r="R500" s="4" t="s">
        <v>87</v>
      </c>
      <c r="S500" t="s">
        <v>4</v>
      </c>
      <c r="T500" t="s">
        <v>8086</v>
      </c>
      <c r="U500" t="s">
        <v>8087</v>
      </c>
      <c r="V500" t="s">
        <v>8088</v>
      </c>
      <c r="W500" t="s">
        <v>976</v>
      </c>
      <c r="X500" t="s">
        <v>4</v>
      </c>
      <c r="Y500" t="s">
        <v>8089</v>
      </c>
      <c r="Z500" t="s">
        <v>8090</v>
      </c>
      <c r="AA500" t="s">
        <v>8091</v>
      </c>
      <c r="AB500" t="s">
        <v>4</v>
      </c>
      <c r="AC500" s="3" t="s">
        <v>8092</v>
      </c>
      <c r="AD500" t="s">
        <v>4</v>
      </c>
      <c r="AE500" t="s">
        <v>8093</v>
      </c>
      <c r="AF500" t="s">
        <v>8094</v>
      </c>
      <c r="AG500" t="s">
        <v>8095</v>
      </c>
      <c r="AH500" t="s">
        <v>112</v>
      </c>
      <c r="AJ500" t="s">
        <v>8096</v>
      </c>
      <c r="AU500" t="s">
        <v>112</v>
      </c>
      <c r="AV500" t="s">
        <v>8097</v>
      </c>
      <c r="AW500" t="s">
        <v>114</v>
      </c>
      <c r="AX500" t="s">
        <v>371</v>
      </c>
      <c r="AY500" t="s">
        <v>8098</v>
      </c>
      <c r="AZ500" t="s">
        <v>4</v>
      </c>
      <c r="BA500" s="3" t="s">
        <v>95</v>
      </c>
      <c r="BB500" s="6" t="s">
        <v>95</v>
      </c>
      <c r="BC500" s="3" t="s">
        <v>95</v>
      </c>
      <c r="BD500" t="s">
        <v>4</v>
      </c>
      <c r="BE500">
        <v>8809</v>
      </c>
      <c r="BF500" t="s">
        <v>169</v>
      </c>
      <c r="BG500">
        <v>99.581599999999995</v>
      </c>
      <c r="BH500">
        <v>98.326400000000007</v>
      </c>
      <c r="BI500">
        <v>97.908000000000001</v>
      </c>
      <c r="BJ500">
        <v>95.815899999999999</v>
      </c>
      <c r="BK500">
        <v>92.050200000000004</v>
      </c>
      <c r="BL500">
        <v>91.631799999999998</v>
      </c>
      <c r="BM500">
        <v>92.050200000000004</v>
      </c>
      <c r="BN500">
        <v>92.887</v>
      </c>
      <c r="BO500">
        <v>93.305400000000006</v>
      </c>
      <c r="BP500">
        <v>51.045999999999999</v>
      </c>
      <c r="BQ500">
        <v>38.493699999999997</v>
      </c>
      <c r="BR500">
        <v>35.564900000000002</v>
      </c>
      <c r="BS500">
        <v>42.259399999999999</v>
      </c>
      <c r="BU500">
        <v>40.585799999999999</v>
      </c>
      <c r="BV500" t="s">
        <v>8099</v>
      </c>
      <c r="BY500">
        <v>29.707100000000001</v>
      </c>
      <c r="BZ500">
        <v>43.096200000000003</v>
      </c>
      <c r="CA500">
        <v>37.6569</v>
      </c>
      <c r="CD500" t="s">
        <v>8100</v>
      </c>
      <c r="CE500">
        <v>28.8703</v>
      </c>
      <c r="CF500">
        <v>34.728000000000002</v>
      </c>
      <c r="CG500">
        <v>33.891199999999998</v>
      </c>
      <c r="CH500">
        <v>34.309600000000003</v>
      </c>
      <c r="CI500" t="s">
        <v>8101</v>
      </c>
      <c r="CJ500">
        <v>22.594100000000001</v>
      </c>
      <c r="CK500">
        <v>9</v>
      </c>
      <c r="CL500" t="s">
        <v>4</v>
      </c>
      <c r="CM500" t="s">
        <v>8102</v>
      </c>
      <c r="CN500" t="s">
        <v>8103</v>
      </c>
      <c r="CO500" t="s">
        <v>219</v>
      </c>
      <c r="CP500" t="s">
        <v>100</v>
      </c>
      <c r="CQ500" s="7">
        <v>501</v>
      </c>
      <c r="CR500" t="s">
        <v>100</v>
      </c>
      <c r="CS500" t="s">
        <v>100</v>
      </c>
      <c r="CT500" t="s">
        <v>152</v>
      </c>
      <c r="CU500" t="s">
        <v>102</v>
      </c>
      <c r="CV500" t="s">
        <v>100</v>
      </c>
    </row>
    <row r="501" spans="1:100">
      <c r="A501" s="3" t="s">
        <v>8104</v>
      </c>
      <c r="B501" s="4" t="s">
        <v>8105</v>
      </c>
      <c r="C501">
        <v>69.792968577871306</v>
      </c>
      <c r="D501">
        <v>156.992878712508</v>
      </c>
      <c r="E501">
        <f>-1.16997158154145</f>
        <v>-1.16997158154145</v>
      </c>
      <c r="F501">
        <v>1.2286403574605901E-2</v>
      </c>
      <c r="G501" t="s">
        <v>4</v>
      </c>
      <c r="H501">
        <v>69.792968577871306</v>
      </c>
      <c r="I501">
        <v>31.3473847851904</v>
      </c>
      <c r="J501">
        <v>1.2007235203865401</v>
      </c>
      <c r="K501">
        <v>1.43486096380246E-2</v>
      </c>
      <c r="L501" t="s">
        <v>4</v>
      </c>
      <c r="M501">
        <v>156.992878712508</v>
      </c>
      <c r="N501">
        <v>31.3473847851904</v>
      </c>
      <c r="O501">
        <v>2.37069510192799</v>
      </c>
      <c r="P501" s="5">
        <v>2.8698760766972498E-7</v>
      </c>
      <c r="Q501" t="s">
        <v>4</v>
      </c>
      <c r="R501" s="4" t="s">
        <v>87</v>
      </c>
      <c r="S501" t="s">
        <v>4</v>
      </c>
      <c r="T501" t="s">
        <v>8106</v>
      </c>
      <c r="U501" t="s">
        <v>8107</v>
      </c>
      <c r="V501" t="s">
        <v>8108</v>
      </c>
      <c r="W501" t="s">
        <v>123</v>
      </c>
      <c r="X501" t="s">
        <v>4</v>
      </c>
      <c r="Y501" t="s">
        <v>3603</v>
      </c>
      <c r="Z501" t="s">
        <v>3604</v>
      </c>
      <c r="AA501" t="s">
        <v>3605</v>
      </c>
      <c r="AB501" t="s">
        <v>4</v>
      </c>
      <c r="AC501" s="3" t="s">
        <v>8109</v>
      </c>
      <c r="AD501" t="s">
        <v>4</v>
      </c>
      <c r="AE501" t="s">
        <v>8110</v>
      </c>
      <c r="AF501" t="s">
        <v>8111</v>
      </c>
      <c r="AG501" t="s">
        <v>8112</v>
      </c>
      <c r="AH501" t="s">
        <v>314</v>
      </c>
      <c r="AU501" t="s">
        <v>112</v>
      </c>
      <c r="AV501" t="s">
        <v>8113</v>
      </c>
      <c r="AW501" t="s">
        <v>114</v>
      </c>
      <c r="AX501" t="s">
        <v>144</v>
      </c>
      <c r="AY501" t="s">
        <v>8114</v>
      </c>
      <c r="AZ501" t="s">
        <v>4</v>
      </c>
      <c r="BA501" s="3" t="s">
        <v>95</v>
      </c>
      <c r="BB501" s="6" t="s">
        <v>95</v>
      </c>
      <c r="BC501" s="3" t="s">
        <v>95</v>
      </c>
      <c r="BD501" t="s">
        <v>4</v>
      </c>
      <c r="BE501">
        <v>1993</v>
      </c>
      <c r="BF501" t="s">
        <v>148</v>
      </c>
      <c r="BH501">
        <v>67.543899999999994</v>
      </c>
      <c r="BJ501">
        <v>72.368399999999994</v>
      </c>
      <c r="BM501">
        <v>71.491200000000006</v>
      </c>
      <c r="BO501">
        <v>59.210500000000003</v>
      </c>
      <c r="CK501">
        <v>3</v>
      </c>
      <c r="CL501" t="s">
        <v>4</v>
      </c>
      <c r="CM501" t="s">
        <v>98</v>
      </c>
      <c r="CN501" t="s">
        <v>98</v>
      </c>
      <c r="CO501" t="s">
        <v>99</v>
      </c>
      <c r="CP501" t="s">
        <v>100</v>
      </c>
      <c r="CQ501" s="7">
        <v>502</v>
      </c>
      <c r="CR501" t="s">
        <v>100</v>
      </c>
      <c r="CS501" s="7" t="s">
        <v>101</v>
      </c>
      <c r="CT501" t="s">
        <v>152</v>
      </c>
      <c r="CU501" t="s">
        <v>102</v>
      </c>
      <c r="CV501" t="s">
        <v>100</v>
      </c>
    </row>
    <row r="502" spans="1:100">
      <c r="A502" s="3" t="s">
        <v>8115</v>
      </c>
      <c r="B502" s="4" t="s">
        <v>8116</v>
      </c>
      <c r="C502">
        <v>707.88433772540805</v>
      </c>
      <c r="D502">
        <v>2481.45817113575</v>
      </c>
      <c r="E502">
        <f>-1.80948265397945</f>
        <v>-1.80948265397945</v>
      </c>
      <c r="F502" s="5">
        <v>3.5732485892043501E-18</v>
      </c>
      <c r="G502" t="s">
        <v>4</v>
      </c>
      <c r="H502">
        <v>707.88433772540805</v>
      </c>
      <c r="I502">
        <v>483.23280620501401</v>
      </c>
      <c r="J502">
        <v>0.55194200396325099</v>
      </c>
      <c r="K502">
        <v>1.3541491619363201E-2</v>
      </c>
      <c r="L502" t="s">
        <v>4</v>
      </c>
      <c r="M502">
        <v>2481.45817113575</v>
      </c>
      <c r="N502">
        <v>483.23280620501401</v>
      </c>
      <c r="O502">
        <v>2.3614246579426998</v>
      </c>
      <c r="P502" s="5">
        <v>2.3264351193505301E-30</v>
      </c>
      <c r="Q502" t="s">
        <v>4</v>
      </c>
      <c r="R502" s="4" t="s">
        <v>87</v>
      </c>
      <c r="S502" t="s">
        <v>4</v>
      </c>
      <c r="T502" t="s">
        <v>88</v>
      </c>
      <c r="U502" t="s">
        <v>89</v>
      </c>
      <c r="V502" t="s">
        <v>90</v>
      </c>
      <c r="W502" t="s">
        <v>91</v>
      </c>
      <c r="X502" t="s">
        <v>4</v>
      </c>
      <c r="Y502" t="s">
        <v>92</v>
      </c>
      <c r="Z502" t="s">
        <v>92</v>
      </c>
      <c r="AA502" t="s">
        <v>92</v>
      </c>
      <c r="AB502" t="s">
        <v>4</v>
      </c>
      <c r="AC502" s="3" t="s">
        <v>93</v>
      </c>
      <c r="AD502" t="s">
        <v>4</v>
      </c>
      <c r="AE502" t="s">
        <v>8117</v>
      </c>
      <c r="AF502" t="s">
        <v>834</v>
      </c>
      <c r="AG502" t="s">
        <v>8118</v>
      </c>
      <c r="AH502" t="s">
        <v>112</v>
      </c>
      <c r="AU502" t="s">
        <v>112</v>
      </c>
      <c r="AV502" t="s">
        <v>8119</v>
      </c>
      <c r="AW502" t="s">
        <v>114</v>
      </c>
      <c r="AZ502" t="s">
        <v>4</v>
      </c>
      <c r="BA502" s="3" t="s">
        <v>95</v>
      </c>
      <c r="BB502" t="s">
        <v>96</v>
      </c>
      <c r="BC502" s="3" t="s">
        <v>95</v>
      </c>
      <c r="BD502" t="s">
        <v>4</v>
      </c>
      <c r="BE502">
        <v>5759</v>
      </c>
      <c r="BF502" t="s">
        <v>386</v>
      </c>
      <c r="BG502">
        <v>97.443799999999996</v>
      </c>
      <c r="BH502">
        <v>10.8384</v>
      </c>
      <c r="BI502">
        <v>93.762799999999999</v>
      </c>
      <c r="BJ502">
        <v>85.582800000000006</v>
      </c>
      <c r="BK502">
        <v>64.110399999999998</v>
      </c>
      <c r="BL502">
        <v>67.5869</v>
      </c>
      <c r="BM502">
        <v>67.893699999999995</v>
      </c>
      <c r="BN502">
        <v>81.799599999999998</v>
      </c>
      <c r="BO502">
        <v>81.799599999999998</v>
      </c>
      <c r="BP502">
        <v>41.206499999999998</v>
      </c>
      <c r="BQ502">
        <v>30.368099999999998</v>
      </c>
      <c r="BR502">
        <v>39.263800000000003</v>
      </c>
      <c r="BS502">
        <v>30.9816</v>
      </c>
      <c r="BT502" t="s">
        <v>8120</v>
      </c>
      <c r="BU502">
        <v>3.98773</v>
      </c>
      <c r="BV502" t="s">
        <v>8121</v>
      </c>
      <c r="BW502">
        <v>39.366100000000003</v>
      </c>
      <c r="BX502">
        <v>41.104300000000002</v>
      </c>
      <c r="BZ502">
        <v>43.3538</v>
      </c>
      <c r="CA502">
        <v>34.969299999999997</v>
      </c>
      <c r="CC502">
        <v>19.734200000000001</v>
      </c>
      <c r="CD502">
        <v>19.938700000000001</v>
      </c>
      <c r="CK502">
        <v>7</v>
      </c>
      <c r="CL502" t="s">
        <v>4</v>
      </c>
      <c r="CM502" t="s">
        <v>8122</v>
      </c>
      <c r="CN502" t="s">
        <v>8123</v>
      </c>
      <c r="CO502" t="s">
        <v>219</v>
      </c>
      <c r="CP502" t="s">
        <v>100</v>
      </c>
      <c r="CQ502" s="7">
        <v>503</v>
      </c>
      <c r="CR502" t="s">
        <v>100</v>
      </c>
      <c r="CS502" t="s">
        <v>100</v>
      </c>
      <c r="CT502" t="s">
        <v>152</v>
      </c>
      <c r="CU502" t="s">
        <v>102</v>
      </c>
      <c r="CV502" t="s">
        <v>100</v>
      </c>
    </row>
    <row r="503" spans="1:100">
      <c r="A503" s="3" t="s">
        <v>8124</v>
      </c>
      <c r="B503" s="4" t="s">
        <v>8125</v>
      </c>
      <c r="C503">
        <v>436.69187603031702</v>
      </c>
      <c r="D503">
        <v>1416.34940243029</v>
      </c>
      <c r="E503">
        <f>-1.69646723496835</f>
        <v>-1.6964672349683501</v>
      </c>
      <c r="F503" s="5">
        <v>8.8002430332384403E-20</v>
      </c>
      <c r="G503" t="s">
        <v>4</v>
      </c>
      <c r="H503">
        <v>436.69187603031702</v>
      </c>
      <c r="I503">
        <v>274.97914897802502</v>
      </c>
      <c r="J503">
        <v>0.66089709401493901</v>
      </c>
      <c r="K503">
        <v>1.09698035269781E-3</v>
      </c>
      <c r="L503" t="s">
        <v>4</v>
      </c>
      <c r="M503">
        <v>1416.34940243029</v>
      </c>
      <c r="N503">
        <v>274.97914897802502</v>
      </c>
      <c r="O503">
        <v>2.35736432898329</v>
      </c>
      <c r="P503" s="5">
        <v>6.0302612885898302E-36</v>
      </c>
      <c r="Q503" t="s">
        <v>4</v>
      </c>
      <c r="R503" s="4" t="s">
        <v>87</v>
      </c>
      <c r="S503" t="s">
        <v>4</v>
      </c>
      <c r="T503" t="s">
        <v>8126</v>
      </c>
      <c r="U503" t="s">
        <v>8127</v>
      </c>
      <c r="V503" t="s">
        <v>8128</v>
      </c>
      <c r="W503" t="s">
        <v>328</v>
      </c>
      <c r="X503" t="s">
        <v>4</v>
      </c>
      <c r="Y503" t="s">
        <v>8129</v>
      </c>
      <c r="Z503" t="s">
        <v>8130</v>
      </c>
      <c r="AA503" t="s">
        <v>8131</v>
      </c>
      <c r="AB503" t="s">
        <v>4</v>
      </c>
      <c r="AC503" s="3" t="s">
        <v>8132</v>
      </c>
      <c r="AD503" t="s">
        <v>4</v>
      </c>
      <c r="AE503" t="s">
        <v>8133</v>
      </c>
      <c r="AF503" t="s">
        <v>8134</v>
      </c>
      <c r="AG503" t="s">
        <v>8135</v>
      </c>
      <c r="AH503" t="s">
        <v>112</v>
      </c>
      <c r="AU503" t="s">
        <v>112</v>
      </c>
      <c r="AV503" t="s">
        <v>8136</v>
      </c>
      <c r="AW503" t="s">
        <v>114</v>
      </c>
      <c r="AX503" t="s">
        <v>144</v>
      </c>
      <c r="AY503" t="s">
        <v>8137</v>
      </c>
      <c r="AZ503" t="s">
        <v>4</v>
      </c>
      <c r="BA503" s="3" t="s">
        <v>95</v>
      </c>
      <c r="BB503" t="s">
        <v>96</v>
      </c>
      <c r="BC503" s="3" t="s">
        <v>95</v>
      </c>
      <c r="BD503" t="s">
        <v>4</v>
      </c>
      <c r="BE503">
        <v>7244</v>
      </c>
      <c r="BF503" t="s">
        <v>213</v>
      </c>
      <c r="BG503">
        <v>100</v>
      </c>
      <c r="BH503">
        <v>100</v>
      </c>
      <c r="BI503" t="s">
        <v>8138</v>
      </c>
      <c r="BJ503">
        <v>94.105699999999999</v>
      </c>
      <c r="BK503">
        <v>87.195099999999996</v>
      </c>
      <c r="BL503">
        <v>89.837400000000002</v>
      </c>
      <c r="BM503" t="s">
        <v>8139</v>
      </c>
      <c r="BN503">
        <v>90.243899999999996</v>
      </c>
      <c r="BO503">
        <v>88.617900000000006</v>
      </c>
      <c r="BP503">
        <v>69.918700000000001</v>
      </c>
      <c r="BQ503">
        <v>37.804900000000004</v>
      </c>
      <c r="BR503">
        <v>63.821100000000001</v>
      </c>
      <c r="BS503">
        <v>57.520299999999999</v>
      </c>
      <c r="BT503">
        <v>36.5854</v>
      </c>
      <c r="BU503">
        <v>57.113799999999998</v>
      </c>
      <c r="BV503" t="s">
        <v>8140</v>
      </c>
      <c r="BW503">
        <v>64.634100000000004</v>
      </c>
      <c r="BX503">
        <v>67.682900000000004</v>
      </c>
      <c r="BY503">
        <v>38.821100000000001</v>
      </c>
      <c r="BZ503">
        <v>65.853700000000003</v>
      </c>
      <c r="CA503">
        <v>66.260199999999998</v>
      </c>
      <c r="CB503">
        <v>41.056899999999999</v>
      </c>
      <c r="CE503">
        <v>30.691099999999999</v>
      </c>
      <c r="CF503" t="s">
        <v>8141</v>
      </c>
      <c r="CG503" t="s">
        <v>8142</v>
      </c>
      <c r="CH503" t="s">
        <v>8143</v>
      </c>
      <c r="CI503" t="s">
        <v>8144</v>
      </c>
      <c r="CJ503" t="s">
        <v>8145</v>
      </c>
      <c r="CK503">
        <v>8</v>
      </c>
      <c r="CL503" t="s">
        <v>4</v>
      </c>
      <c r="CM503" t="s">
        <v>8146</v>
      </c>
      <c r="CN503" t="s">
        <v>8147</v>
      </c>
      <c r="CO503" t="s">
        <v>99</v>
      </c>
      <c r="CP503" t="s">
        <v>100</v>
      </c>
      <c r="CQ503" s="7">
        <v>504</v>
      </c>
      <c r="CR503" t="s">
        <v>100</v>
      </c>
      <c r="CS503" t="s">
        <v>100</v>
      </c>
      <c r="CT503" t="s">
        <v>152</v>
      </c>
      <c r="CU503" t="s">
        <v>102</v>
      </c>
      <c r="CV503" t="s">
        <v>100</v>
      </c>
    </row>
    <row r="504" spans="1:100">
      <c r="A504" s="3" t="s">
        <v>8148</v>
      </c>
      <c r="B504" s="4" t="s">
        <v>8149</v>
      </c>
      <c r="C504">
        <v>545.00832150427595</v>
      </c>
      <c r="D504">
        <v>1147.9405180988099</v>
      </c>
      <c r="E504">
        <f>-1.0743983503648</f>
        <v>-1.0743983503648</v>
      </c>
      <c r="F504">
        <v>1.6950574456343399E-4</v>
      </c>
      <c r="G504" t="s">
        <v>4</v>
      </c>
      <c r="H504">
        <v>545.00832150427595</v>
      </c>
      <c r="I504">
        <v>222.64564874705599</v>
      </c>
      <c r="J504">
        <v>1.28222153832719</v>
      </c>
      <c r="K504" s="5">
        <v>6.3274696366339402E-6</v>
      </c>
      <c r="L504" t="s">
        <v>4</v>
      </c>
      <c r="M504">
        <v>1147.9405180988099</v>
      </c>
      <c r="N504">
        <v>222.64564874705599</v>
      </c>
      <c r="O504">
        <v>2.35661988869199</v>
      </c>
      <c r="P504" s="5">
        <v>6.8259000480862098E-18</v>
      </c>
      <c r="Q504" t="s">
        <v>4</v>
      </c>
      <c r="R504" s="4" t="s">
        <v>87</v>
      </c>
      <c r="S504" t="s">
        <v>4</v>
      </c>
      <c r="T504" t="s">
        <v>8150</v>
      </c>
      <c r="U504" t="s">
        <v>8151</v>
      </c>
      <c r="V504" t="s">
        <v>8152</v>
      </c>
      <c r="W504" t="s">
        <v>328</v>
      </c>
      <c r="X504" t="s">
        <v>4</v>
      </c>
      <c r="Y504" t="s">
        <v>8153</v>
      </c>
      <c r="Z504" t="s">
        <v>8154</v>
      </c>
      <c r="AA504" t="s">
        <v>8155</v>
      </c>
      <c r="AB504" t="s">
        <v>4</v>
      </c>
      <c r="AC504" s="3" t="s">
        <v>8156</v>
      </c>
      <c r="AD504" t="s">
        <v>4</v>
      </c>
      <c r="AE504" t="s">
        <v>8157</v>
      </c>
      <c r="AF504" t="s">
        <v>8158</v>
      </c>
      <c r="AG504" t="s">
        <v>8159</v>
      </c>
      <c r="AH504" t="s">
        <v>112</v>
      </c>
      <c r="AL504" t="s">
        <v>8160</v>
      </c>
      <c r="AM504" t="s">
        <v>8161</v>
      </c>
      <c r="AO504" t="s">
        <v>8162</v>
      </c>
      <c r="AP504" t="s">
        <v>8163</v>
      </c>
      <c r="AQ504" t="s">
        <v>8164</v>
      </c>
      <c r="AU504" t="s">
        <v>112</v>
      </c>
      <c r="AV504" t="s">
        <v>8165</v>
      </c>
      <c r="AW504" t="s">
        <v>114</v>
      </c>
      <c r="AX504" t="s">
        <v>1096</v>
      </c>
      <c r="AY504" t="s">
        <v>8166</v>
      </c>
      <c r="AZ504" t="s">
        <v>4</v>
      </c>
      <c r="BA504" s="3" t="s">
        <v>95</v>
      </c>
      <c r="BB504" t="s">
        <v>96</v>
      </c>
      <c r="BC504" s="3" t="s">
        <v>95</v>
      </c>
      <c r="BD504" t="s">
        <v>4</v>
      </c>
      <c r="BE504">
        <v>10088</v>
      </c>
      <c r="BF504" t="s">
        <v>169</v>
      </c>
      <c r="BH504">
        <v>45.3125</v>
      </c>
      <c r="BI504">
        <v>67.1875</v>
      </c>
      <c r="BJ504">
        <v>85.9375</v>
      </c>
      <c r="BK504">
        <v>86.718800000000002</v>
      </c>
      <c r="BL504">
        <v>89.843800000000002</v>
      </c>
      <c r="BM504">
        <v>91.015600000000006</v>
      </c>
      <c r="BN504">
        <v>90.625</v>
      </c>
      <c r="BO504">
        <v>88.671899999999994</v>
      </c>
      <c r="BP504">
        <v>54.6875</v>
      </c>
      <c r="BQ504">
        <v>48.046900000000001</v>
      </c>
      <c r="BR504">
        <v>53.515599999999999</v>
      </c>
      <c r="BS504">
        <v>52.343800000000002</v>
      </c>
      <c r="BU504">
        <v>48.046900000000001</v>
      </c>
      <c r="BV504" t="s">
        <v>8167</v>
      </c>
      <c r="BW504">
        <v>47.265599999999999</v>
      </c>
      <c r="BX504">
        <v>49.609400000000001</v>
      </c>
      <c r="BY504">
        <v>40.234400000000001</v>
      </c>
      <c r="BZ504">
        <v>49.609400000000001</v>
      </c>
      <c r="CA504">
        <v>48.046900000000001</v>
      </c>
      <c r="CB504">
        <v>34.765599999999999</v>
      </c>
      <c r="CC504">
        <v>33.203099999999999</v>
      </c>
      <c r="CD504">
        <v>34.765599999999999</v>
      </c>
      <c r="CF504">
        <v>37.109400000000001</v>
      </c>
      <c r="CG504">
        <v>43.75</v>
      </c>
      <c r="CH504">
        <v>44.531199999999998</v>
      </c>
      <c r="CI504">
        <v>41.406199999999998</v>
      </c>
      <c r="CJ504">
        <v>28.125</v>
      </c>
      <c r="CK504">
        <v>9</v>
      </c>
      <c r="CL504" t="s">
        <v>4</v>
      </c>
      <c r="CM504" t="s">
        <v>8168</v>
      </c>
      <c r="CN504" t="s">
        <v>8169</v>
      </c>
      <c r="CO504" t="s">
        <v>219</v>
      </c>
      <c r="CP504" t="s">
        <v>100</v>
      </c>
      <c r="CQ504" s="7">
        <v>505</v>
      </c>
      <c r="CR504" t="s">
        <v>100</v>
      </c>
      <c r="CS504" s="7" t="s">
        <v>101</v>
      </c>
      <c r="CT504" t="s">
        <v>152</v>
      </c>
      <c r="CU504" t="s">
        <v>102</v>
      </c>
      <c r="CV504" t="s">
        <v>100</v>
      </c>
    </row>
    <row r="505" spans="1:100">
      <c r="A505" s="3" t="s">
        <v>8170</v>
      </c>
      <c r="B505" s="4" t="s">
        <v>8171</v>
      </c>
      <c r="C505">
        <v>82.700298685545107</v>
      </c>
      <c r="D505">
        <v>189.99937516761401</v>
      </c>
      <c r="E505">
        <f>-1.19895126859691</f>
        <v>-1.1989512685969099</v>
      </c>
      <c r="F505">
        <v>4.63308268692161E-2</v>
      </c>
      <c r="G505" t="s">
        <v>4</v>
      </c>
      <c r="H505">
        <v>82.700298685545107</v>
      </c>
      <c r="I505">
        <v>37.722888227509898</v>
      </c>
      <c r="J505">
        <v>1.15765236768235</v>
      </c>
      <c r="K505">
        <v>5.8296831269345602E-2</v>
      </c>
      <c r="L505" t="s">
        <v>4</v>
      </c>
      <c r="M505">
        <v>189.99937516761401</v>
      </c>
      <c r="N505">
        <v>37.722888227509898</v>
      </c>
      <c r="O505">
        <v>2.3566036362792602</v>
      </c>
      <c r="P505" s="5">
        <v>4.2345204091960802E-5</v>
      </c>
      <c r="Q505" t="s">
        <v>4</v>
      </c>
      <c r="R505" s="4" t="s">
        <v>87</v>
      </c>
      <c r="S505" t="s">
        <v>4</v>
      </c>
      <c r="T505" t="s">
        <v>92</v>
      </c>
      <c r="U505" t="s">
        <v>92</v>
      </c>
      <c r="V505" t="s">
        <v>92</v>
      </c>
      <c r="W505" t="s">
        <v>92</v>
      </c>
      <c r="X505" t="s">
        <v>4</v>
      </c>
      <c r="Y505" t="s">
        <v>92</v>
      </c>
      <c r="Z505" t="s">
        <v>92</v>
      </c>
      <c r="AA505" t="s">
        <v>92</v>
      </c>
      <c r="AB505" t="s">
        <v>4</v>
      </c>
      <c r="AC505" s="3" t="s">
        <v>93</v>
      </c>
      <c r="AD505" t="s">
        <v>4</v>
      </c>
      <c r="AE505" s="4" t="s">
        <v>94</v>
      </c>
      <c r="AZ505" t="s">
        <v>4</v>
      </c>
      <c r="BA505" s="3" t="s">
        <v>95</v>
      </c>
      <c r="BB505" s="6" t="s">
        <v>95</v>
      </c>
      <c r="BC505" s="3" t="s">
        <v>95</v>
      </c>
      <c r="BD505" t="s">
        <v>4</v>
      </c>
      <c r="BE505">
        <v>1000</v>
      </c>
      <c r="BF505" t="s">
        <v>151</v>
      </c>
      <c r="BG505">
        <v>100</v>
      </c>
      <c r="BH505">
        <v>100</v>
      </c>
      <c r="BI505">
        <v>91.145799999999994</v>
      </c>
      <c r="BJ505">
        <v>48.958300000000001</v>
      </c>
      <c r="BL505">
        <v>46.354199999999999</v>
      </c>
      <c r="BM505">
        <v>50</v>
      </c>
      <c r="BN505">
        <v>56.770800000000001</v>
      </c>
      <c r="BO505">
        <v>61.979199999999999</v>
      </c>
      <c r="CK505">
        <v>2</v>
      </c>
      <c r="CL505" t="s">
        <v>4</v>
      </c>
      <c r="CM505" t="s">
        <v>98</v>
      </c>
      <c r="CN505" t="s">
        <v>98</v>
      </c>
      <c r="CO505" t="s">
        <v>99</v>
      </c>
      <c r="CP505" t="s">
        <v>100</v>
      </c>
      <c r="CQ505" s="7">
        <v>506</v>
      </c>
      <c r="CR505" t="s">
        <v>100</v>
      </c>
      <c r="CS505" t="s">
        <v>100</v>
      </c>
      <c r="CT505" t="s">
        <v>152</v>
      </c>
      <c r="CU505" t="s">
        <v>102</v>
      </c>
      <c r="CV505" t="s">
        <v>100</v>
      </c>
    </row>
    <row r="506" spans="1:100">
      <c r="A506" s="3" t="s">
        <v>8172</v>
      </c>
      <c r="B506" s="4" t="s">
        <v>8173</v>
      </c>
      <c r="C506">
        <v>300.90963073056702</v>
      </c>
      <c r="D506">
        <v>815.49517526110503</v>
      </c>
      <c r="E506">
        <f>-1.43822854028769</f>
        <v>-1.43822854028769</v>
      </c>
      <c r="F506" s="5">
        <v>3.22859810225461E-6</v>
      </c>
      <c r="G506" t="s">
        <v>4</v>
      </c>
      <c r="H506">
        <v>300.90963073056702</v>
      </c>
      <c r="I506">
        <v>159.80623854450201</v>
      </c>
      <c r="J506">
        <v>0.91720717411654495</v>
      </c>
      <c r="K506">
        <v>4.2803241869141702E-3</v>
      </c>
      <c r="L506" t="s">
        <v>4</v>
      </c>
      <c r="M506">
        <v>815.49517526110503</v>
      </c>
      <c r="N506">
        <v>159.80623854450201</v>
      </c>
      <c r="O506">
        <v>2.3554357144042299</v>
      </c>
      <c r="P506" s="5">
        <v>5.56323098292416E-15</v>
      </c>
      <c r="Q506" t="s">
        <v>4</v>
      </c>
      <c r="R506" s="4" t="s">
        <v>87</v>
      </c>
      <c r="S506" t="s">
        <v>4</v>
      </c>
      <c r="T506" t="s">
        <v>8174</v>
      </c>
      <c r="U506" t="s">
        <v>8175</v>
      </c>
      <c r="V506" t="s">
        <v>8176</v>
      </c>
      <c r="W506" t="s">
        <v>328</v>
      </c>
      <c r="X506" t="s">
        <v>4</v>
      </c>
      <c r="Y506" t="s">
        <v>8177</v>
      </c>
      <c r="Z506" t="s">
        <v>8178</v>
      </c>
      <c r="AA506" t="s">
        <v>8179</v>
      </c>
      <c r="AB506" t="s">
        <v>4</v>
      </c>
      <c r="AC506" s="3" t="s">
        <v>8180</v>
      </c>
      <c r="AD506" t="s">
        <v>4</v>
      </c>
      <c r="AE506" t="s">
        <v>8181</v>
      </c>
      <c r="AF506" t="s">
        <v>834</v>
      </c>
      <c r="AG506" t="s">
        <v>8182</v>
      </c>
      <c r="AH506" t="s">
        <v>112</v>
      </c>
      <c r="AK506" t="s">
        <v>8183</v>
      </c>
      <c r="AL506" t="s">
        <v>8184</v>
      </c>
      <c r="AM506" t="s">
        <v>8185</v>
      </c>
      <c r="AQ506" t="s">
        <v>8186</v>
      </c>
      <c r="AR506" t="s">
        <v>8187</v>
      </c>
      <c r="AU506" t="s">
        <v>112</v>
      </c>
      <c r="AV506" t="s">
        <v>8188</v>
      </c>
      <c r="AW506" t="s">
        <v>114</v>
      </c>
      <c r="AX506" t="s">
        <v>909</v>
      </c>
      <c r="AY506" t="s">
        <v>8189</v>
      </c>
      <c r="AZ506" t="s">
        <v>4</v>
      </c>
      <c r="BA506" s="3" t="s">
        <v>95</v>
      </c>
      <c r="BB506" t="s">
        <v>96</v>
      </c>
      <c r="BC506" s="3" t="s">
        <v>95</v>
      </c>
      <c r="BD506" t="s">
        <v>4</v>
      </c>
      <c r="BE506">
        <v>4444</v>
      </c>
      <c r="BF506" t="s">
        <v>112</v>
      </c>
      <c r="BG506">
        <v>94.431200000000004</v>
      </c>
      <c r="BH506">
        <v>50.517099999999999</v>
      </c>
      <c r="BI506" t="s">
        <v>8190</v>
      </c>
      <c r="BJ506">
        <v>69.848799999999997</v>
      </c>
      <c r="BK506">
        <v>60.063600000000001</v>
      </c>
      <c r="BL506">
        <v>9.7851999999999997</v>
      </c>
      <c r="BM506">
        <v>12.012700000000001</v>
      </c>
      <c r="BN506">
        <v>66.268900000000002</v>
      </c>
      <c r="BO506">
        <v>64.598299999999995</v>
      </c>
      <c r="BP506">
        <v>46.062100000000001</v>
      </c>
      <c r="BQ506">
        <v>44.789200000000001</v>
      </c>
      <c r="BR506">
        <v>44.948300000000003</v>
      </c>
      <c r="BS506">
        <v>46.539400000000001</v>
      </c>
      <c r="BV506">
        <v>4.5346099999999998</v>
      </c>
      <c r="BW506">
        <v>42.879899999999999</v>
      </c>
      <c r="BX506">
        <v>45.982500000000002</v>
      </c>
      <c r="BY506">
        <v>27.844100000000001</v>
      </c>
      <c r="BZ506" t="s">
        <v>8191</v>
      </c>
      <c r="CA506">
        <v>44.630099999999999</v>
      </c>
      <c r="CB506">
        <v>5.80748</v>
      </c>
      <c r="CG506" t="s">
        <v>8192</v>
      </c>
      <c r="CH506" t="s">
        <v>8193</v>
      </c>
      <c r="CI506" t="s">
        <v>8194</v>
      </c>
      <c r="CJ506" t="s">
        <v>8195</v>
      </c>
      <c r="CK506">
        <v>5</v>
      </c>
      <c r="CL506" t="s">
        <v>4</v>
      </c>
      <c r="CM506" t="s">
        <v>8196</v>
      </c>
      <c r="CN506" t="s">
        <v>8197</v>
      </c>
      <c r="CO506" t="s">
        <v>663</v>
      </c>
      <c r="CP506" t="s">
        <v>100</v>
      </c>
      <c r="CQ506" s="7">
        <v>507</v>
      </c>
      <c r="CR506" t="s">
        <v>100</v>
      </c>
      <c r="CS506" t="s">
        <v>100</v>
      </c>
      <c r="CT506" t="s">
        <v>152</v>
      </c>
      <c r="CU506" t="s">
        <v>102</v>
      </c>
      <c r="CV506" t="s">
        <v>100</v>
      </c>
    </row>
    <row r="507" spans="1:100">
      <c r="A507" s="3" t="s">
        <v>8198</v>
      </c>
      <c r="B507" s="4" t="s">
        <v>8199</v>
      </c>
      <c r="C507">
        <v>444.043299446834</v>
      </c>
      <c r="D507">
        <v>983.70004157150504</v>
      </c>
      <c r="E507">
        <f>-1.14718109697081</f>
        <v>-1.1471810969708101</v>
      </c>
      <c r="F507">
        <v>7.4073496732453602E-3</v>
      </c>
      <c r="G507" t="s">
        <v>4</v>
      </c>
      <c r="H507">
        <v>444.043299446834</v>
      </c>
      <c r="I507">
        <v>191.32901109882599</v>
      </c>
      <c r="J507">
        <v>1.2049043548092599</v>
      </c>
      <c r="K507">
        <v>4.1896045441318797E-3</v>
      </c>
      <c r="L507" t="s">
        <v>4</v>
      </c>
      <c r="M507">
        <v>983.70004157150504</v>
      </c>
      <c r="N507">
        <v>191.32901109882599</v>
      </c>
      <c r="O507">
        <v>2.35208545178007</v>
      </c>
      <c r="P507" s="5">
        <v>4.2334292404008503E-9</v>
      </c>
      <c r="Q507" t="s">
        <v>4</v>
      </c>
      <c r="R507" s="4" t="s">
        <v>87</v>
      </c>
      <c r="S507" t="s">
        <v>4</v>
      </c>
      <c r="T507" t="s">
        <v>92</v>
      </c>
      <c r="U507" t="s">
        <v>92</v>
      </c>
      <c r="V507" t="s">
        <v>92</v>
      </c>
      <c r="W507" t="s">
        <v>92</v>
      </c>
      <c r="X507" t="s">
        <v>4</v>
      </c>
      <c r="Y507" t="s">
        <v>8200</v>
      </c>
      <c r="Z507" t="s">
        <v>8201</v>
      </c>
      <c r="AA507" t="s">
        <v>8202</v>
      </c>
      <c r="AB507" t="s">
        <v>4</v>
      </c>
      <c r="AC507" s="3" t="s">
        <v>8203</v>
      </c>
      <c r="AD507" t="s">
        <v>4</v>
      </c>
      <c r="AE507" t="s">
        <v>8204</v>
      </c>
      <c r="AF507" t="s">
        <v>8205</v>
      </c>
      <c r="AG507" t="s">
        <v>8206</v>
      </c>
      <c r="AH507" t="s">
        <v>112</v>
      </c>
      <c r="AU507" t="s">
        <v>112</v>
      </c>
      <c r="AV507" t="s">
        <v>8207</v>
      </c>
      <c r="AW507" t="s">
        <v>114</v>
      </c>
      <c r="AX507" t="s">
        <v>1096</v>
      </c>
      <c r="AY507" t="s">
        <v>8208</v>
      </c>
      <c r="AZ507" t="s">
        <v>4</v>
      </c>
      <c r="BA507" s="3" t="s">
        <v>95</v>
      </c>
      <c r="BB507" s="6" t="s">
        <v>95</v>
      </c>
      <c r="BC507" s="3" t="s">
        <v>95</v>
      </c>
      <c r="BD507" t="s">
        <v>4</v>
      </c>
      <c r="BE507">
        <v>7722</v>
      </c>
      <c r="BF507" t="s">
        <v>213</v>
      </c>
      <c r="BG507">
        <v>100</v>
      </c>
      <c r="BH507">
        <v>99.2958</v>
      </c>
      <c r="BI507">
        <v>97.183099999999996</v>
      </c>
      <c r="BJ507">
        <v>90.845100000000002</v>
      </c>
      <c r="BK507">
        <v>90.845100000000002</v>
      </c>
      <c r="BM507">
        <v>59.154899999999998</v>
      </c>
      <c r="BN507">
        <v>59.859200000000001</v>
      </c>
      <c r="BO507">
        <v>68.309899999999999</v>
      </c>
      <c r="BP507">
        <v>50.7042</v>
      </c>
      <c r="BQ507">
        <v>40.140799999999999</v>
      </c>
      <c r="BR507">
        <v>40.845100000000002</v>
      </c>
      <c r="BS507">
        <v>44.366199999999999</v>
      </c>
      <c r="BX507">
        <v>47.887300000000003</v>
      </c>
      <c r="BZ507">
        <v>45.7746</v>
      </c>
      <c r="CA507">
        <v>47.887300000000003</v>
      </c>
      <c r="CB507">
        <v>26.7606</v>
      </c>
      <c r="CE507">
        <v>23.2394</v>
      </c>
      <c r="CF507" t="s">
        <v>8209</v>
      </c>
      <c r="CG507">
        <v>28.169</v>
      </c>
      <c r="CH507" t="s">
        <v>8210</v>
      </c>
      <c r="CI507">
        <v>12.6761</v>
      </c>
      <c r="CK507">
        <v>8</v>
      </c>
      <c r="CL507" t="s">
        <v>4</v>
      </c>
      <c r="CM507" t="s">
        <v>8211</v>
      </c>
      <c r="CN507" t="s">
        <v>8212</v>
      </c>
      <c r="CO507" t="s">
        <v>219</v>
      </c>
      <c r="CP507" t="s">
        <v>100</v>
      </c>
      <c r="CQ507" s="7">
        <v>508</v>
      </c>
      <c r="CR507" t="s">
        <v>100</v>
      </c>
      <c r="CS507" s="7" t="s">
        <v>101</v>
      </c>
      <c r="CT507" t="s">
        <v>152</v>
      </c>
      <c r="CU507" t="s">
        <v>102</v>
      </c>
      <c r="CV507" t="s">
        <v>100</v>
      </c>
    </row>
    <row r="508" spans="1:100">
      <c r="A508" s="3" t="s">
        <v>8213</v>
      </c>
      <c r="B508" s="4" t="s">
        <v>8214</v>
      </c>
      <c r="C508">
        <v>1158.05130243694</v>
      </c>
      <c r="D508">
        <v>2644.5775716533999</v>
      </c>
      <c r="E508">
        <f>-1.19127663684365</f>
        <v>-1.19127663684365</v>
      </c>
      <c r="F508">
        <v>1.4665981959144399E-4</v>
      </c>
      <c r="G508" t="s">
        <v>4</v>
      </c>
      <c r="H508">
        <v>1158.05130243694</v>
      </c>
      <c r="I508">
        <v>516.36199705024603</v>
      </c>
      <c r="J508">
        <v>1.1599714458680901</v>
      </c>
      <c r="K508">
        <v>1.8281530766068099E-4</v>
      </c>
      <c r="L508" t="s">
        <v>4</v>
      </c>
      <c r="M508">
        <v>2644.5775716533999</v>
      </c>
      <c r="N508">
        <v>516.36199705024603</v>
      </c>
      <c r="O508">
        <v>2.3512480827117401</v>
      </c>
      <c r="P508" s="5">
        <v>2.1235161361573699E-15</v>
      </c>
      <c r="Q508" t="s">
        <v>4</v>
      </c>
      <c r="R508" s="4" t="s">
        <v>87</v>
      </c>
      <c r="S508" t="s">
        <v>4</v>
      </c>
      <c r="T508" t="s">
        <v>8215</v>
      </c>
      <c r="U508" t="s">
        <v>8216</v>
      </c>
      <c r="V508" t="s">
        <v>8217</v>
      </c>
      <c r="W508" t="s">
        <v>976</v>
      </c>
      <c r="X508" t="s">
        <v>4</v>
      </c>
      <c r="Y508" t="s">
        <v>8218</v>
      </c>
      <c r="Z508" t="s">
        <v>8219</v>
      </c>
      <c r="AA508" t="s">
        <v>8220</v>
      </c>
      <c r="AB508" t="s">
        <v>4</v>
      </c>
      <c r="AC508" s="3" t="s">
        <v>93</v>
      </c>
      <c r="AD508" t="s">
        <v>4</v>
      </c>
      <c r="AE508" t="s">
        <v>8221</v>
      </c>
      <c r="AF508" t="s">
        <v>8222</v>
      </c>
      <c r="AG508" t="s">
        <v>8223</v>
      </c>
      <c r="AH508" t="s">
        <v>112</v>
      </c>
      <c r="AU508" t="s">
        <v>112</v>
      </c>
      <c r="AV508" t="s">
        <v>8224</v>
      </c>
      <c r="AW508" t="s">
        <v>114</v>
      </c>
      <c r="AX508" t="s">
        <v>536</v>
      </c>
      <c r="AY508" t="s">
        <v>8225</v>
      </c>
      <c r="AZ508" t="s">
        <v>4</v>
      </c>
      <c r="BA508" s="3" t="s">
        <v>95</v>
      </c>
      <c r="BB508" t="s">
        <v>96</v>
      </c>
      <c r="BC508" s="3" t="s">
        <v>95</v>
      </c>
      <c r="BD508" t="s">
        <v>4</v>
      </c>
      <c r="BE508">
        <v>8337</v>
      </c>
      <c r="BF508" t="s">
        <v>213</v>
      </c>
      <c r="BG508">
        <v>98.888900000000007</v>
      </c>
      <c r="BH508">
        <v>80</v>
      </c>
      <c r="BI508" t="s">
        <v>8226</v>
      </c>
      <c r="BJ508">
        <v>87.407399999999996</v>
      </c>
      <c r="BK508">
        <v>81.481499999999997</v>
      </c>
      <c r="BL508">
        <v>51.481499999999997</v>
      </c>
      <c r="BM508">
        <v>84.074100000000001</v>
      </c>
      <c r="BN508">
        <v>82.222200000000001</v>
      </c>
      <c r="BO508">
        <v>80.740700000000004</v>
      </c>
      <c r="BP508">
        <v>51.1111</v>
      </c>
      <c r="BQ508">
        <v>46.666699999999999</v>
      </c>
      <c r="BR508">
        <v>47.777799999999999</v>
      </c>
      <c r="BS508">
        <v>38.8889</v>
      </c>
      <c r="BV508" t="s">
        <v>8227</v>
      </c>
      <c r="BW508">
        <v>44.074100000000001</v>
      </c>
      <c r="BX508">
        <v>46.296300000000002</v>
      </c>
      <c r="BY508">
        <v>50.370399999999997</v>
      </c>
      <c r="BZ508">
        <v>46.296300000000002</v>
      </c>
      <c r="CA508">
        <v>47.777799999999999</v>
      </c>
      <c r="CB508">
        <v>30</v>
      </c>
      <c r="CC508">
        <v>25.185199999999998</v>
      </c>
      <c r="CD508">
        <v>34.814799999999998</v>
      </c>
      <c r="CE508">
        <v>33.703699999999998</v>
      </c>
      <c r="CF508">
        <v>34.074100000000001</v>
      </c>
      <c r="CG508" t="s">
        <v>8228</v>
      </c>
      <c r="CH508">
        <v>31.4815</v>
      </c>
      <c r="CI508" t="s">
        <v>8229</v>
      </c>
      <c r="CK508">
        <v>8</v>
      </c>
      <c r="CL508" t="s">
        <v>4</v>
      </c>
      <c r="CM508" t="s">
        <v>8230</v>
      </c>
      <c r="CN508" t="s">
        <v>8231</v>
      </c>
      <c r="CO508" t="s">
        <v>219</v>
      </c>
      <c r="CP508" t="s">
        <v>100</v>
      </c>
      <c r="CQ508" s="7">
        <v>509</v>
      </c>
      <c r="CR508" t="s">
        <v>100</v>
      </c>
      <c r="CS508" s="7" t="s">
        <v>101</v>
      </c>
      <c r="CT508" t="s">
        <v>152</v>
      </c>
      <c r="CU508" t="s">
        <v>102</v>
      </c>
      <c r="CV508" t="s">
        <v>100</v>
      </c>
    </row>
    <row r="509" spans="1:100">
      <c r="A509" s="3" t="s">
        <v>8232</v>
      </c>
      <c r="B509" s="4" t="s">
        <v>8233</v>
      </c>
      <c r="C509">
        <v>321.58087356902001</v>
      </c>
      <c r="D509">
        <v>907.085843373388</v>
      </c>
      <c r="E509">
        <f>-1.49496966895681</f>
        <v>-1.4949696689568099</v>
      </c>
      <c r="F509" s="5">
        <v>2.46890803138781E-5</v>
      </c>
      <c r="G509" t="s">
        <v>4</v>
      </c>
      <c r="H509">
        <v>321.58087356902001</v>
      </c>
      <c r="I509">
        <v>181.34290523026999</v>
      </c>
      <c r="J509">
        <v>0.83885918297666295</v>
      </c>
      <c r="K509">
        <v>2.21434661555894E-2</v>
      </c>
      <c r="L509" t="s">
        <v>4</v>
      </c>
      <c r="M509">
        <v>907.085843373388</v>
      </c>
      <c r="N509">
        <v>181.34290523026999</v>
      </c>
      <c r="O509">
        <v>2.33382885193347</v>
      </c>
      <c r="P509" s="5">
        <v>8.7617843562105899E-12</v>
      </c>
      <c r="Q509" t="s">
        <v>4</v>
      </c>
      <c r="R509" s="4" t="s">
        <v>87</v>
      </c>
      <c r="S509" t="s">
        <v>4</v>
      </c>
      <c r="T509" t="s">
        <v>8234</v>
      </c>
      <c r="U509" t="s">
        <v>8235</v>
      </c>
      <c r="V509" t="s">
        <v>8236</v>
      </c>
      <c r="W509" t="s">
        <v>123</v>
      </c>
      <c r="X509" t="s">
        <v>4</v>
      </c>
      <c r="Y509" t="s">
        <v>8237</v>
      </c>
      <c r="Z509" t="s">
        <v>8238</v>
      </c>
      <c r="AA509" t="s">
        <v>8239</v>
      </c>
      <c r="AB509" t="s">
        <v>4</v>
      </c>
      <c r="AC509" s="3" t="s">
        <v>8240</v>
      </c>
      <c r="AD509" t="s">
        <v>4</v>
      </c>
      <c r="AE509" t="s">
        <v>8241</v>
      </c>
      <c r="AF509" t="s">
        <v>8242</v>
      </c>
      <c r="AG509" t="s">
        <v>8243</v>
      </c>
      <c r="AH509" t="s">
        <v>112</v>
      </c>
      <c r="AL509" t="s">
        <v>8244</v>
      </c>
      <c r="AQ509" t="s">
        <v>8245</v>
      </c>
      <c r="AU509" t="s">
        <v>112</v>
      </c>
      <c r="AV509" t="s">
        <v>8246</v>
      </c>
      <c r="AW509" t="s">
        <v>114</v>
      </c>
      <c r="AX509" t="s">
        <v>596</v>
      </c>
      <c r="AY509" t="s">
        <v>8247</v>
      </c>
      <c r="AZ509" t="s">
        <v>4</v>
      </c>
      <c r="BA509" s="3" t="s">
        <v>95</v>
      </c>
      <c r="BB509" s="6" t="s">
        <v>95</v>
      </c>
      <c r="BC509" s="3" t="s">
        <v>95</v>
      </c>
      <c r="BD509" t="s">
        <v>4</v>
      </c>
      <c r="BE509">
        <v>9868</v>
      </c>
      <c r="BF509" t="s">
        <v>169</v>
      </c>
      <c r="BG509">
        <v>98.453599999999994</v>
      </c>
      <c r="BH509">
        <v>84.536100000000005</v>
      </c>
      <c r="BI509">
        <v>94.329899999999995</v>
      </c>
      <c r="BJ509">
        <v>91.752600000000001</v>
      </c>
      <c r="BK509">
        <v>88.659800000000004</v>
      </c>
      <c r="BM509">
        <v>85.566999999999993</v>
      </c>
      <c r="BN509">
        <v>85.566999999999993</v>
      </c>
      <c r="BO509">
        <v>81.958799999999997</v>
      </c>
      <c r="BP509">
        <v>59.278399999999998</v>
      </c>
      <c r="BQ509">
        <v>25.773199999999999</v>
      </c>
      <c r="BR509">
        <v>39.6907</v>
      </c>
      <c r="BS509">
        <v>26.804099999999998</v>
      </c>
      <c r="BT509">
        <v>20.103100000000001</v>
      </c>
      <c r="BU509">
        <v>36.082500000000003</v>
      </c>
      <c r="BV509" t="s">
        <v>8248</v>
      </c>
      <c r="BW509">
        <v>52.061900000000001</v>
      </c>
      <c r="BX509">
        <v>52.061900000000001</v>
      </c>
      <c r="BZ509">
        <v>50.515500000000003</v>
      </c>
      <c r="CA509">
        <v>53.608199999999997</v>
      </c>
      <c r="CB509">
        <v>43.298999999999999</v>
      </c>
      <c r="CC509">
        <v>40.206200000000003</v>
      </c>
      <c r="CD509">
        <v>39.1753</v>
      </c>
      <c r="CE509">
        <v>39.6907</v>
      </c>
      <c r="CF509">
        <v>42.268000000000001</v>
      </c>
      <c r="CG509">
        <v>45.360799999999998</v>
      </c>
      <c r="CH509">
        <v>45.360799999999998</v>
      </c>
      <c r="CI509">
        <v>45.360799999999998</v>
      </c>
      <c r="CJ509">
        <v>36.082500000000003</v>
      </c>
      <c r="CK509">
        <v>9</v>
      </c>
      <c r="CL509" t="s">
        <v>4</v>
      </c>
      <c r="CM509" t="s">
        <v>8249</v>
      </c>
      <c r="CN509" t="s">
        <v>8250</v>
      </c>
      <c r="CO509" t="s">
        <v>219</v>
      </c>
      <c r="CP509" t="s">
        <v>100</v>
      </c>
      <c r="CQ509" s="7">
        <v>510</v>
      </c>
      <c r="CR509" t="s">
        <v>100</v>
      </c>
      <c r="CS509" t="s">
        <v>100</v>
      </c>
      <c r="CT509" t="s">
        <v>152</v>
      </c>
      <c r="CU509" t="s">
        <v>102</v>
      </c>
      <c r="CV509" t="s">
        <v>100</v>
      </c>
    </row>
    <row r="510" spans="1:100">
      <c r="A510" s="3" t="s">
        <v>8251</v>
      </c>
      <c r="B510" s="4" t="s">
        <v>8252</v>
      </c>
      <c r="C510">
        <v>727.79625764703701</v>
      </c>
      <c r="D510">
        <v>1762.0204362469599</v>
      </c>
      <c r="E510">
        <f>-1.27594668795124</f>
        <v>-1.27594668795124</v>
      </c>
      <c r="F510" s="5">
        <v>1.8813932486750598E-11</v>
      </c>
      <c r="G510" t="s">
        <v>4</v>
      </c>
      <c r="H510">
        <v>727.79625764703701</v>
      </c>
      <c r="I510">
        <v>349.37103783523202</v>
      </c>
      <c r="J510">
        <v>1.05608724185998</v>
      </c>
      <c r="K510" s="5">
        <v>7.0016442261490001E-8</v>
      </c>
      <c r="L510" t="s">
        <v>4</v>
      </c>
      <c r="M510">
        <v>1762.0204362469599</v>
      </c>
      <c r="N510">
        <v>349.37103783523202</v>
      </c>
      <c r="O510">
        <v>2.33203392981122</v>
      </c>
      <c r="P510" s="5">
        <v>4.0350115387369798E-35</v>
      </c>
      <c r="Q510" t="s">
        <v>4</v>
      </c>
      <c r="R510" s="4" t="s">
        <v>87</v>
      </c>
      <c r="S510" t="s">
        <v>4</v>
      </c>
      <c r="T510" t="s">
        <v>92</v>
      </c>
      <c r="U510" t="s">
        <v>92</v>
      </c>
      <c r="V510" t="s">
        <v>92</v>
      </c>
      <c r="W510" t="s">
        <v>92</v>
      </c>
      <c r="X510" t="s">
        <v>4</v>
      </c>
      <c r="Y510" t="s">
        <v>8253</v>
      </c>
      <c r="Z510" t="s">
        <v>8254</v>
      </c>
      <c r="AA510" t="s">
        <v>8255</v>
      </c>
      <c r="AB510" t="s">
        <v>4</v>
      </c>
      <c r="AC510" s="3" t="s">
        <v>8256</v>
      </c>
      <c r="AD510" t="s">
        <v>4</v>
      </c>
      <c r="AE510" t="s">
        <v>8257</v>
      </c>
      <c r="AF510" t="s">
        <v>8258</v>
      </c>
      <c r="AG510" t="s">
        <v>8259</v>
      </c>
      <c r="AH510" t="s">
        <v>112</v>
      </c>
      <c r="AU510" t="s">
        <v>112</v>
      </c>
      <c r="AV510" t="s">
        <v>8260</v>
      </c>
      <c r="AW510" t="s">
        <v>114</v>
      </c>
      <c r="AX510" t="s">
        <v>1096</v>
      </c>
      <c r="AY510" t="s">
        <v>8261</v>
      </c>
      <c r="AZ510" t="s">
        <v>4</v>
      </c>
      <c r="BA510" s="3" t="s">
        <v>115</v>
      </c>
      <c r="BB510" s="6" t="s">
        <v>95</v>
      </c>
      <c r="BC510" s="3" t="s">
        <v>95</v>
      </c>
      <c r="BD510" t="s">
        <v>4</v>
      </c>
      <c r="BE510">
        <v>4358</v>
      </c>
      <c r="BF510" t="s">
        <v>112</v>
      </c>
      <c r="BG510">
        <v>99.220799999999997</v>
      </c>
      <c r="BH510">
        <v>100</v>
      </c>
      <c r="BI510">
        <v>93.506500000000003</v>
      </c>
      <c r="BJ510">
        <v>83.116900000000001</v>
      </c>
      <c r="BK510">
        <v>80.779200000000003</v>
      </c>
      <c r="BP510">
        <v>46.493499999999997</v>
      </c>
      <c r="BQ510">
        <v>35.064900000000002</v>
      </c>
      <c r="BR510" t="s">
        <v>8262</v>
      </c>
      <c r="BS510" t="s">
        <v>8263</v>
      </c>
      <c r="BT510">
        <v>30.909099999999999</v>
      </c>
      <c r="BU510">
        <v>29.3506</v>
      </c>
      <c r="BV510" t="s">
        <v>8264</v>
      </c>
      <c r="BX510">
        <v>36.623399999999997</v>
      </c>
      <c r="BY510">
        <v>21.2987</v>
      </c>
      <c r="BZ510">
        <v>37.142899999999997</v>
      </c>
      <c r="CA510">
        <v>34.026000000000003</v>
      </c>
      <c r="CF510">
        <v>15.5844</v>
      </c>
      <c r="CG510" t="s">
        <v>8265</v>
      </c>
      <c r="CH510" t="s">
        <v>8266</v>
      </c>
      <c r="CI510" t="s">
        <v>8267</v>
      </c>
      <c r="CK510">
        <v>5</v>
      </c>
      <c r="CL510" t="s">
        <v>4</v>
      </c>
      <c r="CM510" t="s">
        <v>8268</v>
      </c>
      <c r="CN510" t="s">
        <v>8269</v>
      </c>
      <c r="CO510" t="s">
        <v>219</v>
      </c>
      <c r="CP510" t="s">
        <v>100</v>
      </c>
      <c r="CQ510" s="7">
        <v>511</v>
      </c>
      <c r="CR510" t="s">
        <v>100</v>
      </c>
      <c r="CS510" s="7" t="s">
        <v>101</v>
      </c>
      <c r="CT510" t="s">
        <v>152</v>
      </c>
      <c r="CU510" t="s">
        <v>102</v>
      </c>
      <c r="CV510" t="s">
        <v>100</v>
      </c>
    </row>
    <row r="511" spans="1:100">
      <c r="A511" s="3" t="s">
        <v>8270</v>
      </c>
      <c r="B511" s="4" t="s">
        <v>8271</v>
      </c>
      <c r="C511">
        <v>274.980155859619</v>
      </c>
      <c r="D511">
        <v>568.75335772513699</v>
      </c>
      <c r="E511">
        <f>-1.04817838046732</f>
        <v>-1.0481783804673199</v>
      </c>
      <c r="F511">
        <v>9.1146328398121201E-3</v>
      </c>
      <c r="G511" t="s">
        <v>4</v>
      </c>
      <c r="H511">
        <v>274.980155859619</v>
      </c>
      <c r="I511">
        <v>111.390117703941</v>
      </c>
      <c r="J511">
        <v>1.2838320546837401</v>
      </c>
      <c r="K511">
        <v>1.2250306071067E-3</v>
      </c>
      <c r="L511" t="s">
        <v>4</v>
      </c>
      <c r="M511">
        <v>568.75335772513699</v>
      </c>
      <c r="N511">
        <v>111.390117703941</v>
      </c>
      <c r="O511">
        <v>2.33201043515106</v>
      </c>
      <c r="P511" s="5">
        <v>7.9726509471325396E-10</v>
      </c>
      <c r="Q511" t="s">
        <v>4</v>
      </c>
      <c r="R511" s="4" t="s">
        <v>87</v>
      </c>
      <c r="S511" t="s">
        <v>4</v>
      </c>
      <c r="T511" t="s">
        <v>8272</v>
      </c>
      <c r="U511" t="s">
        <v>8273</v>
      </c>
      <c r="V511" t="s">
        <v>8274</v>
      </c>
      <c r="W511" t="s">
        <v>328</v>
      </c>
      <c r="X511" t="s">
        <v>4</v>
      </c>
      <c r="Y511" t="s">
        <v>8275</v>
      </c>
      <c r="Z511" t="s">
        <v>8276</v>
      </c>
      <c r="AA511" t="s">
        <v>8277</v>
      </c>
      <c r="AB511" t="s">
        <v>4</v>
      </c>
      <c r="AC511" s="3" t="s">
        <v>8278</v>
      </c>
      <c r="AD511" t="s">
        <v>4</v>
      </c>
      <c r="AE511" t="s">
        <v>8279</v>
      </c>
      <c r="AF511" t="s">
        <v>8280</v>
      </c>
      <c r="AG511" t="s">
        <v>8281</v>
      </c>
      <c r="AH511" t="s">
        <v>112</v>
      </c>
      <c r="AL511" t="s">
        <v>8282</v>
      </c>
      <c r="AM511" t="s">
        <v>8283</v>
      </c>
      <c r="AQ511" t="s">
        <v>8284</v>
      </c>
      <c r="AU511" t="s">
        <v>112</v>
      </c>
      <c r="AV511" t="s">
        <v>8285</v>
      </c>
      <c r="AW511" t="s">
        <v>114</v>
      </c>
      <c r="AX511" t="s">
        <v>536</v>
      </c>
      <c r="AY511" t="s">
        <v>8286</v>
      </c>
      <c r="AZ511" t="s">
        <v>4</v>
      </c>
      <c r="BA511" s="3" t="s">
        <v>95</v>
      </c>
      <c r="BB511" s="6" t="s">
        <v>95</v>
      </c>
      <c r="BC511" s="3" t="s">
        <v>95</v>
      </c>
      <c r="BD511" t="s">
        <v>4</v>
      </c>
      <c r="BE511">
        <v>8716</v>
      </c>
      <c r="BF511" t="s">
        <v>169</v>
      </c>
      <c r="BG511">
        <v>99.375</v>
      </c>
      <c r="BI511">
        <v>95.625</v>
      </c>
      <c r="BJ511">
        <v>92.5</v>
      </c>
      <c r="BK511">
        <v>92.5</v>
      </c>
      <c r="BL511">
        <v>90.625</v>
      </c>
      <c r="BM511">
        <v>90</v>
      </c>
      <c r="BN511">
        <v>90.625</v>
      </c>
      <c r="BO511">
        <v>86.875</v>
      </c>
      <c r="BP511">
        <v>53.75</v>
      </c>
      <c r="BQ511">
        <v>45</v>
      </c>
      <c r="BR511">
        <v>32.5</v>
      </c>
      <c r="BS511">
        <v>41.875</v>
      </c>
      <c r="BU511">
        <v>30</v>
      </c>
      <c r="BV511" t="s">
        <v>8287</v>
      </c>
      <c r="BZ511">
        <v>60</v>
      </c>
      <c r="CA511">
        <v>50</v>
      </c>
      <c r="CC511">
        <v>30.625</v>
      </c>
      <c r="CD511">
        <v>28.75</v>
      </c>
      <c r="CE511">
        <v>32.5</v>
      </c>
      <c r="CF511">
        <v>33.75</v>
      </c>
      <c r="CG511">
        <v>37.5</v>
      </c>
      <c r="CH511">
        <v>36.875</v>
      </c>
      <c r="CI511">
        <v>35</v>
      </c>
      <c r="CJ511">
        <v>24.375</v>
      </c>
      <c r="CK511">
        <v>9</v>
      </c>
      <c r="CL511" t="s">
        <v>4</v>
      </c>
      <c r="CM511" t="s">
        <v>8288</v>
      </c>
      <c r="CN511">
        <v>50</v>
      </c>
      <c r="CO511" t="s">
        <v>219</v>
      </c>
      <c r="CP511" t="s">
        <v>100</v>
      </c>
      <c r="CQ511" s="7">
        <v>512</v>
      </c>
      <c r="CR511" t="s">
        <v>100</v>
      </c>
      <c r="CS511" s="7" t="s">
        <v>101</v>
      </c>
      <c r="CT511" t="s">
        <v>152</v>
      </c>
      <c r="CU511" t="s">
        <v>102</v>
      </c>
      <c r="CV511" t="s">
        <v>100</v>
      </c>
    </row>
    <row r="512" spans="1:100">
      <c r="A512" s="3" t="s">
        <v>8289</v>
      </c>
      <c r="B512" s="4" t="s">
        <v>8290</v>
      </c>
      <c r="C512">
        <v>1901.5995114341199</v>
      </c>
      <c r="D512">
        <v>7376.5018192131602</v>
      </c>
      <c r="E512">
        <f>-1.95569625611391</f>
        <v>-1.95569625611391</v>
      </c>
      <c r="F512" s="5">
        <v>9.4728738111491801E-12</v>
      </c>
      <c r="G512" t="s">
        <v>4</v>
      </c>
      <c r="H512">
        <v>1901.5995114341199</v>
      </c>
      <c r="I512">
        <v>1493.20881010727</v>
      </c>
      <c r="J512">
        <v>0.35086290609468801</v>
      </c>
      <c r="K512">
        <v>0.26178440546294701</v>
      </c>
      <c r="L512" t="s">
        <v>4</v>
      </c>
      <c r="M512">
        <v>7376.5018192131602</v>
      </c>
      <c r="N512">
        <v>1493.20881010727</v>
      </c>
      <c r="O512">
        <v>2.3065591622085901</v>
      </c>
      <c r="P512" s="5">
        <v>1.50936952780683E-16</v>
      </c>
      <c r="Q512" t="s">
        <v>4</v>
      </c>
      <c r="R512" s="4" t="s">
        <v>87</v>
      </c>
      <c r="S512" t="s">
        <v>4</v>
      </c>
      <c r="T512" t="s">
        <v>92</v>
      </c>
      <c r="U512" t="s">
        <v>92</v>
      </c>
      <c r="V512" t="s">
        <v>92</v>
      </c>
      <c r="W512" t="s">
        <v>92</v>
      </c>
      <c r="X512" t="s">
        <v>4</v>
      </c>
      <c r="Y512" t="s">
        <v>8291</v>
      </c>
      <c r="Z512" t="s">
        <v>8292</v>
      </c>
      <c r="AA512" t="s">
        <v>8293</v>
      </c>
      <c r="AB512" t="s">
        <v>4</v>
      </c>
      <c r="AC512" s="3" t="s">
        <v>8294</v>
      </c>
      <c r="AD512" t="s">
        <v>4</v>
      </c>
      <c r="AE512" t="s">
        <v>8295</v>
      </c>
      <c r="AF512" t="s">
        <v>834</v>
      </c>
      <c r="AG512" t="s">
        <v>8296</v>
      </c>
      <c r="AH512" t="s">
        <v>112</v>
      </c>
      <c r="AI512" t="s">
        <v>8297</v>
      </c>
      <c r="AU512" t="s">
        <v>112</v>
      </c>
      <c r="AV512" t="s">
        <v>8298</v>
      </c>
      <c r="AW512" t="s">
        <v>114</v>
      </c>
      <c r="AX512" t="s">
        <v>371</v>
      </c>
      <c r="AY512" t="s">
        <v>8299</v>
      </c>
      <c r="AZ512" t="s">
        <v>4</v>
      </c>
      <c r="BA512" s="3" t="s">
        <v>95</v>
      </c>
      <c r="BB512" s="6" t="s">
        <v>95</v>
      </c>
      <c r="BC512" s="3" t="s">
        <v>95</v>
      </c>
      <c r="BD512" t="s">
        <v>4</v>
      </c>
      <c r="BE512">
        <v>8903</v>
      </c>
      <c r="BF512" t="s">
        <v>169</v>
      </c>
      <c r="BG512">
        <v>94.042599999999993</v>
      </c>
      <c r="BH512">
        <v>58.865200000000002</v>
      </c>
      <c r="BI512">
        <v>64.822699999999998</v>
      </c>
      <c r="BJ512">
        <v>84.680899999999994</v>
      </c>
      <c r="BK512">
        <v>33.758899999999997</v>
      </c>
      <c r="BL512" t="s">
        <v>8300</v>
      </c>
      <c r="BM512">
        <v>84.113500000000002</v>
      </c>
      <c r="BN512">
        <v>80</v>
      </c>
      <c r="BO512">
        <v>81.702100000000002</v>
      </c>
      <c r="BP512">
        <v>40.851100000000002</v>
      </c>
      <c r="BR512">
        <v>14.893599999999999</v>
      </c>
      <c r="BS512">
        <v>19.5745</v>
      </c>
      <c r="BT512" t="s">
        <v>8301</v>
      </c>
      <c r="BU512">
        <v>18.155999999999999</v>
      </c>
      <c r="BV512" t="s">
        <v>8302</v>
      </c>
      <c r="BW512">
        <v>15.7447</v>
      </c>
      <c r="BX512">
        <v>18.297899999999998</v>
      </c>
      <c r="BY512">
        <v>14.893599999999999</v>
      </c>
      <c r="BZ512">
        <v>20</v>
      </c>
      <c r="CA512">
        <v>17.4468</v>
      </c>
      <c r="CB512">
        <v>10.496499999999999</v>
      </c>
      <c r="CC512">
        <v>23.546099999999999</v>
      </c>
      <c r="CD512">
        <v>23.2624</v>
      </c>
      <c r="CE512">
        <v>16.028400000000001</v>
      </c>
      <c r="CG512">
        <v>23.687899999999999</v>
      </c>
      <c r="CH512">
        <v>23.829799999999999</v>
      </c>
      <c r="CI512">
        <v>26.808499999999999</v>
      </c>
      <c r="CJ512">
        <v>7.9432600000000004</v>
      </c>
      <c r="CK512">
        <v>9</v>
      </c>
      <c r="CL512" t="s">
        <v>4</v>
      </c>
      <c r="CM512" t="s">
        <v>8303</v>
      </c>
      <c r="CN512" t="s">
        <v>8304</v>
      </c>
      <c r="CO512" t="s">
        <v>219</v>
      </c>
      <c r="CP512" t="s">
        <v>100</v>
      </c>
      <c r="CQ512" s="7">
        <v>513</v>
      </c>
      <c r="CR512" t="s">
        <v>100</v>
      </c>
      <c r="CS512" t="s">
        <v>100</v>
      </c>
      <c r="CT512" t="s">
        <v>152</v>
      </c>
      <c r="CU512" t="s">
        <v>102</v>
      </c>
      <c r="CV512" t="s">
        <v>100</v>
      </c>
    </row>
    <row r="513" spans="1:100">
      <c r="A513" s="3" t="s">
        <v>8305</v>
      </c>
      <c r="B513" s="4" t="s">
        <v>8306</v>
      </c>
      <c r="C513">
        <v>1036.48922274301</v>
      </c>
      <c r="D513">
        <v>3961.26380635439</v>
      </c>
      <c r="E513">
        <f>-1.93360214289423</f>
        <v>-1.93360214289423</v>
      </c>
      <c r="F513" s="5">
        <v>2.4508041993509498E-30</v>
      </c>
      <c r="G513" t="s">
        <v>4</v>
      </c>
      <c r="H513">
        <v>1036.48922274301</v>
      </c>
      <c r="I513">
        <v>799.66424148126202</v>
      </c>
      <c r="J513">
        <v>0.37276941419735299</v>
      </c>
      <c r="K513">
        <v>4.3966558503090697E-2</v>
      </c>
      <c r="L513" t="s">
        <v>4</v>
      </c>
      <c r="M513">
        <v>3961.26380635439</v>
      </c>
      <c r="N513">
        <v>799.66424148126202</v>
      </c>
      <c r="O513">
        <v>2.3063715570915799</v>
      </c>
      <c r="P513" s="5">
        <v>7.0111358100473201E-43</v>
      </c>
      <c r="Q513" t="s">
        <v>4</v>
      </c>
      <c r="R513" s="4" t="s">
        <v>87</v>
      </c>
      <c r="S513" t="s">
        <v>4</v>
      </c>
      <c r="T513" t="s">
        <v>8307</v>
      </c>
      <c r="U513" t="s">
        <v>8308</v>
      </c>
      <c r="V513" t="s">
        <v>8309</v>
      </c>
      <c r="W513" t="s">
        <v>328</v>
      </c>
      <c r="X513" t="s">
        <v>4</v>
      </c>
      <c r="Y513" t="s">
        <v>1315</v>
      </c>
      <c r="Z513" t="s">
        <v>1316</v>
      </c>
      <c r="AA513" t="s">
        <v>1317</v>
      </c>
      <c r="AB513" t="s">
        <v>4</v>
      </c>
      <c r="AC513" s="3" t="s">
        <v>8310</v>
      </c>
      <c r="AD513" t="s">
        <v>4</v>
      </c>
      <c r="AE513" t="s">
        <v>8311</v>
      </c>
      <c r="AF513" t="s">
        <v>8312</v>
      </c>
      <c r="AG513" t="s">
        <v>8313</v>
      </c>
      <c r="AH513" t="s">
        <v>112</v>
      </c>
      <c r="AJ513" t="s">
        <v>8314</v>
      </c>
      <c r="AK513" t="s">
        <v>1322</v>
      </c>
      <c r="AL513" t="s">
        <v>8315</v>
      </c>
      <c r="AQ513" t="s">
        <v>8316</v>
      </c>
      <c r="AU513" t="s">
        <v>112</v>
      </c>
      <c r="AV513" t="s">
        <v>8317</v>
      </c>
      <c r="AW513" t="s">
        <v>114</v>
      </c>
      <c r="AX513" t="s">
        <v>8318</v>
      </c>
      <c r="AY513" t="s">
        <v>1460</v>
      </c>
      <c r="AZ513" t="s">
        <v>4</v>
      </c>
      <c r="BA513" s="3" t="s">
        <v>95</v>
      </c>
      <c r="BB513" s="6" t="s">
        <v>95</v>
      </c>
      <c r="BC513" s="3" t="s">
        <v>95</v>
      </c>
      <c r="BD513" t="s">
        <v>4</v>
      </c>
      <c r="BE513">
        <v>10507</v>
      </c>
      <c r="BF513" t="s">
        <v>169</v>
      </c>
      <c r="BG513">
        <v>99.719899999999996</v>
      </c>
      <c r="BH513">
        <v>85.434200000000004</v>
      </c>
      <c r="BI513">
        <v>97.759100000000004</v>
      </c>
      <c r="BJ513">
        <v>92.997200000000007</v>
      </c>
      <c r="BK513">
        <v>91.596599999999995</v>
      </c>
      <c r="BM513">
        <v>85.994399999999999</v>
      </c>
      <c r="BN513">
        <v>86.274500000000003</v>
      </c>
      <c r="BO513">
        <v>85.994399999999999</v>
      </c>
      <c r="BP513">
        <v>70.868300000000005</v>
      </c>
      <c r="BQ513">
        <v>49.859900000000003</v>
      </c>
      <c r="BR513">
        <v>49.299700000000001</v>
      </c>
      <c r="BS513">
        <v>46.778700000000001</v>
      </c>
      <c r="BU513">
        <v>51.820700000000002</v>
      </c>
      <c r="BV513" t="s">
        <v>8319</v>
      </c>
      <c r="BW513">
        <v>54.341700000000003</v>
      </c>
      <c r="BX513">
        <v>54.902000000000001</v>
      </c>
      <c r="BY513">
        <v>41.456600000000002</v>
      </c>
      <c r="BZ513">
        <v>52.941200000000002</v>
      </c>
      <c r="CA513">
        <v>53.501399999999997</v>
      </c>
      <c r="CB513">
        <v>49.859900000000003</v>
      </c>
      <c r="CD513" t="s">
        <v>8320</v>
      </c>
      <c r="CE513">
        <v>49.859900000000003</v>
      </c>
      <c r="CF513">
        <v>50.420200000000001</v>
      </c>
      <c r="CG513">
        <v>50.980400000000003</v>
      </c>
      <c r="CH513">
        <v>50.980400000000003</v>
      </c>
      <c r="CI513">
        <v>50.980400000000003</v>
      </c>
      <c r="CJ513">
        <v>44.817900000000002</v>
      </c>
      <c r="CK513">
        <v>9</v>
      </c>
      <c r="CL513" t="s">
        <v>4</v>
      </c>
      <c r="CM513" t="s">
        <v>8321</v>
      </c>
      <c r="CN513" t="s">
        <v>8322</v>
      </c>
      <c r="CO513" t="s">
        <v>219</v>
      </c>
      <c r="CP513" t="s">
        <v>100</v>
      </c>
      <c r="CQ513" s="7">
        <v>514</v>
      </c>
      <c r="CR513" t="s">
        <v>100</v>
      </c>
      <c r="CS513" t="s">
        <v>100</v>
      </c>
      <c r="CT513" t="s">
        <v>152</v>
      </c>
      <c r="CU513" t="s">
        <v>102</v>
      </c>
      <c r="CV513" t="s">
        <v>100</v>
      </c>
    </row>
    <row r="514" spans="1:100">
      <c r="A514" s="3" t="s">
        <v>8323</v>
      </c>
      <c r="B514" s="4" t="s">
        <v>8324</v>
      </c>
      <c r="C514">
        <v>400.64361237555801</v>
      </c>
      <c r="D514">
        <v>941.14596609873604</v>
      </c>
      <c r="E514">
        <f>-1.23175768754749</f>
        <v>-1.23175768754749</v>
      </c>
      <c r="F514">
        <v>8.2638136712058705E-3</v>
      </c>
      <c r="G514" t="s">
        <v>4</v>
      </c>
      <c r="H514">
        <v>400.64361237555801</v>
      </c>
      <c r="I514">
        <v>189.218118521305</v>
      </c>
      <c r="J514">
        <v>1.0732332827234199</v>
      </c>
      <c r="K514">
        <v>2.0210324254626301E-2</v>
      </c>
      <c r="L514" t="s">
        <v>4</v>
      </c>
      <c r="M514">
        <v>941.14596609873604</v>
      </c>
      <c r="N514">
        <v>189.218118521305</v>
      </c>
      <c r="O514">
        <v>2.3049909702709002</v>
      </c>
      <c r="P514" s="5">
        <v>1.2855812174915E-7</v>
      </c>
      <c r="Q514" t="s">
        <v>4</v>
      </c>
      <c r="R514" s="4" t="s">
        <v>87</v>
      </c>
      <c r="S514" t="s">
        <v>4</v>
      </c>
      <c r="T514" t="s">
        <v>8325</v>
      </c>
      <c r="U514" t="s">
        <v>8326</v>
      </c>
      <c r="V514" t="s">
        <v>8327</v>
      </c>
      <c r="W514" t="s">
        <v>203</v>
      </c>
      <c r="X514" t="s">
        <v>4</v>
      </c>
      <c r="Y514" t="s">
        <v>8328</v>
      </c>
      <c r="Z514" t="s">
        <v>8329</v>
      </c>
      <c r="AA514" t="s">
        <v>8330</v>
      </c>
      <c r="AB514" t="s">
        <v>4</v>
      </c>
      <c r="AC514" s="3" t="s">
        <v>8331</v>
      </c>
      <c r="AD514" t="s">
        <v>4</v>
      </c>
      <c r="AE514" t="s">
        <v>8332</v>
      </c>
      <c r="AF514" t="s">
        <v>8333</v>
      </c>
      <c r="AG514" t="s">
        <v>8334</v>
      </c>
      <c r="AH514" t="s">
        <v>112</v>
      </c>
      <c r="AJ514" t="s">
        <v>876</v>
      </c>
      <c r="AU514" t="s">
        <v>112</v>
      </c>
      <c r="AV514" t="s">
        <v>8335</v>
      </c>
      <c r="AW514" t="s">
        <v>114</v>
      </c>
      <c r="AX514" t="s">
        <v>144</v>
      </c>
      <c r="AY514" t="s">
        <v>8336</v>
      </c>
      <c r="AZ514" t="s">
        <v>4</v>
      </c>
      <c r="BA514" s="3" t="s">
        <v>95</v>
      </c>
      <c r="BB514" s="6" t="s">
        <v>95</v>
      </c>
      <c r="BC514" s="3" t="s">
        <v>95</v>
      </c>
      <c r="BD514" t="s">
        <v>4</v>
      </c>
      <c r="BE514">
        <v>7896</v>
      </c>
      <c r="BF514" t="s">
        <v>213</v>
      </c>
      <c r="BG514">
        <v>97.590400000000002</v>
      </c>
      <c r="BH514">
        <v>92.168700000000001</v>
      </c>
      <c r="BI514">
        <v>93.975899999999996</v>
      </c>
      <c r="BJ514">
        <v>82.530100000000004</v>
      </c>
      <c r="BK514">
        <v>79.518100000000004</v>
      </c>
      <c r="BL514">
        <v>82.530100000000004</v>
      </c>
      <c r="BM514">
        <v>81.325299999999999</v>
      </c>
      <c r="BN514">
        <v>80.120500000000007</v>
      </c>
      <c r="BO514">
        <v>81.927700000000002</v>
      </c>
      <c r="BR514">
        <v>42.771099999999997</v>
      </c>
      <c r="BT514" t="s">
        <v>8337</v>
      </c>
      <c r="BU514">
        <v>37.349400000000003</v>
      </c>
      <c r="BV514">
        <v>36.144599999999997</v>
      </c>
      <c r="CA514">
        <v>39.759</v>
      </c>
      <c r="CF514">
        <v>15.662699999999999</v>
      </c>
      <c r="CG514">
        <v>24.698799999999999</v>
      </c>
      <c r="CH514">
        <v>25.301200000000001</v>
      </c>
      <c r="CI514">
        <v>24.096399999999999</v>
      </c>
      <c r="CK514">
        <v>8</v>
      </c>
      <c r="CL514" t="s">
        <v>4</v>
      </c>
      <c r="CM514" t="s">
        <v>8338</v>
      </c>
      <c r="CN514" t="s">
        <v>1495</v>
      </c>
      <c r="CO514" t="s">
        <v>219</v>
      </c>
      <c r="CP514" t="s">
        <v>100</v>
      </c>
      <c r="CQ514" s="7">
        <v>515</v>
      </c>
      <c r="CR514" t="s">
        <v>100</v>
      </c>
      <c r="CS514" s="7" t="s">
        <v>101</v>
      </c>
      <c r="CT514" t="s">
        <v>152</v>
      </c>
      <c r="CU514" t="s">
        <v>102</v>
      </c>
      <c r="CV514" t="s">
        <v>100</v>
      </c>
    </row>
    <row r="515" spans="1:100">
      <c r="A515" s="9" t="s">
        <v>8339</v>
      </c>
      <c r="B515" s="4" t="s">
        <v>8340</v>
      </c>
      <c r="C515">
        <v>23.782460523921401</v>
      </c>
      <c r="D515">
        <v>77.575522402346493</v>
      </c>
      <c r="E515">
        <f>-1.69915131972579</f>
        <v>-1.6991513197257899</v>
      </c>
      <c r="F515">
        <v>2.0550838430677702E-3</v>
      </c>
      <c r="G515" t="s">
        <v>4</v>
      </c>
      <c r="H515">
        <v>23.782460523921401</v>
      </c>
      <c r="I515">
        <v>15.3988346162956</v>
      </c>
      <c r="J515">
        <v>0.60376635726445405</v>
      </c>
      <c r="K515">
        <v>0.33997161244818702</v>
      </c>
      <c r="L515" t="s">
        <v>4</v>
      </c>
      <c r="M515">
        <v>77.575522402346493</v>
      </c>
      <c r="N515">
        <v>15.3988346162956</v>
      </c>
      <c r="O515">
        <v>2.3029176769902402</v>
      </c>
      <c r="P515" s="5">
        <v>4.3485558456099399E-5</v>
      </c>
      <c r="Q515" t="s">
        <v>4</v>
      </c>
      <c r="R515" s="4" t="s">
        <v>87</v>
      </c>
      <c r="S515" t="s">
        <v>4</v>
      </c>
      <c r="T515" t="s">
        <v>867</v>
      </c>
      <c r="U515" t="s">
        <v>868</v>
      </c>
      <c r="V515" t="s">
        <v>869</v>
      </c>
      <c r="W515" t="s">
        <v>91</v>
      </c>
      <c r="X515" t="s">
        <v>4</v>
      </c>
      <c r="Y515" t="s">
        <v>8341</v>
      </c>
      <c r="Z515" t="s">
        <v>8342</v>
      </c>
      <c r="AA515" s="10" t="s">
        <v>8343</v>
      </c>
      <c r="AB515" t="s">
        <v>4</v>
      </c>
      <c r="AC515" s="3" t="s">
        <v>93</v>
      </c>
      <c r="AD515" t="s">
        <v>4</v>
      </c>
      <c r="AE515" t="s">
        <v>8344</v>
      </c>
      <c r="AF515" t="s">
        <v>8345</v>
      </c>
      <c r="AG515" t="s">
        <v>8346</v>
      </c>
      <c r="AH515" t="s">
        <v>638</v>
      </c>
      <c r="AU515" t="s">
        <v>112</v>
      </c>
      <c r="AV515" t="s">
        <v>8347</v>
      </c>
      <c r="AW515" t="s">
        <v>114</v>
      </c>
      <c r="AX515" t="s">
        <v>144</v>
      </c>
      <c r="AY515" t="s">
        <v>8348</v>
      </c>
      <c r="AZ515" t="s">
        <v>4</v>
      </c>
      <c r="BA515" s="3" t="s">
        <v>95</v>
      </c>
      <c r="BB515" t="s">
        <v>96</v>
      </c>
      <c r="BC515" s="3" t="s">
        <v>95</v>
      </c>
      <c r="BD515" t="s">
        <v>4</v>
      </c>
      <c r="BE515">
        <v>5270</v>
      </c>
      <c r="BF515" t="s">
        <v>282</v>
      </c>
      <c r="BG515">
        <v>26.315799999999999</v>
      </c>
      <c r="BI515" t="s">
        <v>8349</v>
      </c>
      <c r="CB515">
        <v>7.7894699999999997</v>
      </c>
      <c r="CD515">
        <v>9.6842100000000002</v>
      </c>
      <c r="CK515">
        <v>6</v>
      </c>
      <c r="CL515" t="s">
        <v>4</v>
      </c>
      <c r="CM515" t="s">
        <v>98</v>
      </c>
      <c r="CN515" t="s">
        <v>98</v>
      </c>
      <c r="CO515" t="s">
        <v>99</v>
      </c>
      <c r="CP515" t="s">
        <v>100</v>
      </c>
      <c r="CQ515" s="7">
        <v>516</v>
      </c>
      <c r="CR515" t="s">
        <v>100</v>
      </c>
      <c r="CS515" t="s">
        <v>100</v>
      </c>
      <c r="CT515" t="s">
        <v>152</v>
      </c>
      <c r="CU515" t="s">
        <v>102</v>
      </c>
      <c r="CV515" t="s">
        <v>100</v>
      </c>
    </row>
    <row r="516" spans="1:100">
      <c r="A516" s="3" t="s">
        <v>8350</v>
      </c>
      <c r="B516" s="4" t="s">
        <v>8351</v>
      </c>
      <c r="C516">
        <v>271.66545468990398</v>
      </c>
      <c r="D516">
        <v>971.17439543805597</v>
      </c>
      <c r="E516">
        <f>-1.83654950448295</f>
        <v>-1.8365495044829501</v>
      </c>
      <c r="F516" s="5">
        <v>2.41902860137653E-8</v>
      </c>
      <c r="G516" t="s">
        <v>4</v>
      </c>
      <c r="H516">
        <v>271.66545468990398</v>
      </c>
      <c r="I516">
        <v>197.984984526034</v>
      </c>
      <c r="J516">
        <v>0.46076693666066199</v>
      </c>
      <c r="K516">
        <v>0.19929872724765099</v>
      </c>
      <c r="L516" t="s">
        <v>4</v>
      </c>
      <c r="M516">
        <v>971.17439543805597</v>
      </c>
      <c r="N516">
        <v>197.984984526034</v>
      </c>
      <c r="O516">
        <v>2.2973164411436202</v>
      </c>
      <c r="P516" s="5">
        <v>1.10476527572077E-12</v>
      </c>
      <c r="Q516" t="s">
        <v>4</v>
      </c>
      <c r="R516" s="4" t="s">
        <v>87</v>
      </c>
      <c r="S516" t="s">
        <v>4</v>
      </c>
      <c r="T516" t="s">
        <v>8352</v>
      </c>
      <c r="U516" t="s">
        <v>8353</v>
      </c>
      <c r="V516" t="s">
        <v>8354</v>
      </c>
      <c r="W516" t="s">
        <v>328</v>
      </c>
      <c r="X516" t="s">
        <v>4</v>
      </c>
      <c r="Y516" t="s">
        <v>8355</v>
      </c>
      <c r="Z516" t="s">
        <v>8356</v>
      </c>
      <c r="AA516" t="s">
        <v>8357</v>
      </c>
      <c r="AB516" t="s">
        <v>4</v>
      </c>
      <c r="AC516" s="3" t="s">
        <v>8358</v>
      </c>
      <c r="AD516" t="s">
        <v>4</v>
      </c>
      <c r="AE516" t="s">
        <v>8359</v>
      </c>
      <c r="AF516" t="s">
        <v>8360</v>
      </c>
      <c r="AG516" t="s">
        <v>8361</v>
      </c>
      <c r="AH516" t="s">
        <v>112</v>
      </c>
      <c r="AK516" t="s">
        <v>5784</v>
      </c>
      <c r="AL516" t="s">
        <v>8362</v>
      </c>
      <c r="AM516" t="s">
        <v>8363</v>
      </c>
      <c r="AN516" t="s">
        <v>5787</v>
      </c>
      <c r="AO516" t="s">
        <v>8364</v>
      </c>
      <c r="AP516" t="s">
        <v>5789</v>
      </c>
      <c r="AQ516" t="s">
        <v>5790</v>
      </c>
      <c r="AU516" t="s">
        <v>112</v>
      </c>
      <c r="AV516" t="s">
        <v>8365</v>
      </c>
      <c r="AW516" t="s">
        <v>114</v>
      </c>
      <c r="AX516" t="s">
        <v>1096</v>
      </c>
      <c r="AY516" t="s">
        <v>8166</v>
      </c>
      <c r="AZ516" t="s">
        <v>4</v>
      </c>
      <c r="BA516" s="3" t="s">
        <v>95</v>
      </c>
      <c r="BB516" t="s">
        <v>96</v>
      </c>
      <c r="BC516" s="3" t="s">
        <v>95</v>
      </c>
      <c r="BD516" t="s">
        <v>4</v>
      </c>
      <c r="BE516">
        <v>9272</v>
      </c>
      <c r="BF516" t="s">
        <v>169</v>
      </c>
      <c r="BG516">
        <v>91.353399999999993</v>
      </c>
      <c r="BH516">
        <v>62.405999999999999</v>
      </c>
      <c r="BI516">
        <v>92.481200000000001</v>
      </c>
      <c r="BJ516">
        <v>71.428600000000003</v>
      </c>
      <c r="BK516">
        <v>87.218000000000004</v>
      </c>
      <c r="BL516">
        <v>56.390999999999998</v>
      </c>
      <c r="BM516">
        <v>52.631599999999999</v>
      </c>
      <c r="BN516">
        <v>69.924800000000005</v>
      </c>
      <c r="BO516">
        <v>81.203000000000003</v>
      </c>
      <c r="BP516">
        <v>39.097700000000003</v>
      </c>
      <c r="BR516">
        <v>41.353400000000001</v>
      </c>
      <c r="BS516">
        <v>39.473700000000001</v>
      </c>
      <c r="BX516">
        <v>24.812000000000001</v>
      </c>
      <c r="BZ516">
        <v>46.240600000000001</v>
      </c>
      <c r="CA516">
        <v>39.473700000000001</v>
      </c>
      <c r="CB516">
        <v>33.082700000000003</v>
      </c>
      <c r="CE516" t="s">
        <v>8366</v>
      </c>
      <c r="CF516" t="s">
        <v>8367</v>
      </c>
      <c r="CG516" t="s">
        <v>8368</v>
      </c>
      <c r="CH516" t="s">
        <v>8369</v>
      </c>
      <c r="CI516">
        <v>27.4436</v>
      </c>
      <c r="CJ516">
        <v>19.924800000000001</v>
      </c>
      <c r="CK516">
        <v>9</v>
      </c>
      <c r="CL516" t="s">
        <v>4</v>
      </c>
      <c r="CM516" t="s">
        <v>8370</v>
      </c>
      <c r="CN516" t="s">
        <v>4601</v>
      </c>
      <c r="CO516" t="s">
        <v>219</v>
      </c>
      <c r="CP516" t="s">
        <v>100</v>
      </c>
      <c r="CQ516" s="7">
        <v>517</v>
      </c>
      <c r="CR516" t="s">
        <v>100</v>
      </c>
      <c r="CS516" t="s">
        <v>100</v>
      </c>
      <c r="CT516" t="s">
        <v>152</v>
      </c>
      <c r="CU516" t="s">
        <v>102</v>
      </c>
      <c r="CV516" t="s">
        <v>100</v>
      </c>
    </row>
    <row r="517" spans="1:100">
      <c r="A517" s="3" t="s">
        <v>8371</v>
      </c>
      <c r="B517" s="4" t="s">
        <v>8372</v>
      </c>
      <c r="C517">
        <v>2670.2183837565699</v>
      </c>
      <c r="D517">
        <v>5719.3914640660996</v>
      </c>
      <c r="E517">
        <f>-1.0989124235229</f>
        <v>-1.0989124235229</v>
      </c>
      <c r="F517" s="5">
        <v>4.1636694182688699E-13</v>
      </c>
      <c r="G517" t="s">
        <v>4</v>
      </c>
      <c r="H517">
        <v>2670.2183837565699</v>
      </c>
      <c r="I517">
        <v>1163.24860593535</v>
      </c>
      <c r="J517">
        <v>1.1961596515578601</v>
      </c>
      <c r="K517" s="5">
        <v>2.5893222326549201E-15</v>
      </c>
      <c r="L517" t="s">
        <v>4</v>
      </c>
      <c r="M517">
        <v>5719.3914640660996</v>
      </c>
      <c r="N517">
        <v>1163.24860593535</v>
      </c>
      <c r="O517">
        <v>2.2950720750807601</v>
      </c>
      <c r="P517" s="5">
        <v>3.4921750092596997E-54</v>
      </c>
      <c r="Q517" t="s">
        <v>4</v>
      </c>
      <c r="R517" s="4" t="s">
        <v>87</v>
      </c>
      <c r="S517" t="s">
        <v>4</v>
      </c>
      <c r="T517" t="s">
        <v>2243</v>
      </c>
      <c r="U517" t="s">
        <v>2244</v>
      </c>
      <c r="V517" t="s">
        <v>2245</v>
      </c>
      <c r="W517" t="s">
        <v>123</v>
      </c>
      <c r="X517" t="s">
        <v>4</v>
      </c>
      <c r="Y517" t="s">
        <v>8373</v>
      </c>
      <c r="Z517" t="s">
        <v>8374</v>
      </c>
      <c r="AA517" t="s">
        <v>8375</v>
      </c>
      <c r="AB517" t="s">
        <v>4</v>
      </c>
      <c r="AC517" s="3" t="s">
        <v>8376</v>
      </c>
      <c r="AD517" t="s">
        <v>4</v>
      </c>
      <c r="AE517" t="s">
        <v>8377</v>
      </c>
      <c r="AF517" t="s">
        <v>8378</v>
      </c>
      <c r="AG517" t="s">
        <v>8379</v>
      </c>
      <c r="AH517" t="s">
        <v>112</v>
      </c>
      <c r="AL517" t="s">
        <v>8380</v>
      </c>
      <c r="AQ517" t="s">
        <v>1028</v>
      </c>
      <c r="AU517" t="s">
        <v>112</v>
      </c>
      <c r="AV517" t="s">
        <v>8381</v>
      </c>
      <c r="AW517" t="s">
        <v>114</v>
      </c>
      <c r="AX517" t="s">
        <v>144</v>
      </c>
      <c r="AY517" t="s">
        <v>8382</v>
      </c>
      <c r="AZ517" t="s">
        <v>4</v>
      </c>
      <c r="BA517" s="3" t="s">
        <v>95</v>
      </c>
      <c r="BB517" s="6" t="s">
        <v>95</v>
      </c>
      <c r="BC517" s="3" t="s">
        <v>95</v>
      </c>
      <c r="BD517" t="s">
        <v>4</v>
      </c>
      <c r="BE517">
        <v>5958</v>
      </c>
      <c r="BF517" t="s">
        <v>213</v>
      </c>
      <c r="BG517">
        <v>99.315100000000001</v>
      </c>
      <c r="BH517">
        <v>99.771699999999996</v>
      </c>
      <c r="BI517">
        <v>96.346999999999994</v>
      </c>
      <c r="BJ517">
        <v>92.465800000000002</v>
      </c>
      <c r="BK517">
        <v>84.474900000000005</v>
      </c>
      <c r="BL517" t="s">
        <v>8383</v>
      </c>
      <c r="BM517">
        <v>87.671199999999999</v>
      </c>
      <c r="BN517">
        <v>87.671199999999999</v>
      </c>
      <c r="BO517">
        <v>89.0411</v>
      </c>
      <c r="BP517">
        <v>78.995400000000004</v>
      </c>
      <c r="BQ517">
        <v>60.730600000000003</v>
      </c>
      <c r="BR517">
        <v>57.305900000000001</v>
      </c>
      <c r="BS517">
        <v>51.826500000000003</v>
      </c>
      <c r="BT517" t="s">
        <v>8384</v>
      </c>
      <c r="BU517">
        <v>35.159799999999997</v>
      </c>
      <c r="BV517" t="s">
        <v>8385</v>
      </c>
      <c r="BW517">
        <v>67.1233</v>
      </c>
      <c r="BX517">
        <v>68.036500000000004</v>
      </c>
      <c r="BZ517" t="s">
        <v>8386</v>
      </c>
      <c r="CA517">
        <v>62.328800000000001</v>
      </c>
      <c r="CB517">
        <v>38.812800000000003</v>
      </c>
      <c r="CE517">
        <v>23.9726</v>
      </c>
      <c r="CF517">
        <v>50.228299999999997</v>
      </c>
      <c r="CG517">
        <v>55.022799999999997</v>
      </c>
      <c r="CH517">
        <v>55.479500000000002</v>
      </c>
      <c r="CI517">
        <v>55.022799999999997</v>
      </c>
      <c r="CK517">
        <v>8</v>
      </c>
      <c r="CL517" t="s">
        <v>4</v>
      </c>
      <c r="CM517" t="s">
        <v>8387</v>
      </c>
      <c r="CN517" t="s">
        <v>8388</v>
      </c>
      <c r="CO517" t="s">
        <v>1218</v>
      </c>
      <c r="CP517" t="s">
        <v>100</v>
      </c>
      <c r="CQ517" s="7">
        <v>518</v>
      </c>
      <c r="CR517" t="s">
        <v>100</v>
      </c>
      <c r="CS517" s="7" t="s">
        <v>101</v>
      </c>
      <c r="CT517" t="s">
        <v>152</v>
      </c>
      <c r="CU517" t="s">
        <v>102</v>
      </c>
      <c r="CV517" t="s">
        <v>100</v>
      </c>
    </row>
    <row r="518" spans="1:100">
      <c r="A518" s="3" t="s">
        <v>8389</v>
      </c>
      <c r="B518" s="4" t="s">
        <v>8390</v>
      </c>
      <c r="C518">
        <v>1859.4934942231901</v>
      </c>
      <c r="D518">
        <v>7344.6849460754702</v>
      </c>
      <c r="E518">
        <f>-1.98177201829047</f>
        <v>-1.9817720182904699</v>
      </c>
      <c r="F518" s="5">
        <v>7.20490800813179E-12</v>
      </c>
      <c r="G518" t="s">
        <v>4</v>
      </c>
      <c r="H518">
        <v>1859.4934942231901</v>
      </c>
      <c r="I518">
        <v>1517.2363254341101</v>
      </c>
      <c r="J518">
        <v>0.29497293431624799</v>
      </c>
      <c r="K518">
        <v>0.35392009078293302</v>
      </c>
      <c r="L518" t="s">
        <v>4</v>
      </c>
      <c r="M518">
        <v>7344.6849460754702</v>
      </c>
      <c r="N518">
        <v>1517.2363254341101</v>
      </c>
      <c r="O518">
        <v>2.2767449526067098</v>
      </c>
      <c r="P518" s="5">
        <v>6.3489940540419796E-16</v>
      </c>
      <c r="Q518" t="s">
        <v>4</v>
      </c>
      <c r="R518" s="4" t="s">
        <v>87</v>
      </c>
      <c r="S518" t="s">
        <v>4</v>
      </c>
      <c r="T518" t="s">
        <v>8391</v>
      </c>
      <c r="U518" t="s">
        <v>8392</v>
      </c>
      <c r="V518" t="s">
        <v>8393</v>
      </c>
      <c r="W518" t="s">
        <v>328</v>
      </c>
      <c r="X518" t="s">
        <v>4</v>
      </c>
      <c r="Y518" t="s">
        <v>8394</v>
      </c>
      <c r="Z518" t="s">
        <v>8395</v>
      </c>
      <c r="AA518" t="s">
        <v>8396</v>
      </c>
      <c r="AB518" t="s">
        <v>4</v>
      </c>
      <c r="AC518" s="3" t="s">
        <v>8397</v>
      </c>
      <c r="AD518" t="s">
        <v>4</v>
      </c>
      <c r="AE518" t="s">
        <v>8398</v>
      </c>
      <c r="AF518" t="s">
        <v>834</v>
      </c>
      <c r="AG518" t="s">
        <v>8399</v>
      </c>
      <c r="AH518" t="s">
        <v>112</v>
      </c>
      <c r="AJ518" t="s">
        <v>8400</v>
      </c>
      <c r="AK518" t="s">
        <v>163</v>
      </c>
      <c r="AL518" t="s">
        <v>8401</v>
      </c>
      <c r="AQ518" t="s">
        <v>8402</v>
      </c>
      <c r="AU518" t="s">
        <v>112</v>
      </c>
      <c r="AV518" t="s">
        <v>8403</v>
      </c>
      <c r="AW518" t="s">
        <v>114</v>
      </c>
      <c r="AX518" t="s">
        <v>2594</v>
      </c>
      <c r="AY518" t="s">
        <v>8404</v>
      </c>
      <c r="AZ518" t="s">
        <v>4</v>
      </c>
      <c r="BA518" s="3" t="s">
        <v>115</v>
      </c>
      <c r="BB518" s="6" t="s">
        <v>95</v>
      </c>
      <c r="BC518" s="3" t="s">
        <v>95</v>
      </c>
      <c r="BD518" t="s">
        <v>4</v>
      </c>
      <c r="BE518">
        <v>7622</v>
      </c>
      <c r="BF518" t="s">
        <v>213</v>
      </c>
      <c r="BG518">
        <v>97.203699999999998</v>
      </c>
      <c r="BH518">
        <v>79.760300000000001</v>
      </c>
      <c r="BI518">
        <v>96.005300000000005</v>
      </c>
      <c r="BJ518">
        <v>79.627200000000002</v>
      </c>
      <c r="BK518">
        <v>83.888099999999994</v>
      </c>
      <c r="BL518">
        <v>49.933399999999999</v>
      </c>
      <c r="BM518">
        <v>88.681799999999996</v>
      </c>
      <c r="BN518">
        <v>88.681799999999996</v>
      </c>
      <c r="BO518">
        <v>86.284999999999997</v>
      </c>
      <c r="BP518">
        <v>65.113200000000006</v>
      </c>
      <c r="BQ518">
        <v>39.9467</v>
      </c>
      <c r="BT518" t="s">
        <v>8405</v>
      </c>
      <c r="BU518">
        <v>19.4407</v>
      </c>
      <c r="BV518" t="s">
        <v>8406</v>
      </c>
      <c r="BW518">
        <v>42.077199999999998</v>
      </c>
      <c r="BX518">
        <v>45.938699999999997</v>
      </c>
      <c r="BY518">
        <v>27.163799999999998</v>
      </c>
      <c r="BZ518">
        <v>38.082599999999999</v>
      </c>
      <c r="CA518">
        <v>43.275599999999997</v>
      </c>
      <c r="CB518">
        <v>8.7882800000000003</v>
      </c>
      <c r="CC518">
        <v>16.3782</v>
      </c>
      <c r="CD518" t="s">
        <v>8407</v>
      </c>
      <c r="CG518" t="s">
        <v>8408</v>
      </c>
      <c r="CH518" t="s">
        <v>8409</v>
      </c>
      <c r="CI518" t="s">
        <v>8410</v>
      </c>
      <c r="CJ518" t="s">
        <v>8411</v>
      </c>
      <c r="CK518">
        <v>8</v>
      </c>
      <c r="CL518" t="s">
        <v>4</v>
      </c>
      <c r="CM518" t="s">
        <v>8412</v>
      </c>
      <c r="CN518" t="s">
        <v>8413</v>
      </c>
      <c r="CO518" t="s">
        <v>219</v>
      </c>
      <c r="CP518" t="s">
        <v>100</v>
      </c>
      <c r="CQ518" s="7">
        <v>519</v>
      </c>
      <c r="CR518" t="s">
        <v>100</v>
      </c>
      <c r="CS518" t="s">
        <v>100</v>
      </c>
      <c r="CT518" t="s">
        <v>152</v>
      </c>
      <c r="CU518" t="s">
        <v>102</v>
      </c>
      <c r="CV518" t="s">
        <v>100</v>
      </c>
    </row>
    <row r="519" spans="1:100">
      <c r="A519" s="3" t="s">
        <v>8414</v>
      </c>
      <c r="B519" s="4" t="s">
        <v>8415</v>
      </c>
      <c r="C519">
        <v>156.15926834128501</v>
      </c>
      <c r="D519">
        <v>556.21391524510295</v>
      </c>
      <c r="E519">
        <f>-1.83186610181001</f>
        <v>-1.83186610181001</v>
      </c>
      <c r="F519" s="5">
        <v>2.2155101720468399E-6</v>
      </c>
      <c r="G519" t="s">
        <v>4</v>
      </c>
      <c r="H519">
        <v>156.15926834128501</v>
      </c>
      <c r="I519">
        <v>116.347947616377</v>
      </c>
      <c r="J519">
        <v>0.44127628860298301</v>
      </c>
      <c r="K519">
        <v>0.29841274866623202</v>
      </c>
      <c r="L519" t="s">
        <v>4</v>
      </c>
      <c r="M519">
        <v>556.21391524510295</v>
      </c>
      <c r="N519">
        <v>116.347947616377</v>
      </c>
      <c r="O519">
        <v>2.2731423904129899</v>
      </c>
      <c r="P519" s="5">
        <v>1.9893879016206098E-9</v>
      </c>
      <c r="Q519" t="s">
        <v>4</v>
      </c>
      <c r="R519" s="4" t="s">
        <v>87</v>
      </c>
      <c r="S519" t="s">
        <v>4</v>
      </c>
      <c r="T519" t="s">
        <v>88</v>
      </c>
      <c r="U519" t="s">
        <v>89</v>
      </c>
      <c r="V519" t="s">
        <v>90</v>
      </c>
      <c r="W519" t="s">
        <v>91</v>
      </c>
      <c r="X519" t="s">
        <v>4</v>
      </c>
      <c r="Y519" t="s">
        <v>8416</v>
      </c>
      <c r="Z519" t="s">
        <v>8417</v>
      </c>
      <c r="AA519" t="s">
        <v>8418</v>
      </c>
      <c r="AB519" t="s">
        <v>4</v>
      </c>
      <c r="AC519" s="3" t="s">
        <v>8419</v>
      </c>
      <c r="AD519" t="s">
        <v>4</v>
      </c>
      <c r="AE519" t="s">
        <v>8420</v>
      </c>
      <c r="AF519" t="s">
        <v>8421</v>
      </c>
      <c r="AG519" t="s">
        <v>8422</v>
      </c>
      <c r="AH519" t="s">
        <v>112</v>
      </c>
      <c r="AU519" t="s">
        <v>112</v>
      </c>
      <c r="AV519" t="s">
        <v>8423</v>
      </c>
      <c r="AW519" t="s">
        <v>114</v>
      </c>
      <c r="AX519" t="s">
        <v>1907</v>
      </c>
      <c r="AY519" t="s">
        <v>8424</v>
      </c>
      <c r="AZ519" t="s">
        <v>4</v>
      </c>
      <c r="BA519" s="3" t="s">
        <v>95</v>
      </c>
      <c r="BB519" t="s">
        <v>96</v>
      </c>
      <c r="BC519" s="3" t="s">
        <v>95</v>
      </c>
      <c r="BD519" t="s">
        <v>4</v>
      </c>
      <c r="BE519">
        <v>6391</v>
      </c>
      <c r="BF519" t="s">
        <v>213</v>
      </c>
      <c r="BI519">
        <v>71.713200000000001</v>
      </c>
      <c r="BN519">
        <v>76.892399999999995</v>
      </c>
      <c r="BP519">
        <v>32.470100000000002</v>
      </c>
      <c r="BQ519">
        <v>27.290800000000001</v>
      </c>
      <c r="BS519">
        <v>25.498000000000001</v>
      </c>
      <c r="BX519">
        <v>26.693200000000001</v>
      </c>
      <c r="CA519">
        <v>30.478100000000001</v>
      </c>
      <c r="CG519" t="s">
        <v>8425</v>
      </c>
      <c r="CH519" t="s">
        <v>8426</v>
      </c>
      <c r="CI519" t="s">
        <v>8427</v>
      </c>
      <c r="CK519">
        <v>8</v>
      </c>
      <c r="CL519" t="s">
        <v>4</v>
      </c>
      <c r="CM519" t="s">
        <v>8428</v>
      </c>
      <c r="CN519" t="s">
        <v>8429</v>
      </c>
      <c r="CO519" t="s">
        <v>99</v>
      </c>
      <c r="CP519" t="s">
        <v>100</v>
      </c>
      <c r="CQ519" s="7">
        <v>520</v>
      </c>
      <c r="CR519" t="s">
        <v>100</v>
      </c>
      <c r="CS519" t="s">
        <v>100</v>
      </c>
      <c r="CT519" t="s">
        <v>152</v>
      </c>
      <c r="CU519" t="s">
        <v>102</v>
      </c>
      <c r="CV519" t="s">
        <v>100</v>
      </c>
    </row>
    <row r="520" spans="1:100">
      <c r="A520" s="3" t="s">
        <v>8430</v>
      </c>
      <c r="B520" s="4" t="s">
        <v>8431</v>
      </c>
      <c r="C520">
        <v>1277.5246289434899</v>
      </c>
      <c r="D520">
        <v>3182.4761384579901</v>
      </c>
      <c r="E520">
        <f>-1.31692928607244</f>
        <v>-1.31692928607244</v>
      </c>
      <c r="F520" s="5">
        <v>2.7800406487007399E-6</v>
      </c>
      <c r="G520" t="s">
        <v>4</v>
      </c>
      <c r="H520">
        <v>1277.5246289434899</v>
      </c>
      <c r="I520">
        <v>657.96879848162098</v>
      </c>
      <c r="J520">
        <v>0.95513438316221999</v>
      </c>
      <c r="K520">
        <v>7.4171109569575605E-4</v>
      </c>
      <c r="L520" t="s">
        <v>4</v>
      </c>
      <c r="M520">
        <v>3182.4761384579901</v>
      </c>
      <c r="N520">
        <v>657.96879848162098</v>
      </c>
      <c r="O520">
        <v>2.2720636692346599</v>
      </c>
      <c r="P520" s="5">
        <v>2.7474691549466199E-17</v>
      </c>
      <c r="Q520" t="s">
        <v>4</v>
      </c>
      <c r="R520" s="4" t="s">
        <v>87</v>
      </c>
      <c r="S520" t="s">
        <v>4</v>
      </c>
      <c r="T520" t="s">
        <v>8432</v>
      </c>
      <c r="U520" t="s">
        <v>8433</v>
      </c>
      <c r="V520" t="s">
        <v>8434</v>
      </c>
      <c r="W520" t="s">
        <v>328</v>
      </c>
      <c r="X520" t="s">
        <v>4</v>
      </c>
      <c r="Y520" t="s">
        <v>8435</v>
      </c>
      <c r="Z520" t="s">
        <v>8436</v>
      </c>
      <c r="AA520" t="s">
        <v>8437</v>
      </c>
      <c r="AB520" t="s">
        <v>4</v>
      </c>
      <c r="AC520" s="3" t="s">
        <v>8438</v>
      </c>
      <c r="AD520" t="s">
        <v>4</v>
      </c>
      <c r="AE520" t="s">
        <v>8439</v>
      </c>
      <c r="AF520" t="s">
        <v>834</v>
      </c>
      <c r="AG520" t="s">
        <v>8440</v>
      </c>
      <c r="AH520" t="s">
        <v>112</v>
      </c>
      <c r="AL520" t="s">
        <v>8441</v>
      </c>
      <c r="AQ520" t="s">
        <v>861</v>
      </c>
      <c r="AU520" t="s">
        <v>112</v>
      </c>
      <c r="AV520" t="s">
        <v>8442</v>
      </c>
      <c r="AW520" t="s">
        <v>114</v>
      </c>
      <c r="AX520" t="s">
        <v>5911</v>
      </c>
      <c r="AY520" t="s">
        <v>8443</v>
      </c>
      <c r="AZ520" t="s">
        <v>4</v>
      </c>
      <c r="BA520" s="3" t="s">
        <v>95</v>
      </c>
      <c r="BB520" s="6" t="s">
        <v>95</v>
      </c>
      <c r="BC520" s="3" t="s">
        <v>95</v>
      </c>
      <c r="BD520" t="s">
        <v>4</v>
      </c>
      <c r="BE520">
        <v>9379</v>
      </c>
      <c r="BF520" t="s">
        <v>169</v>
      </c>
      <c r="BG520">
        <v>96.809700000000007</v>
      </c>
      <c r="BH520">
        <v>53.3553</v>
      </c>
      <c r="BI520">
        <v>76.787700000000001</v>
      </c>
      <c r="BJ520">
        <v>89.989000000000004</v>
      </c>
      <c r="BK520">
        <v>88.338800000000006</v>
      </c>
      <c r="BL520">
        <v>74.807500000000005</v>
      </c>
      <c r="BM520">
        <v>88.008799999999994</v>
      </c>
      <c r="BN520">
        <v>88.008799999999994</v>
      </c>
      <c r="BO520">
        <v>82.508200000000002</v>
      </c>
      <c r="BP520">
        <v>46.424599999999998</v>
      </c>
      <c r="BQ520">
        <v>22.9923</v>
      </c>
      <c r="BR520">
        <v>23.6524</v>
      </c>
      <c r="BS520">
        <v>14.961499999999999</v>
      </c>
      <c r="BU520">
        <v>21.6722</v>
      </c>
      <c r="BV520" t="s">
        <v>8444</v>
      </c>
      <c r="BW520">
        <v>28.602900000000002</v>
      </c>
      <c r="BX520">
        <v>27.722799999999999</v>
      </c>
      <c r="BZ520">
        <v>12.321199999999999</v>
      </c>
      <c r="CA520">
        <v>28.492799999999999</v>
      </c>
      <c r="CB520">
        <v>3.74037</v>
      </c>
      <c r="CC520">
        <v>17.7118</v>
      </c>
      <c r="CD520">
        <v>7.2607299999999997</v>
      </c>
      <c r="CE520">
        <v>21.562200000000001</v>
      </c>
      <c r="CF520">
        <v>23.212299999999999</v>
      </c>
      <c r="CG520">
        <v>24.862500000000001</v>
      </c>
      <c r="CH520">
        <v>25.192499999999999</v>
      </c>
      <c r="CI520">
        <v>24.3124</v>
      </c>
      <c r="CJ520" t="s">
        <v>8445</v>
      </c>
      <c r="CK520">
        <v>9</v>
      </c>
      <c r="CL520" t="s">
        <v>4</v>
      </c>
      <c r="CM520" t="s">
        <v>8446</v>
      </c>
      <c r="CN520" t="s">
        <v>8447</v>
      </c>
      <c r="CO520" t="s">
        <v>99</v>
      </c>
      <c r="CP520" t="s">
        <v>100</v>
      </c>
      <c r="CQ520" s="7">
        <v>521</v>
      </c>
      <c r="CR520" t="s">
        <v>100</v>
      </c>
      <c r="CS520" t="s">
        <v>100</v>
      </c>
      <c r="CT520" t="s">
        <v>152</v>
      </c>
      <c r="CU520" t="s">
        <v>102</v>
      </c>
      <c r="CV520" t="s">
        <v>100</v>
      </c>
    </row>
    <row r="521" spans="1:100">
      <c r="A521" s="3" t="s">
        <v>8448</v>
      </c>
      <c r="B521" s="4" t="s">
        <v>8449</v>
      </c>
      <c r="C521">
        <v>1598.8336384028601</v>
      </c>
      <c r="D521">
        <v>4635.26159610166</v>
      </c>
      <c r="E521">
        <f>-1.53564236552274</f>
        <v>-1.53564236552274</v>
      </c>
      <c r="F521" s="5">
        <v>2.23161024203895E-7</v>
      </c>
      <c r="G521" t="s">
        <v>4</v>
      </c>
      <c r="H521">
        <v>1598.8336384028601</v>
      </c>
      <c r="I521">
        <v>966.24351068767805</v>
      </c>
      <c r="J521">
        <v>0.72547522568050304</v>
      </c>
      <c r="K521">
        <v>1.7571276874566801E-2</v>
      </c>
      <c r="L521" t="s">
        <v>4</v>
      </c>
      <c r="M521">
        <v>4635.26159610166</v>
      </c>
      <c r="N521">
        <v>966.24351068767805</v>
      </c>
      <c r="O521">
        <v>2.2611175912032402</v>
      </c>
      <c r="P521" s="5">
        <v>2.13820548626096E-15</v>
      </c>
      <c r="Q521" t="s">
        <v>4</v>
      </c>
      <c r="R521" s="4" t="s">
        <v>87</v>
      </c>
      <c r="S521" t="s">
        <v>4</v>
      </c>
      <c r="T521" t="s">
        <v>92</v>
      </c>
      <c r="U521" t="s">
        <v>92</v>
      </c>
      <c r="V521" t="s">
        <v>92</v>
      </c>
      <c r="W521" t="s">
        <v>92</v>
      </c>
      <c r="X521" t="s">
        <v>4</v>
      </c>
      <c r="Y521" t="s">
        <v>92</v>
      </c>
      <c r="Z521" t="s">
        <v>92</v>
      </c>
      <c r="AA521" t="s">
        <v>92</v>
      </c>
      <c r="AB521" t="s">
        <v>4</v>
      </c>
      <c r="AC521" s="3" t="s">
        <v>93</v>
      </c>
      <c r="AD521" t="s">
        <v>4</v>
      </c>
      <c r="AE521" s="4" t="s">
        <v>94</v>
      </c>
      <c r="AZ521" t="s">
        <v>4</v>
      </c>
      <c r="BA521" s="3" t="s">
        <v>95</v>
      </c>
      <c r="BB521" s="6" t="s">
        <v>95</v>
      </c>
      <c r="BC521" s="3" t="s">
        <v>95</v>
      </c>
      <c r="BD521" t="s">
        <v>4</v>
      </c>
      <c r="BE521">
        <v>2654</v>
      </c>
      <c r="BF521" t="s">
        <v>97</v>
      </c>
      <c r="BG521">
        <v>98.148099999999999</v>
      </c>
      <c r="BH521" t="s">
        <v>8450</v>
      </c>
      <c r="BI521">
        <v>92.129599999999996</v>
      </c>
      <c r="BJ521">
        <v>70.370400000000004</v>
      </c>
      <c r="BK521">
        <v>63.8889</v>
      </c>
      <c r="BL521">
        <v>72.222200000000001</v>
      </c>
      <c r="BM521">
        <v>71.759299999999996</v>
      </c>
      <c r="BN521">
        <v>71.759299999999996</v>
      </c>
      <c r="BO521">
        <v>71.296300000000002</v>
      </c>
      <c r="BP521">
        <v>18.5185</v>
      </c>
      <c r="CK521">
        <v>4</v>
      </c>
      <c r="CL521" t="s">
        <v>4</v>
      </c>
      <c r="CM521" t="s">
        <v>98</v>
      </c>
      <c r="CN521" t="s">
        <v>98</v>
      </c>
      <c r="CO521" t="s">
        <v>99</v>
      </c>
      <c r="CP521" t="s">
        <v>100</v>
      </c>
      <c r="CQ521" s="7">
        <v>522</v>
      </c>
      <c r="CR521" t="s">
        <v>100</v>
      </c>
      <c r="CS521" t="s">
        <v>100</v>
      </c>
      <c r="CT521" t="s">
        <v>152</v>
      </c>
      <c r="CU521" t="s">
        <v>102</v>
      </c>
      <c r="CV521" t="s">
        <v>100</v>
      </c>
    </row>
    <row r="522" spans="1:100">
      <c r="A522" s="3" t="s">
        <v>8451</v>
      </c>
      <c r="B522" s="4" t="s">
        <v>8452</v>
      </c>
      <c r="C522">
        <v>292.48516688075898</v>
      </c>
      <c r="D522">
        <v>626.57568782674002</v>
      </c>
      <c r="E522">
        <f>-1.09819009456539</f>
        <v>-1.09819009456539</v>
      </c>
      <c r="F522" s="5">
        <v>2.57633766605152E-5</v>
      </c>
      <c r="G522" t="s">
        <v>4</v>
      </c>
      <c r="H522">
        <v>292.48516688075898</v>
      </c>
      <c r="I522">
        <v>131.41433849922001</v>
      </c>
      <c r="J522">
        <v>1.16132505821704</v>
      </c>
      <c r="K522" s="5">
        <v>1.5949417452406501E-5</v>
      </c>
      <c r="L522" t="s">
        <v>4</v>
      </c>
      <c r="M522">
        <v>626.57568782674002</v>
      </c>
      <c r="N522">
        <v>131.41433849922001</v>
      </c>
      <c r="O522">
        <v>2.2595151527824302</v>
      </c>
      <c r="P522" s="5">
        <v>1.7552888757997201E-18</v>
      </c>
      <c r="Q522" t="s">
        <v>4</v>
      </c>
      <c r="R522" s="4" t="s">
        <v>87</v>
      </c>
      <c r="S522" t="s">
        <v>4</v>
      </c>
      <c r="T522" t="s">
        <v>8453</v>
      </c>
      <c r="U522" t="s">
        <v>8454</v>
      </c>
      <c r="V522" t="s">
        <v>8455</v>
      </c>
      <c r="W522" t="s">
        <v>91</v>
      </c>
      <c r="X522" t="s">
        <v>4</v>
      </c>
      <c r="Y522" t="s">
        <v>8456</v>
      </c>
      <c r="Z522" t="s">
        <v>8457</v>
      </c>
      <c r="AA522" t="s">
        <v>8458</v>
      </c>
      <c r="AB522" t="s">
        <v>4</v>
      </c>
      <c r="AC522" s="3" t="s">
        <v>8459</v>
      </c>
      <c r="AD522" t="s">
        <v>4</v>
      </c>
      <c r="AE522" t="s">
        <v>8460</v>
      </c>
      <c r="AF522" t="s">
        <v>7582</v>
      </c>
      <c r="AG522" t="s">
        <v>8461</v>
      </c>
      <c r="AH522" t="s">
        <v>169</v>
      </c>
      <c r="AU522" t="s">
        <v>112</v>
      </c>
      <c r="AV522" t="s">
        <v>8462</v>
      </c>
      <c r="AW522" t="s">
        <v>114</v>
      </c>
      <c r="AX522" t="s">
        <v>144</v>
      </c>
      <c r="AY522" t="s">
        <v>8463</v>
      </c>
      <c r="AZ522" t="s">
        <v>4</v>
      </c>
      <c r="BA522" s="3" t="s">
        <v>95</v>
      </c>
      <c r="BB522" s="6" t="s">
        <v>95</v>
      </c>
      <c r="BC522" s="3" t="s">
        <v>95</v>
      </c>
      <c r="BD522" t="s">
        <v>4</v>
      </c>
      <c r="BE522">
        <v>8715</v>
      </c>
      <c r="BF522" t="s">
        <v>169</v>
      </c>
      <c r="BG522">
        <v>98.165099999999995</v>
      </c>
      <c r="BH522">
        <v>100</v>
      </c>
      <c r="BI522">
        <v>93.578000000000003</v>
      </c>
      <c r="BJ522">
        <v>77.0642</v>
      </c>
      <c r="BK522">
        <v>72.477099999999993</v>
      </c>
      <c r="BL522">
        <v>73.394499999999994</v>
      </c>
      <c r="BM522">
        <v>70.642200000000003</v>
      </c>
      <c r="BN522">
        <v>70.642200000000003</v>
      </c>
      <c r="BP522">
        <v>47.706400000000002</v>
      </c>
      <c r="CA522">
        <v>28.4404</v>
      </c>
      <c r="CG522">
        <v>27.5229</v>
      </c>
      <c r="CH522">
        <v>29.357800000000001</v>
      </c>
      <c r="CI522">
        <v>25.688099999999999</v>
      </c>
      <c r="CK522">
        <v>9</v>
      </c>
      <c r="CL522" t="s">
        <v>4</v>
      </c>
      <c r="CM522" t="s">
        <v>8464</v>
      </c>
      <c r="CN522" t="s">
        <v>8465</v>
      </c>
      <c r="CO522" t="s">
        <v>219</v>
      </c>
      <c r="CP522" t="s">
        <v>100</v>
      </c>
      <c r="CQ522" s="7">
        <v>523</v>
      </c>
      <c r="CR522" t="s">
        <v>100</v>
      </c>
      <c r="CS522" s="7" t="s">
        <v>101</v>
      </c>
      <c r="CT522" t="s">
        <v>152</v>
      </c>
      <c r="CU522" t="s">
        <v>102</v>
      </c>
      <c r="CV522" t="s">
        <v>100</v>
      </c>
    </row>
    <row r="523" spans="1:100">
      <c r="A523" s="3" t="s">
        <v>8466</v>
      </c>
      <c r="B523" s="4" t="s">
        <v>8467</v>
      </c>
      <c r="C523">
        <v>2410.3806915145301</v>
      </c>
      <c r="D523">
        <v>5413.0612916230803</v>
      </c>
      <c r="E523">
        <f>-1.16741746941918</f>
        <v>-1.1674174694191799</v>
      </c>
      <c r="F523" s="5">
        <v>8.2149210660865903E-8</v>
      </c>
      <c r="G523" t="s">
        <v>4</v>
      </c>
      <c r="H523">
        <v>2410.3806915145301</v>
      </c>
      <c r="I523">
        <v>1134.4541619193601</v>
      </c>
      <c r="J523">
        <v>1.08586775550863</v>
      </c>
      <c r="K523" s="5">
        <v>5.24681257682059E-7</v>
      </c>
      <c r="L523" t="s">
        <v>4</v>
      </c>
      <c r="M523">
        <v>5413.0612916230803</v>
      </c>
      <c r="N523">
        <v>1134.4541619193601</v>
      </c>
      <c r="O523">
        <v>2.2532852249278101</v>
      </c>
      <c r="P523" s="5">
        <v>3.9617832393377502E-27</v>
      </c>
      <c r="Q523" t="s">
        <v>4</v>
      </c>
      <c r="R523" s="4" t="s">
        <v>87</v>
      </c>
      <c r="S523" t="s">
        <v>4</v>
      </c>
      <c r="T523" t="s">
        <v>8468</v>
      </c>
      <c r="U523" t="s">
        <v>8469</v>
      </c>
      <c r="V523" t="s">
        <v>8470</v>
      </c>
      <c r="W523" t="s">
        <v>328</v>
      </c>
      <c r="X523" t="s">
        <v>4</v>
      </c>
      <c r="Y523" t="s">
        <v>8471</v>
      </c>
      <c r="Z523" t="s">
        <v>8472</v>
      </c>
      <c r="AA523" t="s">
        <v>8473</v>
      </c>
      <c r="AB523" t="s">
        <v>4</v>
      </c>
      <c r="AC523" s="3" t="s">
        <v>8474</v>
      </c>
      <c r="AD523" t="s">
        <v>4</v>
      </c>
      <c r="AE523" t="s">
        <v>8475</v>
      </c>
      <c r="AF523" t="s">
        <v>834</v>
      </c>
      <c r="AG523" t="s">
        <v>8476</v>
      </c>
      <c r="AH523" t="s">
        <v>112</v>
      </c>
      <c r="AJ523" t="s">
        <v>8477</v>
      </c>
      <c r="AL523" t="s">
        <v>8478</v>
      </c>
      <c r="AM523" t="s">
        <v>8479</v>
      </c>
      <c r="AQ523" t="s">
        <v>879</v>
      </c>
      <c r="AU523" t="s">
        <v>112</v>
      </c>
      <c r="AV523" t="s">
        <v>8480</v>
      </c>
      <c r="AW523" t="s">
        <v>114</v>
      </c>
      <c r="AX523" t="s">
        <v>132</v>
      </c>
      <c r="AY523" t="s">
        <v>8481</v>
      </c>
      <c r="AZ523" t="s">
        <v>4</v>
      </c>
      <c r="BA523" s="3" t="s">
        <v>115</v>
      </c>
      <c r="BB523" t="s">
        <v>96</v>
      </c>
      <c r="BC523" s="3" t="s">
        <v>197</v>
      </c>
      <c r="BD523" t="s">
        <v>4</v>
      </c>
      <c r="BE523">
        <v>3884</v>
      </c>
      <c r="BF523" t="s">
        <v>112</v>
      </c>
      <c r="BG523">
        <v>87.576800000000006</v>
      </c>
      <c r="BH523" t="s">
        <v>8482</v>
      </c>
      <c r="BI523">
        <v>84.232100000000003</v>
      </c>
      <c r="BJ523">
        <v>83.686000000000007</v>
      </c>
      <c r="BK523">
        <v>76.245699999999999</v>
      </c>
      <c r="BL523" t="s">
        <v>8483</v>
      </c>
      <c r="BM523" t="s">
        <v>8484</v>
      </c>
      <c r="BN523">
        <v>84.436899999999994</v>
      </c>
      <c r="BO523">
        <v>84.914699999999996</v>
      </c>
      <c r="BP523">
        <v>59.931699999999999</v>
      </c>
      <c r="BQ523">
        <v>36.450499999999998</v>
      </c>
      <c r="BR523">
        <v>38.566600000000001</v>
      </c>
      <c r="BS523">
        <v>31.740600000000001</v>
      </c>
      <c r="BT523" t="s">
        <v>8485</v>
      </c>
      <c r="BV523" t="s">
        <v>8486</v>
      </c>
      <c r="BW523">
        <v>35.767899999999997</v>
      </c>
      <c r="BX523">
        <v>43.481200000000001</v>
      </c>
      <c r="BY523">
        <v>9.2832799999999995</v>
      </c>
      <c r="BZ523">
        <v>43.208199999999998</v>
      </c>
      <c r="CA523">
        <v>42.730400000000003</v>
      </c>
      <c r="CB523" t="s">
        <v>8487</v>
      </c>
      <c r="CC523" t="s">
        <v>8488</v>
      </c>
      <c r="CD523" t="s">
        <v>8489</v>
      </c>
      <c r="CE523">
        <v>3.54949</v>
      </c>
      <c r="CF523" t="s">
        <v>8490</v>
      </c>
      <c r="CG523" t="s">
        <v>8491</v>
      </c>
      <c r="CH523" t="s">
        <v>8492</v>
      </c>
      <c r="CI523" t="s">
        <v>8493</v>
      </c>
      <c r="CK523">
        <v>5</v>
      </c>
      <c r="CL523" t="s">
        <v>4</v>
      </c>
      <c r="CM523" t="s">
        <v>8494</v>
      </c>
      <c r="CN523" t="s">
        <v>8495</v>
      </c>
      <c r="CO523" t="s">
        <v>1218</v>
      </c>
      <c r="CP523" t="s">
        <v>100</v>
      </c>
      <c r="CQ523" s="7">
        <v>524</v>
      </c>
      <c r="CR523" t="s">
        <v>100</v>
      </c>
      <c r="CS523" s="7" t="s">
        <v>101</v>
      </c>
      <c r="CT523" t="s">
        <v>152</v>
      </c>
      <c r="CU523" t="s">
        <v>102</v>
      </c>
      <c r="CV523" t="s">
        <v>100</v>
      </c>
    </row>
    <row r="524" spans="1:100">
      <c r="A524" s="3" t="s">
        <v>8496</v>
      </c>
      <c r="B524" s="4" t="s">
        <v>8497</v>
      </c>
      <c r="C524">
        <v>1934.0895078339299</v>
      </c>
      <c r="D524">
        <v>7338.7510499927203</v>
      </c>
      <c r="E524">
        <f>-1.92405970863029</f>
        <v>-1.92405970863029</v>
      </c>
      <c r="F524" s="5">
        <v>3.9780285490977501E-12</v>
      </c>
      <c r="G524" t="s">
        <v>4</v>
      </c>
      <c r="H524">
        <v>1934.0895078339299</v>
      </c>
      <c r="I524">
        <v>1548.7784444907099</v>
      </c>
      <c r="J524">
        <v>0.32139227360530698</v>
      </c>
      <c r="K524">
        <v>0.28961894213141298</v>
      </c>
      <c r="L524" t="s">
        <v>4</v>
      </c>
      <c r="M524">
        <v>7338.7510499927203</v>
      </c>
      <c r="N524">
        <v>1548.7784444907099</v>
      </c>
      <c r="O524">
        <v>2.2454519822356001</v>
      </c>
      <c r="P524" s="5">
        <v>9.4866105148349595E-17</v>
      </c>
      <c r="Q524" t="s">
        <v>4</v>
      </c>
      <c r="R524" s="4" t="s">
        <v>87</v>
      </c>
      <c r="S524" t="s">
        <v>4</v>
      </c>
      <c r="T524" t="s">
        <v>8498</v>
      </c>
      <c r="U524" t="s">
        <v>8499</v>
      </c>
      <c r="V524" t="s">
        <v>8500</v>
      </c>
      <c r="W524" t="s">
        <v>203</v>
      </c>
      <c r="X524" t="s">
        <v>4</v>
      </c>
      <c r="Y524" t="s">
        <v>8501</v>
      </c>
      <c r="Z524" t="s">
        <v>8502</v>
      </c>
      <c r="AA524" t="s">
        <v>8503</v>
      </c>
      <c r="AB524" t="s">
        <v>4</v>
      </c>
      <c r="AC524" s="3" t="s">
        <v>8504</v>
      </c>
      <c r="AD524" t="s">
        <v>4</v>
      </c>
      <c r="AE524" t="s">
        <v>8505</v>
      </c>
      <c r="AF524" t="s">
        <v>834</v>
      </c>
      <c r="AG524" t="s">
        <v>8506</v>
      </c>
      <c r="AH524" t="s">
        <v>112</v>
      </c>
      <c r="AK524" t="s">
        <v>8507</v>
      </c>
      <c r="AL524" t="s">
        <v>8508</v>
      </c>
      <c r="AQ524" t="s">
        <v>2028</v>
      </c>
      <c r="AU524" t="s">
        <v>112</v>
      </c>
      <c r="AV524" t="s">
        <v>8509</v>
      </c>
      <c r="AW524" t="s">
        <v>114</v>
      </c>
      <c r="AX524" t="s">
        <v>536</v>
      </c>
      <c r="AY524" t="s">
        <v>3015</v>
      </c>
      <c r="AZ524" t="s">
        <v>4</v>
      </c>
      <c r="BA524" s="3" t="s">
        <v>95</v>
      </c>
      <c r="BB524" s="6" t="s">
        <v>95</v>
      </c>
      <c r="BC524" s="3" t="s">
        <v>95</v>
      </c>
      <c r="BD524" t="s">
        <v>4</v>
      </c>
      <c r="BE524">
        <v>7256</v>
      </c>
      <c r="BF524" t="s">
        <v>213</v>
      </c>
      <c r="BG524">
        <v>56.0794</v>
      </c>
      <c r="BH524">
        <v>27.915600000000001</v>
      </c>
      <c r="BI524">
        <v>90.570700000000002</v>
      </c>
      <c r="BJ524">
        <v>79.528499999999994</v>
      </c>
      <c r="BK524">
        <v>81.885900000000007</v>
      </c>
      <c r="BL524">
        <v>49.007399999999997</v>
      </c>
      <c r="BM524">
        <v>85.483900000000006</v>
      </c>
      <c r="BN524">
        <v>85.607900000000001</v>
      </c>
      <c r="BO524">
        <v>84.739500000000007</v>
      </c>
      <c r="BP524">
        <v>51.985100000000003</v>
      </c>
      <c r="BQ524">
        <v>40.942900000000002</v>
      </c>
      <c r="BR524">
        <v>24.1935</v>
      </c>
      <c r="BS524">
        <v>9.9255600000000008</v>
      </c>
      <c r="BT524">
        <v>36.228299999999997</v>
      </c>
      <c r="BU524">
        <v>39.33</v>
      </c>
      <c r="BV524" t="s">
        <v>8510</v>
      </c>
      <c r="BW524">
        <v>42.804000000000002</v>
      </c>
      <c r="BX524">
        <v>42.927999999999997</v>
      </c>
      <c r="BY524">
        <v>15.2605</v>
      </c>
      <c r="BZ524" t="s">
        <v>8511</v>
      </c>
      <c r="CB524">
        <v>22.9529</v>
      </c>
      <c r="CC524">
        <v>34.863500000000002</v>
      </c>
      <c r="CD524">
        <v>29.776700000000002</v>
      </c>
      <c r="CE524">
        <v>29.404499999999999</v>
      </c>
      <c r="CF524">
        <v>34.863500000000002</v>
      </c>
      <c r="CG524" t="s">
        <v>8512</v>
      </c>
      <c r="CH524" t="s">
        <v>8513</v>
      </c>
      <c r="CI524" t="s">
        <v>8514</v>
      </c>
      <c r="CJ524" t="s">
        <v>8515</v>
      </c>
      <c r="CK524">
        <v>8</v>
      </c>
      <c r="CL524" t="s">
        <v>4</v>
      </c>
      <c r="CM524" t="s">
        <v>98</v>
      </c>
      <c r="CN524" t="s">
        <v>98</v>
      </c>
      <c r="CO524" t="s">
        <v>99</v>
      </c>
      <c r="CP524" t="s">
        <v>100</v>
      </c>
      <c r="CQ524" s="7">
        <v>525</v>
      </c>
      <c r="CR524" t="s">
        <v>100</v>
      </c>
      <c r="CS524" t="s">
        <v>100</v>
      </c>
      <c r="CT524" t="s">
        <v>152</v>
      </c>
      <c r="CU524" t="s">
        <v>102</v>
      </c>
      <c r="CV524" t="s">
        <v>100</v>
      </c>
    </row>
    <row r="525" spans="1:100">
      <c r="A525" s="3" t="s">
        <v>8516</v>
      </c>
      <c r="B525" s="4" t="s">
        <v>8517</v>
      </c>
      <c r="C525">
        <v>1526.76934150075</v>
      </c>
      <c r="D525">
        <v>3686.1540004901499</v>
      </c>
      <c r="E525">
        <f>-1.2715544777095</f>
        <v>-1.2715544777095</v>
      </c>
      <c r="F525">
        <v>3.9270544336640701E-3</v>
      </c>
      <c r="G525" t="s">
        <v>4</v>
      </c>
      <c r="H525">
        <v>1526.76934150075</v>
      </c>
      <c r="I525">
        <v>784.52506950000202</v>
      </c>
      <c r="J525">
        <v>0.95761832624197796</v>
      </c>
      <c r="K525">
        <v>2.8247433557554401E-2</v>
      </c>
      <c r="L525" t="s">
        <v>4</v>
      </c>
      <c r="M525">
        <v>3686.1540004901499</v>
      </c>
      <c r="N525">
        <v>784.52506950000202</v>
      </c>
      <c r="O525">
        <v>2.2291728039514802</v>
      </c>
      <c r="P525" s="5">
        <v>5.8084399957295803E-8</v>
      </c>
      <c r="Q525" t="s">
        <v>4</v>
      </c>
      <c r="R525" s="4" t="s">
        <v>87</v>
      </c>
      <c r="S525" t="s">
        <v>4</v>
      </c>
      <c r="T525" t="s">
        <v>8518</v>
      </c>
      <c r="U525" t="s">
        <v>8519</v>
      </c>
      <c r="V525" t="s">
        <v>8520</v>
      </c>
      <c r="W525" t="s">
        <v>328</v>
      </c>
      <c r="X525" t="s">
        <v>4</v>
      </c>
      <c r="Y525" t="s">
        <v>8521</v>
      </c>
      <c r="Z525" t="s">
        <v>8522</v>
      </c>
      <c r="AA525" t="s">
        <v>8523</v>
      </c>
      <c r="AB525" t="s">
        <v>4</v>
      </c>
      <c r="AC525" s="3" t="s">
        <v>8524</v>
      </c>
      <c r="AD525" t="s">
        <v>4</v>
      </c>
      <c r="AE525" t="s">
        <v>8525</v>
      </c>
      <c r="AF525" t="s">
        <v>8526</v>
      </c>
      <c r="AG525" t="s">
        <v>8527</v>
      </c>
      <c r="AH525" t="s">
        <v>112</v>
      </c>
      <c r="AJ525" t="s">
        <v>8528</v>
      </c>
      <c r="AK525" t="s">
        <v>8529</v>
      </c>
      <c r="AL525" t="s">
        <v>8530</v>
      </c>
      <c r="AQ525" t="s">
        <v>8531</v>
      </c>
      <c r="AU525" t="s">
        <v>112</v>
      </c>
      <c r="AV525" t="s">
        <v>8532</v>
      </c>
      <c r="AW525" t="s">
        <v>114</v>
      </c>
      <c r="AX525" t="s">
        <v>2157</v>
      </c>
      <c r="AY525" t="s">
        <v>8533</v>
      </c>
      <c r="AZ525" t="s">
        <v>4</v>
      </c>
      <c r="BA525" s="3" t="s">
        <v>95</v>
      </c>
      <c r="BB525" s="6" t="s">
        <v>95</v>
      </c>
      <c r="BC525" s="3" t="s">
        <v>95</v>
      </c>
      <c r="BD525" t="s">
        <v>4</v>
      </c>
      <c r="BE525">
        <v>9113</v>
      </c>
      <c r="BF525" t="s">
        <v>169</v>
      </c>
      <c r="BG525">
        <v>75.638099999999994</v>
      </c>
      <c r="BH525">
        <v>46.403700000000001</v>
      </c>
      <c r="BI525">
        <v>96.055700000000002</v>
      </c>
      <c r="BJ525">
        <v>83.062600000000003</v>
      </c>
      <c r="BK525">
        <v>81.902500000000003</v>
      </c>
      <c r="BL525">
        <v>54.988399999999999</v>
      </c>
      <c r="BM525">
        <v>74.941999999999993</v>
      </c>
      <c r="BN525">
        <v>74.941999999999993</v>
      </c>
      <c r="BO525">
        <v>68.445499999999996</v>
      </c>
      <c r="BP525">
        <v>66.589299999999994</v>
      </c>
      <c r="BQ525">
        <v>47.7958</v>
      </c>
      <c r="BR525">
        <v>58.004600000000003</v>
      </c>
      <c r="BS525">
        <v>50.116</v>
      </c>
      <c r="BU525">
        <v>57.308599999999998</v>
      </c>
      <c r="BV525" t="s">
        <v>8534</v>
      </c>
      <c r="BW525">
        <v>56.380499999999998</v>
      </c>
      <c r="BX525">
        <v>57.076599999999999</v>
      </c>
      <c r="BY525">
        <v>32.482599999999998</v>
      </c>
      <c r="BZ525">
        <v>58.932699999999997</v>
      </c>
      <c r="CA525">
        <v>54.756399999999999</v>
      </c>
      <c r="CB525">
        <v>55.916499999999999</v>
      </c>
      <c r="CC525">
        <v>54.756399999999999</v>
      </c>
      <c r="CD525">
        <v>48.259900000000002</v>
      </c>
      <c r="CE525">
        <v>45.243600000000001</v>
      </c>
      <c r="CF525">
        <v>48.259900000000002</v>
      </c>
      <c r="CG525">
        <v>50.812100000000001</v>
      </c>
      <c r="CH525">
        <v>51.2761</v>
      </c>
      <c r="CI525">
        <v>53.596299999999999</v>
      </c>
      <c r="CK525">
        <v>9</v>
      </c>
      <c r="CL525" t="s">
        <v>4</v>
      </c>
      <c r="CM525" t="s">
        <v>8535</v>
      </c>
      <c r="CN525" t="s">
        <v>8536</v>
      </c>
      <c r="CO525" t="s">
        <v>219</v>
      </c>
      <c r="CP525" t="s">
        <v>100</v>
      </c>
      <c r="CQ525" s="7">
        <v>526</v>
      </c>
      <c r="CR525" t="s">
        <v>100</v>
      </c>
      <c r="CS525" t="s">
        <v>100</v>
      </c>
      <c r="CT525" t="s">
        <v>152</v>
      </c>
      <c r="CU525" t="s">
        <v>102</v>
      </c>
      <c r="CV525" t="s">
        <v>100</v>
      </c>
    </row>
    <row r="526" spans="1:100">
      <c r="A526" s="3" t="s">
        <v>8537</v>
      </c>
      <c r="B526" s="4" t="s">
        <v>8538</v>
      </c>
      <c r="C526">
        <v>237.682116070261</v>
      </c>
      <c r="D526">
        <v>585.75693101166803</v>
      </c>
      <c r="E526">
        <f>-1.30124432418605</f>
        <v>-1.3012443241860501</v>
      </c>
      <c r="F526" s="5">
        <v>2.20410636490587E-6</v>
      </c>
      <c r="G526" t="s">
        <v>4</v>
      </c>
      <c r="H526">
        <v>237.682116070261</v>
      </c>
      <c r="I526">
        <v>126.684570720892</v>
      </c>
      <c r="J526">
        <v>0.92574461040719702</v>
      </c>
      <c r="K526">
        <v>1.3742980809296299E-3</v>
      </c>
      <c r="L526" t="s">
        <v>4</v>
      </c>
      <c r="M526">
        <v>585.75693101166803</v>
      </c>
      <c r="N526">
        <v>126.684570720892</v>
      </c>
      <c r="O526">
        <v>2.2269889345932499</v>
      </c>
      <c r="P526" s="5">
        <v>3.00468489014046E-16</v>
      </c>
      <c r="Q526" t="s">
        <v>4</v>
      </c>
      <c r="R526" s="4" t="s">
        <v>87</v>
      </c>
      <c r="S526" t="s">
        <v>4</v>
      </c>
      <c r="T526" t="s">
        <v>92</v>
      </c>
      <c r="U526" t="s">
        <v>92</v>
      </c>
      <c r="V526" t="s">
        <v>92</v>
      </c>
      <c r="W526" t="s">
        <v>92</v>
      </c>
      <c r="X526" t="s">
        <v>4</v>
      </c>
      <c r="Y526" t="s">
        <v>92</v>
      </c>
      <c r="Z526" t="s">
        <v>92</v>
      </c>
      <c r="AA526" t="s">
        <v>92</v>
      </c>
      <c r="AB526" t="s">
        <v>4</v>
      </c>
      <c r="AC526" s="3" t="s">
        <v>93</v>
      </c>
      <c r="AD526" t="s">
        <v>4</v>
      </c>
      <c r="AE526" s="4" t="s">
        <v>94</v>
      </c>
      <c r="AZ526" t="s">
        <v>4</v>
      </c>
      <c r="BA526" s="3" t="s">
        <v>95</v>
      </c>
      <c r="BB526" s="6" t="s">
        <v>95</v>
      </c>
      <c r="BC526" s="3" t="s">
        <v>95</v>
      </c>
      <c r="BD526" t="s">
        <v>4</v>
      </c>
      <c r="BE526">
        <v>676</v>
      </c>
      <c r="BF526" t="s">
        <v>322</v>
      </c>
      <c r="CK526">
        <v>1</v>
      </c>
      <c r="CL526" t="s">
        <v>4</v>
      </c>
      <c r="CM526" t="s">
        <v>98</v>
      </c>
      <c r="CN526" t="s">
        <v>98</v>
      </c>
      <c r="CO526" t="s">
        <v>99</v>
      </c>
      <c r="CP526" t="s">
        <v>100</v>
      </c>
      <c r="CQ526" s="7">
        <v>527</v>
      </c>
      <c r="CR526" t="s">
        <v>100</v>
      </c>
      <c r="CS526" t="s">
        <v>100</v>
      </c>
      <c r="CT526" t="s">
        <v>152</v>
      </c>
      <c r="CU526" t="s">
        <v>102</v>
      </c>
      <c r="CV526" t="s">
        <v>100</v>
      </c>
    </row>
    <row r="527" spans="1:100">
      <c r="A527" s="3" t="s">
        <v>8539</v>
      </c>
      <c r="B527" s="4" t="s">
        <v>8540</v>
      </c>
      <c r="C527">
        <v>54.588603781588702</v>
      </c>
      <c r="D527">
        <v>175.28945952434401</v>
      </c>
      <c r="E527">
        <f>-1.67817290656955</f>
        <v>-1.6781729065695501</v>
      </c>
      <c r="F527" s="5">
        <v>4.9311730275200198E-5</v>
      </c>
      <c r="G527" t="s">
        <v>4</v>
      </c>
      <c r="H527">
        <v>54.588603781588702</v>
      </c>
      <c r="I527">
        <v>37.654440105160603</v>
      </c>
      <c r="J527">
        <v>0.54252209373579396</v>
      </c>
      <c r="K527">
        <v>0.24487436854685901</v>
      </c>
      <c r="L527" t="s">
        <v>4</v>
      </c>
      <c r="M527">
        <v>175.28945952434401</v>
      </c>
      <c r="N527">
        <v>37.654440105160603</v>
      </c>
      <c r="O527">
        <v>2.2206950003053501</v>
      </c>
      <c r="P527" s="5">
        <v>9.7547757213559002E-8</v>
      </c>
      <c r="Q527" t="s">
        <v>4</v>
      </c>
      <c r="R527" s="4" t="s">
        <v>87</v>
      </c>
      <c r="S527" t="s">
        <v>4</v>
      </c>
      <c r="T527" t="s">
        <v>92</v>
      </c>
      <c r="U527" t="s">
        <v>92</v>
      </c>
      <c r="V527" t="s">
        <v>92</v>
      </c>
      <c r="W527" t="s">
        <v>92</v>
      </c>
      <c r="X527" t="s">
        <v>4</v>
      </c>
      <c r="Y527" t="s">
        <v>8541</v>
      </c>
      <c r="Z527" t="s">
        <v>8542</v>
      </c>
      <c r="AA527" t="s">
        <v>8543</v>
      </c>
      <c r="AB527" t="s">
        <v>4</v>
      </c>
      <c r="AC527" s="3" t="s">
        <v>93</v>
      </c>
      <c r="AD527" t="s">
        <v>4</v>
      </c>
      <c r="AE527" t="s">
        <v>8544</v>
      </c>
      <c r="AF527" t="s">
        <v>8545</v>
      </c>
      <c r="AG527" t="s">
        <v>8546</v>
      </c>
      <c r="AH527" t="s">
        <v>534</v>
      </c>
      <c r="AU527" t="s">
        <v>112</v>
      </c>
      <c r="AV527" t="s">
        <v>8547</v>
      </c>
      <c r="AW527" t="s">
        <v>114</v>
      </c>
      <c r="AX527" t="s">
        <v>536</v>
      </c>
      <c r="AY527" t="s">
        <v>8548</v>
      </c>
      <c r="AZ527" t="s">
        <v>4</v>
      </c>
      <c r="BA527" s="3" t="s">
        <v>115</v>
      </c>
      <c r="BB527" s="6" t="s">
        <v>95</v>
      </c>
      <c r="BC527" s="3" t="s">
        <v>95</v>
      </c>
      <c r="BD527" t="s">
        <v>4</v>
      </c>
      <c r="BE527">
        <v>5831</v>
      </c>
      <c r="BF527" t="s">
        <v>386</v>
      </c>
      <c r="BH527">
        <v>58.333300000000001</v>
      </c>
      <c r="BO527">
        <v>3.3333300000000001</v>
      </c>
      <c r="BV527">
        <v>6.6666699999999999</v>
      </c>
      <c r="CA527">
        <v>4.1666699999999999</v>
      </c>
      <c r="CE527">
        <v>3.3333300000000001</v>
      </c>
      <c r="CG527">
        <v>17.5</v>
      </c>
      <c r="CH527">
        <v>17.5</v>
      </c>
      <c r="CI527" t="s">
        <v>8549</v>
      </c>
      <c r="CJ527">
        <v>6.6666699999999999</v>
      </c>
      <c r="CK527">
        <v>7</v>
      </c>
      <c r="CL527" t="s">
        <v>4</v>
      </c>
      <c r="CM527" t="s">
        <v>8550</v>
      </c>
      <c r="CN527" t="s">
        <v>8551</v>
      </c>
      <c r="CO527" t="s">
        <v>663</v>
      </c>
      <c r="CP527" t="s">
        <v>100</v>
      </c>
      <c r="CQ527" s="7">
        <v>528</v>
      </c>
      <c r="CR527" t="s">
        <v>100</v>
      </c>
      <c r="CS527" t="s">
        <v>100</v>
      </c>
      <c r="CT527" t="s">
        <v>152</v>
      </c>
      <c r="CU527" t="s">
        <v>102</v>
      </c>
      <c r="CV527" t="s">
        <v>100</v>
      </c>
    </row>
    <row r="528" spans="1:100">
      <c r="A528" s="3" t="s">
        <v>8552</v>
      </c>
      <c r="B528" s="4" t="s">
        <v>8553</v>
      </c>
      <c r="C528">
        <v>1912.9308001859699</v>
      </c>
      <c r="D528">
        <v>3886.7124685437202</v>
      </c>
      <c r="E528">
        <f>-1.02289665448336</f>
        <v>-1.02289665448336</v>
      </c>
      <c r="F528" s="5">
        <v>1.8703374122698701E-7</v>
      </c>
      <c r="G528" t="s">
        <v>4</v>
      </c>
      <c r="H528">
        <v>1912.9308001859699</v>
      </c>
      <c r="I528">
        <v>847.21451966027701</v>
      </c>
      <c r="J528">
        <v>1.1749072528729401</v>
      </c>
      <c r="K528" s="5">
        <v>1.3496966258767701E-9</v>
      </c>
      <c r="L528" t="s">
        <v>4</v>
      </c>
      <c r="M528">
        <v>3886.7124685437202</v>
      </c>
      <c r="N528">
        <v>847.21451966027701</v>
      </c>
      <c r="O528">
        <v>2.19780390735631</v>
      </c>
      <c r="P528" s="5">
        <v>2.20131564508919E-31</v>
      </c>
      <c r="Q528" t="s">
        <v>4</v>
      </c>
      <c r="R528" s="4" t="s">
        <v>87</v>
      </c>
      <c r="S528" t="s">
        <v>4</v>
      </c>
      <c r="T528" t="s">
        <v>8554</v>
      </c>
      <c r="U528" t="s">
        <v>8555</v>
      </c>
      <c r="V528" t="s">
        <v>8556</v>
      </c>
      <c r="W528" t="s">
        <v>203</v>
      </c>
      <c r="X528" t="s">
        <v>4</v>
      </c>
      <c r="Y528" t="s">
        <v>8557</v>
      </c>
      <c r="Z528" t="s">
        <v>8558</v>
      </c>
      <c r="AA528" t="s">
        <v>8559</v>
      </c>
      <c r="AB528" t="s">
        <v>4</v>
      </c>
      <c r="AC528" s="3" t="s">
        <v>8560</v>
      </c>
      <c r="AD528" t="s">
        <v>4</v>
      </c>
      <c r="AE528" t="s">
        <v>8561</v>
      </c>
      <c r="AF528" t="s">
        <v>834</v>
      </c>
      <c r="AG528" t="s">
        <v>8562</v>
      </c>
      <c r="AH528" t="s">
        <v>112</v>
      </c>
      <c r="AJ528" t="s">
        <v>8563</v>
      </c>
      <c r="AL528" t="s">
        <v>8564</v>
      </c>
      <c r="AM528" t="s">
        <v>8565</v>
      </c>
      <c r="AQ528" t="s">
        <v>879</v>
      </c>
      <c r="AU528" t="s">
        <v>112</v>
      </c>
      <c r="AV528" t="s">
        <v>8566</v>
      </c>
      <c r="AW528" t="s">
        <v>114</v>
      </c>
      <c r="AX528" t="s">
        <v>132</v>
      </c>
      <c r="AY528" t="s">
        <v>2943</v>
      </c>
      <c r="AZ528" t="s">
        <v>4</v>
      </c>
      <c r="BA528" s="3" t="s">
        <v>115</v>
      </c>
      <c r="BB528" s="6" t="s">
        <v>95</v>
      </c>
      <c r="BC528" s="3" t="s">
        <v>95</v>
      </c>
      <c r="BD528" t="s">
        <v>4</v>
      </c>
      <c r="BE528">
        <v>6201</v>
      </c>
      <c r="BF528" t="s">
        <v>213</v>
      </c>
      <c r="BG528">
        <v>95.166499999999999</v>
      </c>
      <c r="BH528">
        <v>72.180499999999995</v>
      </c>
      <c r="BI528">
        <v>84.532799999999995</v>
      </c>
      <c r="BJ528">
        <v>90.547799999999995</v>
      </c>
      <c r="BK528">
        <v>89.151499999999999</v>
      </c>
      <c r="BL528" t="s">
        <v>8567</v>
      </c>
      <c r="BM528">
        <v>63.265300000000003</v>
      </c>
      <c r="BN528">
        <v>87.755099999999999</v>
      </c>
      <c r="BO528">
        <v>88.614400000000003</v>
      </c>
      <c r="BP528">
        <v>41.246000000000002</v>
      </c>
      <c r="BQ528">
        <v>32.975299999999997</v>
      </c>
      <c r="BR528" t="s">
        <v>8568</v>
      </c>
      <c r="BS528">
        <v>13.6412</v>
      </c>
      <c r="BT528">
        <v>18.259899999999998</v>
      </c>
      <c r="BU528">
        <v>21.589700000000001</v>
      </c>
      <c r="BV528" t="s">
        <v>8569</v>
      </c>
      <c r="BW528">
        <v>38.238500000000002</v>
      </c>
      <c r="BX528">
        <v>42.749699999999997</v>
      </c>
      <c r="BY528">
        <v>30.504799999999999</v>
      </c>
      <c r="BZ528">
        <v>18.259899999999998</v>
      </c>
      <c r="CA528">
        <v>33.727200000000003</v>
      </c>
      <c r="CB528">
        <v>11.815300000000001</v>
      </c>
      <c r="CC528">
        <v>34.479100000000003</v>
      </c>
      <c r="CD528">
        <v>34.801299999999998</v>
      </c>
      <c r="CE528">
        <v>19.7637</v>
      </c>
      <c r="CF528">
        <v>26.315799999999999</v>
      </c>
      <c r="CG528" t="s">
        <v>8570</v>
      </c>
      <c r="CH528" t="s">
        <v>8571</v>
      </c>
      <c r="CI528" t="s">
        <v>8572</v>
      </c>
      <c r="CK528">
        <v>8</v>
      </c>
      <c r="CL528" t="s">
        <v>4</v>
      </c>
      <c r="CM528" t="s">
        <v>8573</v>
      </c>
      <c r="CN528" t="s">
        <v>8574</v>
      </c>
      <c r="CO528" t="s">
        <v>99</v>
      </c>
      <c r="CP528" t="s">
        <v>100</v>
      </c>
      <c r="CQ528" s="7">
        <v>529</v>
      </c>
      <c r="CR528" t="s">
        <v>100</v>
      </c>
      <c r="CS528" s="7" t="s">
        <v>101</v>
      </c>
      <c r="CT528" t="s">
        <v>152</v>
      </c>
      <c r="CU528" t="s">
        <v>102</v>
      </c>
      <c r="CV528" t="s">
        <v>100</v>
      </c>
    </row>
    <row r="529" spans="1:100">
      <c r="A529" s="3" t="s">
        <v>8575</v>
      </c>
      <c r="B529" s="4" t="s">
        <v>8576</v>
      </c>
      <c r="C529">
        <v>2058.6659084349299</v>
      </c>
      <c r="D529">
        <v>5980.55076823127</v>
      </c>
      <c r="E529">
        <f>-1.53873997935212</f>
        <v>-1.5387399793521199</v>
      </c>
      <c r="F529" s="5">
        <v>5.0529869818230603E-18</v>
      </c>
      <c r="G529" t="s">
        <v>4</v>
      </c>
      <c r="H529">
        <v>2058.6659084349299</v>
      </c>
      <c r="I529">
        <v>1308.5926565889199</v>
      </c>
      <c r="J529">
        <v>0.65288246839652897</v>
      </c>
      <c r="K529">
        <v>4.2477157157061701E-4</v>
      </c>
      <c r="L529" t="s">
        <v>4</v>
      </c>
      <c r="M529">
        <v>5980.55076823127</v>
      </c>
      <c r="N529">
        <v>1308.5926565889199</v>
      </c>
      <c r="O529">
        <v>2.1916224477486499</v>
      </c>
      <c r="P529" s="5">
        <v>3.3184933512513101E-36</v>
      </c>
      <c r="Q529" t="s">
        <v>4</v>
      </c>
      <c r="R529" s="4" t="s">
        <v>87</v>
      </c>
      <c r="S529" t="s">
        <v>4</v>
      </c>
      <c r="T529" t="s">
        <v>8577</v>
      </c>
      <c r="U529" t="s">
        <v>8578</v>
      </c>
      <c r="V529" t="s">
        <v>8579</v>
      </c>
      <c r="W529" t="s">
        <v>203</v>
      </c>
      <c r="X529" t="s">
        <v>4</v>
      </c>
      <c r="Y529" t="s">
        <v>8580</v>
      </c>
      <c r="Z529" t="s">
        <v>8581</v>
      </c>
      <c r="AA529" t="s">
        <v>8582</v>
      </c>
      <c r="AB529" t="s">
        <v>4</v>
      </c>
      <c r="AC529" s="3" t="s">
        <v>8583</v>
      </c>
      <c r="AD529" t="s">
        <v>4</v>
      </c>
      <c r="AE529" t="s">
        <v>8584</v>
      </c>
      <c r="AF529" t="s">
        <v>834</v>
      </c>
      <c r="AG529" t="s">
        <v>8585</v>
      </c>
      <c r="AH529" t="s">
        <v>112</v>
      </c>
      <c r="AJ529" t="s">
        <v>8586</v>
      </c>
      <c r="AK529" t="s">
        <v>8587</v>
      </c>
      <c r="AL529" t="s">
        <v>8588</v>
      </c>
      <c r="AM529" t="s">
        <v>8589</v>
      </c>
      <c r="AO529" t="s">
        <v>8590</v>
      </c>
      <c r="AP529" t="s">
        <v>8591</v>
      </c>
      <c r="AQ529" t="s">
        <v>8592</v>
      </c>
      <c r="AU529" t="s">
        <v>112</v>
      </c>
      <c r="AV529" t="s">
        <v>8593</v>
      </c>
      <c r="AW529" t="s">
        <v>114</v>
      </c>
      <c r="AX529" t="s">
        <v>132</v>
      </c>
      <c r="AY529" t="s">
        <v>8594</v>
      </c>
      <c r="AZ529" t="s">
        <v>4</v>
      </c>
      <c r="BA529" s="3" t="s">
        <v>95</v>
      </c>
      <c r="BB529" s="6" t="s">
        <v>95</v>
      </c>
      <c r="BC529" s="3" t="s">
        <v>95</v>
      </c>
      <c r="BD529" t="s">
        <v>4</v>
      </c>
      <c r="BE529">
        <v>9547</v>
      </c>
      <c r="BF529" t="s">
        <v>169</v>
      </c>
      <c r="BG529">
        <v>80.627600000000001</v>
      </c>
      <c r="BH529">
        <v>23.738099999999999</v>
      </c>
      <c r="BI529">
        <v>86.493899999999996</v>
      </c>
      <c r="BJ529">
        <v>72.305599999999998</v>
      </c>
      <c r="BK529">
        <v>40.5184</v>
      </c>
      <c r="BL529">
        <v>74.624799999999993</v>
      </c>
      <c r="BM529">
        <v>75.170500000000004</v>
      </c>
      <c r="BN529">
        <v>75.170500000000004</v>
      </c>
      <c r="BO529">
        <v>75.989099999999993</v>
      </c>
      <c r="BP529">
        <v>60.982300000000002</v>
      </c>
      <c r="BQ529" t="s">
        <v>8595</v>
      </c>
      <c r="BR529">
        <v>41.8827</v>
      </c>
      <c r="BS529">
        <v>31.9236</v>
      </c>
      <c r="BU529">
        <v>42.837699999999998</v>
      </c>
      <c r="BV529" t="s">
        <v>8596</v>
      </c>
      <c r="BX529">
        <v>37.926299999999998</v>
      </c>
      <c r="BY529">
        <v>40.381999999999998</v>
      </c>
      <c r="BZ529">
        <v>26.875900000000001</v>
      </c>
      <c r="CB529">
        <v>13.5061</v>
      </c>
      <c r="CC529">
        <v>15.0068</v>
      </c>
      <c r="CD529">
        <v>19.236000000000001</v>
      </c>
      <c r="CE529">
        <v>16.5075</v>
      </c>
      <c r="CF529">
        <v>17.735299999999999</v>
      </c>
      <c r="CG529" t="s">
        <v>8597</v>
      </c>
      <c r="CH529" t="s">
        <v>8598</v>
      </c>
      <c r="CI529" t="s">
        <v>8599</v>
      </c>
      <c r="CJ529">
        <v>9.6862200000000005</v>
      </c>
      <c r="CK529">
        <v>9</v>
      </c>
      <c r="CL529" t="s">
        <v>4</v>
      </c>
      <c r="CM529" t="s">
        <v>98</v>
      </c>
      <c r="CN529" t="s">
        <v>98</v>
      </c>
      <c r="CO529" t="s">
        <v>99</v>
      </c>
      <c r="CP529" t="s">
        <v>100</v>
      </c>
      <c r="CQ529" s="7">
        <v>530</v>
      </c>
      <c r="CR529" t="s">
        <v>100</v>
      </c>
      <c r="CS529" t="s">
        <v>100</v>
      </c>
      <c r="CT529" t="s">
        <v>152</v>
      </c>
      <c r="CU529" t="s">
        <v>102</v>
      </c>
      <c r="CV529" t="s">
        <v>100</v>
      </c>
    </row>
    <row r="530" spans="1:100">
      <c r="A530" s="3" t="s">
        <v>8600</v>
      </c>
      <c r="B530" s="4" t="s">
        <v>8601</v>
      </c>
      <c r="C530">
        <v>1190.9148140708401</v>
      </c>
      <c r="D530">
        <v>2838.3227945783901</v>
      </c>
      <c r="E530">
        <f>-1.25234911032121</f>
        <v>-1.2523491103212101</v>
      </c>
      <c r="F530" s="5">
        <v>1.86136540502029E-9</v>
      </c>
      <c r="G530" t="s">
        <v>4</v>
      </c>
      <c r="H530">
        <v>1190.9148140708401</v>
      </c>
      <c r="I530">
        <v>625.71486606019005</v>
      </c>
      <c r="J530">
        <v>0.93009259375860498</v>
      </c>
      <c r="K530" s="5">
        <v>1.1589176914097699E-5</v>
      </c>
      <c r="L530" t="s">
        <v>4</v>
      </c>
      <c r="M530">
        <v>2838.3227945783901</v>
      </c>
      <c r="N530">
        <v>625.71486606019005</v>
      </c>
      <c r="O530">
        <v>2.1824417040798099</v>
      </c>
      <c r="P530" s="5">
        <v>5.3026027273096902E-27</v>
      </c>
      <c r="Q530" t="s">
        <v>4</v>
      </c>
      <c r="R530" s="4" t="s">
        <v>87</v>
      </c>
      <c r="S530" t="s">
        <v>4</v>
      </c>
      <c r="T530" t="s">
        <v>92</v>
      </c>
      <c r="U530" t="s">
        <v>92</v>
      </c>
      <c r="V530" t="s">
        <v>92</v>
      </c>
      <c r="W530" t="s">
        <v>92</v>
      </c>
      <c r="X530" t="s">
        <v>4</v>
      </c>
      <c r="Y530" t="s">
        <v>92</v>
      </c>
      <c r="Z530" t="s">
        <v>92</v>
      </c>
      <c r="AA530" t="s">
        <v>92</v>
      </c>
      <c r="AB530" t="s">
        <v>4</v>
      </c>
      <c r="AC530" s="3" t="s">
        <v>93</v>
      </c>
      <c r="AD530" t="s">
        <v>4</v>
      </c>
      <c r="AE530" t="s">
        <v>8602</v>
      </c>
      <c r="AF530" t="s">
        <v>849</v>
      </c>
      <c r="AG530" t="s">
        <v>564</v>
      </c>
      <c r="AH530" t="s">
        <v>638</v>
      </c>
      <c r="AU530" t="s">
        <v>112</v>
      </c>
      <c r="AV530" t="s">
        <v>8603</v>
      </c>
      <c r="AW530" t="s">
        <v>114</v>
      </c>
      <c r="AX530" t="s">
        <v>144</v>
      </c>
      <c r="AY530" t="s">
        <v>8604</v>
      </c>
      <c r="AZ530" t="s">
        <v>4</v>
      </c>
      <c r="BA530" s="3" t="s">
        <v>95</v>
      </c>
      <c r="BB530" s="6" t="s">
        <v>95</v>
      </c>
      <c r="BC530" s="3" t="s">
        <v>95</v>
      </c>
      <c r="BD530" t="s">
        <v>4</v>
      </c>
      <c r="BE530">
        <v>3032</v>
      </c>
      <c r="BF530" t="s">
        <v>97</v>
      </c>
      <c r="BG530">
        <v>97.014899999999997</v>
      </c>
      <c r="BH530">
        <v>65.671599999999998</v>
      </c>
      <c r="BI530">
        <v>77.114400000000003</v>
      </c>
      <c r="BJ530">
        <v>71.393000000000001</v>
      </c>
      <c r="BK530">
        <v>66.915400000000005</v>
      </c>
      <c r="BL530">
        <v>50</v>
      </c>
      <c r="BM530">
        <v>62.686599999999999</v>
      </c>
      <c r="BN530">
        <v>66.915400000000005</v>
      </c>
      <c r="BO530" t="s">
        <v>8605</v>
      </c>
      <c r="CK530">
        <v>4</v>
      </c>
      <c r="CL530" t="s">
        <v>4</v>
      </c>
      <c r="CM530" t="s">
        <v>98</v>
      </c>
      <c r="CN530" t="s">
        <v>98</v>
      </c>
      <c r="CO530" t="s">
        <v>99</v>
      </c>
      <c r="CP530" t="s">
        <v>100</v>
      </c>
      <c r="CQ530" s="7">
        <v>531</v>
      </c>
      <c r="CR530" t="s">
        <v>100</v>
      </c>
      <c r="CS530" t="s">
        <v>100</v>
      </c>
      <c r="CT530" t="s">
        <v>152</v>
      </c>
      <c r="CU530" t="s">
        <v>102</v>
      </c>
      <c r="CV530" t="s">
        <v>100</v>
      </c>
    </row>
    <row r="531" spans="1:100">
      <c r="A531" s="3" t="s">
        <v>8606</v>
      </c>
      <c r="B531" s="4" t="s">
        <v>8607</v>
      </c>
      <c r="C531">
        <v>344.83851009151903</v>
      </c>
      <c r="D531">
        <v>922.98510085311796</v>
      </c>
      <c r="E531">
        <f>-1.42006278926333</f>
        <v>-1.42006278926333</v>
      </c>
      <c r="F531" s="5">
        <v>1.9967982778000199E-10</v>
      </c>
      <c r="G531" t="s">
        <v>4</v>
      </c>
      <c r="H531">
        <v>344.83851009151903</v>
      </c>
      <c r="I531">
        <v>202.814151670548</v>
      </c>
      <c r="J531">
        <v>0.75977187328979201</v>
      </c>
      <c r="K531">
        <v>1.43260200631817E-3</v>
      </c>
      <c r="L531" t="s">
        <v>4</v>
      </c>
      <c r="M531">
        <v>922.98510085311796</v>
      </c>
      <c r="N531">
        <v>202.814151670548</v>
      </c>
      <c r="O531">
        <v>2.17983466255312</v>
      </c>
      <c r="P531" s="5">
        <v>1.5879626615854099E-22</v>
      </c>
      <c r="Q531" t="s">
        <v>4</v>
      </c>
      <c r="R531" s="4" t="s">
        <v>87</v>
      </c>
      <c r="S531" t="s">
        <v>4</v>
      </c>
      <c r="T531" t="s">
        <v>88</v>
      </c>
      <c r="U531" t="s">
        <v>89</v>
      </c>
      <c r="V531" t="s">
        <v>90</v>
      </c>
      <c r="W531" t="s">
        <v>91</v>
      </c>
      <c r="X531" t="s">
        <v>4</v>
      </c>
      <c r="Y531" t="s">
        <v>92</v>
      </c>
      <c r="Z531" t="s">
        <v>92</v>
      </c>
      <c r="AA531" t="s">
        <v>92</v>
      </c>
      <c r="AB531" t="s">
        <v>4</v>
      </c>
      <c r="AC531" s="3" t="s">
        <v>93</v>
      </c>
      <c r="AD531" t="s">
        <v>4</v>
      </c>
      <c r="AE531" s="4" t="s">
        <v>94</v>
      </c>
      <c r="AZ531" t="s">
        <v>4</v>
      </c>
      <c r="BA531" s="3" t="s">
        <v>115</v>
      </c>
      <c r="BB531" t="s">
        <v>96</v>
      </c>
      <c r="BC531" s="3" t="s">
        <v>95</v>
      </c>
      <c r="BD531" t="s">
        <v>4</v>
      </c>
      <c r="BE531">
        <v>2505</v>
      </c>
      <c r="BF531" t="s">
        <v>97</v>
      </c>
      <c r="CK531">
        <v>4</v>
      </c>
      <c r="CL531" t="s">
        <v>4</v>
      </c>
      <c r="CM531" t="s">
        <v>98</v>
      </c>
      <c r="CN531" t="s">
        <v>98</v>
      </c>
      <c r="CO531" t="s">
        <v>99</v>
      </c>
      <c r="CP531" t="s">
        <v>100</v>
      </c>
      <c r="CQ531" s="7">
        <v>532</v>
      </c>
      <c r="CR531" t="s">
        <v>100</v>
      </c>
      <c r="CS531" t="s">
        <v>100</v>
      </c>
      <c r="CT531" t="s">
        <v>152</v>
      </c>
      <c r="CU531" t="s">
        <v>102</v>
      </c>
      <c r="CV531" t="s">
        <v>100</v>
      </c>
    </row>
    <row r="532" spans="1:100">
      <c r="A532" s="3" t="s">
        <v>8608</v>
      </c>
      <c r="B532" s="4" t="s">
        <v>8609</v>
      </c>
      <c r="C532">
        <v>985.73320723126005</v>
      </c>
      <c r="D532">
        <v>2352.1972890451102</v>
      </c>
      <c r="E532">
        <f>-1.25477229215603</f>
        <v>-1.25477229215603</v>
      </c>
      <c r="F532" s="5">
        <v>1.02095139406909E-15</v>
      </c>
      <c r="G532" t="s">
        <v>4</v>
      </c>
      <c r="H532">
        <v>985.73320723126005</v>
      </c>
      <c r="I532">
        <v>519.46849846807504</v>
      </c>
      <c r="J532">
        <v>0.92197006865080899</v>
      </c>
      <c r="K532" s="5">
        <v>1.223377032744E-8</v>
      </c>
      <c r="L532" t="s">
        <v>4</v>
      </c>
      <c r="M532">
        <v>2352.1972890451102</v>
      </c>
      <c r="N532">
        <v>519.46849846807504</v>
      </c>
      <c r="O532">
        <v>2.1767423608068399</v>
      </c>
      <c r="P532" s="5">
        <v>2.6905444151708898E-44</v>
      </c>
      <c r="Q532" t="s">
        <v>4</v>
      </c>
      <c r="R532" s="4" t="s">
        <v>87</v>
      </c>
      <c r="S532" t="s">
        <v>4</v>
      </c>
      <c r="T532" t="s">
        <v>2243</v>
      </c>
      <c r="U532" t="s">
        <v>2244</v>
      </c>
      <c r="V532" t="s">
        <v>2245</v>
      </c>
      <c r="W532" t="s">
        <v>123</v>
      </c>
      <c r="X532" t="s">
        <v>4</v>
      </c>
      <c r="Y532" t="s">
        <v>8610</v>
      </c>
      <c r="Z532" t="s">
        <v>8611</v>
      </c>
      <c r="AA532" t="s">
        <v>8612</v>
      </c>
      <c r="AB532" t="s">
        <v>4</v>
      </c>
      <c r="AC532" s="3" t="s">
        <v>8613</v>
      </c>
      <c r="AD532" t="s">
        <v>4</v>
      </c>
      <c r="AE532" t="s">
        <v>8614</v>
      </c>
      <c r="AF532" t="s">
        <v>8615</v>
      </c>
      <c r="AG532" t="s">
        <v>8616</v>
      </c>
      <c r="AH532" t="s">
        <v>112</v>
      </c>
      <c r="AU532" t="s">
        <v>112</v>
      </c>
      <c r="AV532" t="s">
        <v>8617</v>
      </c>
      <c r="AW532" t="s">
        <v>114</v>
      </c>
      <c r="AX532" t="s">
        <v>536</v>
      </c>
      <c r="AY532" t="s">
        <v>8618</v>
      </c>
      <c r="AZ532" t="s">
        <v>4</v>
      </c>
      <c r="BA532" s="3" t="s">
        <v>115</v>
      </c>
      <c r="BB532" s="6" t="s">
        <v>95</v>
      </c>
      <c r="BC532" s="3" t="s">
        <v>95</v>
      </c>
      <c r="BD532" t="s">
        <v>4</v>
      </c>
      <c r="BE532">
        <v>6087</v>
      </c>
      <c r="BF532" t="s">
        <v>213</v>
      </c>
      <c r="BG532">
        <v>32.258099999999999</v>
      </c>
      <c r="BH532">
        <v>43.672499999999999</v>
      </c>
      <c r="BI532">
        <v>95.533500000000004</v>
      </c>
      <c r="BJ532">
        <v>60.049599999999998</v>
      </c>
      <c r="BK532">
        <v>55.831299999999999</v>
      </c>
      <c r="BL532">
        <v>29.2804</v>
      </c>
      <c r="BM532">
        <v>60.049599999999998</v>
      </c>
      <c r="BN532">
        <v>68.486400000000003</v>
      </c>
      <c r="BO532">
        <v>64.764300000000006</v>
      </c>
      <c r="BP532">
        <v>39.702199999999998</v>
      </c>
      <c r="BQ532">
        <v>35.235700000000001</v>
      </c>
      <c r="BR532">
        <v>34.243200000000002</v>
      </c>
      <c r="BS532">
        <v>31.265499999999999</v>
      </c>
      <c r="BT532">
        <v>29.2804</v>
      </c>
      <c r="BW532">
        <v>42.183599999999998</v>
      </c>
      <c r="BX532">
        <v>42.679900000000004</v>
      </c>
      <c r="BZ532">
        <v>41.935499999999998</v>
      </c>
      <c r="CA532">
        <v>38.709699999999998</v>
      </c>
      <c r="CB532">
        <v>21.34</v>
      </c>
      <c r="CC532">
        <v>20.099299999999999</v>
      </c>
      <c r="CD532">
        <v>26.054600000000001</v>
      </c>
      <c r="CE532">
        <v>20.595500000000001</v>
      </c>
      <c r="CF532">
        <v>22.084399999999999</v>
      </c>
      <c r="CG532">
        <v>22.5806</v>
      </c>
      <c r="CH532">
        <v>21.836200000000002</v>
      </c>
      <c r="CI532">
        <v>24.069500000000001</v>
      </c>
      <c r="CJ532" t="s">
        <v>8619</v>
      </c>
      <c r="CK532">
        <v>8</v>
      </c>
      <c r="CL532" t="s">
        <v>4</v>
      </c>
      <c r="CM532" t="s">
        <v>8620</v>
      </c>
      <c r="CN532" t="s">
        <v>8621</v>
      </c>
      <c r="CO532" t="s">
        <v>219</v>
      </c>
      <c r="CP532" t="s">
        <v>100</v>
      </c>
      <c r="CQ532" s="7">
        <v>533</v>
      </c>
      <c r="CR532" t="s">
        <v>100</v>
      </c>
      <c r="CS532" t="s">
        <v>100</v>
      </c>
      <c r="CT532" t="s">
        <v>152</v>
      </c>
      <c r="CU532" t="s">
        <v>102</v>
      </c>
      <c r="CV532" t="s">
        <v>100</v>
      </c>
    </row>
    <row r="533" spans="1:100">
      <c r="A533" s="3" t="s">
        <v>8622</v>
      </c>
      <c r="B533" s="4" t="s">
        <v>8623</v>
      </c>
      <c r="C533">
        <v>4180.9860846417396</v>
      </c>
      <c r="D533">
        <v>11294.9533660094</v>
      </c>
      <c r="E533">
        <f>-1.43373830811798</f>
        <v>-1.43373830811798</v>
      </c>
      <c r="F533" s="5">
        <v>2.5146073078110202E-7</v>
      </c>
      <c r="G533" t="s">
        <v>4</v>
      </c>
      <c r="H533">
        <v>4180.9860846417396</v>
      </c>
      <c r="I533">
        <v>2508.4492005637499</v>
      </c>
      <c r="J533">
        <v>0.737791953940242</v>
      </c>
      <c r="K533">
        <v>9.3400921777064706E-3</v>
      </c>
      <c r="L533" t="s">
        <v>4</v>
      </c>
      <c r="M533">
        <v>11294.9533660094</v>
      </c>
      <c r="N533">
        <v>2508.4492005637499</v>
      </c>
      <c r="O533">
        <v>2.1715302620582202</v>
      </c>
      <c r="P533" s="5">
        <v>3.50900882017235E-16</v>
      </c>
      <c r="Q533" t="s">
        <v>4</v>
      </c>
      <c r="R533" s="4" t="s">
        <v>87</v>
      </c>
      <c r="S533" t="s">
        <v>4</v>
      </c>
      <c r="T533" t="s">
        <v>92</v>
      </c>
      <c r="U533" t="s">
        <v>92</v>
      </c>
      <c r="V533" t="s">
        <v>92</v>
      </c>
      <c r="W533" t="s">
        <v>92</v>
      </c>
      <c r="X533" t="s">
        <v>4</v>
      </c>
      <c r="Y533" t="s">
        <v>92</v>
      </c>
      <c r="Z533" t="s">
        <v>92</v>
      </c>
      <c r="AA533" t="s">
        <v>92</v>
      </c>
      <c r="AB533" t="s">
        <v>4</v>
      </c>
      <c r="AC533" s="3" t="s">
        <v>8624</v>
      </c>
      <c r="AD533" t="s">
        <v>4</v>
      </c>
      <c r="AE533" t="s">
        <v>8625</v>
      </c>
      <c r="AF533" t="s">
        <v>8626</v>
      </c>
      <c r="AG533" t="s">
        <v>8627</v>
      </c>
      <c r="AH533" t="s">
        <v>638</v>
      </c>
      <c r="AJ533" t="s">
        <v>8628</v>
      </c>
      <c r="AU533" t="s">
        <v>112</v>
      </c>
      <c r="AV533" t="s">
        <v>8629</v>
      </c>
      <c r="AW533" t="s">
        <v>114</v>
      </c>
      <c r="AZ533" t="s">
        <v>4</v>
      </c>
      <c r="BA533" s="3" t="s">
        <v>115</v>
      </c>
      <c r="BB533" s="6" t="s">
        <v>95</v>
      </c>
      <c r="BC533" s="3" t="s">
        <v>95</v>
      </c>
      <c r="BD533" t="s">
        <v>4</v>
      </c>
      <c r="BE533">
        <v>3813</v>
      </c>
      <c r="BF533" t="s">
        <v>112</v>
      </c>
      <c r="BG533">
        <v>90</v>
      </c>
      <c r="BH533">
        <v>48.043500000000002</v>
      </c>
      <c r="BI533">
        <v>87.5</v>
      </c>
      <c r="BJ533">
        <v>69.891300000000001</v>
      </c>
      <c r="BK533">
        <v>58.804299999999998</v>
      </c>
      <c r="BL533" t="s">
        <v>8630</v>
      </c>
      <c r="BM533" t="s">
        <v>8631</v>
      </c>
      <c r="BN533">
        <v>64.347800000000007</v>
      </c>
      <c r="BO533">
        <v>66.304299999999998</v>
      </c>
      <c r="BQ533" t="s">
        <v>8632</v>
      </c>
      <c r="CK533">
        <v>5</v>
      </c>
      <c r="CL533" t="s">
        <v>4</v>
      </c>
      <c r="CM533" t="s">
        <v>98</v>
      </c>
      <c r="CN533" t="s">
        <v>98</v>
      </c>
      <c r="CO533" t="s">
        <v>99</v>
      </c>
      <c r="CP533" t="s">
        <v>100</v>
      </c>
      <c r="CQ533" s="7">
        <v>534</v>
      </c>
      <c r="CR533" t="s">
        <v>100</v>
      </c>
      <c r="CS533" t="s">
        <v>100</v>
      </c>
      <c r="CT533" t="s">
        <v>152</v>
      </c>
      <c r="CU533" t="s">
        <v>102</v>
      </c>
      <c r="CV533" t="s">
        <v>100</v>
      </c>
    </row>
    <row r="534" spans="1:100">
      <c r="A534" s="3" t="s">
        <v>8633</v>
      </c>
      <c r="B534" s="4" t="s">
        <v>8634</v>
      </c>
      <c r="C534">
        <v>658.31384838936503</v>
      </c>
      <c r="D534">
        <v>1511.86701095734</v>
      </c>
      <c r="E534">
        <f>-1.19847027834585</f>
        <v>-1.1984702783458501</v>
      </c>
      <c r="F534" s="5">
        <v>3.0159875758139202E-7</v>
      </c>
      <c r="G534" t="s">
        <v>4</v>
      </c>
      <c r="H534">
        <v>658.31384838936503</v>
      </c>
      <c r="I534">
        <v>338.84262283294902</v>
      </c>
      <c r="J534">
        <v>0.96057300111035104</v>
      </c>
      <c r="K534" s="5">
        <v>5.7979682830908002E-5</v>
      </c>
      <c r="L534" t="s">
        <v>4</v>
      </c>
      <c r="M534">
        <v>1511.86701095734</v>
      </c>
      <c r="N534">
        <v>338.84262283294902</v>
      </c>
      <c r="O534">
        <v>2.1590432794562</v>
      </c>
      <c r="P534" s="5">
        <v>2.47688600415358E-21</v>
      </c>
      <c r="Q534" t="s">
        <v>4</v>
      </c>
      <c r="R534" s="4" t="s">
        <v>87</v>
      </c>
      <c r="S534" t="s">
        <v>4</v>
      </c>
      <c r="T534" t="s">
        <v>92</v>
      </c>
      <c r="U534" t="s">
        <v>92</v>
      </c>
      <c r="V534" t="s">
        <v>92</v>
      </c>
      <c r="W534" t="s">
        <v>92</v>
      </c>
      <c r="X534" t="s">
        <v>4</v>
      </c>
      <c r="Y534" t="s">
        <v>8635</v>
      </c>
      <c r="Z534" t="s">
        <v>8636</v>
      </c>
      <c r="AA534" t="s">
        <v>8636</v>
      </c>
      <c r="AB534" t="s">
        <v>4</v>
      </c>
      <c r="AC534" s="3" t="s">
        <v>8637</v>
      </c>
      <c r="AD534" t="s">
        <v>4</v>
      </c>
      <c r="AE534" t="s">
        <v>8638</v>
      </c>
      <c r="AF534" t="s">
        <v>8639</v>
      </c>
      <c r="AG534" t="s">
        <v>8640</v>
      </c>
      <c r="AH534" t="s">
        <v>112</v>
      </c>
      <c r="AU534" t="s">
        <v>112</v>
      </c>
      <c r="AV534" t="s">
        <v>8641</v>
      </c>
      <c r="AW534" t="s">
        <v>114</v>
      </c>
      <c r="AX534" t="s">
        <v>1756</v>
      </c>
      <c r="AY534" t="s">
        <v>8642</v>
      </c>
      <c r="AZ534" t="s">
        <v>4</v>
      </c>
      <c r="BA534" s="3" t="s">
        <v>95</v>
      </c>
      <c r="BB534" s="6" t="s">
        <v>95</v>
      </c>
      <c r="BC534" s="3" t="s">
        <v>95</v>
      </c>
      <c r="BD534" t="s">
        <v>4</v>
      </c>
      <c r="BE534">
        <v>6756</v>
      </c>
      <c r="BF534" t="s">
        <v>213</v>
      </c>
      <c r="BG534">
        <v>97.575800000000001</v>
      </c>
      <c r="BH534">
        <v>95.757599999999996</v>
      </c>
      <c r="BI534">
        <v>95.757599999999996</v>
      </c>
      <c r="BJ534">
        <v>82.424199999999999</v>
      </c>
      <c r="BK534">
        <v>79.393900000000002</v>
      </c>
      <c r="BL534">
        <v>76.969700000000003</v>
      </c>
      <c r="BM534">
        <v>78.787899999999993</v>
      </c>
      <c r="BN534">
        <v>78.787899999999993</v>
      </c>
      <c r="BO534">
        <v>73.939400000000006</v>
      </c>
      <c r="BP534">
        <v>40</v>
      </c>
      <c r="BQ534">
        <v>43.636400000000002</v>
      </c>
      <c r="BS534">
        <v>41.818199999999997</v>
      </c>
      <c r="BU534">
        <v>39.393900000000002</v>
      </c>
      <c r="BV534" t="s">
        <v>8643</v>
      </c>
      <c r="BX534">
        <v>39.393900000000002</v>
      </c>
      <c r="CA534">
        <v>36.969700000000003</v>
      </c>
      <c r="CC534">
        <v>20.606100000000001</v>
      </c>
      <c r="CD534">
        <v>26.060600000000001</v>
      </c>
      <c r="CF534">
        <v>28.4848</v>
      </c>
      <c r="CG534">
        <v>28.4848</v>
      </c>
      <c r="CH534">
        <v>27.878799999999998</v>
      </c>
      <c r="CI534">
        <v>28.4848</v>
      </c>
      <c r="CK534">
        <v>8</v>
      </c>
      <c r="CL534" t="s">
        <v>4</v>
      </c>
      <c r="CM534" t="s">
        <v>8644</v>
      </c>
      <c r="CN534" t="s">
        <v>8645</v>
      </c>
      <c r="CO534" t="s">
        <v>219</v>
      </c>
      <c r="CP534" t="s">
        <v>100</v>
      </c>
      <c r="CQ534" s="7">
        <v>536</v>
      </c>
      <c r="CR534" t="s">
        <v>100</v>
      </c>
      <c r="CS534" t="s">
        <v>100</v>
      </c>
      <c r="CT534" t="s">
        <v>152</v>
      </c>
      <c r="CU534" t="s">
        <v>102</v>
      </c>
      <c r="CV534" t="s">
        <v>100</v>
      </c>
    </row>
    <row r="535" spans="1:100">
      <c r="A535" s="3" t="s">
        <v>8646</v>
      </c>
      <c r="B535" s="4" t="s">
        <v>8647</v>
      </c>
      <c r="C535">
        <v>138.08562767680601</v>
      </c>
      <c r="D535">
        <v>513.13603856565896</v>
      </c>
      <c r="E535">
        <f>-1.8929762639036</f>
        <v>-1.8929762639036001</v>
      </c>
      <c r="F535" s="5">
        <v>2.9156659389785E-9</v>
      </c>
      <c r="G535" t="s">
        <v>4</v>
      </c>
      <c r="H535">
        <v>138.08562767680601</v>
      </c>
      <c r="I535">
        <v>114.40753081998599</v>
      </c>
      <c r="J535">
        <v>0.265381243036305</v>
      </c>
      <c r="K535">
        <v>0.46928121044375098</v>
      </c>
      <c r="L535" t="s">
        <v>4</v>
      </c>
      <c r="M535">
        <v>513.13603856565896</v>
      </c>
      <c r="N535">
        <v>114.40753081998599</v>
      </c>
      <c r="O535">
        <v>2.1583575069398999</v>
      </c>
      <c r="P535" s="5">
        <v>1.0829243578264699E-11</v>
      </c>
      <c r="Q535" t="s">
        <v>4</v>
      </c>
      <c r="R535" s="4" t="s">
        <v>87</v>
      </c>
      <c r="S535" t="s">
        <v>4</v>
      </c>
      <c r="T535" t="s">
        <v>92</v>
      </c>
      <c r="U535" t="s">
        <v>92</v>
      </c>
      <c r="V535" t="s">
        <v>92</v>
      </c>
      <c r="W535" t="s">
        <v>92</v>
      </c>
      <c r="X535" t="s">
        <v>4</v>
      </c>
      <c r="Y535" t="s">
        <v>92</v>
      </c>
      <c r="Z535" t="s">
        <v>92</v>
      </c>
      <c r="AA535" t="s">
        <v>92</v>
      </c>
      <c r="AB535" t="s">
        <v>4</v>
      </c>
      <c r="AC535" s="3" t="s">
        <v>93</v>
      </c>
      <c r="AD535" t="s">
        <v>4</v>
      </c>
      <c r="AE535" s="4" t="s">
        <v>94</v>
      </c>
      <c r="AZ535" t="s">
        <v>4</v>
      </c>
      <c r="BA535" s="3" t="s">
        <v>95</v>
      </c>
      <c r="BB535" s="6" t="s">
        <v>95</v>
      </c>
      <c r="BC535" s="3" t="s">
        <v>95</v>
      </c>
      <c r="BD535" t="s">
        <v>4</v>
      </c>
      <c r="BE535">
        <v>1283</v>
      </c>
      <c r="BF535" t="s">
        <v>151</v>
      </c>
      <c r="BG535" t="s">
        <v>8648</v>
      </c>
      <c r="BH535">
        <v>73.753299999999996</v>
      </c>
      <c r="BI535">
        <v>53.543300000000002</v>
      </c>
      <c r="BJ535">
        <v>37.007899999999999</v>
      </c>
      <c r="BK535">
        <v>27.296600000000002</v>
      </c>
      <c r="BL535">
        <v>33.333300000000001</v>
      </c>
      <c r="BM535">
        <v>34.645699999999998</v>
      </c>
      <c r="BN535">
        <v>34.908099999999997</v>
      </c>
      <c r="BO535">
        <v>32.283499999999997</v>
      </c>
      <c r="CK535">
        <v>2</v>
      </c>
      <c r="CL535" t="s">
        <v>4</v>
      </c>
      <c r="CM535" t="s">
        <v>98</v>
      </c>
      <c r="CN535" t="s">
        <v>98</v>
      </c>
      <c r="CO535" t="s">
        <v>99</v>
      </c>
      <c r="CP535" t="s">
        <v>100</v>
      </c>
      <c r="CQ535" s="7">
        <v>537</v>
      </c>
      <c r="CR535" t="s">
        <v>100</v>
      </c>
      <c r="CS535" t="s">
        <v>100</v>
      </c>
      <c r="CT535" t="s">
        <v>152</v>
      </c>
      <c r="CU535" t="s">
        <v>102</v>
      </c>
      <c r="CV535" t="s">
        <v>100</v>
      </c>
    </row>
    <row r="536" spans="1:100">
      <c r="A536" s="3" t="s">
        <v>8649</v>
      </c>
      <c r="B536" s="4" t="s">
        <v>8650</v>
      </c>
      <c r="C536">
        <v>685.39400038691394</v>
      </c>
      <c r="D536">
        <v>2016.06809925725</v>
      </c>
      <c r="E536">
        <f>-1.55647601686398</f>
        <v>-1.55647601686398</v>
      </c>
      <c r="F536" s="5">
        <v>2.81475249709388E-11</v>
      </c>
      <c r="G536" t="s">
        <v>4</v>
      </c>
      <c r="H536">
        <v>685.39400038691394</v>
      </c>
      <c r="I536">
        <v>455.89840022874</v>
      </c>
      <c r="J536">
        <v>0.58958233276321104</v>
      </c>
      <c r="K536">
        <v>1.73164686555809E-2</v>
      </c>
      <c r="L536" t="s">
        <v>4</v>
      </c>
      <c r="M536">
        <v>2016.06809925725</v>
      </c>
      <c r="N536">
        <v>455.89840022874</v>
      </c>
      <c r="O536">
        <v>2.1460583496271899</v>
      </c>
      <c r="P536" s="5">
        <v>8.3433036293329306E-21</v>
      </c>
      <c r="Q536" t="s">
        <v>4</v>
      </c>
      <c r="R536" s="4" t="s">
        <v>87</v>
      </c>
      <c r="S536" t="s">
        <v>4</v>
      </c>
      <c r="T536" t="s">
        <v>8651</v>
      </c>
      <c r="U536" t="s">
        <v>8652</v>
      </c>
      <c r="V536" t="s">
        <v>8653</v>
      </c>
      <c r="W536" t="s">
        <v>976</v>
      </c>
      <c r="X536" t="s">
        <v>4</v>
      </c>
      <c r="Y536" t="s">
        <v>8654</v>
      </c>
      <c r="Z536" t="s">
        <v>8655</v>
      </c>
      <c r="AA536" t="s">
        <v>8656</v>
      </c>
      <c r="AB536" t="s">
        <v>4</v>
      </c>
      <c r="AC536" s="3" t="s">
        <v>8657</v>
      </c>
      <c r="AD536" t="s">
        <v>4</v>
      </c>
      <c r="AE536" t="s">
        <v>8658</v>
      </c>
      <c r="AF536" t="s">
        <v>8659</v>
      </c>
      <c r="AG536" t="s">
        <v>8660</v>
      </c>
      <c r="AH536" t="s">
        <v>112</v>
      </c>
      <c r="AJ536" t="s">
        <v>8661</v>
      </c>
      <c r="AL536" t="s">
        <v>8662</v>
      </c>
      <c r="AM536" t="s">
        <v>8663</v>
      </c>
      <c r="AQ536" t="s">
        <v>8664</v>
      </c>
      <c r="AU536" t="s">
        <v>112</v>
      </c>
      <c r="AV536" t="s">
        <v>8665</v>
      </c>
      <c r="AW536" t="s">
        <v>114</v>
      </c>
      <c r="AX536" t="s">
        <v>371</v>
      </c>
      <c r="AY536" t="s">
        <v>8666</v>
      </c>
      <c r="AZ536" t="s">
        <v>4</v>
      </c>
      <c r="BA536" s="3" t="s">
        <v>95</v>
      </c>
      <c r="BB536" s="6" t="s">
        <v>95</v>
      </c>
      <c r="BC536" s="3" t="s">
        <v>95</v>
      </c>
      <c r="BD536" t="s">
        <v>4</v>
      </c>
      <c r="BE536">
        <v>9323</v>
      </c>
      <c r="BF536" t="s">
        <v>169</v>
      </c>
      <c r="BG536">
        <v>99.386499999999998</v>
      </c>
      <c r="BH536">
        <v>72.392600000000002</v>
      </c>
      <c r="BI536">
        <v>96.319000000000003</v>
      </c>
      <c r="BJ536">
        <v>91.411000000000001</v>
      </c>
      <c r="BL536">
        <v>79.141099999999994</v>
      </c>
      <c r="BM536">
        <v>87.730099999999993</v>
      </c>
      <c r="BN536">
        <v>88.343599999999995</v>
      </c>
      <c r="BO536">
        <v>88.343599999999995</v>
      </c>
      <c r="BP536">
        <v>39.877299999999998</v>
      </c>
      <c r="BQ536">
        <v>23.926400000000001</v>
      </c>
      <c r="BS536">
        <v>30.674800000000001</v>
      </c>
      <c r="BU536">
        <v>34.355800000000002</v>
      </c>
      <c r="BV536" t="s">
        <v>8667</v>
      </c>
      <c r="BX536">
        <v>34.355800000000002</v>
      </c>
      <c r="BY536">
        <v>38.036799999999999</v>
      </c>
      <c r="CA536">
        <v>32.515300000000003</v>
      </c>
      <c r="CB536">
        <v>36.809800000000003</v>
      </c>
      <c r="CE536">
        <v>31.901800000000001</v>
      </c>
      <c r="CF536" t="s">
        <v>8668</v>
      </c>
      <c r="CG536">
        <v>35.582799999999999</v>
      </c>
      <c r="CH536">
        <v>34.355800000000002</v>
      </c>
      <c r="CI536">
        <v>38.036799999999999</v>
      </c>
      <c r="CJ536">
        <v>28.2209</v>
      </c>
      <c r="CK536">
        <v>9</v>
      </c>
      <c r="CL536" t="s">
        <v>4</v>
      </c>
      <c r="CM536" t="s">
        <v>8669</v>
      </c>
      <c r="CN536" t="s">
        <v>8670</v>
      </c>
      <c r="CO536" t="s">
        <v>99</v>
      </c>
      <c r="CP536" t="s">
        <v>100</v>
      </c>
      <c r="CQ536" s="7">
        <v>538</v>
      </c>
      <c r="CR536" t="s">
        <v>100</v>
      </c>
      <c r="CS536" t="s">
        <v>100</v>
      </c>
      <c r="CT536" t="s">
        <v>152</v>
      </c>
      <c r="CU536" t="s">
        <v>102</v>
      </c>
      <c r="CV536" t="s">
        <v>100</v>
      </c>
    </row>
    <row r="537" spans="1:100">
      <c r="A537" s="3" t="s">
        <v>8671</v>
      </c>
      <c r="B537" s="4" t="s">
        <v>8672</v>
      </c>
      <c r="C537">
        <v>143.75487356201501</v>
      </c>
      <c r="D537">
        <v>561.78483215804795</v>
      </c>
      <c r="E537">
        <f>-1.96570385528289</f>
        <v>-1.96570385528289</v>
      </c>
      <c r="F537">
        <v>1.2517952242634399E-4</v>
      </c>
      <c r="G537" t="s">
        <v>4</v>
      </c>
      <c r="H537">
        <v>143.75487356201501</v>
      </c>
      <c r="I537">
        <v>127.724017175857</v>
      </c>
      <c r="J537">
        <v>0.17757273841363</v>
      </c>
      <c r="K537">
        <v>0.76010727292093905</v>
      </c>
      <c r="L537" t="s">
        <v>4</v>
      </c>
      <c r="M537">
        <v>561.78483215804795</v>
      </c>
      <c r="N537">
        <v>127.724017175857</v>
      </c>
      <c r="O537">
        <v>2.1432765936965201</v>
      </c>
      <c r="P537" s="5">
        <v>1.5379628517024999E-5</v>
      </c>
      <c r="Q537" t="s">
        <v>4</v>
      </c>
      <c r="R537" s="4" t="s">
        <v>87</v>
      </c>
      <c r="S537" t="s">
        <v>4</v>
      </c>
      <c r="T537" t="s">
        <v>88</v>
      </c>
      <c r="U537" t="s">
        <v>89</v>
      </c>
      <c r="V537" t="s">
        <v>90</v>
      </c>
      <c r="W537" t="s">
        <v>91</v>
      </c>
      <c r="X537" t="s">
        <v>4</v>
      </c>
      <c r="Y537" t="s">
        <v>8673</v>
      </c>
      <c r="Z537" t="s">
        <v>8674</v>
      </c>
      <c r="AA537" t="s">
        <v>8675</v>
      </c>
      <c r="AB537" t="s">
        <v>4</v>
      </c>
      <c r="AC537" s="3" t="s">
        <v>8676</v>
      </c>
      <c r="AD537" t="s">
        <v>4</v>
      </c>
      <c r="AE537" t="s">
        <v>8677</v>
      </c>
      <c r="AF537" t="s">
        <v>8678</v>
      </c>
      <c r="AG537" t="s">
        <v>8679</v>
      </c>
      <c r="AH537" t="s">
        <v>112</v>
      </c>
      <c r="AU537" t="s">
        <v>112</v>
      </c>
      <c r="AV537" t="s">
        <v>8680</v>
      </c>
      <c r="AW537" t="s">
        <v>114</v>
      </c>
      <c r="AX537" t="s">
        <v>536</v>
      </c>
      <c r="AY537" t="s">
        <v>8681</v>
      </c>
      <c r="AZ537" t="s">
        <v>4</v>
      </c>
      <c r="BA537" s="3" t="s">
        <v>95</v>
      </c>
      <c r="BB537" t="s">
        <v>96</v>
      </c>
      <c r="BC537" s="3" t="s">
        <v>197</v>
      </c>
      <c r="BD537" t="s">
        <v>4</v>
      </c>
      <c r="BE537">
        <v>3329</v>
      </c>
      <c r="BF537" t="s">
        <v>112</v>
      </c>
      <c r="BI537">
        <v>74.804400000000001</v>
      </c>
      <c r="BJ537">
        <v>74.334900000000005</v>
      </c>
      <c r="BN537">
        <v>71.674499999999995</v>
      </c>
      <c r="BP537">
        <v>49.2958</v>
      </c>
      <c r="BQ537">
        <v>31.924900000000001</v>
      </c>
      <c r="BR537">
        <v>30.046900000000001</v>
      </c>
      <c r="BS537">
        <v>37.402200000000001</v>
      </c>
      <c r="BU537">
        <v>24.4131</v>
      </c>
      <c r="BV537" t="s">
        <v>8682</v>
      </c>
      <c r="BW537">
        <v>38.028199999999998</v>
      </c>
      <c r="BX537">
        <v>40.375599999999999</v>
      </c>
      <c r="BY537">
        <v>26.604099999999999</v>
      </c>
      <c r="CA537">
        <v>30.046900000000001</v>
      </c>
      <c r="CK537">
        <v>5</v>
      </c>
      <c r="CL537" t="s">
        <v>4</v>
      </c>
      <c r="CM537" t="s">
        <v>8683</v>
      </c>
      <c r="CN537" t="s">
        <v>8684</v>
      </c>
      <c r="CO537" t="s">
        <v>99</v>
      </c>
      <c r="CP537" t="s">
        <v>100</v>
      </c>
      <c r="CQ537" s="7">
        <v>539</v>
      </c>
      <c r="CR537" t="s">
        <v>100</v>
      </c>
      <c r="CS537" t="s">
        <v>100</v>
      </c>
      <c r="CT537" t="s">
        <v>152</v>
      </c>
      <c r="CU537" t="s">
        <v>102</v>
      </c>
      <c r="CV537" t="s">
        <v>100</v>
      </c>
    </row>
    <row r="538" spans="1:100">
      <c r="A538" s="3" t="s">
        <v>8685</v>
      </c>
      <c r="B538" s="4" t="s">
        <v>8686</v>
      </c>
      <c r="C538">
        <v>79.488180812237303</v>
      </c>
      <c r="D538">
        <v>247.725926393511</v>
      </c>
      <c r="E538">
        <f>-1.64171482812879</f>
        <v>-1.6417148281287901</v>
      </c>
      <c r="F538" s="5">
        <v>5.8348117871378403E-6</v>
      </c>
      <c r="G538" t="s">
        <v>4</v>
      </c>
      <c r="H538">
        <v>79.488180812237303</v>
      </c>
      <c r="I538">
        <v>56.461703940370498</v>
      </c>
      <c r="J538">
        <v>0.50084313968713601</v>
      </c>
      <c r="K538">
        <v>0.21792817205705101</v>
      </c>
      <c r="L538" t="s">
        <v>4</v>
      </c>
      <c r="M538">
        <v>247.725926393511</v>
      </c>
      <c r="N538">
        <v>56.461703940370498</v>
      </c>
      <c r="O538">
        <v>2.1425579678159301</v>
      </c>
      <c r="P538" s="5">
        <v>3.7562921930574404E-9</v>
      </c>
      <c r="Q538" t="s">
        <v>4</v>
      </c>
      <c r="R538" s="4" t="s">
        <v>87</v>
      </c>
      <c r="S538" t="s">
        <v>4</v>
      </c>
      <c r="T538" t="s">
        <v>92</v>
      </c>
      <c r="U538" t="s">
        <v>92</v>
      </c>
      <c r="V538" t="s">
        <v>92</v>
      </c>
      <c r="W538" t="s">
        <v>92</v>
      </c>
      <c r="X538" t="s">
        <v>4</v>
      </c>
      <c r="Y538" t="s">
        <v>92</v>
      </c>
      <c r="Z538" t="s">
        <v>92</v>
      </c>
      <c r="AA538" t="s">
        <v>92</v>
      </c>
      <c r="AB538" t="s">
        <v>4</v>
      </c>
      <c r="AC538" s="3" t="s">
        <v>93</v>
      </c>
      <c r="AD538" t="s">
        <v>4</v>
      </c>
      <c r="AE538" s="4" t="s">
        <v>94</v>
      </c>
      <c r="AZ538" t="s">
        <v>4</v>
      </c>
      <c r="BA538" s="3" t="s">
        <v>115</v>
      </c>
      <c r="BB538" s="6" t="s">
        <v>95</v>
      </c>
      <c r="BC538" s="3" t="s">
        <v>95</v>
      </c>
      <c r="BD538" t="s">
        <v>4</v>
      </c>
      <c r="BE538">
        <v>4429</v>
      </c>
      <c r="BF538" t="s">
        <v>112</v>
      </c>
      <c r="BG538">
        <v>67.656800000000004</v>
      </c>
      <c r="BH538">
        <v>62.376199999999997</v>
      </c>
      <c r="BI538">
        <v>54.785499999999999</v>
      </c>
      <c r="BJ538">
        <v>53.795400000000001</v>
      </c>
      <c r="BK538">
        <v>8.2508199999999992</v>
      </c>
      <c r="BL538">
        <v>67.326700000000002</v>
      </c>
      <c r="BM538">
        <v>61.386099999999999</v>
      </c>
      <c r="BN538">
        <v>57.425699999999999</v>
      </c>
      <c r="BO538">
        <v>66.666700000000006</v>
      </c>
      <c r="BP538">
        <v>33.003300000000003</v>
      </c>
      <c r="CK538">
        <v>5</v>
      </c>
      <c r="CL538" t="s">
        <v>4</v>
      </c>
      <c r="CM538" t="s">
        <v>98</v>
      </c>
      <c r="CN538" t="s">
        <v>98</v>
      </c>
      <c r="CO538" t="s">
        <v>99</v>
      </c>
      <c r="CP538" t="s">
        <v>100</v>
      </c>
      <c r="CQ538" s="7">
        <v>540</v>
      </c>
      <c r="CR538" t="s">
        <v>100</v>
      </c>
      <c r="CS538" t="s">
        <v>100</v>
      </c>
      <c r="CT538" t="s">
        <v>152</v>
      </c>
      <c r="CU538" t="s">
        <v>102</v>
      </c>
      <c r="CV538" t="s">
        <v>100</v>
      </c>
    </row>
    <row r="539" spans="1:100">
      <c r="A539" s="3" t="s">
        <v>8687</v>
      </c>
      <c r="B539" s="4" t="s">
        <v>8688</v>
      </c>
      <c r="C539">
        <v>37.016091272577903</v>
      </c>
      <c r="D539">
        <v>99.237801613917796</v>
      </c>
      <c r="E539">
        <f>-1.41742103418875</f>
        <v>-1.4174210341887501</v>
      </c>
      <c r="F539">
        <v>2.9853169872174098E-3</v>
      </c>
      <c r="G539" t="s">
        <v>4</v>
      </c>
      <c r="H539">
        <v>37.016091272577903</v>
      </c>
      <c r="I539">
        <v>21.983767355764801</v>
      </c>
      <c r="J539">
        <v>0.72196517395711601</v>
      </c>
      <c r="K539">
        <v>0.17466560900198499</v>
      </c>
      <c r="L539" t="s">
        <v>4</v>
      </c>
      <c r="M539">
        <v>99.237801613917796</v>
      </c>
      <c r="N539">
        <v>21.983767355764801</v>
      </c>
      <c r="O539">
        <v>2.1393862081458601</v>
      </c>
      <c r="P539" s="5">
        <v>9.6771718471359906E-6</v>
      </c>
      <c r="Q539" t="s">
        <v>4</v>
      </c>
      <c r="R539" s="4" t="s">
        <v>87</v>
      </c>
      <c r="S539" t="s">
        <v>4</v>
      </c>
      <c r="T539" t="s">
        <v>88</v>
      </c>
      <c r="U539" t="s">
        <v>89</v>
      </c>
      <c r="V539" t="s">
        <v>90</v>
      </c>
      <c r="W539" t="s">
        <v>91</v>
      </c>
      <c r="X539" t="s">
        <v>4</v>
      </c>
      <c r="Y539" t="s">
        <v>8689</v>
      </c>
      <c r="Z539" t="s">
        <v>8690</v>
      </c>
      <c r="AA539" t="s">
        <v>8691</v>
      </c>
      <c r="AB539" t="s">
        <v>4</v>
      </c>
      <c r="AC539" s="3" t="s">
        <v>8692</v>
      </c>
      <c r="AD539" t="s">
        <v>4</v>
      </c>
      <c r="AE539" t="s">
        <v>8693</v>
      </c>
      <c r="AF539" t="s">
        <v>8694</v>
      </c>
      <c r="AG539" t="s">
        <v>3192</v>
      </c>
      <c r="AH539" t="s">
        <v>638</v>
      </c>
      <c r="AU539" t="s">
        <v>112</v>
      </c>
      <c r="AV539" t="s">
        <v>8695</v>
      </c>
      <c r="AW539" t="s">
        <v>114</v>
      </c>
      <c r="AZ539" t="s">
        <v>4</v>
      </c>
      <c r="BA539" s="3" t="s">
        <v>95</v>
      </c>
      <c r="BB539" t="s">
        <v>96</v>
      </c>
      <c r="BC539" s="3" t="s">
        <v>95</v>
      </c>
      <c r="BD539" t="s">
        <v>4</v>
      </c>
      <c r="BE539">
        <v>4594</v>
      </c>
      <c r="BF539" t="s">
        <v>112</v>
      </c>
      <c r="BG539">
        <v>97.718599999999995</v>
      </c>
      <c r="BI539">
        <v>92.395399999999995</v>
      </c>
      <c r="BK539">
        <v>52.091299999999997</v>
      </c>
      <c r="BL539">
        <v>30.038</v>
      </c>
      <c r="BO539">
        <v>52.851700000000001</v>
      </c>
      <c r="BQ539">
        <v>19.3916</v>
      </c>
      <c r="BW539">
        <v>18.6312</v>
      </c>
      <c r="BX539">
        <v>20.912500000000001</v>
      </c>
      <c r="CA539">
        <v>23.193899999999999</v>
      </c>
      <c r="CK539">
        <v>5</v>
      </c>
      <c r="CL539" t="s">
        <v>4</v>
      </c>
      <c r="CM539" t="s">
        <v>8696</v>
      </c>
      <c r="CN539" t="s">
        <v>8697</v>
      </c>
      <c r="CO539" t="s">
        <v>99</v>
      </c>
      <c r="CP539" t="s">
        <v>100</v>
      </c>
      <c r="CQ539" s="7">
        <v>541</v>
      </c>
      <c r="CR539" t="s">
        <v>100</v>
      </c>
      <c r="CS539" t="s">
        <v>100</v>
      </c>
      <c r="CT539" t="s">
        <v>152</v>
      </c>
      <c r="CU539" t="s">
        <v>102</v>
      </c>
      <c r="CV539" t="s">
        <v>100</v>
      </c>
    </row>
    <row r="540" spans="1:100">
      <c r="A540" s="3" t="s">
        <v>8698</v>
      </c>
      <c r="B540" s="4" t="s">
        <v>8699</v>
      </c>
      <c r="C540">
        <v>462.41496184718699</v>
      </c>
      <c r="D540">
        <v>1072.06237994651</v>
      </c>
      <c r="E540">
        <f>-1.21237920772634</f>
        <v>-1.21237920772634</v>
      </c>
      <c r="F540" s="5">
        <v>8.5491774321893096E-7</v>
      </c>
      <c r="G540" t="s">
        <v>4</v>
      </c>
      <c r="H540">
        <v>462.41496184718699</v>
      </c>
      <c r="I540">
        <v>244.19154234626899</v>
      </c>
      <c r="J540">
        <v>0.91514745138961295</v>
      </c>
      <c r="K540">
        <v>3.1195095573276601E-4</v>
      </c>
      <c r="L540" t="s">
        <v>4</v>
      </c>
      <c r="M540">
        <v>1072.06237994651</v>
      </c>
      <c r="N540">
        <v>244.19154234626899</v>
      </c>
      <c r="O540">
        <v>2.1275266591159498</v>
      </c>
      <c r="P540" s="5">
        <v>9.4734539021856491E-19</v>
      </c>
      <c r="Q540" t="s">
        <v>4</v>
      </c>
      <c r="R540" s="4" t="s">
        <v>87</v>
      </c>
      <c r="S540" t="s">
        <v>4</v>
      </c>
      <c r="T540" t="s">
        <v>4897</v>
      </c>
      <c r="U540" t="s">
        <v>4898</v>
      </c>
      <c r="V540" t="s">
        <v>4899</v>
      </c>
      <c r="W540" t="s">
        <v>203</v>
      </c>
      <c r="X540" t="s">
        <v>4</v>
      </c>
      <c r="Y540" t="s">
        <v>4900</v>
      </c>
      <c r="Z540" t="s">
        <v>4901</v>
      </c>
      <c r="AA540" t="s">
        <v>4902</v>
      </c>
      <c r="AB540" t="s">
        <v>4</v>
      </c>
      <c r="AC540" s="3" t="s">
        <v>2294</v>
      </c>
      <c r="AD540" t="s">
        <v>4</v>
      </c>
      <c r="AE540" t="s">
        <v>8700</v>
      </c>
      <c r="AF540" t="s">
        <v>8701</v>
      </c>
      <c r="AG540" t="s">
        <v>8702</v>
      </c>
      <c r="AH540" t="s">
        <v>112</v>
      </c>
      <c r="AU540" t="s">
        <v>112</v>
      </c>
      <c r="AV540" t="s">
        <v>8703</v>
      </c>
      <c r="AW540" t="s">
        <v>114</v>
      </c>
      <c r="AX540" t="s">
        <v>132</v>
      </c>
      <c r="AY540" t="s">
        <v>8704</v>
      </c>
      <c r="AZ540" t="s">
        <v>4</v>
      </c>
      <c r="BA540" s="3" t="s">
        <v>95</v>
      </c>
      <c r="BB540" s="6" t="s">
        <v>95</v>
      </c>
      <c r="BC540" s="3" t="s">
        <v>95</v>
      </c>
      <c r="BD540" t="s">
        <v>4</v>
      </c>
      <c r="BE540">
        <v>3821</v>
      </c>
      <c r="BF540" t="s">
        <v>112</v>
      </c>
      <c r="BG540">
        <v>99.721500000000006</v>
      </c>
      <c r="BH540">
        <v>82.172700000000006</v>
      </c>
      <c r="BI540">
        <v>88.579400000000007</v>
      </c>
      <c r="BJ540">
        <v>81.337000000000003</v>
      </c>
      <c r="BL540">
        <v>61.002800000000001</v>
      </c>
      <c r="BM540">
        <v>77.158799999999999</v>
      </c>
      <c r="BN540">
        <v>83.843999999999994</v>
      </c>
      <c r="BO540">
        <v>84.122600000000006</v>
      </c>
      <c r="BW540" t="s">
        <v>8705</v>
      </c>
      <c r="BX540">
        <v>37.883000000000003</v>
      </c>
      <c r="CA540">
        <v>13.3705</v>
      </c>
      <c r="CK540">
        <v>5</v>
      </c>
      <c r="CL540" t="s">
        <v>4</v>
      </c>
      <c r="CM540" t="s">
        <v>8706</v>
      </c>
      <c r="CN540" t="s">
        <v>8707</v>
      </c>
      <c r="CO540" t="s">
        <v>663</v>
      </c>
      <c r="CP540" t="s">
        <v>100</v>
      </c>
      <c r="CQ540" s="7">
        <v>542</v>
      </c>
      <c r="CR540" t="s">
        <v>100</v>
      </c>
      <c r="CS540" t="s">
        <v>100</v>
      </c>
      <c r="CT540" t="s">
        <v>152</v>
      </c>
      <c r="CU540" t="s">
        <v>102</v>
      </c>
      <c r="CV540" t="s">
        <v>100</v>
      </c>
    </row>
    <row r="541" spans="1:100">
      <c r="A541" s="3" t="s">
        <v>8708</v>
      </c>
      <c r="B541" s="4" t="s">
        <v>8709</v>
      </c>
      <c r="C541">
        <v>1002.29720981782</v>
      </c>
      <c r="D541">
        <v>2095.5732805441999</v>
      </c>
      <c r="E541">
        <f>-1.06402255442254</f>
        <v>-1.0640225544225399</v>
      </c>
      <c r="F541">
        <v>2.0961197144782201E-3</v>
      </c>
      <c r="G541" t="s">
        <v>4</v>
      </c>
      <c r="H541">
        <v>1002.29720981782</v>
      </c>
      <c r="I541">
        <v>483.18909303094199</v>
      </c>
      <c r="J541">
        <v>1.04726462932151</v>
      </c>
      <c r="K541">
        <v>2.04208381400319E-3</v>
      </c>
      <c r="L541" t="s">
        <v>4</v>
      </c>
      <c r="M541">
        <v>2095.5732805441999</v>
      </c>
      <c r="N541">
        <v>483.18909303094199</v>
      </c>
      <c r="O541">
        <v>2.1112871837440399</v>
      </c>
      <c r="P541" s="5">
        <v>6.6188962465453498E-11</v>
      </c>
      <c r="Q541" t="s">
        <v>4</v>
      </c>
      <c r="R541" s="4" t="s">
        <v>87</v>
      </c>
      <c r="S541" t="s">
        <v>4</v>
      </c>
      <c r="T541" t="s">
        <v>88</v>
      </c>
      <c r="U541" t="s">
        <v>89</v>
      </c>
      <c r="V541" t="s">
        <v>90</v>
      </c>
      <c r="W541" t="s">
        <v>91</v>
      </c>
      <c r="X541" t="s">
        <v>4</v>
      </c>
      <c r="Y541" t="s">
        <v>92</v>
      </c>
      <c r="Z541" t="s">
        <v>92</v>
      </c>
      <c r="AA541" t="s">
        <v>92</v>
      </c>
      <c r="AB541" t="s">
        <v>4</v>
      </c>
      <c r="AC541" s="3" t="s">
        <v>93</v>
      </c>
      <c r="AD541" t="s">
        <v>4</v>
      </c>
      <c r="AE541" s="4" t="s">
        <v>94</v>
      </c>
      <c r="AZ541" t="s">
        <v>4</v>
      </c>
      <c r="BA541" s="3" t="s">
        <v>95</v>
      </c>
      <c r="BB541" t="s">
        <v>96</v>
      </c>
      <c r="BC541" s="3" t="s">
        <v>95</v>
      </c>
      <c r="BD541" t="s">
        <v>4</v>
      </c>
      <c r="BE541">
        <v>2131</v>
      </c>
      <c r="BF541" t="s">
        <v>148</v>
      </c>
      <c r="BG541">
        <v>96.652699999999996</v>
      </c>
      <c r="BH541">
        <v>62.552300000000002</v>
      </c>
      <c r="BI541" t="s">
        <v>8710</v>
      </c>
      <c r="BJ541">
        <v>40.167400000000001</v>
      </c>
      <c r="BK541" t="s">
        <v>8711</v>
      </c>
      <c r="BL541">
        <v>25.732199999999999</v>
      </c>
      <c r="BM541">
        <v>38.493699999999997</v>
      </c>
      <c r="BN541">
        <v>30.7531</v>
      </c>
      <c r="BO541" t="s">
        <v>8712</v>
      </c>
      <c r="CK541">
        <v>3</v>
      </c>
      <c r="CL541" t="s">
        <v>4</v>
      </c>
      <c r="CM541" t="s">
        <v>98</v>
      </c>
      <c r="CN541" t="s">
        <v>98</v>
      </c>
      <c r="CO541" t="s">
        <v>99</v>
      </c>
      <c r="CP541" t="s">
        <v>100</v>
      </c>
      <c r="CQ541" s="7">
        <v>543</v>
      </c>
      <c r="CR541" t="s">
        <v>100</v>
      </c>
      <c r="CS541" s="7" t="s">
        <v>101</v>
      </c>
      <c r="CT541" t="s">
        <v>152</v>
      </c>
      <c r="CU541" t="s">
        <v>102</v>
      </c>
      <c r="CV541" t="s">
        <v>100</v>
      </c>
    </row>
    <row r="542" spans="1:100">
      <c r="A542" s="3" t="s">
        <v>8713</v>
      </c>
      <c r="B542" s="4" t="s">
        <v>8714</v>
      </c>
      <c r="C542">
        <v>119.03311769951701</v>
      </c>
      <c r="D542">
        <v>376.80769081753499</v>
      </c>
      <c r="E542">
        <f>-1.66087502830894</f>
        <v>-1.66087502830894</v>
      </c>
      <c r="F542" s="5">
        <v>4.0975313674980597E-12</v>
      </c>
      <c r="G542" t="s">
        <v>4</v>
      </c>
      <c r="H542">
        <v>119.03311769951701</v>
      </c>
      <c r="I542">
        <v>87.211058881770896</v>
      </c>
      <c r="J542">
        <v>0.44568194059238803</v>
      </c>
      <c r="K542">
        <v>0.108893081609655</v>
      </c>
      <c r="L542" t="s">
        <v>4</v>
      </c>
      <c r="M542">
        <v>376.80769081753499</v>
      </c>
      <c r="N542">
        <v>87.211058881770896</v>
      </c>
      <c r="O542">
        <v>2.1065569689013302</v>
      </c>
      <c r="P542" s="5">
        <v>1.8177786497248999E-17</v>
      </c>
      <c r="Q542" t="s">
        <v>4</v>
      </c>
      <c r="R542" s="4" t="s">
        <v>87</v>
      </c>
      <c r="S542" t="s">
        <v>4</v>
      </c>
      <c r="T542" t="s">
        <v>1682</v>
      </c>
      <c r="U542" t="s">
        <v>1683</v>
      </c>
      <c r="V542" t="s">
        <v>1684</v>
      </c>
      <c r="W542" t="s">
        <v>976</v>
      </c>
      <c r="X542" t="s">
        <v>4</v>
      </c>
      <c r="Y542" t="s">
        <v>5601</v>
      </c>
      <c r="Z542" t="s">
        <v>5602</v>
      </c>
      <c r="AA542" t="s">
        <v>5603</v>
      </c>
      <c r="AB542" t="s">
        <v>4</v>
      </c>
      <c r="AC542" s="3" t="s">
        <v>8715</v>
      </c>
      <c r="AD542" t="s">
        <v>4</v>
      </c>
      <c r="AE542" t="s">
        <v>8716</v>
      </c>
      <c r="AF542" t="s">
        <v>8717</v>
      </c>
      <c r="AG542" t="s">
        <v>8718</v>
      </c>
      <c r="AH542" t="s">
        <v>112</v>
      </c>
      <c r="AU542" t="s">
        <v>112</v>
      </c>
      <c r="AV542" t="s">
        <v>8719</v>
      </c>
      <c r="AW542" t="s">
        <v>114</v>
      </c>
      <c r="AX542" t="s">
        <v>345</v>
      </c>
      <c r="AY542" t="s">
        <v>8720</v>
      </c>
      <c r="AZ542" t="s">
        <v>4</v>
      </c>
      <c r="BA542" s="3" t="s">
        <v>95</v>
      </c>
      <c r="BB542" t="s">
        <v>96</v>
      </c>
      <c r="BC542" s="3" t="s">
        <v>95</v>
      </c>
      <c r="BD542" t="s">
        <v>4</v>
      </c>
      <c r="BE542">
        <v>8200</v>
      </c>
      <c r="BF542" t="s">
        <v>213</v>
      </c>
      <c r="BG542">
        <v>86.503100000000003</v>
      </c>
      <c r="BI542">
        <v>89.366100000000003</v>
      </c>
      <c r="BJ542">
        <v>73.824100000000001</v>
      </c>
      <c r="BK542">
        <v>68.507199999999997</v>
      </c>
      <c r="BL542">
        <v>39.672800000000002</v>
      </c>
      <c r="BM542">
        <v>63.803699999999999</v>
      </c>
      <c r="BN542">
        <v>69.938699999999997</v>
      </c>
      <c r="BO542">
        <v>28.2209</v>
      </c>
      <c r="BP542" t="s">
        <v>8721</v>
      </c>
      <c r="BQ542">
        <v>50.920200000000001</v>
      </c>
      <c r="BR542">
        <v>55.623699999999999</v>
      </c>
      <c r="BS542" t="s">
        <v>8722</v>
      </c>
      <c r="BT542">
        <v>42.535800000000002</v>
      </c>
      <c r="BU542">
        <v>41.717799999999997</v>
      </c>
      <c r="BV542" t="s">
        <v>8723</v>
      </c>
      <c r="BW542">
        <v>41.9223</v>
      </c>
      <c r="BX542" t="s">
        <v>8724</v>
      </c>
      <c r="BY542">
        <v>26.584900000000001</v>
      </c>
      <c r="BZ542" t="s">
        <v>8725</v>
      </c>
      <c r="CA542" t="s">
        <v>8726</v>
      </c>
      <c r="CB542" t="s">
        <v>8727</v>
      </c>
      <c r="CC542">
        <v>40.899799999999999</v>
      </c>
      <c r="CD542" t="s">
        <v>8728</v>
      </c>
      <c r="CE542">
        <v>32.719799999999999</v>
      </c>
      <c r="CF542">
        <v>36.400799999999997</v>
      </c>
      <c r="CG542" t="s">
        <v>8729</v>
      </c>
      <c r="CH542" t="s">
        <v>8730</v>
      </c>
      <c r="CI542" t="s">
        <v>8731</v>
      </c>
      <c r="CK542">
        <v>8</v>
      </c>
      <c r="CL542" t="s">
        <v>4</v>
      </c>
      <c r="CM542" t="s">
        <v>8732</v>
      </c>
      <c r="CN542" t="s">
        <v>8733</v>
      </c>
      <c r="CO542" t="s">
        <v>663</v>
      </c>
      <c r="CP542" t="s">
        <v>100</v>
      </c>
      <c r="CQ542" s="7">
        <v>544</v>
      </c>
      <c r="CR542" t="s">
        <v>100</v>
      </c>
      <c r="CS542" t="s">
        <v>100</v>
      </c>
      <c r="CT542" t="s">
        <v>152</v>
      </c>
      <c r="CU542" t="s">
        <v>102</v>
      </c>
      <c r="CV542" t="s">
        <v>100</v>
      </c>
    </row>
    <row r="543" spans="1:100">
      <c r="A543" s="3" t="s">
        <v>8734</v>
      </c>
      <c r="B543" s="4" t="s">
        <v>8735</v>
      </c>
      <c r="C543">
        <v>935.74939330477298</v>
      </c>
      <c r="D543">
        <v>1981.46056725221</v>
      </c>
      <c r="E543">
        <f>-1.08196451170727</f>
        <v>-1.08196451170727</v>
      </c>
      <c r="F543" s="5">
        <v>1.4733355631250499E-10</v>
      </c>
      <c r="G543" t="s">
        <v>4</v>
      </c>
      <c r="H543">
        <v>935.74939330477298</v>
      </c>
      <c r="I543">
        <v>462.05614276261298</v>
      </c>
      <c r="J543">
        <v>1.0194197411028501</v>
      </c>
      <c r="K543" s="5">
        <v>3.45061292045196E-9</v>
      </c>
      <c r="L543" t="s">
        <v>4</v>
      </c>
      <c r="M543">
        <v>1981.46056725221</v>
      </c>
      <c r="N543">
        <v>462.05614276261298</v>
      </c>
      <c r="O543">
        <v>2.1013842528101301</v>
      </c>
      <c r="P543" s="5">
        <v>2.5284013256310402E-36</v>
      </c>
      <c r="Q543" t="s">
        <v>4</v>
      </c>
      <c r="R543" s="4" t="s">
        <v>87</v>
      </c>
      <c r="S543" t="s">
        <v>4</v>
      </c>
      <c r="T543" t="s">
        <v>92</v>
      </c>
      <c r="U543" t="s">
        <v>92</v>
      </c>
      <c r="V543" t="s">
        <v>92</v>
      </c>
      <c r="W543" t="s">
        <v>92</v>
      </c>
      <c r="X543" t="s">
        <v>4</v>
      </c>
      <c r="Y543" t="s">
        <v>92</v>
      </c>
      <c r="Z543" t="s">
        <v>92</v>
      </c>
      <c r="AA543" t="s">
        <v>92</v>
      </c>
      <c r="AB543" t="s">
        <v>4</v>
      </c>
      <c r="AC543" s="3" t="s">
        <v>8736</v>
      </c>
      <c r="AD543" t="s">
        <v>4</v>
      </c>
      <c r="AE543" s="4" t="s">
        <v>94</v>
      </c>
      <c r="AZ543" t="s">
        <v>4</v>
      </c>
      <c r="BA543" s="3" t="s">
        <v>115</v>
      </c>
      <c r="BB543" s="6" t="s">
        <v>95</v>
      </c>
      <c r="BC543" s="3" t="s">
        <v>95</v>
      </c>
      <c r="BD543" t="s">
        <v>4</v>
      </c>
      <c r="BE543">
        <v>1896</v>
      </c>
      <c r="BF543" t="s">
        <v>148</v>
      </c>
      <c r="BG543" t="s">
        <v>8737</v>
      </c>
      <c r="BJ543">
        <v>67.924499999999995</v>
      </c>
      <c r="BK543">
        <v>63.018900000000002</v>
      </c>
      <c r="BL543" t="s">
        <v>8738</v>
      </c>
      <c r="BM543">
        <v>62.075499999999998</v>
      </c>
      <c r="BN543">
        <v>61.509399999999999</v>
      </c>
      <c r="BO543" t="s">
        <v>8739</v>
      </c>
      <c r="CK543">
        <v>3</v>
      </c>
      <c r="CL543" t="s">
        <v>4</v>
      </c>
      <c r="CM543" t="s">
        <v>98</v>
      </c>
      <c r="CN543" t="s">
        <v>98</v>
      </c>
      <c r="CO543" t="s">
        <v>99</v>
      </c>
      <c r="CP543" t="s">
        <v>100</v>
      </c>
      <c r="CQ543" s="7">
        <v>545</v>
      </c>
      <c r="CR543" t="s">
        <v>100</v>
      </c>
      <c r="CS543" s="7" t="s">
        <v>101</v>
      </c>
      <c r="CT543" t="s">
        <v>152</v>
      </c>
      <c r="CU543" t="s">
        <v>102</v>
      </c>
      <c r="CV543" t="s">
        <v>100</v>
      </c>
    </row>
    <row r="544" spans="1:100">
      <c r="A544" s="3" t="s">
        <v>8740</v>
      </c>
      <c r="B544" s="4" t="s">
        <v>8741</v>
      </c>
      <c r="C544">
        <v>54.324236742515502</v>
      </c>
      <c r="D544">
        <v>165.98874365960299</v>
      </c>
      <c r="E544">
        <f>-1.60746383921372</f>
        <v>-1.6074638392137199</v>
      </c>
      <c r="F544">
        <v>2.19722896783521E-4</v>
      </c>
      <c r="G544" t="s">
        <v>4</v>
      </c>
      <c r="H544">
        <v>54.324236742515502</v>
      </c>
      <c r="I544">
        <v>38.6605641167491</v>
      </c>
      <c r="J544">
        <v>0.483163492903115</v>
      </c>
      <c r="K544">
        <v>0.32058973348120201</v>
      </c>
      <c r="L544" t="s">
        <v>4</v>
      </c>
      <c r="M544">
        <v>165.98874365960299</v>
      </c>
      <c r="N544">
        <v>38.6605641167491</v>
      </c>
      <c r="O544">
        <v>2.0906273321168301</v>
      </c>
      <c r="P544" s="5">
        <v>1.45560133179872E-6</v>
      </c>
      <c r="Q544" t="s">
        <v>4</v>
      </c>
      <c r="R544" s="4" t="s">
        <v>87</v>
      </c>
      <c r="S544" t="s">
        <v>4</v>
      </c>
      <c r="T544" t="s">
        <v>8742</v>
      </c>
      <c r="U544" t="s">
        <v>8743</v>
      </c>
      <c r="V544" t="s">
        <v>8744</v>
      </c>
      <c r="W544" t="s">
        <v>328</v>
      </c>
      <c r="X544" t="s">
        <v>4</v>
      </c>
      <c r="Y544" t="s">
        <v>8745</v>
      </c>
      <c r="Z544" t="s">
        <v>8746</v>
      </c>
      <c r="AA544" t="s">
        <v>8747</v>
      </c>
      <c r="AB544" t="s">
        <v>4</v>
      </c>
      <c r="AC544" s="3" t="s">
        <v>8748</v>
      </c>
      <c r="AD544" t="s">
        <v>4</v>
      </c>
      <c r="AE544" t="s">
        <v>8749</v>
      </c>
      <c r="AF544" t="s">
        <v>8750</v>
      </c>
      <c r="AG544" t="s">
        <v>8751</v>
      </c>
      <c r="AH544" t="s">
        <v>112</v>
      </c>
      <c r="AL544" t="s">
        <v>8752</v>
      </c>
      <c r="AM544" t="s">
        <v>7600</v>
      </c>
      <c r="AN544" t="s">
        <v>8753</v>
      </c>
      <c r="AO544" t="s">
        <v>7602</v>
      </c>
      <c r="AP544" t="s">
        <v>7603</v>
      </c>
      <c r="AQ544" t="s">
        <v>7604</v>
      </c>
      <c r="AU544" t="s">
        <v>112</v>
      </c>
      <c r="AV544" t="s">
        <v>8754</v>
      </c>
      <c r="AW544" t="s">
        <v>114</v>
      </c>
      <c r="AX544" t="s">
        <v>371</v>
      </c>
      <c r="AY544" t="s">
        <v>8755</v>
      </c>
      <c r="AZ544" t="s">
        <v>4</v>
      </c>
      <c r="BA544" s="3" t="s">
        <v>95</v>
      </c>
      <c r="BB544" s="6" t="s">
        <v>95</v>
      </c>
      <c r="BC544" s="3" t="s">
        <v>95</v>
      </c>
      <c r="BD544" t="s">
        <v>4</v>
      </c>
      <c r="BE544">
        <v>10741</v>
      </c>
      <c r="BF544" t="s">
        <v>169</v>
      </c>
      <c r="BG544">
        <v>99.074100000000001</v>
      </c>
      <c r="BI544">
        <v>99.074100000000001</v>
      </c>
      <c r="BJ544">
        <v>95.370400000000004</v>
      </c>
      <c r="BK544">
        <v>94.444400000000002</v>
      </c>
      <c r="BL544">
        <v>92.592600000000004</v>
      </c>
      <c r="BM544">
        <v>90.740700000000004</v>
      </c>
      <c r="BN544">
        <v>88.888900000000007</v>
      </c>
      <c r="BO544">
        <v>94.444400000000002</v>
      </c>
      <c r="BQ544">
        <v>67.592600000000004</v>
      </c>
      <c r="BR544">
        <v>64.814800000000005</v>
      </c>
      <c r="BS544">
        <v>67.592600000000004</v>
      </c>
      <c r="BT544">
        <v>54.629600000000003</v>
      </c>
      <c r="BV544" t="s">
        <v>6692</v>
      </c>
      <c r="BX544">
        <v>66.666700000000006</v>
      </c>
      <c r="BZ544">
        <v>72.222200000000001</v>
      </c>
      <c r="CA544">
        <v>68.518500000000003</v>
      </c>
      <c r="CB544">
        <v>64.814800000000005</v>
      </c>
      <c r="CC544">
        <v>46.296300000000002</v>
      </c>
      <c r="CD544">
        <v>61.1111</v>
      </c>
      <c r="CE544">
        <v>40.740699999999997</v>
      </c>
      <c r="CF544">
        <v>53.703699999999998</v>
      </c>
      <c r="CG544">
        <v>60.185200000000002</v>
      </c>
      <c r="CH544">
        <v>60.185200000000002</v>
      </c>
      <c r="CI544">
        <v>59.259300000000003</v>
      </c>
      <c r="CJ544">
        <v>49.074100000000001</v>
      </c>
      <c r="CK544">
        <v>9</v>
      </c>
      <c r="CL544" t="s">
        <v>4</v>
      </c>
      <c r="CM544" t="s">
        <v>8756</v>
      </c>
      <c r="CN544" t="s">
        <v>8757</v>
      </c>
      <c r="CO544" t="s">
        <v>219</v>
      </c>
      <c r="CP544" t="s">
        <v>100</v>
      </c>
      <c r="CQ544" s="7">
        <v>546</v>
      </c>
      <c r="CR544" t="s">
        <v>100</v>
      </c>
      <c r="CS544" t="s">
        <v>100</v>
      </c>
      <c r="CT544" t="s">
        <v>152</v>
      </c>
      <c r="CU544" t="s">
        <v>102</v>
      </c>
      <c r="CV544" t="s">
        <v>100</v>
      </c>
    </row>
    <row r="545" spans="1:100">
      <c r="A545" s="3" t="s">
        <v>8758</v>
      </c>
      <c r="B545" s="4" t="s">
        <v>8759</v>
      </c>
      <c r="C545">
        <v>2486.7646044726598</v>
      </c>
      <c r="D545">
        <v>5117.1907158705199</v>
      </c>
      <c r="E545">
        <f>-1.04105018980695</f>
        <v>-1.04105018980695</v>
      </c>
      <c r="F545" s="5">
        <v>3.1266737513559997E-8</v>
      </c>
      <c r="G545" t="s">
        <v>4</v>
      </c>
      <c r="H545">
        <v>2486.7646044726598</v>
      </c>
      <c r="I545">
        <v>1203.93056611408</v>
      </c>
      <c r="J545">
        <v>1.04378869028221</v>
      </c>
      <c r="K545" s="5">
        <v>2.2232659180504E-8</v>
      </c>
      <c r="L545" t="s">
        <v>4</v>
      </c>
      <c r="M545">
        <v>5117.1907158705199</v>
      </c>
      <c r="N545">
        <v>1203.93056611408</v>
      </c>
      <c r="O545">
        <v>2.0848388800891602</v>
      </c>
      <c r="P545" s="5">
        <v>1.01971182178256E-30</v>
      </c>
      <c r="Q545" t="s">
        <v>4</v>
      </c>
      <c r="R545" s="4" t="s">
        <v>87</v>
      </c>
      <c r="S545" t="s">
        <v>4</v>
      </c>
      <c r="T545" t="s">
        <v>8760</v>
      </c>
      <c r="U545" t="s">
        <v>8761</v>
      </c>
      <c r="V545" t="s">
        <v>8762</v>
      </c>
      <c r="W545" t="s">
        <v>203</v>
      </c>
      <c r="X545" t="s">
        <v>4</v>
      </c>
      <c r="Y545" t="s">
        <v>8763</v>
      </c>
      <c r="Z545" t="s">
        <v>8764</v>
      </c>
      <c r="AA545" t="s">
        <v>8765</v>
      </c>
      <c r="AB545" t="s">
        <v>4</v>
      </c>
      <c r="AC545" s="3" t="s">
        <v>8766</v>
      </c>
      <c r="AD545" t="s">
        <v>4</v>
      </c>
      <c r="AE545" t="s">
        <v>8767</v>
      </c>
      <c r="AF545" t="s">
        <v>834</v>
      </c>
      <c r="AG545" t="s">
        <v>8768</v>
      </c>
      <c r="AH545" t="s">
        <v>386</v>
      </c>
      <c r="AU545" t="s">
        <v>112</v>
      </c>
      <c r="AV545" t="s">
        <v>8769</v>
      </c>
      <c r="AW545" t="s">
        <v>114</v>
      </c>
      <c r="AX545" t="s">
        <v>371</v>
      </c>
      <c r="AY545" t="s">
        <v>8770</v>
      </c>
      <c r="AZ545" t="s">
        <v>4</v>
      </c>
      <c r="BA545" s="3" t="s">
        <v>115</v>
      </c>
      <c r="BB545" s="6" t="s">
        <v>95</v>
      </c>
      <c r="BC545" s="3" t="s">
        <v>95</v>
      </c>
      <c r="BD545" t="s">
        <v>4</v>
      </c>
      <c r="BE545">
        <v>7971</v>
      </c>
      <c r="BF545" t="s">
        <v>213</v>
      </c>
      <c r="BG545">
        <v>95.191299999999998</v>
      </c>
      <c r="BH545">
        <v>80.874300000000005</v>
      </c>
      <c r="BI545" t="s">
        <v>8771</v>
      </c>
      <c r="BJ545">
        <v>68.961699999999993</v>
      </c>
      <c r="BK545">
        <v>66.229500000000002</v>
      </c>
      <c r="BL545">
        <v>26.557400000000001</v>
      </c>
      <c r="BM545">
        <v>45.792400000000001</v>
      </c>
      <c r="BN545">
        <v>71.256799999999998</v>
      </c>
      <c r="BO545">
        <v>68.415300000000002</v>
      </c>
      <c r="BP545">
        <v>43.387999999999998</v>
      </c>
      <c r="BR545">
        <v>31.366099999999999</v>
      </c>
      <c r="BT545">
        <v>14.9727</v>
      </c>
      <c r="BW545" t="s">
        <v>8772</v>
      </c>
      <c r="BX545">
        <v>25.901599999999998</v>
      </c>
      <c r="BY545">
        <v>6.6666699999999999</v>
      </c>
      <c r="BZ545" t="s">
        <v>8773</v>
      </c>
      <c r="CA545" t="s">
        <v>8774</v>
      </c>
      <c r="CF545">
        <v>14.8634</v>
      </c>
      <c r="CG545">
        <v>35.082000000000001</v>
      </c>
      <c r="CH545">
        <v>35.3005</v>
      </c>
      <c r="CI545">
        <v>34.754100000000001</v>
      </c>
      <c r="CJ545" t="s">
        <v>8775</v>
      </c>
      <c r="CK545">
        <v>8</v>
      </c>
      <c r="CL545" t="s">
        <v>4</v>
      </c>
      <c r="CM545" t="s">
        <v>8776</v>
      </c>
      <c r="CN545" t="s">
        <v>8777</v>
      </c>
      <c r="CO545" t="s">
        <v>1523</v>
      </c>
      <c r="CP545" t="s">
        <v>100</v>
      </c>
      <c r="CQ545" s="7">
        <v>547</v>
      </c>
      <c r="CR545" t="s">
        <v>100</v>
      </c>
      <c r="CS545" s="7" t="s">
        <v>101</v>
      </c>
      <c r="CT545" t="s">
        <v>152</v>
      </c>
      <c r="CU545" t="s">
        <v>102</v>
      </c>
      <c r="CV545" t="s">
        <v>100</v>
      </c>
    </row>
    <row r="546" spans="1:100">
      <c r="A546" s="3" t="s">
        <v>8778</v>
      </c>
      <c r="B546" s="4" t="s">
        <v>8779</v>
      </c>
      <c r="C546">
        <v>1234.3282006520601</v>
      </c>
      <c r="D546">
        <v>2485.2000348665401</v>
      </c>
      <c r="E546">
        <f>-1.00957773292897</f>
        <v>-1.0095777329289699</v>
      </c>
      <c r="F546">
        <v>7.4374850242818599E-4</v>
      </c>
      <c r="G546" t="s">
        <v>4</v>
      </c>
      <c r="H546">
        <v>1234.3282006520601</v>
      </c>
      <c r="I546">
        <v>585.24874816081206</v>
      </c>
      <c r="J546">
        <v>1.0747658085032801</v>
      </c>
      <c r="K546">
        <v>2.4685373784008602E-4</v>
      </c>
      <c r="L546" t="s">
        <v>4</v>
      </c>
      <c r="M546">
        <v>2485.2000348665401</v>
      </c>
      <c r="N546">
        <v>585.24874816081206</v>
      </c>
      <c r="O546">
        <v>2.0843435414322502</v>
      </c>
      <c r="P546" s="5">
        <v>1.0994825872114099E-13</v>
      </c>
      <c r="Q546" t="s">
        <v>4</v>
      </c>
      <c r="R546" s="4" t="s">
        <v>87</v>
      </c>
      <c r="S546" t="s">
        <v>4</v>
      </c>
      <c r="T546" t="s">
        <v>8780</v>
      </c>
      <c r="U546" t="s">
        <v>8781</v>
      </c>
      <c r="V546" t="s">
        <v>8782</v>
      </c>
      <c r="W546" t="s">
        <v>328</v>
      </c>
      <c r="X546" t="s">
        <v>4</v>
      </c>
      <c r="Y546" t="s">
        <v>8783</v>
      </c>
      <c r="Z546" t="s">
        <v>8784</v>
      </c>
      <c r="AA546" t="s">
        <v>8785</v>
      </c>
      <c r="AB546" t="s">
        <v>4</v>
      </c>
      <c r="AC546" s="3" t="s">
        <v>8786</v>
      </c>
      <c r="AD546" t="s">
        <v>4</v>
      </c>
      <c r="AE546" t="s">
        <v>8787</v>
      </c>
      <c r="AF546" t="s">
        <v>8788</v>
      </c>
      <c r="AG546" t="s">
        <v>8789</v>
      </c>
      <c r="AH546" t="s">
        <v>112</v>
      </c>
      <c r="AI546" t="s">
        <v>8790</v>
      </c>
      <c r="AJ546" t="s">
        <v>8791</v>
      </c>
      <c r="AK546" t="s">
        <v>8792</v>
      </c>
      <c r="AL546" t="s">
        <v>8793</v>
      </c>
      <c r="AM546" t="s">
        <v>8794</v>
      </c>
      <c r="AQ546" t="s">
        <v>8795</v>
      </c>
      <c r="AU546" t="s">
        <v>112</v>
      </c>
      <c r="AV546" t="s">
        <v>8796</v>
      </c>
      <c r="AW546" t="s">
        <v>114</v>
      </c>
      <c r="AX546" t="s">
        <v>733</v>
      </c>
      <c r="AY546" t="s">
        <v>8797</v>
      </c>
      <c r="AZ546" t="s">
        <v>4</v>
      </c>
      <c r="BA546" s="3" t="s">
        <v>95</v>
      </c>
      <c r="BB546" s="6" t="s">
        <v>95</v>
      </c>
      <c r="BC546" s="3" t="s">
        <v>95</v>
      </c>
      <c r="BD546" t="s">
        <v>4</v>
      </c>
      <c r="BE546">
        <v>9460</v>
      </c>
      <c r="BF546" t="s">
        <v>169</v>
      </c>
      <c r="BG546">
        <v>99.233699999999999</v>
      </c>
      <c r="BI546">
        <v>95.785399999999996</v>
      </c>
      <c r="BJ546">
        <v>64.751000000000005</v>
      </c>
      <c r="BK546">
        <v>83.908000000000001</v>
      </c>
      <c r="BL546">
        <v>65.900400000000005</v>
      </c>
      <c r="BM546" t="s">
        <v>8798</v>
      </c>
      <c r="BN546">
        <v>88.888900000000007</v>
      </c>
      <c r="BO546">
        <v>86.206900000000005</v>
      </c>
      <c r="BP546">
        <v>61.6858</v>
      </c>
      <c r="BQ546">
        <v>43.678199999999997</v>
      </c>
      <c r="BR546">
        <v>27.586200000000002</v>
      </c>
      <c r="BS546">
        <v>40.229900000000001</v>
      </c>
      <c r="BT546">
        <v>44.444400000000002</v>
      </c>
      <c r="BU546">
        <v>48.2759</v>
      </c>
      <c r="BV546" t="s">
        <v>8799</v>
      </c>
      <c r="BX546">
        <v>51.7241</v>
      </c>
      <c r="BY546">
        <v>25.670500000000001</v>
      </c>
      <c r="BZ546">
        <v>32.950200000000002</v>
      </c>
      <c r="CA546">
        <v>47.126399999999997</v>
      </c>
      <c r="CB546">
        <v>45.976999999999997</v>
      </c>
      <c r="CD546">
        <v>48.658999999999999</v>
      </c>
      <c r="CE546">
        <v>50.191600000000001</v>
      </c>
      <c r="CF546">
        <v>47.126399999999997</v>
      </c>
      <c r="CG546">
        <v>48.2759</v>
      </c>
      <c r="CH546">
        <v>47.126399999999997</v>
      </c>
      <c r="CI546">
        <v>49.4253</v>
      </c>
      <c r="CJ546" t="s">
        <v>3818</v>
      </c>
      <c r="CK546">
        <v>9</v>
      </c>
      <c r="CL546" t="s">
        <v>4</v>
      </c>
      <c r="CM546" t="s">
        <v>8800</v>
      </c>
      <c r="CN546" t="s">
        <v>8801</v>
      </c>
      <c r="CO546" t="s">
        <v>219</v>
      </c>
      <c r="CP546" t="s">
        <v>100</v>
      </c>
      <c r="CQ546" s="7">
        <v>548</v>
      </c>
      <c r="CR546" t="s">
        <v>100</v>
      </c>
      <c r="CS546" s="7" t="s">
        <v>101</v>
      </c>
      <c r="CT546" t="s">
        <v>152</v>
      </c>
      <c r="CU546" t="s">
        <v>102</v>
      </c>
      <c r="CV546" t="s">
        <v>100</v>
      </c>
    </row>
    <row r="547" spans="1:100">
      <c r="A547" s="3" t="s">
        <v>8802</v>
      </c>
      <c r="B547" s="4" t="s">
        <v>8803</v>
      </c>
      <c r="C547">
        <v>2692.3738523605798</v>
      </c>
      <c r="D547">
        <v>5386.6423178137202</v>
      </c>
      <c r="E547">
        <f>-1.00061406158725</f>
        <v>-1.0006140615872501</v>
      </c>
      <c r="F547">
        <v>4.14410389578772E-4</v>
      </c>
      <c r="G547" t="s">
        <v>4</v>
      </c>
      <c r="H547">
        <v>2692.3738523605798</v>
      </c>
      <c r="I547">
        <v>1275.04581574093</v>
      </c>
      <c r="J547">
        <v>1.0763695315667501</v>
      </c>
      <c r="K547" s="5">
        <v>9.7539766321680905E-5</v>
      </c>
      <c r="L547" t="s">
        <v>4</v>
      </c>
      <c r="M547">
        <v>5386.6423178137202</v>
      </c>
      <c r="N547">
        <v>1275.04581574093</v>
      </c>
      <c r="O547">
        <v>2.0769835931539902</v>
      </c>
      <c r="P547" s="5">
        <v>4.5712710622325296E-15</v>
      </c>
      <c r="Q547" t="s">
        <v>4</v>
      </c>
      <c r="R547" s="4" t="s">
        <v>87</v>
      </c>
      <c r="S547" t="s">
        <v>4</v>
      </c>
      <c r="T547" t="s">
        <v>8804</v>
      </c>
      <c r="U547" t="s">
        <v>8805</v>
      </c>
      <c r="V547" t="s">
        <v>8806</v>
      </c>
      <c r="W547" t="s">
        <v>328</v>
      </c>
      <c r="X547" t="s">
        <v>4</v>
      </c>
      <c r="Y547" t="s">
        <v>8807</v>
      </c>
      <c r="Z547" t="s">
        <v>8808</v>
      </c>
      <c r="AA547" t="s">
        <v>8809</v>
      </c>
      <c r="AB547" t="s">
        <v>4</v>
      </c>
      <c r="AC547" s="3" t="s">
        <v>8810</v>
      </c>
      <c r="AD547" t="s">
        <v>4</v>
      </c>
      <c r="AE547" t="s">
        <v>8811</v>
      </c>
      <c r="AF547" t="s">
        <v>834</v>
      </c>
      <c r="AG547" t="s">
        <v>8812</v>
      </c>
      <c r="AH547" t="s">
        <v>112</v>
      </c>
      <c r="AI547" t="s">
        <v>8813</v>
      </c>
      <c r="AJ547" t="s">
        <v>8814</v>
      </c>
      <c r="AL547" t="s">
        <v>8815</v>
      </c>
      <c r="AM547" t="s">
        <v>7567</v>
      </c>
      <c r="AQ547" t="s">
        <v>8816</v>
      </c>
      <c r="AU547" t="s">
        <v>112</v>
      </c>
      <c r="AV547" t="s">
        <v>8817</v>
      </c>
      <c r="AW547" t="s">
        <v>114</v>
      </c>
      <c r="AX547" t="s">
        <v>1879</v>
      </c>
      <c r="AY547" t="s">
        <v>8818</v>
      </c>
      <c r="AZ547" t="s">
        <v>4</v>
      </c>
      <c r="BA547" s="3" t="s">
        <v>95</v>
      </c>
      <c r="BB547" s="6" t="s">
        <v>95</v>
      </c>
      <c r="BC547" s="3" t="s">
        <v>95</v>
      </c>
      <c r="BD547" t="s">
        <v>4</v>
      </c>
      <c r="BE547">
        <v>9842</v>
      </c>
      <c r="BF547" t="s">
        <v>169</v>
      </c>
      <c r="BG547">
        <v>16.170200000000001</v>
      </c>
      <c r="BI547" t="s">
        <v>8819</v>
      </c>
      <c r="BJ547">
        <v>81.914900000000003</v>
      </c>
      <c r="BK547">
        <v>59.5745</v>
      </c>
      <c r="BL547" t="s">
        <v>8820</v>
      </c>
      <c r="BM547">
        <v>32.269500000000001</v>
      </c>
      <c r="BN547">
        <v>61.2057</v>
      </c>
      <c r="BO547">
        <v>59.716299999999997</v>
      </c>
      <c r="BP547">
        <v>34.184399999999997</v>
      </c>
      <c r="BR547">
        <v>13.900700000000001</v>
      </c>
      <c r="BS547">
        <v>12.4823</v>
      </c>
      <c r="BX547">
        <v>21.2057</v>
      </c>
      <c r="BY547">
        <v>15.9574</v>
      </c>
      <c r="CA547">
        <v>18.865200000000002</v>
      </c>
      <c r="CB547">
        <v>15.8156</v>
      </c>
      <c r="CC547">
        <v>14.1135</v>
      </c>
      <c r="CD547">
        <v>16.595700000000001</v>
      </c>
      <c r="CE547">
        <v>9.5035500000000006</v>
      </c>
      <c r="CF547">
        <v>16.028400000000001</v>
      </c>
      <c r="CG547">
        <v>19.219899999999999</v>
      </c>
      <c r="CH547">
        <v>18.581600000000002</v>
      </c>
      <c r="CI547">
        <v>20</v>
      </c>
      <c r="CJ547">
        <v>12.9787</v>
      </c>
      <c r="CK547">
        <v>9</v>
      </c>
      <c r="CL547" t="s">
        <v>4</v>
      </c>
      <c r="CM547" t="s">
        <v>8821</v>
      </c>
      <c r="CN547" t="s">
        <v>8822</v>
      </c>
      <c r="CO547" t="s">
        <v>219</v>
      </c>
      <c r="CP547" t="s">
        <v>100</v>
      </c>
      <c r="CQ547" s="7">
        <v>549</v>
      </c>
      <c r="CR547" t="s">
        <v>100</v>
      </c>
      <c r="CS547" s="7" t="s">
        <v>101</v>
      </c>
      <c r="CT547" t="s">
        <v>152</v>
      </c>
      <c r="CU547" t="s">
        <v>102</v>
      </c>
      <c r="CV547" t="s">
        <v>100</v>
      </c>
    </row>
    <row r="548" spans="1:100">
      <c r="A548" s="3" t="s">
        <v>8823</v>
      </c>
      <c r="B548" s="4" t="s">
        <v>8824</v>
      </c>
      <c r="C548">
        <v>2414.2902436821701</v>
      </c>
      <c r="D548">
        <v>5302.3827728166498</v>
      </c>
      <c r="E548">
        <f>-1.13522992477146</f>
        <v>-1.1352299247714599</v>
      </c>
      <c r="F548" s="5">
        <v>2.60220926474946E-10</v>
      </c>
      <c r="G548" t="s">
        <v>4</v>
      </c>
      <c r="H548">
        <v>2414.2902436821701</v>
      </c>
      <c r="I548">
        <v>1259.91158984802</v>
      </c>
      <c r="J548">
        <v>0.93747092195626103</v>
      </c>
      <c r="K548" s="5">
        <v>2.0320998384171299E-7</v>
      </c>
      <c r="L548" t="s">
        <v>4</v>
      </c>
      <c r="M548">
        <v>5302.3827728166498</v>
      </c>
      <c r="N548">
        <v>1259.91158984802</v>
      </c>
      <c r="O548">
        <v>2.0727008467277299</v>
      </c>
      <c r="P548" s="5">
        <v>1.04333979723354E-32</v>
      </c>
      <c r="Q548" t="s">
        <v>4</v>
      </c>
      <c r="R548" s="4" t="s">
        <v>87</v>
      </c>
      <c r="S548" t="s">
        <v>4</v>
      </c>
      <c r="T548" t="s">
        <v>2243</v>
      </c>
      <c r="U548" t="s">
        <v>2244</v>
      </c>
      <c r="V548" t="s">
        <v>2245</v>
      </c>
      <c r="W548" t="s">
        <v>123</v>
      </c>
      <c r="X548" t="s">
        <v>4</v>
      </c>
      <c r="Y548" t="s">
        <v>3048</v>
      </c>
      <c r="Z548" t="s">
        <v>3049</v>
      </c>
      <c r="AA548" t="s">
        <v>3050</v>
      </c>
      <c r="AB548" t="s">
        <v>4</v>
      </c>
      <c r="AC548" s="3" t="s">
        <v>8825</v>
      </c>
      <c r="AD548" t="s">
        <v>4</v>
      </c>
      <c r="AE548" t="s">
        <v>8826</v>
      </c>
      <c r="AF548" t="s">
        <v>834</v>
      </c>
      <c r="AG548" t="s">
        <v>8827</v>
      </c>
      <c r="AH548" t="s">
        <v>112</v>
      </c>
      <c r="AL548" t="s">
        <v>8828</v>
      </c>
      <c r="AQ548" t="s">
        <v>861</v>
      </c>
      <c r="AU548" t="s">
        <v>112</v>
      </c>
      <c r="AV548" t="s">
        <v>8829</v>
      </c>
      <c r="AW548" t="s">
        <v>114</v>
      </c>
      <c r="AX548" t="s">
        <v>144</v>
      </c>
      <c r="AY548" t="s">
        <v>8830</v>
      </c>
      <c r="AZ548" t="s">
        <v>4</v>
      </c>
      <c r="BA548" s="3" t="s">
        <v>95</v>
      </c>
      <c r="BB548" s="6" t="s">
        <v>95</v>
      </c>
      <c r="BC548" s="3" t="s">
        <v>95</v>
      </c>
      <c r="BD548" t="s">
        <v>4</v>
      </c>
      <c r="BE548">
        <v>2678</v>
      </c>
      <c r="BF548" t="s">
        <v>97</v>
      </c>
      <c r="BG548">
        <v>92.752399999999994</v>
      </c>
      <c r="BH548" t="s">
        <v>8831</v>
      </c>
      <c r="BI548">
        <v>80.069000000000003</v>
      </c>
      <c r="BJ548">
        <v>85.3322</v>
      </c>
      <c r="BK548">
        <v>59.792900000000003</v>
      </c>
      <c r="BL548" t="s">
        <v>8832</v>
      </c>
      <c r="BM548">
        <v>78.343400000000003</v>
      </c>
      <c r="BN548">
        <v>78.774799999999999</v>
      </c>
      <c r="BO548" t="s">
        <v>8833</v>
      </c>
      <c r="BP548" t="s">
        <v>8834</v>
      </c>
      <c r="CK548">
        <v>4</v>
      </c>
      <c r="CL548" t="s">
        <v>4</v>
      </c>
      <c r="CM548" t="s">
        <v>98</v>
      </c>
      <c r="CN548" t="s">
        <v>98</v>
      </c>
      <c r="CO548" t="s">
        <v>99</v>
      </c>
      <c r="CP548" t="s">
        <v>100</v>
      </c>
      <c r="CQ548" s="7">
        <v>550</v>
      </c>
      <c r="CR548" t="s">
        <v>100</v>
      </c>
      <c r="CS548" t="s">
        <v>100</v>
      </c>
      <c r="CT548" t="s">
        <v>152</v>
      </c>
      <c r="CU548" t="s">
        <v>102</v>
      </c>
      <c r="CV548" t="s">
        <v>100</v>
      </c>
    </row>
    <row r="549" spans="1:100">
      <c r="A549" s="3" t="s">
        <v>8835</v>
      </c>
      <c r="B549" s="4" t="s">
        <v>8836</v>
      </c>
      <c r="C549">
        <v>717.99231232825503</v>
      </c>
      <c r="D549">
        <v>1618.1946739017401</v>
      </c>
      <c r="E549">
        <f>-1.17214127181229</f>
        <v>-1.1721412718122901</v>
      </c>
      <c r="F549" s="5">
        <v>5.1812704502479503E-6</v>
      </c>
      <c r="G549" t="s">
        <v>4</v>
      </c>
      <c r="H549">
        <v>717.99231232825503</v>
      </c>
      <c r="I549">
        <v>385.66547084738301</v>
      </c>
      <c r="J549">
        <v>0.89723905578750296</v>
      </c>
      <c r="K549">
        <v>5.8071729513444403E-4</v>
      </c>
      <c r="L549" t="s">
        <v>4</v>
      </c>
      <c r="M549">
        <v>1618.1946739017401</v>
      </c>
      <c r="N549">
        <v>385.66547084738301</v>
      </c>
      <c r="O549">
        <v>2.0693803275997902</v>
      </c>
      <c r="P549" s="5">
        <v>6.2033528942550001E-17</v>
      </c>
      <c r="Q549" t="s">
        <v>4</v>
      </c>
      <c r="R549" s="4" t="s">
        <v>87</v>
      </c>
      <c r="S549" t="s">
        <v>4</v>
      </c>
      <c r="T549" t="s">
        <v>92</v>
      </c>
      <c r="U549" t="s">
        <v>92</v>
      </c>
      <c r="V549" t="s">
        <v>92</v>
      </c>
      <c r="W549" t="s">
        <v>92</v>
      </c>
      <c r="X549" t="s">
        <v>4</v>
      </c>
      <c r="Y549" t="s">
        <v>8837</v>
      </c>
      <c r="Z549" t="s">
        <v>8838</v>
      </c>
      <c r="AA549" t="s">
        <v>8839</v>
      </c>
      <c r="AB549" t="s">
        <v>4</v>
      </c>
      <c r="AC549" s="3" t="s">
        <v>8840</v>
      </c>
      <c r="AD549" t="s">
        <v>4</v>
      </c>
      <c r="AE549" t="s">
        <v>8841</v>
      </c>
      <c r="AF549" t="s">
        <v>8842</v>
      </c>
      <c r="AG549" t="s">
        <v>8843</v>
      </c>
      <c r="AH549" t="s">
        <v>112</v>
      </c>
      <c r="AU549" t="s">
        <v>112</v>
      </c>
      <c r="AV549" t="s">
        <v>8844</v>
      </c>
      <c r="AW549" t="s">
        <v>114</v>
      </c>
      <c r="AX549" t="s">
        <v>167</v>
      </c>
      <c r="AY549" t="s">
        <v>8845</v>
      </c>
      <c r="AZ549" t="s">
        <v>4</v>
      </c>
      <c r="BA549" s="3" t="s">
        <v>95</v>
      </c>
      <c r="BB549" s="6" t="s">
        <v>95</v>
      </c>
      <c r="BC549" s="3" t="s">
        <v>95</v>
      </c>
      <c r="BD549" t="s">
        <v>4</v>
      </c>
      <c r="BE549">
        <v>10368</v>
      </c>
      <c r="BF549" t="s">
        <v>169</v>
      </c>
      <c r="BG549">
        <v>99.543400000000005</v>
      </c>
      <c r="BH549">
        <v>100</v>
      </c>
      <c r="BJ549">
        <v>94.520499999999998</v>
      </c>
      <c r="BK549">
        <v>94.063900000000004</v>
      </c>
      <c r="BL549">
        <v>42.009099999999997</v>
      </c>
      <c r="BM549">
        <v>94.977199999999996</v>
      </c>
      <c r="BN549">
        <v>94.977199999999996</v>
      </c>
      <c r="BO549">
        <v>94.977199999999996</v>
      </c>
      <c r="BP549">
        <v>82.648399999999995</v>
      </c>
      <c r="BQ549">
        <v>65.753399999999999</v>
      </c>
      <c r="BR549">
        <v>63.926900000000003</v>
      </c>
      <c r="BS549">
        <v>60.730600000000003</v>
      </c>
      <c r="BT549">
        <v>66.209999999999994</v>
      </c>
      <c r="BU549">
        <v>67.579899999999995</v>
      </c>
      <c r="BV549" t="s">
        <v>8846</v>
      </c>
      <c r="BW549">
        <v>67.579899999999995</v>
      </c>
      <c r="BX549">
        <v>70.319599999999994</v>
      </c>
      <c r="BY549">
        <v>52.0548</v>
      </c>
      <c r="BZ549">
        <v>37.442900000000002</v>
      </c>
      <c r="CA549">
        <v>68.949799999999996</v>
      </c>
      <c r="CB549">
        <v>66.666700000000006</v>
      </c>
      <c r="CC549">
        <v>65.753399999999999</v>
      </c>
      <c r="CD549" t="s">
        <v>8847</v>
      </c>
      <c r="CE549">
        <v>60.274000000000001</v>
      </c>
      <c r="CF549">
        <v>68.036500000000004</v>
      </c>
      <c r="CG549" t="s">
        <v>8848</v>
      </c>
      <c r="CH549">
        <v>68.493099999999998</v>
      </c>
      <c r="CI549">
        <v>67.579899999999995</v>
      </c>
      <c r="CJ549">
        <v>18.721499999999999</v>
      </c>
      <c r="CK549">
        <v>9</v>
      </c>
      <c r="CL549" t="s">
        <v>4</v>
      </c>
      <c r="CM549" t="s">
        <v>8849</v>
      </c>
      <c r="CN549" t="s">
        <v>8850</v>
      </c>
      <c r="CO549" t="s">
        <v>219</v>
      </c>
      <c r="CP549" t="s">
        <v>100</v>
      </c>
      <c r="CQ549" s="7">
        <v>551</v>
      </c>
      <c r="CR549" t="s">
        <v>100</v>
      </c>
      <c r="CS549" t="s">
        <v>100</v>
      </c>
      <c r="CT549" t="s">
        <v>152</v>
      </c>
      <c r="CU549" t="s">
        <v>102</v>
      </c>
      <c r="CV549" t="s">
        <v>8851</v>
      </c>
    </row>
    <row r="550" spans="1:100">
      <c r="A550" s="3" t="s">
        <v>8852</v>
      </c>
      <c r="B550" s="4" t="s">
        <v>8853</v>
      </c>
      <c r="C550">
        <v>949.13045835072705</v>
      </c>
      <c r="D550">
        <v>2895.2786751857202</v>
      </c>
      <c r="E550">
        <f>-1.60933246514545</f>
        <v>-1.6093324651454499</v>
      </c>
      <c r="F550">
        <v>8.3261580073162303E-4</v>
      </c>
      <c r="G550" t="s">
        <v>4</v>
      </c>
      <c r="H550">
        <v>949.13045835072705</v>
      </c>
      <c r="I550">
        <v>695.204062075416</v>
      </c>
      <c r="J550">
        <v>0.45151531717856802</v>
      </c>
      <c r="K550">
        <v>0.37265539639901901</v>
      </c>
      <c r="L550" t="s">
        <v>4</v>
      </c>
      <c r="M550">
        <v>2895.2786751857202</v>
      </c>
      <c r="N550">
        <v>695.204062075416</v>
      </c>
      <c r="O550">
        <v>2.0608477823240201</v>
      </c>
      <c r="P550" s="5">
        <v>6.4179290866750199E-6</v>
      </c>
      <c r="Q550" t="s">
        <v>4</v>
      </c>
      <c r="R550" s="4" t="s">
        <v>87</v>
      </c>
      <c r="S550" t="s">
        <v>4</v>
      </c>
      <c r="T550" t="s">
        <v>8854</v>
      </c>
      <c r="U550" t="s">
        <v>8855</v>
      </c>
      <c r="V550" t="s">
        <v>8856</v>
      </c>
      <c r="W550" t="s">
        <v>203</v>
      </c>
      <c r="X550" t="s">
        <v>4</v>
      </c>
      <c r="Y550" t="s">
        <v>8857</v>
      </c>
      <c r="Z550" t="s">
        <v>8858</v>
      </c>
      <c r="AA550" t="s">
        <v>8859</v>
      </c>
      <c r="AB550" t="s">
        <v>4</v>
      </c>
      <c r="AC550" s="3" t="s">
        <v>8860</v>
      </c>
      <c r="AD550" t="s">
        <v>4</v>
      </c>
      <c r="AE550" t="s">
        <v>8861</v>
      </c>
      <c r="AF550" t="s">
        <v>8862</v>
      </c>
      <c r="AG550" t="s">
        <v>8863</v>
      </c>
      <c r="AH550" t="s">
        <v>112</v>
      </c>
      <c r="AJ550" t="s">
        <v>8864</v>
      </c>
      <c r="AK550" t="s">
        <v>8529</v>
      </c>
      <c r="AL550" t="s">
        <v>8865</v>
      </c>
      <c r="AM550" t="s">
        <v>3196</v>
      </c>
      <c r="AN550" t="s">
        <v>8866</v>
      </c>
      <c r="AQ550" t="s">
        <v>8867</v>
      </c>
      <c r="AU550" t="s">
        <v>112</v>
      </c>
      <c r="AV550" t="s">
        <v>8868</v>
      </c>
      <c r="AW550" t="s">
        <v>114</v>
      </c>
      <c r="AX550" t="s">
        <v>2157</v>
      </c>
      <c r="AY550" t="s">
        <v>8869</v>
      </c>
      <c r="AZ550" t="s">
        <v>4</v>
      </c>
      <c r="BA550" s="3" t="s">
        <v>95</v>
      </c>
      <c r="BB550" s="6" t="s">
        <v>95</v>
      </c>
      <c r="BC550" s="3" t="s">
        <v>95</v>
      </c>
      <c r="BD550" t="s">
        <v>4</v>
      </c>
      <c r="BE550">
        <v>5115</v>
      </c>
      <c r="BF550" t="s">
        <v>282</v>
      </c>
      <c r="BG550">
        <v>90.965699999999998</v>
      </c>
      <c r="BI550">
        <v>85.3583</v>
      </c>
      <c r="BJ550">
        <v>85.669799999999995</v>
      </c>
      <c r="BK550">
        <v>84.423699999999997</v>
      </c>
      <c r="BM550" t="s">
        <v>8870</v>
      </c>
      <c r="BO550">
        <v>84.735200000000006</v>
      </c>
      <c r="BP550">
        <v>76.012500000000003</v>
      </c>
      <c r="BQ550">
        <v>48.598100000000002</v>
      </c>
      <c r="BR550">
        <v>61.9938</v>
      </c>
      <c r="BS550">
        <v>70.405000000000001</v>
      </c>
      <c r="BT550">
        <v>70.093500000000006</v>
      </c>
      <c r="BU550">
        <v>51.7134</v>
      </c>
      <c r="BV550" t="s">
        <v>8871</v>
      </c>
      <c r="BW550">
        <v>68.224299999999999</v>
      </c>
      <c r="BX550">
        <v>71.962599999999995</v>
      </c>
      <c r="BZ550">
        <v>72.897199999999998</v>
      </c>
      <c r="CA550">
        <v>67.912800000000004</v>
      </c>
      <c r="CD550">
        <v>17.445499999999999</v>
      </c>
      <c r="CF550" t="s">
        <v>8872</v>
      </c>
      <c r="CG550" t="s">
        <v>8873</v>
      </c>
      <c r="CH550" t="s">
        <v>8874</v>
      </c>
      <c r="CI550" t="s">
        <v>8875</v>
      </c>
      <c r="CJ550" t="s">
        <v>8876</v>
      </c>
      <c r="CK550">
        <v>6</v>
      </c>
      <c r="CL550" t="s">
        <v>4</v>
      </c>
      <c r="CM550" t="s">
        <v>8877</v>
      </c>
      <c r="CN550" t="s">
        <v>8878</v>
      </c>
      <c r="CO550" t="s">
        <v>219</v>
      </c>
      <c r="CP550" t="s">
        <v>100</v>
      </c>
      <c r="CQ550" s="7">
        <v>552</v>
      </c>
      <c r="CR550" t="s">
        <v>100</v>
      </c>
      <c r="CS550" t="s">
        <v>100</v>
      </c>
      <c r="CT550" t="s">
        <v>152</v>
      </c>
      <c r="CU550" t="s">
        <v>102</v>
      </c>
      <c r="CV550" t="s">
        <v>100</v>
      </c>
    </row>
    <row r="551" spans="1:100">
      <c r="A551" s="3" t="s">
        <v>8879</v>
      </c>
      <c r="B551" s="4" t="s">
        <v>8880</v>
      </c>
      <c r="C551">
        <v>2165.4224431243501</v>
      </c>
      <c r="D551">
        <v>5087.0015844668196</v>
      </c>
      <c r="E551">
        <f>-1.23209393082638</f>
        <v>-1.2320939308263801</v>
      </c>
      <c r="F551" s="5">
        <v>4.2333093876500402E-8</v>
      </c>
      <c r="G551" t="s">
        <v>4</v>
      </c>
      <c r="H551">
        <v>2165.4224431243501</v>
      </c>
      <c r="I551">
        <v>1220.17413538397</v>
      </c>
      <c r="J551">
        <v>0.825983400735263</v>
      </c>
      <c r="K551">
        <v>2.8697713012554001E-4</v>
      </c>
      <c r="L551" t="s">
        <v>4</v>
      </c>
      <c r="M551">
        <v>5087.0015844668196</v>
      </c>
      <c r="N551">
        <v>1220.17413538397</v>
      </c>
      <c r="O551">
        <v>2.0580773315616501</v>
      </c>
      <c r="P551" s="5">
        <v>1.8170091541377901E-21</v>
      </c>
      <c r="Q551" t="s">
        <v>4</v>
      </c>
      <c r="R551" s="4" t="s">
        <v>87</v>
      </c>
      <c r="S551" t="s">
        <v>4</v>
      </c>
      <c r="T551" t="s">
        <v>8881</v>
      </c>
      <c r="U551" t="s">
        <v>8882</v>
      </c>
      <c r="V551" t="s">
        <v>8883</v>
      </c>
      <c r="W551" t="s">
        <v>328</v>
      </c>
      <c r="X551" t="s">
        <v>4</v>
      </c>
      <c r="Y551" t="s">
        <v>8884</v>
      </c>
      <c r="Z551" t="s">
        <v>8885</v>
      </c>
      <c r="AA551" t="s">
        <v>8886</v>
      </c>
      <c r="AB551" t="s">
        <v>4</v>
      </c>
      <c r="AC551" s="3" t="s">
        <v>8887</v>
      </c>
      <c r="AD551" t="s">
        <v>4</v>
      </c>
      <c r="AE551" t="s">
        <v>8888</v>
      </c>
      <c r="AF551" t="s">
        <v>834</v>
      </c>
      <c r="AG551" t="s">
        <v>8889</v>
      </c>
      <c r="AH551" t="s">
        <v>112</v>
      </c>
      <c r="AL551" t="s">
        <v>8890</v>
      </c>
      <c r="AM551" t="s">
        <v>8891</v>
      </c>
      <c r="AQ551" t="s">
        <v>2941</v>
      </c>
      <c r="AU551" t="s">
        <v>112</v>
      </c>
      <c r="AV551" t="s">
        <v>8892</v>
      </c>
      <c r="AW551" t="s">
        <v>114</v>
      </c>
      <c r="AX551" t="s">
        <v>132</v>
      </c>
      <c r="AY551" t="s">
        <v>7268</v>
      </c>
      <c r="AZ551" t="s">
        <v>4</v>
      </c>
      <c r="BA551" s="3" t="s">
        <v>115</v>
      </c>
      <c r="BB551" s="6" t="s">
        <v>95</v>
      </c>
      <c r="BC551" s="3" t="s">
        <v>95</v>
      </c>
      <c r="BD551" t="s">
        <v>4</v>
      </c>
      <c r="BE551">
        <v>5959</v>
      </c>
      <c r="BF551" t="s">
        <v>213</v>
      </c>
      <c r="BG551">
        <v>99.048900000000003</v>
      </c>
      <c r="BH551">
        <v>17.527200000000001</v>
      </c>
      <c r="BI551">
        <v>96.467399999999998</v>
      </c>
      <c r="BJ551">
        <v>89.945700000000002</v>
      </c>
      <c r="BK551">
        <v>50.679299999999998</v>
      </c>
      <c r="BL551">
        <v>85.054299999999998</v>
      </c>
      <c r="BM551">
        <v>85.597800000000007</v>
      </c>
      <c r="BN551">
        <v>85.733699999999999</v>
      </c>
      <c r="BO551">
        <v>84.646699999999996</v>
      </c>
      <c r="BP551">
        <v>51.494599999999998</v>
      </c>
      <c r="BQ551">
        <v>21.331499999999998</v>
      </c>
      <c r="BW551">
        <v>33.423900000000003</v>
      </c>
      <c r="BX551">
        <v>21.195699999999999</v>
      </c>
      <c r="BY551">
        <v>8.1521699999999999</v>
      </c>
      <c r="BZ551" t="s">
        <v>8893</v>
      </c>
      <c r="CA551">
        <v>24.592400000000001</v>
      </c>
      <c r="CB551">
        <v>21.059799999999999</v>
      </c>
      <c r="CC551">
        <v>27.1739</v>
      </c>
      <c r="CD551" t="s">
        <v>8894</v>
      </c>
      <c r="CE551">
        <v>14.538</v>
      </c>
      <c r="CF551">
        <v>18.614100000000001</v>
      </c>
      <c r="CG551" t="s">
        <v>8895</v>
      </c>
      <c r="CH551" t="s">
        <v>8896</v>
      </c>
      <c r="CI551" t="s">
        <v>8897</v>
      </c>
      <c r="CK551">
        <v>8</v>
      </c>
      <c r="CL551" t="s">
        <v>4</v>
      </c>
      <c r="CM551" t="s">
        <v>8898</v>
      </c>
      <c r="CN551" t="s">
        <v>8899</v>
      </c>
      <c r="CO551" t="s">
        <v>1218</v>
      </c>
      <c r="CP551" t="s">
        <v>100</v>
      </c>
      <c r="CQ551" s="7">
        <v>553</v>
      </c>
      <c r="CR551" t="s">
        <v>100</v>
      </c>
      <c r="CS551" t="s">
        <v>100</v>
      </c>
      <c r="CT551" t="s">
        <v>152</v>
      </c>
      <c r="CU551" t="s">
        <v>102</v>
      </c>
      <c r="CV551" t="s">
        <v>100</v>
      </c>
    </row>
    <row r="552" spans="1:100">
      <c r="A552" s="3" t="s">
        <v>8900</v>
      </c>
      <c r="B552" s="4" t="s">
        <v>8901</v>
      </c>
      <c r="C552">
        <v>1260.09569425375</v>
      </c>
      <c r="D552">
        <v>2575.9579382790698</v>
      </c>
      <c r="E552">
        <f>-1.03135349076809</f>
        <v>-1.0313534907680899</v>
      </c>
      <c r="F552">
        <v>2.01420137599032E-4</v>
      </c>
      <c r="G552" t="s">
        <v>4</v>
      </c>
      <c r="H552">
        <v>1260.09569425375</v>
      </c>
      <c r="I552">
        <v>623.33423219707902</v>
      </c>
      <c r="J552">
        <v>1.01773166686613</v>
      </c>
      <c r="K552">
        <v>2.0190562802705801E-4</v>
      </c>
      <c r="L552" t="s">
        <v>4</v>
      </c>
      <c r="M552">
        <v>2575.9579382790698</v>
      </c>
      <c r="N552">
        <v>623.33423219707902</v>
      </c>
      <c r="O552">
        <v>2.0490851576342202</v>
      </c>
      <c r="P552" s="5">
        <v>4.92369949949551E-15</v>
      </c>
      <c r="Q552" t="s">
        <v>4</v>
      </c>
      <c r="R552" s="4" t="s">
        <v>87</v>
      </c>
      <c r="S552" t="s">
        <v>4</v>
      </c>
      <c r="T552" t="s">
        <v>8902</v>
      </c>
      <c r="U552" t="s">
        <v>8903</v>
      </c>
      <c r="V552" t="s">
        <v>8904</v>
      </c>
      <c r="W552" t="s">
        <v>328</v>
      </c>
      <c r="X552" t="s">
        <v>4</v>
      </c>
      <c r="Y552" t="s">
        <v>8905</v>
      </c>
      <c r="Z552" t="s">
        <v>8906</v>
      </c>
      <c r="AA552" t="s">
        <v>8907</v>
      </c>
      <c r="AB552" t="s">
        <v>4</v>
      </c>
      <c r="AC552" s="3" t="s">
        <v>8908</v>
      </c>
      <c r="AD552" t="s">
        <v>4</v>
      </c>
      <c r="AE552" t="s">
        <v>8909</v>
      </c>
      <c r="AF552" t="s">
        <v>8910</v>
      </c>
      <c r="AG552" t="s">
        <v>8911</v>
      </c>
      <c r="AH552" t="s">
        <v>112</v>
      </c>
      <c r="AJ552" t="s">
        <v>8912</v>
      </c>
      <c r="AL552" t="s">
        <v>8913</v>
      </c>
      <c r="AQ552" t="s">
        <v>8914</v>
      </c>
      <c r="AU552" t="s">
        <v>112</v>
      </c>
      <c r="AV552" t="s">
        <v>8915</v>
      </c>
      <c r="AW552" t="s">
        <v>114</v>
      </c>
      <c r="AX552" t="s">
        <v>371</v>
      </c>
      <c r="AY552" t="s">
        <v>8916</v>
      </c>
      <c r="AZ552" t="s">
        <v>4</v>
      </c>
      <c r="BA552" s="3" t="s">
        <v>115</v>
      </c>
      <c r="BB552" s="6" t="s">
        <v>95</v>
      </c>
      <c r="BC552" s="3" t="s">
        <v>95</v>
      </c>
      <c r="BD552" t="s">
        <v>4</v>
      </c>
      <c r="BE552">
        <v>3801</v>
      </c>
      <c r="BF552" t="s">
        <v>112</v>
      </c>
      <c r="BG552">
        <v>96.093800000000002</v>
      </c>
      <c r="BH552">
        <v>100</v>
      </c>
      <c r="BI552">
        <v>96.875</v>
      </c>
      <c r="BJ552">
        <v>93.75</v>
      </c>
      <c r="BK552">
        <v>91.406199999999998</v>
      </c>
      <c r="BL552">
        <v>90.625</v>
      </c>
      <c r="BM552">
        <v>91.406199999999998</v>
      </c>
      <c r="BN552">
        <v>91.406199999999998</v>
      </c>
      <c r="BO552">
        <v>88.281199999999998</v>
      </c>
      <c r="BP552">
        <v>63.281199999999998</v>
      </c>
      <c r="BQ552">
        <v>43.75</v>
      </c>
      <c r="CK552">
        <v>5</v>
      </c>
      <c r="CL552" t="s">
        <v>4</v>
      </c>
      <c r="CM552" t="s">
        <v>98</v>
      </c>
      <c r="CN552" t="s">
        <v>98</v>
      </c>
      <c r="CO552" t="s">
        <v>99</v>
      </c>
      <c r="CP552" t="s">
        <v>100</v>
      </c>
      <c r="CQ552" s="7">
        <v>554</v>
      </c>
      <c r="CR552" t="s">
        <v>100</v>
      </c>
      <c r="CS552" s="7" t="s">
        <v>101</v>
      </c>
      <c r="CT552" t="s">
        <v>152</v>
      </c>
      <c r="CU552" t="s">
        <v>102</v>
      </c>
      <c r="CV552" t="s">
        <v>100</v>
      </c>
    </row>
    <row r="553" spans="1:100">
      <c r="A553" s="3" t="s">
        <v>8917</v>
      </c>
      <c r="B553" s="4" t="s">
        <v>8918</v>
      </c>
      <c r="C553">
        <v>2167.0919648131298</v>
      </c>
      <c r="D553">
        <v>5646.3912564457096</v>
      </c>
      <c r="E553">
        <f>-1.38180104744179</f>
        <v>-1.3818010474417901</v>
      </c>
      <c r="F553" s="5">
        <v>8.9326439320341104E-14</v>
      </c>
      <c r="G553" t="s">
        <v>4</v>
      </c>
      <c r="H553">
        <v>2167.0919648131298</v>
      </c>
      <c r="I553">
        <v>1380.2012682685399</v>
      </c>
      <c r="J553">
        <v>0.65261577595956299</v>
      </c>
      <c r="K553">
        <v>6.7154163414128495E-4</v>
      </c>
      <c r="L553" t="s">
        <v>4</v>
      </c>
      <c r="M553">
        <v>5646.3912564457096</v>
      </c>
      <c r="N553">
        <v>1380.2012682685399</v>
      </c>
      <c r="O553">
        <v>2.03441682340135</v>
      </c>
      <c r="P553" s="5">
        <v>2.29328219386135E-29</v>
      </c>
      <c r="Q553" t="s">
        <v>4</v>
      </c>
      <c r="R553" s="4" t="s">
        <v>87</v>
      </c>
      <c r="S553" t="s">
        <v>4</v>
      </c>
      <c r="T553" t="s">
        <v>92</v>
      </c>
      <c r="U553" t="s">
        <v>92</v>
      </c>
      <c r="V553" t="s">
        <v>92</v>
      </c>
      <c r="W553" t="s">
        <v>92</v>
      </c>
      <c r="X553" t="s">
        <v>4</v>
      </c>
      <c r="Y553" t="s">
        <v>92</v>
      </c>
      <c r="Z553" t="s">
        <v>92</v>
      </c>
      <c r="AA553" t="s">
        <v>92</v>
      </c>
      <c r="AB553" t="s">
        <v>4</v>
      </c>
      <c r="AC553" s="3" t="s">
        <v>93</v>
      </c>
      <c r="AD553" t="s">
        <v>4</v>
      </c>
      <c r="AE553" s="4" t="s">
        <v>94</v>
      </c>
      <c r="AZ553" t="s">
        <v>4</v>
      </c>
      <c r="BA553" s="3" t="s">
        <v>95</v>
      </c>
      <c r="BB553" s="6" t="s">
        <v>95</v>
      </c>
      <c r="BC553" s="3" t="s">
        <v>95</v>
      </c>
      <c r="BD553" t="s">
        <v>4</v>
      </c>
      <c r="BE553">
        <v>2996</v>
      </c>
      <c r="BF553" t="s">
        <v>97</v>
      </c>
      <c r="BG553">
        <v>97.733900000000006</v>
      </c>
      <c r="BH553">
        <v>14.693</v>
      </c>
      <c r="BI553">
        <v>85.891800000000003</v>
      </c>
      <c r="BJ553">
        <v>84.1374</v>
      </c>
      <c r="BK553">
        <v>12.2807</v>
      </c>
      <c r="BL553">
        <v>20.2485</v>
      </c>
      <c r="BM553">
        <v>83.114000000000004</v>
      </c>
      <c r="BN553">
        <v>83.187100000000001</v>
      </c>
      <c r="BO553">
        <v>78.0702</v>
      </c>
      <c r="BP553" t="s">
        <v>8919</v>
      </c>
      <c r="CK553">
        <v>4</v>
      </c>
      <c r="CL553" t="s">
        <v>4</v>
      </c>
      <c r="CM553" t="s">
        <v>98</v>
      </c>
      <c r="CN553" t="s">
        <v>98</v>
      </c>
      <c r="CO553" t="s">
        <v>99</v>
      </c>
      <c r="CP553" t="s">
        <v>100</v>
      </c>
      <c r="CQ553" s="7">
        <v>555</v>
      </c>
      <c r="CR553" t="s">
        <v>100</v>
      </c>
      <c r="CS553" t="s">
        <v>100</v>
      </c>
      <c r="CT553" t="s">
        <v>152</v>
      </c>
      <c r="CU553" t="s">
        <v>102</v>
      </c>
      <c r="CV553" t="s">
        <v>100</v>
      </c>
    </row>
    <row r="554" spans="1:100">
      <c r="A554" s="3" t="s">
        <v>8920</v>
      </c>
      <c r="B554" s="4" t="s">
        <v>8921</v>
      </c>
      <c r="C554">
        <v>22.047801680207598</v>
      </c>
      <c r="D554">
        <v>84.813425074627901</v>
      </c>
      <c r="E554">
        <f>-1.94070845282864</f>
        <v>-1.94070845282864</v>
      </c>
      <c r="F554" s="5">
        <v>4.9205505334266498E-5</v>
      </c>
      <c r="G554" t="s">
        <v>4</v>
      </c>
      <c r="H554">
        <v>22.047801680207598</v>
      </c>
      <c r="I554">
        <v>20.171090135779</v>
      </c>
      <c r="J554">
        <v>8.7002031422663606E-2</v>
      </c>
      <c r="K554">
        <v>0.88379355540881799</v>
      </c>
      <c r="L554" t="s">
        <v>4</v>
      </c>
      <c r="M554">
        <v>84.813425074627901</v>
      </c>
      <c r="N554">
        <v>20.171090135779</v>
      </c>
      <c r="O554">
        <v>2.0277104842513101</v>
      </c>
      <c r="P554" s="5">
        <v>3.3107329790374798E-5</v>
      </c>
      <c r="Q554" t="s">
        <v>4</v>
      </c>
      <c r="R554" s="4" t="s">
        <v>87</v>
      </c>
      <c r="S554" t="s">
        <v>4</v>
      </c>
      <c r="T554" t="s">
        <v>2243</v>
      </c>
      <c r="U554" t="s">
        <v>2244</v>
      </c>
      <c r="V554" t="s">
        <v>2245</v>
      </c>
      <c r="W554" t="s">
        <v>123</v>
      </c>
      <c r="X554" t="s">
        <v>4</v>
      </c>
      <c r="Y554" t="s">
        <v>8922</v>
      </c>
      <c r="Z554" t="s">
        <v>8923</v>
      </c>
      <c r="AA554" t="s">
        <v>8924</v>
      </c>
      <c r="AB554" t="s">
        <v>4</v>
      </c>
      <c r="AC554" s="3" t="s">
        <v>8925</v>
      </c>
      <c r="AD554" t="s">
        <v>4</v>
      </c>
      <c r="AE554" t="s">
        <v>8926</v>
      </c>
      <c r="AF554" t="s">
        <v>8927</v>
      </c>
      <c r="AG554" t="s">
        <v>8928</v>
      </c>
      <c r="AH554" t="s">
        <v>314</v>
      </c>
      <c r="AU554" t="s">
        <v>112</v>
      </c>
      <c r="AV554" t="s">
        <v>8929</v>
      </c>
      <c r="AW554" t="s">
        <v>114</v>
      </c>
      <c r="AX554" t="s">
        <v>144</v>
      </c>
      <c r="AY554" t="s">
        <v>8930</v>
      </c>
      <c r="AZ554" t="s">
        <v>4</v>
      </c>
      <c r="BA554" s="3" t="s">
        <v>95</v>
      </c>
      <c r="BB554" t="s">
        <v>96</v>
      </c>
      <c r="BC554" s="3" t="s">
        <v>95</v>
      </c>
      <c r="BD554" t="s">
        <v>4</v>
      </c>
      <c r="BE554">
        <v>7900</v>
      </c>
      <c r="BF554" t="s">
        <v>213</v>
      </c>
      <c r="BI554">
        <v>65.759299999999996</v>
      </c>
      <c r="BO554">
        <v>58.166200000000003</v>
      </c>
      <c r="CE554">
        <v>12.1777</v>
      </c>
      <c r="CG554" t="s">
        <v>8931</v>
      </c>
      <c r="CH554" t="s">
        <v>8932</v>
      </c>
      <c r="CI554" t="s">
        <v>8933</v>
      </c>
      <c r="CK554">
        <v>8</v>
      </c>
      <c r="CL554" t="s">
        <v>4</v>
      </c>
      <c r="CM554" t="s">
        <v>98</v>
      </c>
      <c r="CN554" t="s">
        <v>98</v>
      </c>
      <c r="CO554" t="s">
        <v>99</v>
      </c>
      <c r="CP554" t="s">
        <v>100</v>
      </c>
      <c r="CQ554" s="7">
        <v>556</v>
      </c>
      <c r="CR554" t="s">
        <v>100</v>
      </c>
      <c r="CS554" t="s">
        <v>100</v>
      </c>
      <c r="CT554" t="s">
        <v>152</v>
      </c>
      <c r="CU554" t="s">
        <v>102</v>
      </c>
      <c r="CV554" t="s">
        <v>100</v>
      </c>
    </row>
    <row r="555" spans="1:100">
      <c r="A555" s="3" t="s">
        <v>8934</v>
      </c>
      <c r="B555" s="4" t="s">
        <v>8935</v>
      </c>
      <c r="C555">
        <v>799.40333211833899</v>
      </c>
      <c r="D555">
        <v>1976.4114225503299</v>
      </c>
      <c r="E555">
        <f>-1.30573616936537</f>
        <v>-1.30573616936537</v>
      </c>
      <c r="F555" s="5">
        <v>2.8835815031162198E-6</v>
      </c>
      <c r="G555" t="s">
        <v>4</v>
      </c>
      <c r="H555">
        <v>799.40333211833899</v>
      </c>
      <c r="I555">
        <v>483.02778254759301</v>
      </c>
      <c r="J555">
        <v>0.72149874191383701</v>
      </c>
      <c r="K555">
        <v>1.17434435867576E-2</v>
      </c>
      <c r="L555" t="s">
        <v>4</v>
      </c>
      <c r="M555">
        <v>1976.4114225503299</v>
      </c>
      <c r="N555">
        <v>483.02778254759301</v>
      </c>
      <c r="O555">
        <v>2.0272349112792001</v>
      </c>
      <c r="P555" s="5">
        <v>4.06096083572159E-14</v>
      </c>
      <c r="Q555" t="s">
        <v>4</v>
      </c>
      <c r="R555" s="4" t="s">
        <v>87</v>
      </c>
      <c r="S555" t="s">
        <v>4</v>
      </c>
      <c r="T555" t="s">
        <v>8936</v>
      </c>
      <c r="U555" t="s">
        <v>8937</v>
      </c>
      <c r="V555" t="s">
        <v>8938</v>
      </c>
      <c r="W555" t="s">
        <v>976</v>
      </c>
      <c r="X555" t="s">
        <v>4</v>
      </c>
      <c r="Y555" t="s">
        <v>8939</v>
      </c>
      <c r="Z555" t="s">
        <v>8940</v>
      </c>
      <c r="AA555" t="s">
        <v>8941</v>
      </c>
      <c r="AB555" t="s">
        <v>4</v>
      </c>
      <c r="AC555" s="3" t="s">
        <v>8942</v>
      </c>
      <c r="AD555" t="s">
        <v>4</v>
      </c>
      <c r="AE555" t="s">
        <v>8943</v>
      </c>
      <c r="AF555" t="s">
        <v>8944</v>
      </c>
      <c r="AG555" t="s">
        <v>2103</v>
      </c>
      <c r="AH555" t="s">
        <v>112</v>
      </c>
      <c r="AJ555" t="s">
        <v>8945</v>
      </c>
      <c r="AL555" t="s">
        <v>8946</v>
      </c>
      <c r="AM555" t="s">
        <v>8947</v>
      </c>
      <c r="AQ555" t="s">
        <v>8948</v>
      </c>
      <c r="AU555" t="s">
        <v>112</v>
      </c>
      <c r="AV555" t="s">
        <v>8949</v>
      </c>
      <c r="AW555" t="s">
        <v>114</v>
      </c>
      <c r="AX555" t="s">
        <v>536</v>
      </c>
      <c r="AY555" t="s">
        <v>8950</v>
      </c>
      <c r="AZ555" t="s">
        <v>4</v>
      </c>
      <c r="BA555" s="3" t="s">
        <v>95</v>
      </c>
      <c r="BB555" s="6" t="s">
        <v>95</v>
      </c>
      <c r="BC555" s="3" t="s">
        <v>95</v>
      </c>
      <c r="BD555" t="s">
        <v>4</v>
      </c>
      <c r="BE555">
        <v>9947</v>
      </c>
      <c r="BF555" t="s">
        <v>169</v>
      </c>
      <c r="BG555">
        <v>98.8506</v>
      </c>
      <c r="BI555">
        <v>96.934899999999999</v>
      </c>
      <c r="BJ555">
        <v>89.655199999999994</v>
      </c>
      <c r="BK555">
        <v>62.069000000000003</v>
      </c>
      <c r="BL555">
        <v>90.421499999999995</v>
      </c>
      <c r="BM555">
        <v>81.609200000000001</v>
      </c>
      <c r="BN555">
        <v>88.505700000000004</v>
      </c>
      <c r="BO555">
        <v>87.356300000000005</v>
      </c>
      <c r="BP555">
        <v>64.751000000000005</v>
      </c>
      <c r="BQ555">
        <v>33.333300000000001</v>
      </c>
      <c r="BR555">
        <v>41.762500000000003</v>
      </c>
      <c r="BS555">
        <v>37.930999999999997</v>
      </c>
      <c r="BT555">
        <v>14.942500000000001</v>
      </c>
      <c r="BU555">
        <v>36.015300000000003</v>
      </c>
      <c r="BV555" t="s">
        <v>8951</v>
      </c>
      <c r="BW555">
        <v>42.145600000000002</v>
      </c>
      <c r="BX555">
        <v>37.930999999999997</v>
      </c>
      <c r="BY555">
        <v>25.670500000000001</v>
      </c>
      <c r="BZ555">
        <v>34.099600000000002</v>
      </c>
      <c r="CA555">
        <v>34.865900000000003</v>
      </c>
      <c r="CB555">
        <v>33.333300000000001</v>
      </c>
      <c r="CE555">
        <v>32.567100000000003</v>
      </c>
      <c r="CF555">
        <v>34.099600000000002</v>
      </c>
      <c r="CG555">
        <v>36.398499999999999</v>
      </c>
      <c r="CH555">
        <v>36.015300000000003</v>
      </c>
      <c r="CI555">
        <v>36.015300000000003</v>
      </c>
      <c r="CJ555">
        <v>24.137899999999998</v>
      </c>
      <c r="CK555">
        <v>9</v>
      </c>
      <c r="CL555" t="s">
        <v>4</v>
      </c>
      <c r="CM555" t="s">
        <v>8952</v>
      </c>
      <c r="CN555" t="s">
        <v>8953</v>
      </c>
      <c r="CO555" t="s">
        <v>1218</v>
      </c>
      <c r="CP555" t="s">
        <v>100</v>
      </c>
      <c r="CQ555" s="7">
        <v>557</v>
      </c>
      <c r="CR555" t="s">
        <v>100</v>
      </c>
      <c r="CS555" t="s">
        <v>100</v>
      </c>
      <c r="CT555" t="s">
        <v>152</v>
      </c>
      <c r="CU555" t="s">
        <v>102</v>
      </c>
      <c r="CV555" t="s">
        <v>100</v>
      </c>
    </row>
    <row r="556" spans="1:100">
      <c r="A556" s="3" t="s">
        <v>8954</v>
      </c>
      <c r="B556" s="4" t="s">
        <v>8955</v>
      </c>
      <c r="C556">
        <v>663.15026963249602</v>
      </c>
      <c r="D556">
        <v>2505.5008292133198</v>
      </c>
      <c r="E556">
        <f>-1.91724673396756</f>
        <v>-1.9172467339675601</v>
      </c>
      <c r="F556" s="5">
        <v>3.29358604053523E-18</v>
      </c>
      <c r="G556" t="s">
        <v>4</v>
      </c>
      <c r="H556">
        <v>663.15026963249602</v>
      </c>
      <c r="I556">
        <v>619.19312285697697</v>
      </c>
      <c r="J556">
        <v>0.10343796179235901</v>
      </c>
      <c r="K556">
        <v>0.69025257334479195</v>
      </c>
      <c r="L556" t="s">
        <v>4</v>
      </c>
      <c r="M556">
        <v>2505.5008292133198</v>
      </c>
      <c r="N556">
        <v>619.19312285697697</v>
      </c>
      <c r="O556">
        <v>2.02068469575992</v>
      </c>
      <c r="P556" s="5">
        <v>1.7015247465096799E-20</v>
      </c>
      <c r="Q556" t="s">
        <v>4</v>
      </c>
      <c r="R556" s="4" t="s">
        <v>87</v>
      </c>
      <c r="S556" t="s">
        <v>4</v>
      </c>
      <c r="T556" t="s">
        <v>8956</v>
      </c>
      <c r="U556" t="s">
        <v>8957</v>
      </c>
      <c r="V556" t="s">
        <v>8958</v>
      </c>
      <c r="W556" t="s">
        <v>203</v>
      </c>
      <c r="X556" t="s">
        <v>4</v>
      </c>
      <c r="Y556" t="s">
        <v>8959</v>
      </c>
      <c r="Z556" t="s">
        <v>8960</v>
      </c>
      <c r="AA556" t="s">
        <v>8961</v>
      </c>
      <c r="AB556" t="s">
        <v>4</v>
      </c>
      <c r="AC556" s="3" t="s">
        <v>8962</v>
      </c>
      <c r="AD556" t="s">
        <v>4</v>
      </c>
      <c r="AE556" t="s">
        <v>8963</v>
      </c>
      <c r="AF556" t="s">
        <v>8964</v>
      </c>
      <c r="AG556" t="s">
        <v>8965</v>
      </c>
      <c r="AH556" t="s">
        <v>112</v>
      </c>
      <c r="AJ556" t="s">
        <v>8966</v>
      </c>
      <c r="AL556" t="s">
        <v>8967</v>
      </c>
      <c r="AM556" t="s">
        <v>8968</v>
      </c>
      <c r="AN556" t="s">
        <v>8969</v>
      </c>
      <c r="AQ556" t="s">
        <v>8970</v>
      </c>
      <c r="AU556" t="s">
        <v>112</v>
      </c>
      <c r="AV556" t="s">
        <v>8971</v>
      </c>
      <c r="AW556" t="s">
        <v>114</v>
      </c>
      <c r="AX556" t="s">
        <v>8972</v>
      </c>
      <c r="AY556" t="s">
        <v>8973</v>
      </c>
      <c r="AZ556" t="s">
        <v>4</v>
      </c>
      <c r="BA556" s="3" t="s">
        <v>95</v>
      </c>
      <c r="BB556" s="6" t="s">
        <v>95</v>
      </c>
      <c r="BC556" s="3" t="s">
        <v>95</v>
      </c>
      <c r="BD556" t="s">
        <v>4</v>
      </c>
      <c r="BE556">
        <v>10056</v>
      </c>
      <c r="BF556" t="s">
        <v>169</v>
      </c>
      <c r="BG556">
        <v>100</v>
      </c>
      <c r="BH556">
        <v>42.912599999999998</v>
      </c>
      <c r="BI556">
        <v>98.834999999999994</v>
      </c>
      <c r="BJ556">
        <v>94.368899999999996</v>
      </c>
      <c r="BK556">
        <v>91.650499999999994</v>
      </c>
      <c r="BL556">
        <v>93.592200000000005</v>
      </c>
      <c r="BM556">
        <v>93.7864</v>
      </c>
      <c r="BN556">
        <v>93.7864</v>
      </c>
      <c r="BO556">
        <v>93.592200000000005</v>
      </c>
      <c r="BP556">
        <v>46.601900000000001</v>
      </c>
      <c r="BQ556">
        <v>30.485399999999998</v>
      </c>
      <c r="BR556">
        <v>29.7087</v>
      </c>
      <c r="BS556">
        <v>39.223300000000002</v>
      </c>
      <c r="BT556">
        <v>30.679600000000001</v>
      </c>
      <c r="BU556">
        <v>36.310699999999997</v>
      </c>
      <c r="BV556" t="s">
        <v>8974</v>
      </c>
      <c r="BW556" t="s">
        <v>8975</v>
      </c>
      <c r="BX556">
        <v>42.718400000000003</v>
      </c>
      <c r="BY556">
        <v>39.611699999999999</v>
      </c>
      <c r="BZ556" t="s">
        <v>8976</v>
      </c>
      <c r="CA556">
        <v>29.514600000000002</v>
      </c>
      <c r="CB556">
        <v>29.126200000000001</v>
      </c>
      <c r="CC556" t="s">
        <v>8977</v>
      </c>
      <c r="CD556">
        <v>27.766999999999999</v>
      </c>
      <c r="CF556">
        <v>40.388300000000001</v>
      </c>
      <c r="CG556">
        <v>38.058300000000003</v>
      </c>
      <c r="CH556">
        <v>38.058300000000003</v>
      </c>
      <c r="CI556">
        <v>37.281599999999997</v>
      </c>
      <c r="CJ556">
        <v>28.349499999999999</v>
      </c>
      <c r="CK556">
        <v>9</v>
      </c>
      <c r="CL556" t="s">
        <v>4</v>
      </c>
      <c r="CM556" t="s">
        <v>8978</v>
      </c>
      <c r="CN556" t="s">
        <v>8979</v>
      </c>
      <c r="CO556" t="s">
        <v>219</v>
      </c>
      <c r="CP556" t="s">
        <v>100</v>
      </c>
      <c r="CQ556" s="7">
        <v>558</v>
      </c>
      <c r="CR556" t="s">
        <v>100</v>
      </c>
      <c r="CS556" t="s">
        <v>100</v>
      </c>
      <c r="CT556" t="s">
        <v>152</v>
      </c>
      <c r="CU556" t="s">
        <v>102</v>
      </c>
      <c r="CV556" t="s">
        <v>2182</v>
      </c>
    </row>
    <row r="557" spans="1:100">
      <c r="A557" s="3" t="s">
        <v>8980</v>
      </c>
      <c r="B557" s="4" t="s">
        <v>8981</v>
      </c>
      <c r="C557">
        <v>1032.3890398994699</v>
      </c>
      <c r="D557">
        <v>2306.74776761968</v>
      </c>
      <c r="E557">
        <f>-1.15969470446226</f>
        <v>-1.1596947044622601</v>
      </c>
      <c r="F557">
        <v>1.94936163873319E-3</v>
      </c>
      <c r="G557" t="s">
        <v>4</v>
      </c>
      <c r="H557">
        <v>1032.3890398994699</v>
      </c>
      <c r="I557">
        <v>569.94730556822799</v>
      </c>
      <c r="J557">
        <v>0.85604263658577595</v>
      </c>
      <c r="K557">
        <v>2.16364998200438E-2</v>
      </c>
      <c r="L557" t="s">
        <v>4</v>
      </c>
      <c r="M557">
        <v>2306.74776761968</v>
      </c>
      <c r="N557">
        <v>569.94730556822799</v>
      </c>
      <c r="O557">
        <v>2.0157373410480401</v>
      </c>
      <c r="P557" s="5">
        <v>9.3486952738861499E-9</v>
      </c>
      <c r="Q557" t="s">
        <v>4</v>
      </c>
      <c r="R557" s="4" t="s">
        <v>87</v>
      </c>
      <c r="S557" t="s">
        <v>4</v>
      </c>
      <c r="T557" t="s">
        <v>92</v>
      </c>
      <c r="U557" t="s">
        <v>92</v>
      </c>
      <c r="V557" t="s">
        <v>92</v>
      </c>
      <c r="W557" t="s">
        <v>92</v>
      </c>
      <c r="X557" t="s">
        <v>4</v>
      </c>
      <c r="Y557" t="s">
        <v>92</v>
      </c>
      <c r="Z557" t="s">
        <v>92</v>
      </c>
      <c r="AA557" t="s">
        <v>92</v>
      </c>
      <c r="AB557" t="s">
        <v>4</v>
      </c>
      <c r="AC557" s="3" t="s">
        <v>93</v>
      </c>
      <c r="AD557" t="s">
        <v>4</v>
      </c>
      <c r="AE557" s="4" t="s">
        <v>94</v>
      </c>
      <c r="AZ557" t="s">
        <v>4</v>
      </c>
      <c r="BA557" s="3" t="s">
        <v>115</v>
      </c>
      <c r="BB557" s="6" t="s">
        <v>95</v>
      </c>
      <c r="BC557" s="3" t="s">
        <v>95</v>
      </c>
      <c r="BD557" t="s">
        <v>4</v>
      </c>
      <c r="BE557">
        <v>2623</v>
      </c>
      <c r="BF557" t="s">
        <v>97</v>
      </c>
      <c r="BG557">
        <v>100</v>
      </c>
      <c r="BH557">
        <v>100</v>
      </c>
      <c r="BI557">
        <v>100</v>
      </c>
      <c r="BJ557">
        <v>90.588200000000001</v>
      </c>
      <c r="BL557">
        <v>94.117599999999996</v>
      </c>
      <c r="BM557">
        <v>94.117599999999996</v>
      </c>
      <c r="BN557">
        <v>94.117599999999996</v>
      </c>
      <c r="BO557">
        <v>90.588200000000001</v>
      </c>
      <c r="BP557">
        <v>55.2941</v>
      </c>
      <c r="CK557">
        <v>4</v>
      </c>
      <c r="CL557" t="s">
        <v>4</v>
      </c>
      <c r="CM557" t="s">
        <v>98</v>
      </c>
      <c r="CN557" t="s">
        <v>98</v>
      </c>
      <c r="CO557" t="s">
        <v>99</v>
      </c>
      <c r="CP557" t="s">
        <v>100</v>
      </c>
      <c r="CQ557" s="7">
        <v>559</v>
      </c>
      <c r="CR557" t="s">
        <v>100</v>
      </c>
      <c r="CS557" t="s">
        <v>100</v>
      </c>
      <c r="CT557" t="s">
        <v>152</v>
      </c>
      <c r="CU557" t="s">
        <v>102</v>
      </c>
      <c r="CV557" t="s">
        <v>100</v>
      </c>
    </row>
    <row r="558" spans="1:100">
      <c r="A558" s="3" t="s">
        <v>8982</v>
      </c>
      <c r="B558" s="4" t="s">
        <v>8983</v>
      </c>
      <c r="C558">
        <v>750.52392526084702</v>
      </c>
      <c r="D558">
        <v>1779.75590582462</v>
      </c>
      <c r="E558">
        <f>-1.24593955968581</f>
        <v>-1.24593955968581</v>
      </c>
      <c r="F558" s="5">
        <v>8.0064165973203196E-16</v>
      </c>
      <c r="G558" t="s">
        <v>4</v>
      </c>
      <c r="H558">
        <v>750.52392526084702</v>
      </c>
      <c r="I558">
        <v>442.938380890193</v>
      </c>
      <c r="J558">
        <v>0.76328736772977401</v>
      </c>
      <c r="K558" s="5">
        <v>2.7956801834098898E-6</v>
      </c>
      <c r="L558" t="s">
        <v>4</v>
      </c>
      <c r="M558">
        <v>1779.75590582462</v>
      </c>
      <c r="N558">
        <v>442.938380890193</v>
      </c>
      <c r="O558">
        <v>2.0092269274155798</v>
      </c>
      <c r="P558" s="5">
        <v>2.29079236527414E-38</v>
      </c>
      <c r="Q558" t="s">
        <v>4</v>
      </c>
      <c r="R558" s="4" t="s">
        <v>87</v>
      </c>
      <c r="S558" t="s">
        <v>4</v>
      </c>
      <c r="T558" t="s">
        <v>8984</v>
      </c>
      <c r="U558" t="s">
        <v>8985</v>
      </c>
      <c r="V558" t="s">
        <v>8986</v>
      </c>
      <c r="W558" t="s">
        <v>123</v>
      </c>
      <c r="X558" t="s">
        <v>4</v>
      </c>
      <c r="Y558" t="s">
        <v>8987</v>
      </c>
      <c r="Z558" t="s">
        <v>8988</v>
      </c>
      <c r="AA558" t="s">
        <v>8989</v>
      </c>
      <c r="AB558" t="s">
        <v>4</v>
      </c>
      <c r="AC558" s="3" t="s">
        <v>8990</v>
      </c>
      <c r="AD558" t="s">
        <v>4</v>
      </c>
      <c r="AE558" t="s">
        <v>8991</v>
      </c>
      <c r="AF558" t="s">
        <v>8992</v>
      </c>
      <c r="AG558" t="s">
        <v>8993</v>
      </c>
      <c r="AH558" t="s">
        <v>112</v>
      </c>
      <c r="AJ558" t="s">
        <v>8994</v>
      </c>
      <c r="AU558" t="s">
        <v>112</v>
      </c>
      <c r="AV558" t="s">
        <v>8995</v>
      </c>
      <c r="AW558" t="s">
        <v>114</v>
      </c>
      <c r="AZ558" t="s">
        <v>4</v>
      </c>
      <c r="BA558" s="3" t="s">
        <v>95</v>
      </c>
      <c r="BB558" s="6" t="s">
        <v>95</v>
      </c>
      <c r="BC558" s="3" t="s">
        <v>95</v>
      </c>
      <c r="BD558" t="s">
        <v>4</v>
      </c>
      <c r="BE558">
        <v>4585</v>
      </c>
      <c r="BF558" t="s">
        <v>112</v>
      </c>
      <c r="BG558">
        <v>98.600300000000004</v>
      </c>
      <c r="BH558" t="s">
        <v>8996</v>
      </c>
      <c r="BI558" t="s">
        <v>8997</v>
      </c>
      <c r="BJ558">
        <v>90.202200000000005</v>
      </c>
      <c r="BK558">
        <v>82.581599999999995</v>
      </c>
      <c r="BL558" t="s">
        <v>8998</v>
      </c>
      <c r="BM558">
        <v>85.692099999999996</v>
      </c>
      <c r="BN558">
        <v>85.225499999999997</v>
      </c>
      <c r="BO558">
        <v>86.780699999999996</v>
      </c>
      <c r="BP558">
        <v>53.032699999999998</v>
      </c>
      <c r="CK558">
        <v>5</v>
      </c>
      <c r="CL558" t="s">
        <v>4</v>
      </c>
      <c r="CM558" t="s">
        <v>98</v>
      </c>
      <c r="CN558" t="s">
        <v>98</v>
      </c>
      <c r="CO558" t="s">
        <v>99</v>
      </c>
      <c r="CP558" t="s">
        <v>100</v>
      </c>
      <c r="CQ558" s="7">
        <v>560</v>
      </c>
      <c r="CR558" t="s">
        <v>100</v>
      </c>
      <c r="CS558" t="s">
        <v>100</v>
      </c>
      <c r="CT558" t="s">
        <v>152</v>
      </c>
      <c r="CU558" t="s">
        <v>102</v>
      </c>
      <c r="CV558" t="s">
        <v>100</v>
      </c>
    </row>
    <row r="559" spans="1:100">
      <c r="A559" s="3" t="s">
        <v>8999</v>
      </c>
      <c r="B559" s="4" t="s">
        <v>9000</v>
      </c>
      <c r="C559">
        <v>2714.6991979056902</v>
      </c>
      <c r="D559">
        <v>10702.932695199701</v>
      </c>
      <c r="E559">
        <f>-1.97919859266336</f>
        <v>-1.97919859266336</v>
      </c>
      <c r="F559" s="5">
        <v>7.2590829198797501E-32</v>
      </c>
      <c r="G559" t="s">
        <v>4</v>
      </c>
      <c r="H559">
        <v>2714.6991979056902</v>
      </c>
      <c r="I559">
        <v>2663.8270614749399</v>
      </c>
      <c r="J559">
        <v>2.6900247593252501E-2</v>
      </c>
      <c r="K559">
        <v>0.89405960572417098</v>
      </c>
      <c r="L559" t="s">
        <v>4</v>
      </c>
      <c r="M559">
        <v>10702.932695199701</v>
      </c>
      <c r="N559">
        <v>2663.8270614749399</v>
      </c>
      <c r="O559">
        <v>2.0060988402566098</v>
      </c>
      <c r="P559" s="5">
        <v>1.59787638268836E-33</v>
      </c>
      <c r="Q559" t="s">
        <v>4</v>
      </c>
      <c r="R559" s="4" t="s">
        <v>87</v>
      </c>
      <c r="S559" t="s">
        <v>4</v>
      </c>
      <c r="T559" t="s">
        <v>9001</v>
      </c>
      <c r="U559" t="s">
        <v>9002</v>
      </c>
      <c r="V559" t="s">
        <v>9003</v>
      </c>
      <c r="W559" t="s">
        <v>328</v>
      </c>
      <c r="X559" t="s">
        <v>4</v>
      </c>
      <c r="Y559" t="s">
        <v>9004</v>
      </c>
      <c r="Z559" t="s">
        <v>9005</v>
      </c>
      <c r="AA559" t="s">
        <v>9006</v>
      </c>
      <c r="AB559" t="s">
        <v>4</v>
      </c>
      <c r="AC559" s="3" t="s">
        <v>9007</v>
      </c>
      <c r="AD559" t="s">
        <v>4</v>
      </c>
      <c r="AE559" t="s">
        <v>9008</v>
      </c>
      <c r="AF559" t="s">
        <v>834</v>
      </c>
      <c r="AG559" t="s">
        <v>9009</v>
      </c>
      <c r="AH559" t="s">
        <v>112</v>
      </c>
      <c r="AJ559" t="s">
        <v>9010</v>
      </c>
      <c r="AL559" t="s">
        <v>9011</v>
      </c>
      <c r="AM559" t="s">
        <v>9012</v>
      </c>
      <c r="AN559" t="s">
        <v>9013</v>
      </c>
      <c r="AQ559" t="s">
        <v>9014</v>
      </c>
      <c r="AU559" t="s">
        <v>112</v>
      </c>
      <c r="AV559" t="s">
        <v>9015</v>
      </c>
      <c r="AW559" t="s">
        <v>114</v>
      </c>
      <c r="AX559" t="s">
        <v>733</v>
      </c>
      <c r="AY559" t="s">
        <v>9016</v>
      </c>
      <c r="AZ559" t="s">
        <v>4</v>
      </c>
      <c r="BA559" s="3" t="s">
        <v>95</v>
      </c>
      <c r="BB559" s="6" t="s">
        <v>95</v>
      </c>
      <c r="BC559" s="3" t="s">
        <v>95</v>
      </c>
      <c r="BD559" t="s">
        <v>4</v>
      </c>
      <c r="BE559">
        <v>9414</v>
      </c>
      <c r="BF559" t="s">
        <v>169</v>
      </c>
      <c r="BG559">
        <v>99.738200000000006</v>
      </c>
      <c r="BH559">
        <v>23.909300000000002</v>
      </c>
      <c r="BI559">
        <v>98.080299999999994</v>
      </c>
      <c r="BJ559">
        <v>95.462500000000006</v>
      </c>
      <c r="BK559">
        <v>90.401399999999995</v>
      </c>
      <c r="BL559">
        <v>93.891800000000003</v>
      </c>
      <c r="BM559">
        <v>94.066299999999998</v>
      </c>
      <c r="BN559">
        <v>93.891800000000003</v>
      </c>
      <c r="BO559">
        <v>94.415400000000005</v>
      </c>
      <c r="BP559" t="s">
        <v>9017</v>
      </c>
      <c r="BQ559">
        <v>14.834199999999999</v>
      </c>
      <c r="BR559" t="s">
        <v>9018</v>
      </c>
      <c r="BS559" t="s">
        <v>9019</v>
      </c>
      <c r="BT559" t="s">
        <v>9020</v>
      </c>
      <c r="BU559">
        <v>45.549700000000001</v>
      </c>
      <c r="BV559" t="s">
        <v>9021</v>
      </c>
      <c r="BW559" t="s">
        <v>9022</v>
      </c>
      <c r="BX559" t="s">
        <v>9023</v>
      </c>
      <c r="BY559" t="s">
        <v>9024</v>
      </c>
      <c r="BZ559" t="s">
        <v>9025</v>
      </c>
      <c r="CA559">
        <v>39.616100000000003</v>
      </c>
      <c r="CB559" t="s">
        <v>9026</v>
      </c>
      <c r="CC559" t="s">
        <v>9027</v>
      </c>
      <c r="CD559" t="s">
        <v>9028</v>
      </c>
      <c r="CE559" t="s">
        <v>9029</v>
      </c>
      <c r="CF559" t="s">
        <v>9030</v>
      </c>
      <c r="CG559">
        <v>44.764400000000002</v>
      </c>
      <c r="CH559">
        <v>44.764400000000002</v>
      </c>
      <c r="CI559">
        <v>19.459</v>
      </c>
      <c r="CK559">
        <v>9</v>
      </c>
      <c r="CL559" t="s">
        <v>4</v>
      </c>
      <c r="CM559" t="s">
        <v>9031</v>
      </c>
      <c r="CN559" t="s">
        <v>9032</v>
      </c>
      <c r="CO559" t="s">
        <v>219</v>
      </c>
      <c r="CP559" t="s">
        <v>100</v>
      </c>
      <c r="CQ559" s="7">
        <v>561</v>
      </c>
      <c r="CR559" t="s">
        <v>100</v>
      </c>
      <c r="CS559" t="s">
        <v>100</v>
      </c>
      <c r="CT559" t="s">
        <v>152</v>
      </c>
      <c r="CU559" t="s">
        <v>102</v>
      </c>
      <c r="CV559" t="s">
        <v>100</v>
      </c>
    </row>
    <row r="560" spans="1:100">
      <c r="A560" s="3" t="s">
        <v>85</v>
      </c>
      <c r="B560" s="4" t="s">
        <v>86</v>
      </c>
      <c r="C560">
        <v>22.6527127297894</v>
      </c>
      <c r="D560">
        <v>0.291850698664749</v>
      </c>
      <c r="E560">
        <v>6.0548169029276497</v>
      </c>
      <c r="F560">
        <v>6.8548727866318501E-4</v>
      </c>
      <c r="G560" t="s">
        <v>4</v>
      </c>
      <c r="H560">
        <v>22.6527127297894</v>
      </c>
      <c r="I560">
        <v>1.34807101142369</v>
      </c>
      <c r="J560">
        <v>3.8447206555503999</v>
      </c>
      <c r="K560">
        <v>9.2202540226505592E-3</v>
      </c>
      <c r="L560" t="s">
        <v>4</v>
      </c>
      <c r="M560">
        <v>0.291850698664749</v>
      </c>
      <c r="N560">
        <v>1.34807101142369</v>
      </c>
      <c r="O560">
        <f>-2.21009624737725</f>
        <v>-2.2100962473772499</v>
      </c>
      <c r="P560">
        <v>0.29288122059830901</v>
      </c>
      <c r="Q560" t="s">
        <v>4</v>
      </c>
      <c r="R560" s="4" t="s">
        <v>87</v>
      </c>
      <c r="S560" t="s">
        <v>4</v>
      </c>
      <c r="T560" t="s">
        <v>88</v>
      </c>
      <c r="U560" t="s">
        <v>89</v>
      </c>
      <c r="V560" t="s">
        <v>90</v>
      </c>
      <c r="W560" t="s">
        <v>91</v>
      </c>
      <c r="X560" t="s">
        <v>4</v>
      </c>
      <c r="Y560" t="s">
        <v>92</v>
      </c>
      <c r="Z560" t="s">
        <v>92</v>
      </c>
      <c r="AA560" t="s">
        <v>92</v>
      </c>
      <c r="AB560" t="s">
        <v>4</v>
      </c>
      <c r="AC560" s="3" t="s">
        <v>93</v>
      </c>
      <c r="AD560" t="s">
        <v>4</v>
      </c>
      <c r="AE560" s="4" t="s">
        <v>94</v>
      </c>
      <c r="AZ560" t="s">
        <v>4</v>
      </c>
      <c r="BA560" s="3" t="s">
        <v>95</v>
      </c>
      <c r="BB560" t="s">
        <v>96</v>
      </c>
      <c r="BC560" s="3" t="s">
        <v>95</v>
      </c>
      <c r="BD560" t="s">
        <v>4</v>
      </c>
      <c r="BE560">
        <v>2830</v>
      </c>
      <c r="BF560" t="s">
        <v>97</v>
      </c>
      <c r="CK560">
        <v>4</v>
      </c>
      <c r="CL560" t="s">
        <v>4</v>
      </c>
      <c r="CM560" t="s">
        <v>98</v>
      </c>
      <c r="CN560" t="s">
        <v>98</v>
      </c>
      <c r="CO560" t="s">
        <v>99</v>
      </c>
      <c r="CP560">
        <v>1</v>
      </c>
      <c r="CQ560" t="s">
        <v>100</v>
      </c>
      <c r="CR560" t="s">
        <v>100</v>
      </c>
      <c r="CS560" t="s">
        <v>101</v>
      </c>
      <c r="CT560" t="s">
        <v>100</v>
      </c>
      <c r="CU560" t="s">
        <v>102</v>
      </c>
      <c r="CV560" t="s">
        <v>100</v>
      </c>
    </row>
    <row r="561" spans="1:100">
      <c r="A561" s="3" t="s">
        <v>103</v>
      </c>
      <c r="B561" s="4" t="s">
        <v>104</v>
      </c>
      <c r="C561">
        <v>278.00344329299702</v>
      </c>
      <c r="D561">
        <v>59.5886989364881</v>
      </c>
      <c r="E561">
        <v>2.2254997155909302</v>
      </c>
      <c r="F561" s="5">
        <v>4.1006017135467503E-15</v>
      </c>
      <c r="G561" t="s">
        <v>4</v>
      </c>
      <c r="H561">
        <v>278.00344329299702</v>
      </c>
      <c r="I561">
        <v>61.321839587696303</v>
      </c>
      <c r="J561">
        <v>2.1724332850883301</v>
      </c>
      <c r="K561" s="5">
        <v>5.1057477823349101E-14</v>
      </c>
      <c r="L561" t="s">
        <v>4</v>
      </c>
      <c r="M561">
        <v>59.5886989364881</v>
      </c>
      <c r="N561">
        <v>61.321839587696303</v>
      </c>
      <c r="O561">
        <f>0.0530664305026081</f>
        <v>5.3066430502608099E-2</v>
      </c>
      <c r="P561">
        <v>0.89870397377268196</v>
      </c>
      <c r="Q561" t="s">
        <v>4</v>
      </c>
      <c r="R561" s="4" t="s">
        <v>87</v>
      </c>
      <c r="S561" t="s">
        <v>4</v>
      </c>
      <c r="T561" t="s">
        <v>92</v>
      </c>
      <c r="U561" t="s">
        <v>92</v>
      </c>
      <c r="V561" t="s">
        <v>92</v>
      </c>
      <c r="W561" t="s">
        <v>92</v>
      </c>
      <c r="X561" t="s">
        <v>4</v>
      </c>
      <c r="Y561" t="s">
        <v>105</v>
      </c>
      <c r="Z561" t="s">
        <v>106</v>
      </c>
      <c r="AA561" t="s">
        <v>107</v>
      </c>
      <c r="AB561" t="s">
        <v>4</v>
      </c>
      <c r="AC561" s="3" t="s">
        <v>108</v>
      </c>
      <c r="AD561" t="s">
        <v>4</v>
      </c>
      <c r="AE561" t="s">
        <v>109</v>
      </c>
      <c r="AF561" t="s">
        <v>110</v>
      </c>
      <c r="AG561" t="s">
        <v>111</v>
      </c>
      <c r="AH561" t="s">
        <v>112</v>
      </c>
      <c r="AU561" t="s">
        <v>112</v>
      </c>
      <c r="AV561" t="s">
        <v>113</v>
      </c>
      <c r="AW561" t="s">
        <v>114</v>
      </c>
      <c r="AZ561" t="s">
        <v>4</v>
      </c>
      <c r="BA561" s="3" t="s">
        <v>115</v>
      </c>
      <c r="BB561" s="6" t="s">
        <v>95</v>
      </c>
      <c r="BC561" s="3" t="s">
        <v>95</v>
      </c>
      <c r="BD561" t="s">
        <v>4</v>
      </c>
      <c r="BE561">
        <v>4407</v>
      </c>
      <c r="BF561" t="s">
        <v>112</v>
      </c>
      <c r="BG561">
        <v>85.7881</v>
      </c>
      <c r="BH561">
        <v>87.338499999999996</v>
      </c>
      <c r="BI561">
        <v>75.193799999999996</v>
      </c>
      <c r="BJ561">
        <v>82.687299999999993</v>
      </c>
      <c r="BK561" t="s">
        <v>116</v>
      </c>
      <c r="BL561">
        <v>51.421199999999999</v>
      </c>
      <c r="BM561">
        <v>52.713200000000001</v>
      </c>
      <c r="BN561">
        <v>52.454799999999999</v>
      </c>
      <c r="BO561">
        <v>60.723500000000001</v>
      </c>
      <c r="BP561">
        <v>52.971600000000002</v>
      </c>
      <c r="BR561" t="s">
        <v>117</v>
      </c>
      <c r="BS561">
        <v>39.793300000000002</v>
      </c>
      <c r="CK561">
        <v>5</v>
      </c>
      <c r="CL561" t="s">
        <v>4</v>
      </c>
      <c r="CM561" t="s">
        <v>98</v>
      </c>
      <c r="CN561" t="s">
        <v>98</v>
      </c>
      <c r="CO561" t="s">
        <v>99</v>
      </c>
      <c r="CP561">
        <v>2</v>
      </c>
      <c r="CQ561" t="s">
        <v>100</v>
      </c>
      <c r="CR561" t="s">
        <v>100</v>
      </c>
      <c r="CS561" t="s">
        <v>101</v>
      </c>
      <c r="CT561" t="s">
        <v>100</v>
      </c>
      <c r="CU561" t="s">
        <v>102</v>
      </c>
      <c r="CV561" t="s">
        <v>100</v>
      </c>
    </row>
    <row r="562" spans="1:100">
      <c r="A562" s="3" t="s">
        <v>118</v>
      </c>
      <c r="B562" s="4" t="s">
        <v>119</v>
      </c>
      <c r="C562">
        <v>106.78970680649201</v>
      </c>
      <c r="D562">
        <v>16.675857548861899</v>
      </c>
      <c r="E562">
        <v>2.6772444127998898</v>
      </c>
      <c r="F562" s="5">
        <v>4.3415209360211703E-6</v>
      </c>
      <c r="G562" t="s">
        <v>4</v>
      </c>
      <c r="H562">
        <v>106.78970680649201</v>
      </c>
      <c r="I562">
        <v>18.0056398737919</v>
      </c>
      <c r="J562">
        <v>2.5844997941571899</v>
      </c>
      <c r="K562" s="5">
        <v>1.0969423012388501E-5</v>
      </c>
      <c r="L562" t="s">
        <v>4</v>
      </c>
      <c r="M562">
        <v>16.675857548861899</v>
      </c>
      <c r="N562">
        <v>18.0056398737919</v>
      </c>
      <c r="O562">
        <f>0.092744618642696</f>
        <v>9.2744618642695995E-2</v>
      </c>
      <c r="P562">
        <v>0.91115459299697199</v>
      </c>
      <c r="Q562" t="s">
        <v>4</v>
      </c>
      <c r="R562" s="4" t="s">
        <v>87</v>
      </c>
      <c r="S562" t="s">
        <v>4</v>
      </c>
      <c r="T562" t="s">
        <v>120</v>
      </c>
      <c r="U562" t="s">
        <v>121</v>
      </c>
      <c r="V562" t="s">
        <v>122</v>
      </c>
      <c r="W562" t="s">
        <v>123</v>
      </c>
      <c r="X562" t="s">
        <v>4</v>
      </c>
      <c r="Y562" t="s">
        <v>124</v>
      </c>
      <c r="Z562" t="s">
        <v>125</v>
      </c>
      <c r="AA562" t="s">
        <v>126</v>
      </c>
      <c r="AB562" t="s">
        <v>4</v>
      </c>
      <c r="AC562" s="3" t="s">
        <v>127</v>
      </c>
      <c r="AD562" t="s">
        <v>4</v>
      </c>
      <c r="AE562" t="s">
        <v>128</v>
      </c>
      <c r="AF562" t="s">
        <v>129</v>
      </c>
      <c r="AG562" t="s">
        <v>130</v>
      </c>
      <c r="AH562" t="s">
        <v>112</v>
      </c>
      <c r="AU562" t="s">
        <v>112</v>
      </c>
      <c r="AV562" t="s">
        <v>131</v>
      </c>
      <c r="AW562" t="s">
        <v>114</v>
      </c>
      <c r="AX562" t="s">
        <v>132</v>
      </c>
      <c r="AY562" t="s">
        <v>133</v>
      </c>
      <c r="AZ562" t="s">
        <v>4</v>
      </c>
      <c r="BA562" s="3" t="s">
        <v>95</v>
      </c>
      <c r="BB562" s="6" t="s">
        <v>95</v>
      </c>
      <c r="BC562" s="3" t="s">
        <v>95</v>
      </c>
      <c r="BD562" t="s">
        <v>4</v>
      </c>
      <c r="BE562">
        <v>4408</v>
      </c>
      <c r="BF562" t="s">
        <v>112</v>
      </c>
      <c r="BG562">
        <v>97.523799999999994</v>
      </c>
      <c r="BH562">
        <v>99.8095</v>
      </c>
      <c r="BI562">
        <v>95.047600000000003</v>
      </c>
      <c r="BJ562">
        <v>57.714300000000001</v>
      </c>
      <c r="BK562">
        <v>56.571399999999997</v>
      </c>
      <c r="BL562">
        <v>32.1905</v>
      </c>
      <c r="BM562">
        <v>64.381</v>
      </c>
      <c r="BN562">
        <v>75.8095</v>
      </c>
      <c r="BO562">
        <v>52.381</v>
      </c>
      <c r="CK562">
        <v>5</v>
      </c>
      <c r="CL562" t="s">
        <v>4</v>
      </c>
      <c r="CM562" t="s">
        <v>98</v>
      </c>
      <c r="CN562" t="s">
        <v>98</v>
      </c>
      <c r="CO562" t="s">
        <v>99</v>
      </c>
      <c r="CP562">
        <v>3</v>
      </c>
      <c r="CQ562" t="s">
        <v>100</v>
      </c>
      <c r="CR562" t="s">
        <v>100</v>
      </c>
      <c r="CS562" t="s">
        <v>101</v>
      </c>
      <c r="CT562" t="s">
        <v>100</v>
      </c>
      <c r="CU562" t="s">
        <v>102</v>
      </c>
      <c r="CV562" t="s">
        <v>100</v>
      </c>
    </row>
    <row r="563" spans="1:100">
      <c r="A563" s="3" t="s">
        <v>134</v>
      </c>
      <c r="B563" s="4" t="s">
        <v>135</v>
      </c>
      <c r="C563">
        <v>37.269175985653398</v>
      </c>
      <c r="D563">
        <v>6.77940281412479</v>
      </c>
      <c r="E563">
        <v>2.46547424551756</v>
      </c>
      <c r="F563">
        <v>8.0663885604586802E-3</v>
      </c>
      <c r="G563" t="s">
        <v>4</v>
      </c>
      <c r="H563">
        <v>37.269175985653398</v>
      </c>
      <c r="I563">
        <v>5.6026192753870303</v>
      </c>
      <c r="J563">
        <v>2.8409102470521002</v>
      </c>
      <c r="K563">
        <v>2.96881254418993E-3</v>
      </c>
      <c r="L563" t="s">
        <v>4</v>
      </c>
      <c r="M563">
        <v>6.77940281412479</v>
      </c>
      <c r="N563">
        <v>5.6026192753870303</v>
      </c>
      <c r="O563">
        <v>0.37543600153453999</v>
      </c>
      <c r="P563">
        <v>0.75895316022119697</v>
      </c>
      <c r="Q563" t="s">
        <v>4</v>
      </c>
      <c r="R563" s="4" t="s">
        <v>87</v>
      </c>
      <c r="S563" t="s">
        <v>4</v>
      </c>
      <c r="T563" t="s">
        <v>92</v>
      </c>
      <c r="U563" t="s">
        <v>92</v>
      </c>
      <c r="V563" t="s">
        <v>92</v>
      </c>
      <c r="W563" t="s">
        <v>92</v>
      </c>
      <c r="X563" t="s">
        <v>4</v>
      </c>
      <c r="Y563" t="s">
        <v>136</v>
      </c>
      <c r="Z563" t="s">
        <v>137</v>
      </c>
      <c r="AA563" t="s">
        <v>138</v>
      </c>
      <c r="AB563" t="s">
        <v>4</v>
      </c>
      <c r="AC563" s="3" t="s">
        <v>139</v>
      </c>
      <c r="AD563" t="s">
        <v>4</v>
      </c>
      <c r="AE563" t="s">
        <v>140</v>
      </c>
      <c r="AF563" t="s">
        <v>141</v>
      </c>
      <c r="AG563" t="s">
        <v>142</v>
      </c>
      <c r="AH563" t="s">
        <v>112</v>
      </c>
      <c r="AU563" t="s">
        <v>112</v>
      </c>
      <c r="AV563" t="s">
        <v>143</v>
      </c>
      <c r="AW563" t="s">
        <v>114</v>
      </c>
      <c r="AX563" t="s">
        <v>144</v>
      </c>
      <c r="AY563" t="s">
        <v>145</v>
      </c>
      <c r="AZ563" t="s">
        <v>4</v>
      </c>
      <c r="BA563" s="3" t="s">
        <v>95</v>
      </c>
      <c r="BB563" s="6" t="s">
        <v>95</v>
      </c>
      <c r="BC563" s="3" t="s">
        <v>95</v>
      </c>
      <c r="BD563" t="s">
        <v>4</v>
      </c>
      <c r="BE563">
        <v>4409</v>
      </c>
      <c r="BF563" t="s">
        <v>112</v>
      </c>
      <c r="BG563">
        <v>89.411799999999999</v>
      </c>
      <c r="BH563">
        <v>90</v>
      </c>
      <c r="BI563">
        <v>87.058800000000005</v>
      </c>
      <c r="BJ563">
        <v>88.235299999999995</v>
      </c>
      <c r="BK563">
        <v>88.235299999999995</v>
      </c>
      <c r="BL563">
        <v>82.941199999999995</v>
      </c>
      <c r="BM563">
        <v>75.882400000000004</v>
      </c>
      <c r="BN563">
        <v>84.7059</v>
      </c>
      <c r="BO563">
        <v>88.235299999999995</v>
      </c>
      <c r="CK563">
        <v>5</v>
      </c>
      <c r="CL563" t="s">
        <v>4</v>
      </c>
      <c r="CM563" t="s">
        <v>98</v>
      </c>
      <c r="CN563" t="s">
        <v>98</v>
      </c>
      <c r="CO563" t="s">
        <v>99</v>
      </c>
      <c r="CP563">
        <v>4</v>
      </c>
      <c r="CQ563" t="s">
        <v>100</v>
      </c>
      <c r="CR563" t="s">
        <v>100</v>
      </c>
      <c r="CS563" t="s">
        <v>101</v>
      </c>
      <c r="CT563" t="s">
        <v>100</v>
      </c>
      <c r="CU563" t="s">
        <v>102</v>
      </c>
      <c r="CV563" t="s">
        <v>100</v>
      </c>
    </row>
    <row r="564" spans="1:100">
      <c r="A564" s="3" t="s">
        <v>146</v>
      </c>
      <c r="B564" s="4" t="s">
        <v>147</v>
      </c>
      <c r="C564">
        <v>118.53705367828999</v>
      </c>
      <c r="D564">
        <v>25.332464015155299</v>
      </c>
      <c r="E564">
        <v>2.2275788149249598</v>
      </c>
      <c r="F564" s="5">
        <v>3.7660971052120802E-5</v>
      </c>
      <c r="G564" t="s">
        <v>4</v>
      </c>
      <c r="H564">
        <v>118.53705367828999</v>
      </c>
      <c r="I564">
        <v>18.5182137754556</v>
      </c>
      <c r="J564">
        <v>2.7314252217428199</v>
      </c>
      <c r="K564" s="5">
        <v>7.9965277784175197E-7</v>
      </c>
      <c r="L564" t="s">
        <v>4</v>
      </c>
      <c r="M564">
        <v>25.332464015155299</v>
      </c>
      <c r="N564">
        <v>18.5182137754556</v>
      </c>
      <c r="O564">
        <v>0.50384640681785398</v>
      </c>
      <c r="P564">
        <v>0.44445477006769402</v>
      </c>
      <c r="Q564" t="s">
        <v>4</v>
      </c>
      <c r="R564" s="4" t="s">
        <v>87</v>
      </c>
      <c r="S564" t="s">
        <v>4</v>
      </c>
      <c r="T564" t="s">
        <v>92</v>
      </c>
      <c r="U564" t="s">
        <v>92</v>
      </c>
      <c r="V564" t="s">
        <v>92</v>
      </c>
      <c r="W564" t="s">
        <v>92</v>
      </c>
      <c r="X564" t="s">
        <v>4</v>
      </c>
      <c r="Y564" t="s">
        <v>92</v>
      </c>
      <c r="Z564" t="s">
        <v>92</v>
      </c>
      <c r="AA564" t="s">
        <v>92</v>
      </c>
      <c r="AB564" t="s">
        <v>4</v>
      </c>
      <c r="AC564" s="3" t="s">
        <v>93</v>
      </c>
      <c r="AD564" t="s">
        <v>4</v>
      </c>
      <c r="AE564" s="4" t="s">
        <v>94</v>
      </c>
      <c r="AZ564" t="s">
        <v>4</v>
      </c>
      <c r="BA564" s="3" t="s">
        <v>95</v>
      </c>
      <c r="BB564" s="6" t="s">
        <v>95</v>
      </c>
      <c r="BC564" s="3" t="s">
        <v>95</v>
      </c>
      <c r="BD564" t="s">
        <v>4</v>
      </c>
      <c r="BE564">
        <v>2158</v>
      </c>
      <c r="BF564" t="s">
        <v>148</v>
      </c>
      <c r="BG564">
        <v>60.3352</v>
      </c>
      <c r="BH564">
        <v>62.569800000000001</v>
      </c>
      <c r="BI564">
        <v>56.424599999999998</v>
      </c>
      <c r="BJ564">
        <v>39.106099999999998</v>
      </c>
      <c r="BK564">
        <v>46.927399999999999</v>
      </c>
      <c r="BL564">
        <v>44.692700000000002</v>
      </c>
      <c r="BM564">
        <v>33.240200000000002</v>
      </c>
      <c r="BN564">
        <v>32.960900000000002</v>
      </c>
      <c r="BO564">
        <v>39.944099999999999</v>
      </c>
      <c r="CK564">
        <v>3</v>
      </c>
      <c r="CL564" t="s">
        <v>4</v>
      </c>
      <c r="CM564" t="s">
        <v>98</v>
      </c>
      <c r="CN564" t="s">
        <v>98</v>
      </c>
      <c r="CO564" t="s">
        <v>99</v>
      </c>
      <c r="CP564">
        <v>5</v>
      </c>
      <c r="CQ564" t="s">
        <v>100</v>
      </c>
      <c r="CR564" t="s">
        <v>100</v>
      </c>
      <c r="CS564" t="s">
        <v>101</v>
      </c>
      <c r="CT564" t="s">
        <v>100</v>
      </c>
      <c r="CU564" t="s">
        <v>102</v>
      </c>
      <c r="CV564" t="s">
        <v>100</v>
      </c>
    </row>
    <row r="565" spans="1:100">
      <c r="A565" s="3" t="s">
        <v>149</v>
      </c>
      <c r="B565" s="4" t="s">
        <v>150</v>
      </c>
      <c r="C565">
        <v>458.35809401081298</v>
      </c>
      <c r="D565">
        <v>94.609884855250797</v>
      </c>
      <c r="E565">
        <v>2.2743197638754298</v>
      </c>
      <c r="F565">
        <v>2.6990446656627299E-4</v>
      </c>
      <c r="G565" t="s">
        <v>4</v>
      </c>
      <c r="H565">
        <v>458.35809401081298</v>
      </c>
      <c r="I565">
        <v>15.2919306967141</v>
      </c>
      <c r="J565">
        <v>4.8230137612831001</v>
      </c>
      <c r="K565" s="5">
        <v>2.8202320093465301E-14</v>
      </c>
      <c r="L565" t="s">
        <v>4</v>
      </c>
      <c r="M565">
        <v>94.609884855250797</v>
      </c>
      <c r="N565">
        <v>15.2919306967141</v>
      </c>
      <c r="O565">
        <v>2.5486939974076699</v>
      </c>
      <c r="P565" s="5">
        <v>9.5233639145207694E-5</v>
      </c>
      <c r="Q565" t="s">
        <v>4</v>
      </c>
      <c r="R565" s="4" t="s">
        <v>87</v>
      </c>
      <c r="S565" t="s">
        <v>4</v>
      </c>
      <c r="T565" t="s">
        <v>92</v>
      </c>
      <c r="U565" t="s">
        <v>92</v>
      </c>
      <c r="V565" t="s">
        <v>92</v>
      </c>
      <c r="W565" t="s">
        <v>92</v>
      </c>
      <c r="X565" t="s">
        <v>4</v>
      </c>
      <c r="Y565" t="s">
        <v>92</v>
      </c>
      <c r="Z565" t="s">
        <v>92</v>
      </c>
      <c r="AA565" t="s">
        <v>92</v>
      </c>
      <c r="AB565" t="s">
        <v>4</v>
      </c>
      <c r="AC565" s="3" t="s">
        <v>93</v>
      </c>
      <c r="AD565" t="s">
        <v>4</v>
      </c>
      <c r="AE565" s="4" t="s">
        <v>94</v>
      </c>
      <c r="AZ565" t="s">
        <v>4</v>
      </c>
      <c r="BA565" s="3" t="s">
        <v>95</v>
      </c>
      <c r="BB565" s="6" t="s">
        <v>95</v>
      </c>
      <c r="BC565" s="3" t="s">
        <v>95</v>
      </c>
      <c r="BD565" t="s">
        <v>4</v>
      </c>
      <c r="BE565">
        <v>1362</v>
      </c>
      <c r="BF565" t="s">
        <v>151</v>
      </c>
      <c r="BG565">
        <v>76.271199999999993</v>
      </c>
      <c r="BH565">
        <v>67.2316</v>
      </c>
      <c r="BJ565">
        <v>44.067799999999998</v>
      </c>
      <c r="BM565">
        <v>39.548000000000002</v>
      </c>
      <c r="BN565">
        <v>37.2881</v>
      </c>
      <c r="BO565">
        <v>41.807899999999997</v>
      </c>
      <c r="CK565">
        <v>2</v>
      </c>
      <c r="CL565" t="s">
        <v>4</v>
      </c>
      <c r="CM565" t="s">
        <v>98</v>
      </c>
      <c r="CN565" t="s">
        <v>98</v>
      </c>
      <c r="CO565" t="s">
        <v>99</v>
      </c>
      <c r="CP565">
        <v>6</v>
      </c>
      <c r="CQ565" t="s">
        <v>100</v>
      </c>
      <c r="CR565" t="s">
        <v>100</v>
      </c>
      <c r="CS565" t="s">
        <v>101</v>
      </c>
      <c r="CT565" t="s">
        <v>152</v>
      </c>
      <c r="CU565" t="s">
        <v>102</v>
      </c>
      <c r="CV565" t="s">
        <v>100</v>
      </c>
    </row>
    <row r="566" spans="1:100">
      <c r="A566" s="3" t="s">
        <v>153</v>
      </c>
      <c r="B566" s="4" t="s">
        <v>154</v>
      </c>
      <c r="C566">
        <v>198.598765974353</v>
      </c>
      <c r="D566">
        <v>31.8169840156562</v>
      </c>
      <c r="E566">
        <v>2.6411939844122201</v>
      </c>
      <c r="F566" s="5">
        <v>1.1347521793261E-5</v>
      </c>
      <c r="G566" t="s">
        <v>4</v>
      </c>
      <c r="H566">
        <v>198.598765974353</v>
      </c>
      <c r="I566">
        <v>8.7584382598172201</v>
      </c>
      <c r="J566">
        <v>4.4968648712956503</v>
      </c>
      <c r="K566" s="5">
        <v>6.6387563664133404E-12</v>
      </c>
      <c r="L566" t="s">
        <v>4</v>
      </c>
      <c r="M566">
        <v>31.8169840156562</v>
      </c>
      <c r="N566">
        <v>8.7584382598172201</v>
      </c>
      <c r="O566">
        <v>1.85567088688344</v>
      </c>
      <c r="P566">
        <v>7.8166077562066595E-3</v>
      </c>
      <c r="Q566" t="s">
        <v>4</v>
      </c>
      <c r="R566" s="4" t="s">
        <v>87</v>
      </c>
      <c r="S566" t="s">
        <v>4</v>
      </c>
      <c r="T566" t="s">
        <v>92</v>
      </c>
      <c r="U566" t="s">
        <v>92</v>
      </c>
      <c r="V566" t="s">
        <v>92</v>
      </c>
      <c r="W566" t="s">
        <v>92</v>
      </c>
      <c r="X566" t="s">
        <v>4</v>
      </c>
      <c r="Y566" t="s">
        <v>155</v>
      </c>
      <c r="Z566" t="s">
        <v>156</v>
      </c>
      <c r="AA566" t="s">
        <v>157</v>
      </c>
      <c r="AB566" t="s">
        <v>4</v>
      </c>
      <c r="AC566" s="3" t="s">
        <v>158</v>
      </c>
      <c r="AD566" t="s">
        <v>4</v>
      </c>
      <c r="AE566" t="s">
        <v>159</v>
      </c>
      <c r="AF566" t="s">
        <v>160</v>
      </c>
      <c r="AG566" t="s">
        <v>161</v>
      </c>
      <c r="AH566" t="s">
        <v>112</v>
      </c>
      <c r="AJ566" t="s">
        <v>162</v>
      </c>
      <c r="AK566" t="s">
        <v>163</v>
      </c>
      <c r="AL566" t="s">
        <v>164</v>
      </c>
      <c r="AQ566" t="s">
        <v>165</v>
      </c>
      <c r="AU566" t="s">
        <v>112</v>
      </c>
      <c r="AV566" t="s">
        <v>166</v>
      </c>
      <c r="AW566" t="s">
        <v>114</v>
      </c>
      <c r="AX566" t="s">
        <v>167</v>
      </c>
      <c r="AY566" t="s">
        <v>168</v>
      </c>
      <c r="AZ566" t="s">
        <v>4</v>
      </c>
      <c r="BA566" s="3" t="s">
        <v>95</v>
      </c>
      <c r="BB566" s="6" t="s">
        <v>95</v>
      </c>
      <c r="BC566" s="3" t="s">
        <v>95</v>
      </c>
      <c r="BD566" t="s">
        <v>4</v>
      </c>
      <c r="BE566">
        <v>10294</v>
      </c>
      <c r="BF566" t="s">
        <v>169</v>
      </c>
      <c r="BG566" t="s">
        <v>170</v>
      </c>
      <c r="BH566">
        <v>99.779300000000006</v>
      </c>
      <c r="BJ566" t="s">
        <v>171</v>
      </c>
      <c r="BK566" t="s">
        <v>172</v>
      </c>
      <c r="BQ566" t="s">
        <v>173</v>
      </c>
      <c r="BR566" t="s">
        <v>174</v>
      </c>
      <c r="BS566">
        <v>18.542999999999999</v>
      </c>
      <c r="BT566">
        <v>9.05077</v>
      </c>
      <c r="BU566">
        <v>21.412800000000001</v>
      </c>
      <c r="BV566" t="s">
        <v>175</v>
      </c>
      <c r="BW566">
        <v>19.205300000000001</v>
      </c>
      <c r="BX566">
        <v>21.633600000000001</v>
      </c>
      <c r="BY566">
        <v>19.8675</v>
      </c>
      <c r="BZ566">
        <v>15.452500000000001</v>
      </c>
      <c r="CA566" t="s">
        <v>176</v>
      </c>
      <c r="CC566">
        <v>20.750599999999999</v>
      </c>
      <c r="CD566">
        <v>19.425999999999998</v>
      </c>
      <c r="CE566" t="s">
        <v>177</v>
      </c>
      <c r="CF566">
        <v>21.412800000000001</v>
      </c>
      <c r="CG566" t="s">
        <v>178</v>
      </c>
      <c r="CH566" t="s">
        <v>179</v>
      </c>
      <c r="CI566" t="s">
        <v>180</v>
      </c>
      <c r="CJ566" t="s">
        <v>181</v>
      </c>
      <c r="CK566">
        <v>9</v>
      </c>
      <c r="CL566" t="s">
        <v>4</v>
      </c>
      <c r="CM566" t="s">
        <v>182</v>
      </c>
      <c r="CN566" t="s">
        <v>183</v>
      </c>
      <c r="CO566" t="s">
        <v>184</v>
      </c>
      <c r="CP566">
        <v>7</v>
      </c>
      <c r="CQ566" t="s">
        <v>100</v>
      </c>
      <c r="CR566" t="s">
        <v>100</v>
      </c>
      <c r="CS566" t="s">
        <v>101</v>
      </c>
      <c r="CT566" s="7" t="s">
        <v>152</v>
      </c>
      <c r="CU566" t="s">
        <v>102</v>
      </c>
      <c r="CV566" t="s">
        <v>100</v>
      </c>
    </row>
    <row r="567" spans="1:100">
      <c r="A567" s="3" t="s">
        <v>185</v>
      </c>
      <c r="B567" s="4" t="s">
        <v>186</v>
      </c>
      <c r="C567">
        <v>126.73737476905499</v>
      </c>
      <c r="D567">
        <v>11.8750715883053</v>
      </c>
      <c r="E567">
        <v>3.4240387849774101</v>
      </c>
      <c r="F567" s="5">
        <v>2.2510531168823399E-10</v>
      </c>
      <c r="G567" t="s">
        <v>4</v>
      </c>
      <c r="H567">
        <v>126.73737476905499</v>
      </c>
      <c r="I567">
        <v>15.5178171086747</v>
      </c>
      <c r="J567">
        <v>3.0859780114852602</v>
      </c>
      <c r="K567" s="5">
        <v>1.38229434387322E-8</v>
      </c>
      <c r="L567" t="s">
        <v>4</v>
      </c>
      <c r="M567">
        <v>11.8750715883053</v>
      </c>
      <c r="N567">
        <v>15.5178171086747</v>
      </c>
      <c r="O567">
        <f>0.338060773492151</f>
        <v>0.33806077349215102</v>
      </c>
      <c r="P567">
        <v>0.63907628695580898</v>
      </c>
      <c r="Q567" t="s">
        <v>4</v>
      </c>
      <c r="R567" s="4" t="s">
        <v>87</v>
      </c>
      <c r="S567" t="s">
        <v>4</v>
      </c>
      <c r="T567" t="s">
        <v>92</v>
      </c>
      <c r="U567" t="s">
        <v>92</v>
      </c>
      <c r="V567" t="s">
        <v>92</v>
      </c>
      <c r="W567" t="s">
        <v>92</v>
      </c>
      <c r="X567" t="s">
        <v>4</v>
      </c>
      <c r="Y567" t="s">
        <v>92</v>
      </c>
      <c r="Z567" t="s">
        <v>92</v>
      </c>
      <c r="AA567" t="s">
        <v>92</v>
      </c>
      <c r="AB567" t="s">
        <v>4</v>
      </c>
      <c r="AC567" s="3" t="s">
        <v>93</v>
      </c>
      <c r="AD567" t="s">
        <v>4</v>
      </c>
      <c r="AE567" s="4" t="s">
        <v>94</v>
      </c>
      <c r="AZ567" t="s">
        <v>4</v>
      </c>
      <c r="BA567" s="3" t="s">
        <v>95</v>
      </c>
      <c r="BB567" s="6" t="s">
        <v>95</v>
      </c>
      <c r="BC567" s="3" t="s">
        <v>95</v>
      </c>
      <c r="BD567" t="s">
        <v>4</v>
      </c>
      <c r="BE567">
        <v>2839</v>
      </c>
      <c r="BF567" t="s">
        <v>97</v>
      </c>
      <c r="BG567">
        <v>97.530900000000003</v>
      </c>
      <c r="BI567">
        <v>85.185199999999995</v>
      </c>
      <c r="BJ567">
        <v>55.555599999999998</v>
      </c>
      <c r="BK567">
        <v>48.148099999999999</v>
      </c>
      <c r="BP567">
        <v>30.8642</v>
      </c>
      <c r="CK567">
        <v>4</v>
      </c>
      <c r="CL567" t="s">
        <v>4</v>
      </c>
      <c r="CM567" t="s">
        <v>98</v>
      </c>
      <c r="CN567" t="s">
        <v>98</v>
      </c>
      <c r="CO567" t="s">
        <v>99</v>
      </c>
      <c r="CP567">
        <v>8</v>
      </c>
      <c r="CQ567" t="s">
        <v>100</v>
      </c>
      <c r="CR567" t="s">
        <v>100</v>
      </c>
      <c r="CS567" t="s">
        <v>101</v>
      </c>
      <c r="CT567" t="s">
        <v>100</v>
      </c>
      <c r="CU567" t="s">
        <v>102</v>
      </c>
      <c r="CV567" t="s">
        <v>100</v>
      </c>
    </row>
    <row r="568" spans="1:100">
      <c r="A568" s="3" t="s">
        <v>187</v>
      </c>
      <c r="B568" s="4" t="s">
        <v>188</v>
      </c>
      <c r="C568">
        <v>80.659514590935004</v>
      </c>
      <c r="D568">
        <v>12.407799681330699</v>
      </c>
      <c r="E568">
        <v>2.7105906379356401</v>
      </c>
      <c r="F568">
        <v>3.22001230355984E-4</v>
      </c>
      <c r="G568" t="s">
        <v>4</v>
      </c>
      <c r="H568">
        <v>80.659514590935004</v>
      </c>
      <c r="I568">
        <v>10.473723456090999</v>
      </c>
      <c r="J568">
        <v>2.9307725596482102</v>
      </c>
      <c r="K568">
        <v>1.2308483410464999E-4</v>
      </c>
      <c r="L568" t="s">
        <v>4</v>
      </c>
      <c r="M568">
        <v>12.407799681330699</v>
      </c>
      <c r="N568">
        <v>10.473723456090999</v>
      </c>
      <c r="O568">
        <v>0.220181921712578</v>
      </c>
      <c r="P568">
        <v>0.82877809920327306</v>
      </c>
      <c r="Q568" t="s">
        <v>4</v>
      </c>
      <c r="R568" s="4" t="s">
        <v>87</v>
      </c>
      <c r="S568" t="s">
        <v>4</v>
      </c>
      <c r="T568" t="s">
        <v>189</v>
      </c>
      <c r="U568" t="s">
        <v>190</v>
      </c>
      <c r="V568" t="s">
        <v>191</v>
      </c>
      <c r="W568" t="s">
        <v>192</v>
      </c>
      <c r="X568" t="s">
        <v>4</v>
      </c>
      <c r="Y568" t="s">
        <v>193</v>
      </c>
      <c r="Z568" t="s">
        <v>194</v>
      </c>
      <c r="AA568" t="s">
        <v>195</v>
      </c>
      <c r="AB568" t="s">
        <v>4</v>
      </c>
      <c r="AC568" s="3" t="s">
        <v>196</v>
      </c>
      <c r="AD568" t="s">
        <v>4</v>
      </c>
      <c r="AE568" s="4" t="s">
        <v>94</v>
      </c>
      <c r="AZ568" t="s">
        <v>4</v>
      </c>
      <c r="BA568" s="3" t="s">
        <v>95</v>
      </c>
      <c r="BB568" t="s">
        <v>96</v>
      </c>
      <c r="BC568" s="3" t="s">
        <v>197</v>
      </c>
      <c r="BD568" t="s">
        <v>4</v>
      </c>
      <c r="BE568">
        <v>4418</v>
      </c>
      <c r="BF568" t="s">
        <v>112</v>
      </c>
      <c r="BG568">
        <v>97.109800000000007</v>
      </c>
      <c r="BH568">
        <v>73.121399999999994</v>
      </c>
      <c r="BI568">
        <v>79.768799999999999</v>
      </c>
      <c r="BJ568">
        <v>75.722499999999997</v>
      </c>
      <c r="BK568">
        <v>64.161799999999999</v>
      </c>
      <c r="BL568">
        <v>32.0809</v>
      </c>
      <c r="BM568">
        <v>72.832400000000007</v>
      </c>
      <c r="BN568">
        <v>73.121399999999994</v>
      </c>
      <c r="BO568">
        <v>53.179200000000002</v>
      </c>
      <c r="BP568">
        <v>9.8265899999999995</v>
      </c>
      <c r="BQ568">
        <v>19.9422</v>
      </c>
      <c r="CK568">
        <v>5</v>
      </c>
      <c r="CL568" t="s">
        <v>4</v>
      </c>
      <c r="CM568" t="s">
        <v>98</v>
      </c>
      <c r="CN568" t="s">
        <v>98</v>
      </c>
      <c r="CO568" t="s">
        <v>99</v>
      </c>
      <c r="CP568">
        <v>9</v>
      </c>
      <c r="CQ568" t="s">
        <v>100</v>
      </c>
      <c r="CR568" t="s">
        <v>100</v>
      </c>
      <c r="CS568" t="s">
        <v>101</v>
      </c>
      <c r="CT568" t="s">
        <v>100</v>
      </c>
      <c r="CU568" t="s">
        <v>102</v>
      </c>
      <c r="CV568" t="s">
        <v>100</v>
      </c>
    </row>
    <row r="569" spans="1:100">
      <c r="A569" s="3" t="s">
        <v>198</v>
      </c>
      <c r="B569" s="4" t="s">
        <v>199</v>
      </c>
      <c r="C569">
        <v>22710.248060553899</v>
      </c>
      <c r="D569">
        <v>3839.8130890910902</v>
      </c>
      <c r="E569">
        <v>2.5641765480644101</v>
      </c>
      <c r="F569" s="5">
        <v>3.9211649232387402E-5</v>
      </c>
      <c r="G569" t="s">
        <v>4</v>
      </c>
      <c r="H569">
        <v>22710.248060553899</v>
      </c>
      <c r="I569">
        <v>691.82612052544698</v>
      </c>
      <c r="J569">
        <v>5.03468006324991</v>
      </c>
      <c r="K569" s="5">
        <v>1.3292886011712901E-17</v>
      </c>
      <c r="L569" t="s">
        <v>4</v>
      </c>
      <c r="M569">
        <v>3839.8130890910902</v>
      </c>
      <c r="N569">
        <v>691.82612052544698</v>
      </c>
      <c r="O569">
        <v>2.4705035151854999</v>
      </c>
      <c r="P569" s="5">
        <v>4.2441378773086798E-5</v>
      </c>
      <c r="Q569" t="s">
        <v>4</v>
      </c>
      <c r="R569" s="4" t="s">
        <v>87</v>
      </c>
      <c r="S569" t="s">
        <v>4</v>
      </c>
      <c r="T569" t="s">
        <v>200</v>
      </c>
      <c r="U569" t="s">
        <v>201</v>
      </c>
      <c r="V569" t="s">
        <v>202</v>
      </c>
      <c r="W569" t="s">
        <v>203</v>
      </c>
      <c r="X569" t="s">
        <v>4</v>
      </c>
      <c r="Y569" t="s">
        <v>204</v>
      </c>
      <c r="Z569" t="s">
        <v>205</v>
      </c>
      <c r="AA569" t="s">
        <v>206</v>
      </c>
      <c r="AB569" t="s">
        <v>4</v>
      </c>
      <c r="AC569" s="3" t="s">
        <v>207</v>
      </c>
      <c r="AD569" t="s">
        <v>4</v>
      </c>
      <c r="AE569" t="s">
        <v>208</v>
      </c>
      <c r="AF569" t="s">
        <v>209</v>
      </c>
      <c r="AG569" t="s">
        <v>210</v>
      </c>
      <c r="AH569" t="s">
        <v>112</v>
      </c>
      <c r="AU569" t="s">
        <v>112</v>
      </c>
      <c r="AV569" t="s">
        <v>211</v>
      </c>
      <c r="AW569" t="s">
        <v>114</v>
      </c>
      <c r="AX569" t="s">
        <v>132</v>
      </c>
      <c r="AY569" t="s">
        <v>212</v>
      </c>
      <c r="AZ569" t="s">
        <v>4</v>
      </c>
      <c r="BA569" s="3" t="s">
        <v>95</v>
      </c>
      <c r="BB569" s="6" t="s">
        <v>95</v>
      </c>
      <c r="BC569" s="3" t="s">
        <v>95</v>
      </c>
      <c r="BD569" t="s">
        <v>4</v>
      </c>
      <c r="BE569">
        <v>8057</v>
      </c>
      <c r="BF569" t="s">
        <v>213</v>
      </c>
      <c r="BG569">
        <v>99.369100000000003</v>
      </c>
      <c r="BH569">
        <v>99.053600000000003</v>
      </c>
      <c r="BI569">
        <v>89.5899</v>
      </c>
      <c r="BK569">
        <v>3.7854899999999998</v>
      </c>
      <c r="BL569">
        <v>63.7224</v>
      </c>
      <c r="BM569">
        <v>76.025199999999998</v>
      </c>
      <c r="BN569">
        <v>74.763400000000004</v>
      </c>
      <c r="BO569">
        <v>76.656199999999998</v>
      </c>
      <c r="BQ569">
        <v>37.854900000000001</v>
      </c>
      <c r="BR569">
        <v>35.646700000000003</v>
      </c>
      <c r="BS569">
        <v>36.908499999999997</v>
      </c>
      <c r="BT569">
        <v>31.5457</v>
      </c>
      <c r="BU569">
        <v>35.9621</v>
      </c>
      <c r="BV569" t="s">
        <v>214</v>
      </c>
      <c r="BW569">
        <v>32.492100000000001</v>
      </c>
      <c r="BX569">
        <v>38.485799999999998</v>
      </c>
      <c r="BZ569">
        <v>25.236599999999999</v>
      </c>
      <c r="CA569">
        <v>37.223999999999997</v>
      </c>
      <c r="CC569">
        <v>39.432200000000002</v>
      </c>
      <c r="CD569" t="s">
        <v>215</v>
      </c>
      <c r="CE569" t="s">
        <v>216</v>
      </c>
      <c r="CF569">
        <v>38.170299999999997</v>
      </c>
      <c r="CG569">
        <v>40.063099999999999</v>
      </c>
      <c r="CH569">
        <v>40.063099999999999</v>
      </c>
      <c r="CI569">
        <v>40.378500000000003</v>
      </c>
      <c r="CK569">
        <v>8</v>
      </c>
      <c r="CL569" t="s">
        <v>4</v>
      </c>
      <c r="CM569" t="s">
        <v>217</v>
      </c>
      <c r="CN569" t="s">
        <v>218</v>
      </c>
      <c r="CO569" t="s">
        <v>219</v>
      </c>
      <c r="CP569">
        <v>10</v>
      </c>
      <c r="CQ569" t="s">
        <v>100</v>
      </c>
      <c r="CR569" t="s">
        <v>100</v>
      </c>
      <c r="CS569" t="s">
        <v>101</v>
      </c>
      <c r="CT569" t="s">
        <v>152</v>
      </c>
      <c r="CU569" t="s">
        <v>102</v>
      </c>
      <c r="CV569" t="s">
        <v>100</v>
      </c>
    </row>
    <row r="570" spans="1:100">
      <c r="A570" s="3" t="s">
        <v>220</v>
      </c>
      <c r="B570" s="4" t="s">
        <v>221</v>
      </c>
      <c r="C570">
        <v>4493.9623062463997</v>
      </c>
      <c r="D570">
        <v>125.405345931995</v>
      </c>
      <c r="E570">
        <v>5.1604695397820501</v>
      </c>
      <c r="F570" s="5">
        <v>2.1033662437617799E-43</v>
      </c>
      <c r="G570" t="s">
        <v>4</v>
      </c>
      <c r="H570">
        <v>4493.9623062463997</v>
      </c>
      <c r="I570">
        <v>92.740088051464994</v>
      </c>
      <c r="J570">
        <v>5.5806362675157999</v>
      </c>
      <c r="K570" s="5">
        <v>7.0258098889446998E-50</v>
      </c>
      <c r="L570" t="s">
        <v>4</v>
      </c>
      <c r="M570">
        <v>125.405345931995</v>
      </c>
      <c r="N570">
        <v>92.740088051464994</v>
      </c>
      <c r="O570">
        <v>0.42016672773374403</v>
      </c>
      <c r="P570">
        <v>0.34931593739393901</v>
      </c>
      <c r="Q570" t="s">
        <v>4</v>
      </c>
      <c r="R570" s="4" t="s">
        <v>87</v>
      </c>
      <c r="S570" t="s">
        <v>4</v>
      </c>
      <c r="T570" t="s">
        <v>200</v>
      </c>
      <c r="U570" t="s">
        <v>201</v>
      </c>
      <c r="V570" t="s">
        <v>202</v>
      </c>
      <c r="W570" t="s">
        <v>203</v>
      </c>
      <c r="X570" t="s">
        <v>4</v>
      </c>
      <c r="Y570" t="s">
        <v>204</v>
      </c>
      <c r="Z570" t="s">
        <v>205</v>
      </c>
      <c r="AA570" t="s">
        <v>206</v>
      </c>
      <c r="AB570" t="s">
        <v>4</v>
      </c>
      <c r="AC570" s="3" t="s">
        <v>207</v>
      </c>
      <c r="AD570" t="s">
        <v>4</v>
      </c>
      <c r="AE570" t="s">
        <v>222</v>
      </c>
      <c r="AF570" t="s">
        <v>223</v>
      </c>
      <c r="AG570" t="s">
        <v>224</v>
      </c>
      <c r="AH570" t="s">
        <v>112</v>
      </c>
      <c r="AU570" t="s">
        <v>112</v>
      </c>
      <c r="AV570" t="s">
        <v>211</v>
      </c>
      <c r="AW570" t="s">
        <v>114</v>
      </c>
      <c r="AX570" t="s">
        <v>132</v>
      </c>
      <c r="AY570" t="s">
        <v>212</v>
      </c>
      <c r="AZ570" t="s">
        <v>4</v>
      </c>
      <c r="BA570" s="3" t="s">
        <v>95</v>
      </c>
      <c r="BB570" s="6" t="s">
        <v>95</v>
      </c>
      <c r="BC570" s="3" t="s">
        <v>95</v>
      </c>
      <c r="BD570" t="s">
        <v>4</v>
      </c>
      <c r="BE570">
        <v>10295</v>
      </c>
      <c r="BF570" t="s">
        <v>169</v>
      </c>
      <c r="BG570">
        <v>98.070700000000002</v>
      </c>
      <c r="BH570">
        <v>99.035399999999996</v>
      </c>
      <c r="BI570">
        <v>92.283000000000001</v>
      </c>
      <c r="BJ570">
        <v>67.845699999999994</v>
      </c>
      <c r="BK570">
        <v>57.877800000000001</v>
      </c>
      <c r="BL570">
        <v>60.771700000000003</v>
      </c>
      <c r="BM570">
        <v>60.450200000000002</v>
      </c>
      <c r="BN570">
        <v>60.450200000000002</v>
      </c>
      <c r="BO570">
        <v>62.057899999999997</v>
      </c>
      <c r="BP570" t="s">
        <v>225</v>
      </c>
      <c r="BR570">
        <v>42.765300000000003</v>
      </c>
      <c r="BS570" t="s">
        <v>226</v>
      </c>
      <c r="BT570">
        <v>44.051400000000001</v>
      </c>
      <c r="BU570">
        <v>45.980699999999999</v>
      </c>
      <c r="BV570" t="s">
        <v>227</v>
      </c>
      <c r="BW570">
        <v>43.4084</v>
      </c>
      <c r="BX570" t="s">
        <v>228</v>
      </c>
      <c r="BZ570" t="s">
        <v>229</v>
      </c>
      <c r="CA570">
        <v>43.729900000000001</v>
      </c>
      <c r="CB570">
        <v>29.903500000000001</v>
      </c>
      <c r="CC570">
        <v>37.298999999999999</v>
      </c>
      <c r="CD570" t="s">
        <v>230</v>
      </c>
      <c r="CE570" t="s">
        <v>231</v>
      </c>
      <c r="CF570" t="s">
        <v>232</v>
      </c>
      <c r="CG570">
        <v>42.122199999999999</v>
      </c>
      <c r="CH570">
        <v>41.157600000000002</v>
      </c>
      <c r="CI570">
        <v>46.623800000000003</v>
      </c>
      <c r="CJ570">
        <v>39.228299999999997</v>
      </c>
      <c r="CK570">
        <v>9</v>
      </c>
      <c r="CL570" t="s">
        <v>4</v>
      </c>
      <c r="CM570" t="s">
        <v>233</v>
      </c>
      <c r="CN570" t="s">
        <v>234</v>
      </c>
      <c r="CO570" t="s">
        <v>219</v>
      </c>
      <c r="CP570">
        <v>11</v>
      </c>
      <c r="CQ570" t="s">
        <v>100</v>
      </c>
      <c r="CR570" t="s">
        <v>100</v>
      </c>
      <c r="CS570" t="s">
        <v>101</v>
      </c>
      <c r="CT570" t="s">
        <v>100</v>
      </c>
      <c r="CU570" t="s">
        <v>102</v>
      </c>
      <c r="CV570" t="s">
        <v>235</v>
      </c>
    </row>
    <row r="571" spans="1:100">
      <c r="A571" s="3" t="s">
        <v>236</v>
      </c>
      <c r="B571" s="4" t="s">
        <v>237</v>
      </c>
      <c r="C571">
        <v>289.53973952738397</v>
      </c>
      <c r="D571">
        <v>48.543021015915897</v>
      </c>
      <c r="E571">
        <v>2.5782842348643098</v>
      </c>
      <c r="F571" s="5">
        <v>3.6326233110663301E-8</v>
      </c>
      <c r="G571" t="s">
        <v>4</v>
      </c>
      <c r="H571">
        <v>289.53973952738397</v>
      </c>
      <c r="I571">
        <v>16.631395744810799</v>
      </c>
      <c r="J571">
        <v>4.0559442925598201</v>
      </c>
      <c r="K571" s="5">
        <v>4.8283290960652098E-16</v>
      </c>
      <c r="L571" t="s">
        <v>4</v>
      </c>
      <c r="M571">
        <v>48.543021015915897</v>
      </c>
      <c r="N571">
        <v>16.631395744810799</v>
      </c>
      <c r="O571">
        <v>1.4776600576955099</v>
      </c>
      <c r="P571">
        <v>5.8270974172907504E-3</v>
      </c>
      <c r="Q571" t="s">
        <v>4</v>
      </c>
      <c r="R571" s="4" t="s">
        <v>87</v>
      </c>
      <c r="S571" t="s">
        <v>4</v>
      </c>
      <c r="T571" t="s">
        <v>92</v>
      </c>
      <c r="U571" t="s">
        <v>92</v>
      </c>
      <c r="V571" t="s">
        <v>92</v>
      </c>
      <c r="W571" t="s">
        <v>92</v>
      </c>
      <c r="X571" t="s">
        <v>4</v>
      </c>
      <c r="Y571" t="s">
        <v>92</v>
      </c>
      <c r="Z571" t="s">
        <v>92</v>
      </c>
      <c r="AA571" t="s">
        <v>92</v>
      </c>
      <c r="AB571" t="s">
        <v>4</v>
      </c>
      <c r="AC571" s="3" t="s">
        <v>93</v>
      </c>
      <c r="AD571" t="s">
        <v>4</v>
      </c>
      <c r="AE571" s="4" t="s">
        <v>94</v>
      </c>
      <c r="AZ571" t="s">
        <v>4</v>
      </c>
      <c r="BA571" s="3" t="s">
        <v>115</v>
      </c>
      <c r="BB571" s="6" t="s">
        <v>95</v>
      </c>
      <c r="BC571" s="3" t="s">
        <v>95</v>
      </c>
      <c r="BD571" t="s">
        <v>4</v>
      </c>
      <c r="BE571">
        <v>1369</v>
      </c>
      <c r="BF571" t="s">
        <v>151</v>
      </c>
      <c r="BG571" t="s">
        <v>238</v>
      </c>
      <c r="CK571">
        <v>2</v>
      </c>
      <c r="CL571" t="s">
        <v>4</v>
      </c>
      <c r="CM571" t="s">
        <v>98</v>
      </c>
      <c r="CN571" t="s">
        <v>98</v>
      </c>
      <c r="CO571" t="s">
        <v>99</v>
      </c>
      <c r="CP571">
        <v>12</v>
      </c>
      <c r="CQ571" t="s">
        <v>100</v>
      </c>
      <c r="CR571" t="s">
        <v>100</v>
      </c>
      <c r="CS571" t="s">
        <v>101</v>
      </c>
      <c r="CT571" s="7" t="s">
        <v>152</v>
      </c>
      <c r="CU571" t="s">
        <v>102</v>
      </c>
      <c r="CV571" t="s">
        <v>100</v>
      </c>
    </row>
    <row r="572" spans="1:100">
      <c r="A572" s="3" t="s">
        <v>239</v>
      </c>
      <c r="B572" s="4" t="s">
        <v>240</v>
      </c>
      <c r="C572">
        <v>585.53326583528201</v>
      </c>
      <c r="D572">
        <v>100.031369471212</v>
      </c>
      <c r="E572">
        <v>2.5493626372304798</v>
      </c>
      <c r="F572" s="5">
        <v>1.1062121680458899E-8</v>
      </c>
      <c r="G572" t="s">
        <v>4</v>
      </c>
      <c r="H572">
        <v>585.53326583528201</v>
      </c>
      <c r="I572">
        <v>40.895572540505</v>
      </c>
      <c r="J572">
        <v>3.83381063027712</v>
      </c>
      <c r="K572" s="5">
        <v>2.2463673672962001E-17</v>
      </c>
      <c r="L572" t="s">
        <v>4</v>
      </c>
      <c r="M572">
        <v>100.031369471212</v>
      </c>
      <c r="N572">
        <v>40.895572540505</v>
      </c>
      <c r="O572">
        <v>1.2844479930466399</v>
      </c>
      <c r="P572">
        <v>7.6717085489891798E-3</v>
      </c>
      <c r="Q572" t="s">
        <v>4</v>
      </c>
      <c r="R572" s="4" t="s">
        <v>87</v>
      </c>
      <c r="S572" t="s">
        <v>4</v>
      </c>
      <c r="T572" t="s">
        <v>92</v>
      </c>
      <c r="U572" t="s">
        <v>92</v>
      </c>
      <c r="V572" t="s">
        <v>92</v>
      </c>
      <c r="W572" t="s">
        <v>92</v>
      </c>
      <c r="X572" t="s">
        <v>4</v>
      </c>
      <c r="Y572" t="s">
        <v>92</v>
      </c>
      <c r="Z572" t="s">
        <v>92</v>
      </c>
      <c r="AA572" t="s">
        <v>92</v>
      </c>
      <c r="AB572" t="s">
        <v>4</v>
      </c>
      <c r="AC572" s="3" t="s">
        <v>93</v>
      </c>
      <c r="AD572" t="s">
        <v>4</v>
      </c>
      <c r="AE572" s="4" t="s">
        <v>94</v>
      </c>
      <c r="AZ572" t="s">
        <v>4</v>
      </c>
      <c r="BA572" s="3" t="s">
        <v>115</v>
      </c>
      <c r="BB572" s="6" t="s">
        <v>95</v>
      </c>
      <c r="BC572" s="3" t="s">
        <v>95</v>
      </c>
      <c r="BD572" t="s">
        <v>4</v>
      </c>
      <c r="BE572">
        <v>1376</v>
      </c>
      <c r="BF572" t="s">
        <v>151</v>
      </c>
      <c r="BG572">
        <v>93.063599999999994</v>
      </c>
      <c r="BH572">
        <v>86.705200000000005</v>
      </c>
      <c r="BI572">
        <v>79.768799999999999</v>
      </c>
      <c r="CK572">
        <v>2</v>
      </c>
      <c r="CL572" t="s">
        <v>4</v>
      </c>
      <c r="CM572" t="s">
        <v>98</v>
      </c>
      <c r="CN572" t="s">
        <v>98</v>
      </c>
      <c r="CO572" t="s">
        <v>99</v>
      </c>
      <c r="CP572">
        <v>13</v>
      </c>
      <c r="CQ572" t="s">
        <v>100</v>
      </c>
      <c r="CR572" t="s">
        <v>100</v>
      </c>
      <c r="CS572" t="s">
        <v>101</v>
      </c>
      <c r="CT572" s="7" t="s">
        <v>152</v>
      </c>
      <c r="CU572" t="s">
        <v>102</v>
      </c>
      <c r="CV572" t="s">
        <v>100</v>
      </c>
    </row>
    <row r="573" spans="1:100">
      <c r="A573" s="3" t="s">
        <v>241</v>
      </c>
      <c r="B573" s="4" t="s">
        <v>242</v>
      </c>
      <c r="C573">
        <v>195.47888854499499</v>
      </c>
      <c r="D573">
        <v>43.9479895050167</v>
      </c>
      <c r="E573">
        <v>2.15323235098553</v>
      </c>
      <c r="F573">
        <v>1.65466486605424E-3</v>
      </c>
      <c r="G573" t="s">
        <v>4</v>
      </c>
      <c r="H573">
        <v>195.47888854499499</v>
      </c>
      <c r="I573">
        <v>25.932604338286001</v>
      </c>
      <c r="J573">
        <v>2.9097929965268898</v>
      </c>
      <c r="K573" s="5">
        <v>1.6077463175146398E-5</v>
      </c>
      <c r="L573" t="s">
        <v>4</v>
      </c>
      <c r="M573">
        <v>43.9479895050167</v>
      </c>
      <c r="N573">
        <v>25.932604338286001</v>
      </c>
      <c r="O573">
        <v>0.75656064554136004</v>
      </c>
      <c r="P573">
        <v>0.32045528383887001</v>
      </c>
      <c r="Q573" t="s">
        <v>4</v>
      </c>
      <c r="R573" s="4" t="s">
        <v>87</v>
      </c>
      <c r="S573" t="s">
        <v>4</v>
      </c>
      <c r="T573" t="s">
        <v>92</v>
      </c>
      <c r="U573" t="s">
        <v>92</v>
      </c>
      <c r="V573" t="s">
        <v>92</v>
      </c>
      <c r="W573" t="s">
        <v>92</v>
      </c>
      <c r="X573" t="s">
        <v>4</v>
      </c>
      <c r="Y573" t="s">
        <v>92</v>
      </c>
      <c r="Z573" t="s">
        <v>92</v>
      </c>
      <c r="AA573" t="s">
        <v>92</v>
      </c>
      <c r="AB573" t="s">
        <v>4</v>
      </c>
      <c r="AC573" s="3" t="s">
        <v>93</v>
      </c>
      <c r="AD573" t="s">
        <v>4</v>
      </c>
      <c r="AE573" t="s">
        <v>243</v>
      </c>
      <c r="AF573" t="s">
        <v>244</v>
      </c>
      <c r="AG573" t="s">
        <v>245</v>
      </c>
      <c r="AH573" t="s">
        <v>112</v>
      </c>
      <c r="AU573" t="s">
        <v>112</v>
      </c>
      <c r="AV573" t="s">
        <v>246</v>
      </c>
      <c r="AW573" t="s">
        <v>114</v>
      </c>
      <c r="AZ573" t="s">
        <v>4</v>
      </c>
      <c r="BA573" s="3" t="s">
        <v>115</v>
      </c>
      <c r="BB573" s="6" t="s">
        <v>95</v>
      </c>
      <c r="BC573" s="3" t="s">
        <v>95</v>
      </c>
      <c r="BD573" t="s">
        <v>4</v>
      </c>
      <c r="BE573">
        <v>4436</v>
      </c>
      <c r="BF573" t="s">
        <v>112</v>
      </c>
      <c r="BG573">
        <v>94.5839</v>
      </c>
      <c r="BH573">
        <v>63.143999999999998</v>
      </c>
      <c r="BI573">
        <v>72.126800000000003</v>
      </c>
      <c r="BJ573">
        <v>40.819000000000003</v>
      </c>
      <c r="BK573">
        <v>66.050200000000004</v>
      </c>
      <c r="BL573">
        <v>21.2682</v>
      </c>
      <c r="BM573">
        <v>42.007899999999999</v>
      </c>
      <c r="BN573">
        <v>57.595799999999997</v>
      </c>
      <c r="BO573">
        <v>54.689599999999999</v>
      </c>
      <c r="BP573">
        <v>22.0608</v>
      </c>
      <c r="BR573">
        <v>16.644600000000001</v>
      </c>
      <c r="BS573">
        <v>19.418800000000001</v>
      </c>
      <c r="CK573">
        <v>5</v>
      </c>
      <c r="CL573" t="s">
        <v>4</v>
      </c>
      <c r="CM573" t="s">
        <v>98</v>
      </c>
      <c r="CN573" t="s">
        <v>98</v>
      </c>
      <c r="CO573" t="s">
        <v>99</v>
      </c>
      <c r="CP573">
        <v>14</v>
      </c>
      <c r="CQ573" t="s">
        <v>100</v>
      </c>
      <c r="CR573" t="s">
        <v>100</v>
      </c>
      <c r="CS573" t="s">
        <v>101</v>
      </c>
      <c r="CT573" t="s">
        <v>100</v>
      </c>
      <c r="CU573" t="s">
        <v>102</v>
      </c>
      <c r="CV573" t="s">
        <v>100</v>
      </c>
    </row>
    <row r="574" spans="1:100">
      <c r="A574" s="3" t="s">
        <v>247</v>
      </c>
      <c r="B574" s="4" t="s">
        <v>248</v>
      </c>
      <c r="C574">
        <v>149.02337760744501</v>
      </c>
      <c r="D574">
        <v>36.330200746382403</v>
      </c>
      <c r="E574">
        <v>2.0398641794971502</v>
      </c>
      <c r="F574">
        <v>4.9863876740438801E-4</v>
      </c>
      <c r="G574" t="s">
        <v>4</v>
      </c>
      <c r="H574">
        <v>149.02337760744501</v>
      </c>
      <c r="I574">
        <v>16.014839828070102</v>
      </c>
      <c r="J574">
        <v>3.2428377662480199</v>
      </c>
      <c r="K574" s="5">
        <v>6.3419305075183202E-8</v>
      </c>
      <c r="L574" t="s">
        <v>4</v>
      </c>
      <c r="M574">
        <v>36.330200746382403</v>
      </c>
      <c r="N574">
        <v>16.014839828070102</v>
      </c>
      <c r="O574">
        <v>1.20297358675086</v>
      </c>
      <c r="P574">
        <v>6.4766546671403302E-2</v>
      </c>
      <c r="Q574" t="s">
        <v>4</v>
      </c>
      <c r="R574" s="4" t="s">
        <v>87</v>
      </c>
      <c r="S574" t="s">
        <v>4</v>
      </c>
      <c r="T574" t="s">
        <v>92</v>
      </c>
      <c r="U574" t="s">
        <v>92</v>
      </c>
      <c r="V574" t="s">
        <v>92</v>
      </c>
      <c r="W574" t="s">
        <v>92</v>
      </c>
      <c r="X574" t="s">
        <v>4</v>
      </c>
      <c r="Y574" t="s">
        <v>92</v>
      </c>
      <c r="Z574" t="s">
        <v>92</v>
      </c>
      <c r="AA574" t="s">
        <v>92</v>
      </c>
      <c r="AB574" t="s">
        <v>4</v>
      </c>
      <c r="AC574" s="3" t="s">
        <v>93</v>
      </c>
      <c r="AD574" t="s">
        <v>4</v>
      </c>
      <c r="AE574" s="4" t="s">
        <v>94</v>
      </c>
      <c r="AZ574" t="s">
        <v>4</v>
      </c>
      <c r="BA574" s="3" t="s">
        <v>95</v>
      </c>
      <c r="BB574" s="6" t="s">
        <v>95</v>
      </c>
      <c r="BC574" s="3" t="s">
        <v>95</v>
      </c>
      <c r="BD574" t="s">
        <v>4</v>
      </c>
      <c r="BE574">
        <v>2866</v>
      </c>
      <c r="BF574" t="s">
        <v>97</v>
      </c>
      <c r="BG574">
        <v>84.761899999999997</v>
      </c>
      <c r="BH574">
        <v>90.793599999999998</v>
      </c>
      <c r="BI574">
        <v>65.714299999999994</v>
      </c>
      <c r="BJ574" t="s">
        <v>249</v>
      </c>
      <c r="BK574">
        <v>47.301600000000001</v>
      </c>
      <c r="BL574">
        <v>70.476200000000006</v>
      </c>
      <c r="BM574">
        <v>66.666700000000006</v>
      </c>
      <c r="BN574">
        <v>66.666700000000006</v>
      </c>
      <c r="BO574">
        <v>30.1587</v>
      </c>
      <c r="BP574">
        <v>33.650799999999997</v>
      </c>
      <c r="CK574">
        <v>4</v>
      </c>
      <c r="CL574" t="s">
        <v>4</v>
      </c>
      <c r="CM574" t="s">
        <v>98</v>
      </c>
      <c r="CN574" t="s">
        <v>98</v>
      </c>
      <c r="CO574" t="s">
        <v>99</v>
      </c>
      <c r="CP574">
        <v>15</v>
      </c>
      <c r="CQ574" t="s">
        <v>100</v>
      </c>
      <c r="CR574" t="s">
        <v>100</v>
      </c>
      <c r="CS574" t="s">
        <v>101</v>
      </c>
      <c r="CT574" t="s">
        <v>100</v>
      </c>
      <c r="CU574" t="s">
        <v>102</v>
      </c>
      <c r="CV574" t="s">
        <v>100</v>
      </c>
    </row>
    <row r="575" spans="1:100">
      <c r="A575" s="3" t="s">
        <v>250</v>
      </c>
      <c r="B575" s="4" t="s">
        <v>251</v>
      </c>
      <c r="C575">
        <v>161.00285680936801</v>
      </c>
      <c r="D575">
        <v>39.385946744868797</v>
      </c>
      <c r="E575">
        <v>2.0356295484312699</v>
      </c>
      <c r="F575">
        <v>1.3814311975494801E-3</v>
      </c>
      <c r="G575" t="s">
        <v>4</v>
      </c>
      <c r="H575">
        <v>161.00285680936801</v>
      </c>
      <c r="I575">
        <v>20.125138414639402</v>
      </c>
      <c r="J575">
        <v>3.0062583230654001</v>
      </c>
      <c r="K575" s="5">
        <v>2.2812359303828199E-6</v>
      </c>
      <c r="L575" t="s">
        <v>4</v>
      </c>
      <c r="M575">
        <v>39.385946744868797</v>
      </c>
      <c r="N575">
        <v>20.125138414639402</v>
      </c>
      <c r="O575">
        <v>0.970628774634124</v>
      </c>
      <c r="P575">
        <v>0.16670299301664901</v>
      </c>
      <c r="Q575" t="s">
        <v>4</v>
      </c>
      <c r="R575" s="4" t="s">
        <v>87</v>
      </c>
      <c r="S575" t="s">
        <v>4</v>
      </c>
      <c r="T575" t="s">
        <v>92</v>
      </c>
      <c r="U575" t="s">
        <v>92</v>
      </c>
      <c r="V575" t="s">
        <v>92</v>
      </c>
      <c r="W575" t="s">
        <v>92</v>
      </c>
      <c r="X575" t="s">
        <v>4</v>
      </c>
      <c r="Y575" t="s">
        <v>92</v>
      </c>
      <c r="Z575" t="s">
        <v>92</v>
      </c>
      <c r="AA575" t="s">
        <v>92</v>
      </c>
      <c r="AB575" t="s">
        <v>4</v>
      </c>
      <c r="AC575" s="3" t="s">
        <v>93</v>
      </c>
      <c r="AD575" t="s">
        <v>4</v>
      </c>
      <c r="AE575" s="4" t="s">
        <v>94</v>
      </c>
      <c r="AZ575" t="s">
        <v>4</v>
      </c>
      <c r="BA575" s="3" t="s">
        <v>95</v>
      </c>
      <c r="BB575" s="6" t="s">
        <v>95</v>
      </c>
      <c r="BC575" s="3" t="s">
        <v>95</v>
      </c>
      <c r="BD575" t="s">
        <v>4</v>
      </c>
      <c r="BE575">
        <v>2193</v>
      </c>
      <c r="BF575" t="s">
        <v>148</v>
      </c>
      <c r="BG575">
        <v>89.130399999999995</v>
      </c>
      <c r="BH575" t="s">
        <v>252</v>
      </c>
      <c r="BJ575">
        <v>53.069099999999999</v>
      </c>
      <c r="BK575">
        <v>52.557499999999997</v>
      </c>
      <c r="BL575">
        <v>15.3453</v>
      </c>
      <c r="BM575" t="s">
        <v>253</v>
      </c>
      <c r="BN575">
        <v>43.989800000000002</v>
      </c>
      <c r="BO575">
        <v>23.273700000000002</v>
      </c>
      <c r="CK575">
        <v>3</v>
      </c>
      <c r="CL575" t="s">
        <v>4</v>
      </c>
      <c r="CM575" t="s">
        <v>98</v>
      </c>
      <c r="CN575" t="s">
        <v>98</v>
      </c>
      <c r="CO575" t="s">
        <v>99</v>
      </c>
      <c r="CP575">
        <v>16</v>
      </c>
      <c r="CQ575" t="s">
        <v>100</v>
      </c>
      <c r="CR575" t="s">
        <v>100</v>
      </c>
      <c r="CS575" t="s">
        <v>101</v>
      </c>
      <c r="CT575" t="s">
        <v>100</v>
      </c>
      <c r="CU575" t="s">
        <v>102</v>
      </c>
      <c r="CV575" t="s">
        <v>100</v>
      </c>
    </row>
    <row r="576" spans="1:100">
      <c r="A576" s="3" t="s">
        <v>254</v>
      </c>
      <c r="B576" s="4" t="s">
        <v>255</v>
      </c>
      <c r="C576">
        <v>180.248676462232</v>
      </c>
      <c r="D576">
        <v>36.095739014807997</v>
      </c>
      <c r="E576">
        <v>2.3229345541724902</v>
      </c>
      <c r="F576">
        <v>6.7977618242034499E-4</v>
      </c>
      <c r="G576" t="s">
        <v>4</v>
      </c>
      <c r="H576">
        <v>180.248676462232</v>
      </c>
      <c r="I576">
        <v>20.317906490101201</v>
      </c>
      <c r="J576">
        <v>3.1251959995892298</v>
      </c>
      <c r="K576" s="5">
        <v>4.3279142621873298E-6</v>
      </c>
      <c r="L576" t="s">
        <v>4</v>
      </c>
      <c r="M576">
        <v>36.095739014807997</v>
      </c>
      <c r="N576">
        <v>20.317906490101201</v>
      </c>
      <c r="O576">
        <v>0.80226144541674504</v>
      </c>
      <c r="P576">
        <v>0.29674767603762398</v>
      </c>
      <c r="Q576" t="s">
        <v>4</v>
      </c>
      <c r="R576" s="4" t="s">
        <v>87</v>
      </c>
      <c r="S576" t="s">
        <v>4</v>
      </c>
      <c r="T576" t="s">
        <v>88</v>
      </c>
      <c r="U576" t="s">
        <v>89</v>
      </c>
      <c r="V576" t="s">
        <v>90</v>
      </c>
      <c r="W576" t="s">
        <v>91</v>
      </c>
      <c r="X576" t="s">
        <v>4</v>
      </c>
      <c r="Y576" t="s">
        <v>92</v>
      </c>
      <c r="Z576" t="s">
        <v>92</v>
      </c>
      <c r="AA576" t="s">
        <v>92</v>
      </c>
      <c r="AB576" t="s">
        <v>4</v>
      </c>
      <c r="AC576" s="3" t="s">
        <v>93</v>
      </c>
      <c r="AD576" t="s">
        <v>4</v>
      </c>
      <c r="AE576" s="4" t="s">
        <v>94</v>
      </c>
      <c r="AZ576" t="s">
        <v>4</v>
      </c>
      <c r="BA576" s="3" t="s">
        <v>95</v>
      </c>
      <c r="BB576" t="s">
        <v>96</v>
      </c>
      <c r="BC576" s="3" t="s">
        <v>197</v>
      </c>
      <c r="BD576" t="s">
        <v>4</v>
      </c>
      <c r="BE576">
        <v>2203</v>
      </c>
      <c r="BF576" t="s">
        <v>148</v>
      </c>
      <c r="BG576">
        <v>76.915300000000002</v>
      </c>
      <c r="BH576">
        <v>97.479799999999997</v>
      </c>
      <c r="BI576">
        <v>16.3306</v>
      </c>
      <c r="BJ576" t="s">
        <v>256</v>
      </c>
      <c r="BK576">
        <v>37.6008</v>
      </c>
      <c r="BM576">
        <v>64.415300000000002</v>
      </c>
      <c r="BN576" t="s">
        <v>257</v>
      </c>
      <c r="BO576">
        <v>73.689499999999995</v>
      </c>
      <c r="CK576">
        <v>3</v>
      </c>
      <c r="CL576" t="s">
        <v>4</v>
      </c>
      <c r="CM576" t="s">
        <v>98</v>
      </c>
      <c r="CN576" t="s">
        <v>98</v>
      </c>
      <c r="CO576" t="s">
        <v>99</v>
      </c>
      <c r="CP576">
        <v>17</v>
      </c>
      <c r="CQ576" t="s">
        <v>100</v>
      </c>
      <c r="CR576" t="s">
        <v>100</v>
      </c>
      <c r="CS576" t="s">
        <v>101</v>
      </c>
      <c r="CT576" t="s">
        <v>100</v>
      </c>
      <c r="CU576" t="s">
        <v>102</v>
      </c>
      <c r="CV576" t="s">
        <v>100</v>
      </c>
    </row>
    <row r="577" spans="1:100">
      <c r="A577" s="3" t="s">
        <v>258</v>
      </c>
      <c r="B577" s="4" t="s">
        <v>259</v>
      </c>
      <c r="C577">
        <v>110.73822836968399</v>
      </c>
      <c r="D577">
        <v>25.235241295419701</v>
      </c>
      <c r="E577">
        <v>2.1384541405267101</v>
      </c>
      <c r="F577">
        <v>9.8702926157075398E-3</v>
      </c>
      <c r="G577" t="s">
        <v>4</v>
      </c>
      <c r="H577">
        <v>110.73822836968399</v>
      </c>
      <c r="I577">
        <v>19.8228997426679</v>
      </c>
      <c r="J577">
        <v>2.5034917773545602</v>
      </c>
      <c r="K577">
        <v>2.1249709859326601E-3</v>
      </c>
      <c r="L577" t="s">
        <v>4</v>
      </c>
      <c r="M577">
        <v>25.235241295419701</v>
      </c>
      <c r="N577">
        <v>19.8228997426679</v>
      </c>
      <c r="O577">
        <v>0.36503763682784401</v>
      </c>
      <c r="P577">
        <v>0.71307597758715202</v>
      </c>
      <c r="Q577" t="s">
        <v>4</v>
      </c>
      <c r="R577" s="4" t="s">
        <v>87</v>
      </c>
      <c r="S577" t="s">
        <v>4</v>
      </c>
      <c r="T577" t="s">
        <v>92</v>
      </c>
      <c r="U577" t="s">
        <v>92</v>
      </c>
      <c r="V577" t="s">
        <v>92</v>
      </c>
      <c r="W577" t="s">
        <v>92</v>
      </c>
      <c r="X577" t="s">
        <v>4</v>
      </c>
      <c r="Y577" t="s">
        <v>92</v>
      </c>
      <c r="Z577" t="s">
        <v>92</v>
      </c>
      <c r="AA577" t="s">
        <v>92</v>
      </c>
      <c r="AB577" t="s">
        <v>4</v>
      </c>
      <c r="AC577" s="3" t="s">
        <v>93</v>
      </c>
      <c r="AD577" t="s">
        <v>4</v>
      </c>
      <c r="AE577" s="4" t="s">
        <v>94</v>
      </c>
      <c r="AZ577" t="s">
        <v>4</v>
      </c>
      <c r="BA577" s="3" t="s">
        <v>95</v>
      </c>
      <c r="BB577" s="6" t="s">
        <v>95</v>
      </c>
      <c r="BC577" s="3" t="s">
        <v>95</v>
      </c>
      <c r="BD577" t="s">
        <v>4</v>
      </c>
      <c r="BE577">
        <v>2208</v>
      </c>
      <c r="BF577" t="s">
        <v>148</v>
      </c>
      <c r="BG577">
        <v>70.637100000000004</v>
      </c>
      <c r="BH577">
        <v>86.980599999999995</v>
      </c>
      <c r="BI577">
        <v>70.637100000000004</v>
      </c>
      <c r="BJ577" t="s">
        <v>260</v>
      </c>
      <c r="CK577">
        <v>3</v>
      </c>
      <c r="CL577" t="s">
        <v>4</v>
      </c>
      <c r="CM577" t="s">
        <v>98</v>
      </c>
      <c r="CN577" t="s">
        <v>98</v>
      </c>
      <c r="CO577" t="s">
        <v>99</v>
      </c>
      <c r="CP577">
        <v>18</v>
      </c>
      <c r="CQ577" t="s">
        <v>100</v>
      </c>
      <c r="CR577" t="s">
        <v>100</v>
      </c>
      <c r="CS577" t="s">
        <v>101</v>
      </c>
      <c r="CT577" t="s">
        <v>100</v>
      </c>
      <c r="CU577" t="s">
        <v>102</v>
      </c>
      <c r="CV577" t="s">
        <v>100</v>
      </c>
    </row>
    <row r="578" spans="1:100">
      <c r="A578" s="3" t="s">
        <v>261</v>
      </c>
      <c r="B578" s="4" t="s">
        <v>262</v>
      </c>
      <c r="C578">
        <v>128.348098005201</v>
      </c>
      <c r="D578">
        <v>19.351704380064898</v>
      </c>
      <c r="E578">
        <v>2.72686988410037</v>
      </c>
      <c r="F578">
        <v>5.0700330189182004E-4</v>
      </c>
      <c r="G578" t="s">
        <v>4</v>
      </c>
      <c r="H578">
        <v>128.348098005201</v>
      </c>
      <c r="I578">
        <v>9.0954560126731501</v>
      </c>
      <c r="J578">
        <v>3.8066684037420302</v>
      </c>
      <c r="K578" s="5">
        <v>2.2288390872190099E-6</v>
      </c>
      <c r="L578" t="s">
        <v>4</v>
      </c>
      <c r="M578">
        <v>19.351704380064898</v>
      </c>
      <c r="N578">
        <v>9.0954560126731501</v>
      </c>
      <c r="O578">
        <v>1.07979851964167</v>
      </c>
      <c r="P578">
        <v>0.23395914020665701</v>
      </c>
      <c r="Q578" t="s">
        <v>4</v>
      </c>
      <c r="R578" s="4" t="s">
        <v>87</v>
      </c>
      <c r="S578" t="s">
        <v>4</v>
      </c>
      <c r="T578" t="s">
        <v>92</v>
      </c>
      <c r="U578" t="s">
        <v>92</v>
      </c>
      <c r="V578" t="s">
        <v>92</v>
      </c>
      <c r="W578" t="s">
        <v>92</v>
      </c>
      <c r="X578" t="s">
        <v>4</v>
      </c>
      <c r="Y578" t="s">
        <v>92</v>
      </c>
      <c r="Z578" t="s">
        <v>92</v>
      </c>
      <c r="AA578" t="s">
        <v>92</v>
      </c>
      <c r="AB578" t="s">
        <v>4</v>
      </c>
      <c r="AC578" s="3" t="s">
        <v>93</v>
      </c>
      <c r="AD578" t="s">
        <v>4</v>
      </c>
      <c r="AE578" s="4" t="s">
        <v>94</v>
      </c>
      <c r="AZ578" t="s">
        <v>4</v>
      </c>
      <c r="BA578" s="3" t="s">
        <v>95</v>
      </c>
      <c r="BB578" s="6" t="s">
        <v>95</v>
      </c>
      <c r="BC578" s="3" t="s">
        <v>95</v>
      </c>
      <c r="BD578" t="s">
        <v>4</v>
      </c>
      <c r="BE578">
        <v>2892</v>
      </c>
      <c r="BF578" t="s">
        <v>97</v>
      </c>
      <c r="BG578">
        <v>97.857100000000003</v>
      </c>
      <c r="BH578">
        <v>98.571399999999997</v>
      </c>
      <c r="BI578">
        <v>95</v>
      </c>
      <c r="BJ578" t="s">
        <v>263</v>
      </c>
      <c r="BK578">
        <v>71.428600000000003</v>
      </c>
      <c r="BL578">
        <v>27.142900000000001</v>
      </c>
      <c r="BM578">
        <v>70</v>
      </c>
      <c r="BN578">
        <v>70</v>
      </c>
      <c r="BO578">
        <v>71.428600000000003</v>
      </c>
      <c r="BP578">
        <v>20.714300000000001</v>
      </c>
      <c r="CK578">
        <v>4</v>
      </c>
      <c r="CL578" t="s">
        <v>4</v>
      </c>
      <c r="CM578" t="s">
        <v>98</v>
      </c>
      <c r="CN578" t="s">
        <v>98</v>
      </c>
      <c r="CO578" t="s">
        <v>99</v>
      </c>
      <c r="CP578">
        <v>19</v>
      </c>
      <c r="CQ578" t="s">
        <v>100</v>
      </c>
      <c r="CR578" t="s">
        <v>100</v>
      </c>
      <c r="CS578" t="s">
        <v>101</v>
      </c>
      <c r="CT578" t="s">
        <v>100</v>
      </c>
      <c r="CU578" t="s">
        <v>102</v>
      </c>
      <c r="CV578" t="s">
        <v>100</v>
      </c>
    </row>
    <row r="579" spans="1:100">
      <c r="A579" s="3" t="s">
        <v>264</v>
      </c>
      <c r="B579" s="4" t="s">
        <v>265</v>
      </c>
      <c r="C579">
        <v>32.292518214907602</v>
      </c>
      <c r="D579">
        <v>5.6482682499433698</v>
      </c>
      <c r="E579">
        <v>2.5133805921180898</v>
      </c>
      <c r="F579">
        <v>8.2430212106458095E-3</v>
      </c>
      <c r="G579" t="s">
        <v>4</v>
      </c>
      <c r="H579">
        <v>32.292518214907602</v>
      </c>
      <c r="I579">
        <v>2.9524289736792602</v>
      </c>
      <c r="J579">
        <v>3.3957604280790501</v>
      </c>
      <c r="K579">
        <v>1.0227066088340799E-3</v>
      </c>
      <c r="L579" t="s">
        <v>4</v>
      </c>
      <c r="M579">
        <v>5.6482682499433698</v>
      </c>
      <c r="N579">
        <v>2.9524289736792602</v>
      </c>
      <c r="O579">
        <v>0.88237983596095404</v>
      </c>
      <c r="P579">
        <v>0.47151190929172598</v>
      </c>
      <c r="Q579" t="s">
        <v>4</v>
      </c>
      <c r="R579" s="4" t="s">
        <v>87</v>
      </c>
      <c r="S579" t="s">
        <v>4</v>
      </c>
      <c r="T579" t="s">
        <v>88</v>
      </c>
      <c r="U579" t="s">
        <v>89</v>
      </c>
      <c r="V579" t="s">
        <v>90</v>
      </c>
      <c r="W579" t="s">
        <v>91</v>
      </c>
      <c r="X579" t="s">
        <v>4</v>
      </c>
      <c r="Y579" t="s">
        <v>92</v>
      </c>
      <c r="Z579" t="s">
        <v>92</v>
      </c>
      <c r="AA579" t="s">
        <v>92</v>
      </c>
      <c r="AB579" t="s">
        <v>4</v>
      </c>
      <c r="AC579" s="3" t="s">
        <v>93</v>
      </c>
      <c r="AD579" t="s">
        <v>4</v>
      </c>
      <c r="AE579" s="4" t="s">
        <v>94</v>
      </c>
      <c r="AZ579" t="s">
        <v>4</v>
      </c>
      <c r="BA579" s="3" t="s">
        <v>95</v>
      </c>
      <c r="BB579" t="s">
        <v>96</v>
      </c>
      <c r="BC579" s="3" t="s">
        <v>95</v>
      </c>
      <c r="BD579" t="s">
        <v>4</v>
      </c>
      <c r="BE579">
        <v>1409</v>
      </c>
      <c r="BF579" t="s">
        <v>151</v>
      </c>
      <c r="BG579">
        <v>94.155799999999999</v>
      </c>
      <c r="BH579">
        <v>97.402600000000007</v>
      </c>
      <c r="BI579">
        <v>90.909099999999995</v>
      </c>
      <c r="BJ579" t="s">
        <v>266</v>
      </c>
      <c r="BK579">
        <v>62.012999999999998</v>
      </c>
      <c r="BO579" t="s">
        <v>267</v>
      </c>
      <c r="CK579">
        <v>2</v>
      </c>
      <c r="CL579" t="s">
        <v>4</v>
      </c>
      <c r="CM579" t="s">
        <v>98</v>
      </c>
      <c r="CN579" t="s">
        <v>98</v>
      </c>
      <c r="CO579" t="s">
        <v>99</v>
      </c>
      <c r="CP579">
        <v>20</v>
      </c>
      <c r="CQ579" t="s">
        <v>100</v>
      </c>
      <c r="CR579" t="s">
        <v>100</v>
      </c>
      <c r="CS579" t="s">
        <v>101</v>
      </c>
      <c r="CT579" t="s">
        <v>100</v>
      </c>
      <c r="CU579" t="s">
        <v>102</v>
      </c>
      <c r="CV579" t="s">
        <v>100</v>
      </c>
    </row>
    <row r="580" spans="1:100">
      <c r="A580" s="3" t="s">
        <v>268</v>
      </c>
      <c r="B580" s="4" t="s">
        <v>269</v>
      </c>
      <c r="C580">
        <v>49.945277256207397</v>
      </c>
      <c r="D580">
        <v>9.3438552589742798</v>
      </c>
      <c r="E580">
        <v>2.4143751208565001</v>
      </c>
      <c r="F580">
        <v>3.1571385041170999E-3</v>
      </c>
      <c r="G580" t="s">
        <v>4</v>
      </c>
      <c r="H580">
        <v>49.945277256207397</v>
      </c>
      <c r="I580">
        <v>5.5184158638923204</v>
      </c>
      <c r="J580">
        <v>3.1743656650373602</v>
      </c>
      <c r="K580">
        <v>2.2629438703504601E-4</v>
      </c>
      <c r="L580" t="s">
        <v>4</v>
      </c>
      <c r="M580">
        <v>9.3438552589742798</v>
      </c>
      <c r="N580">
        <v>5.5184158638923204</v>
      </c>
      <c r="O580">
        <v>0.75999054418086198</v>
      </c>
      <c r="P580">
        <v>0.453616005610121</v>
      </c>
      <c r="Q580" t="s">
        <v>4</v>
      </c>
      <c r="R580" s="4" t="s">
        <v>87</v>
      </c>
      <c r="S580" t="s">
        <v>4</v>
      </c>
      <c r="T580" t="s">
        <v>270</v>
      </c>
      <c r="U580" t="s">
        <v>271</v>
      </c>
      <c r="V580" t="s">
        <v>272</v>
      </c>
      <c r="W580" t="s">
        <v>203</v>
      </c>
      <c r="X580" t="s">
        <v>4</v>
      </c>
      <c r="Y580" t="s">
        <v>273</v>
      </c>
      <c r="Z580" t="s">
        <v>274</v>
      </c>
      <c r="AA580" t="s">
        <v>275</v>
      </c>
      <c r="AB580" t="s">
        <v>4</v>
      </c>
      <c r="AC580" s="3" t="s">
        <v>276</v>
      </c>
      <c r="AD580" t="s">
        <v>4</v>
      </c>
      <c r="AE580" t="s">
        <v>277</v>
      </c>
      <c r="AF580" t="s">
        <v>278</v>
      </c>
      <c r="AG580" t="s">
        <v>279</v>
      </c>
      <c r="AH580" t="s">
        <v>112</v>
      </c>
      <c r="AU580" t="s">
        <v>112</v>
      </c>
      <c r="AV580" t="s">
        <v>280</v>
      </c>
      <c r="AW580" t="s">
        <v>114</v>
      </c>
      <c r="AX580" t="s">
        <v>132</v>
      </c>
      <c r="AY580" t="s">
        <v>281</v>
      </c>
      <c r="AZ580" t="s">
        <v>4</v>
      </c>
      <c r="BA580" s="3" t="s">
        <v>95</v>
      </c>
      <c r="BB580" s="6" t="s">
        <v>95</v>
      </c>
      <c r="BC580" s="3" t="s">
        <v>95</v>
      </c>
      <c r="BD580" t="s">
        <v>4</v>
      </c>
      <c r="BE580">
        <v>5207</v>
      </c>
      <c r="BF580" t="s">
        <v>282</v>
      </c>
      <c r="BG580">
        <v>98.153000000000006</v>
      </c>
      <c r="BH580">
        <v>99.208399999999997</v>
      </c>
      <c r="BI580">
        <v>96.306100000000001</v>
      </c>
      <c r="BJ580">
        <v>84.168899999999994</v>
      </c>
      <c r="BK580">
        <v>22.427399999999999</v>
      </c>
      <c r="BO580">
        <v>18.4697</v>
      </c>
      <c r="BP580">
        <v>56.200499999999998</v>
      </c>
      <c r="BR580">
        <v>60.422199999999997</v>
      </c>
      <c r="BS580">
        <v>53.561999999999998</v>
      </c>
      <c r="BW580">
        <v>46.965699999999998</v>
      </c>
      <c r="CB580">
        <v>16.622699999999998</v>
      </c>
      <c r="CD580">
        <v>26.649100000000001</v>
      </c>
      <c r="CK580">
        <v>6</v>
      </c>
      <c r="CL580" t="s">
        <v>4</v>
      </c>
      <c r="CM580" t="s">
        <v>98</v>
      </c>
      <c r="CN580" t="s">
        <v>98</v>
      </c>
      <c r="CO580" t="s">
        <v>99</v>
      </c>
      <c r="CP580">
        <v>21</v>
      </c>
      <c r="CQ580" t="s">
        <v>100</v>
      </c>
      <c r="CR580" t="s">
        <v>100</v>
      </c>
      <c r="CS580" t="s">
        <v>101</v>
      </c>
      <c r="CT580" t="s">
        <v>100</v>
      </c>
      <c r="CU580" t="s">
        <v>102</v>
      </c>
      <c r="CV580" t="s">
        <v>100</v>
      </c>
    </row>
    <row r="581" spans="1:100">
      <c r="A581" s="3" t="s">
        <v>283</v>
      </c>
      <c r="B581" s="4" t="s">
        <v>284</v>
      </c>
      <c r="C581">
        <v>39.490342550656301</v>
      </c>
      <c r="D581">
        <v>5.7678610601669096</v>
      </c>
      <c r="E581">
        <v>2.7800815530556999</v>
      </c>
      <c r="F581">
        <v>4.5149635579494404E-3</v>
      </c>
      <c r="G581" t="s">
        <v>4</v>
      </c>
      <c r="H581">
        <v>39.490342550656301</v>
      </c>
      <c r="I581">
        <v>1.93533642871265</v>
      </c>
      <c r="J581">
        <v>4.3828551924442598</v>
      </c>
      <c r="K581">
        <v>1.49819696553171E-4</v>
      </c>
      <c r="L581" t="s">
        <v>4</v>
      </c>
      <c r="M581">
        <v>5.7678610601669096</v>
      </c>
      <c r="N581">
        <v>1.93533642871265</v>
      </c>
      <c r="O581">
        <v>1.6027736393885601</v>
      </c>
      <c r="P581">
        <v>0.21885482651907401</v>
      </c>
      <c r="Q581" t="s">
        <v>4</v>
      </c>
      <c r="R581" s="4" t="s">
        <v>87</v>
      </c>
      <c r="S581" t="s">
        <v>4</v>
      </c>
      <c r="T581" t="s">
        <v>92</v>
      </c>
      <c r="U581" t="s">
        <v>92</v>
      </c>
      <c r="V581" t="s">
        <v>92</v>
      </c>
      <c r="W581" t="s">
        <v>92</v>
      </c>
      <c r="X581" t="s">
        <v>4</v>
      </c>
      <c r="Y581" t="s">
        <v>92</v>
      </c>
      <c r="Z581" t="s">
        <v>92</v>
      </c>
      <c r="AA581" t="s">
        <v>92</v>
      </c>
      <c r="AB581" t="s">
        <v>4</v>
      </c>
      <c r="AC581" s="3" t="s">
        <v>93</v>
      </c>
      <c r="AD581" t="s">
        <v>4</v>
      </c>
      <c r="AE581" s="4" t="s">
        <v>94</v>
      </c>
      <c r="AZ581" t="s">
        <v>4</v>
      </c>
      <c r="BA581" s="3" t="s">
        <v>95</v>
      </c>
      <c r="BB581" s="6" t="s">
        <v>95</v>
      </c>
      <c r="BC581" s="3" t="s">
        <v>95</v>
      </c>
      <c r="BD581" t="s">
        <v>4</v>
      </c>
      <c r="BE581">
        <v>2900</v>
      </c>
      <c r="BF581" t="s">
        <v>97</v>
      </c>
      <c r="BG581">
        <v>51.7241</v>
      </c>
      <c r="BI581">
        <v>42.758600000000001</v>
      </c>
      <c r="BJ581">
        <v>56.551699999999997</v>
      </c>
      <c r="BK581">
        <v>50.344799999999999</v>
      </c>
      <c r="BM581">
        <v>42.758600000000001</v>
      </c>
      <c r="BN581">
        <v>42.758600000000001</v>
      </c>
      <c r="BO581">
        <v>48.2759</v>
      </c>
      <c r="BP581">
        <v>6.8965500000000004</v>
      </c>
      <c r="CK581">
        <v>4</v>
      </c>
      <c r="CL581" t="s">
        <v>4</v>
      </c>
      <c r="CM581" t="s">
        <v>98</v>
      </c>
      <c r="CN581" t="s">
        <v>98</v>
      </c>
      <c r="CO581" t="s">
        <v>99</v>
      </c>
      <c r="CP581">
        <v>22</v>
      </c>
      <c r="CQ581" t="s">
        <v>100</v>
      </c>
      <c r="CR581" t="s">
        <v>100</v>
      </c>
      <c r="CS581" t="s">
        <v>101</v>
      </c>
      <c r="CT581" t="s">
        <v>100</v>
      </c>
      <c r="CU581" t="s">
        <v>102</v>
      </c>
      <c r="CV581" t="s">
        <v>100</v>
      </c>
    </row>
    <row r="582" spans="1:100">
      <c r="A582" s="3" t="s">
        <v>285</v>
      </c>
      <c r="B582" s="4" t="s">
        <v>286</v>
      </c>
      <c r="C582">
        <v>66.115044988638303</v>
      </c>
      <c r="D582">
        <v>11.119112302534599</v>
      </c>
      <c r="E582">
        <v>2.5838774724384801</v>
      </c>
      <c r="F582">
        <v>8.3894775947811195E-4</v>
      </c>
      <c r="G582" t="s">
        <v>4</v>
      </c>
      <c r="H582">
        <v>66.115044988638303</v>
      </c>
      <c r="I582">
        <v>1.64774300646701</v>
      </c>
      <c r="J582">
        <v>5.2317408011183701</v>
      </c>
      <c r="K582" s="5">
        <v>5.2086234067133305E-7</v>
      </c>
      <c r="L582" t="s">
        <v>4</v>
      </c>
      <c r="M582">
        <v>11.119112302534599</v>
      </c>
      <c r="N582">
        <v>1.64774300646701</v>
      </c>
      <c r="O582">
        <v>2.64786332867989</v>
      </c>
      <c r="P582">
        <v>1.66905193848132E-2</v>
      </c>
      <c r="Q582" t="s">
        <v>4</v>
      </c>
      <c r="R582" s="4" t="s">
        <v>87</v>
      </c>
      <c r="S582" t="s">
        <v>4</v>
      </c>
      <c r="T582" t="s">
        <v>92</v>
      </c>
      <c r="U582" t="s">
        <v>92</v>
      </c>
      <c r="V582" t="s">
        <v>92</v>
      </c>
      <c r="W582" t="s">
        <v>92</v>
      </c>
      <c r="X582" t="s">
        <v>4</v>
      </c>
      <c r="Y582" t="s">
        <v>92</v>
      </c>
      <c r="Z582" t="s">
        <v>92</v>
      </c>
      <c r="AA582" t="s">
        <v>92</v>
      </c>
      <c r="AB582" t="s">
        <v>4</v>
      </c>
      <c r="AC582" s="3" t="s">
        <v>93</v>
      </c>
      <c r="AD582" t="s">
        <v>4</v>
      </c>
      <c r="AE582" s="4" t="s">
        <v>94</v>
      </c>
      <c r="AZ582" t="s">
        <v>4</v>
      </c>
      <c r="BA582" s="3" t="s">
        <v>95</v>
      </c>
      <c r="BB582" s="6" t="s">
        <v>95</v>
      </c>
      <c r="BC582" s="3" t="s">
        <v>95</v>
      </c>
      <c r="BD582" t="s">
        <v>4</v>
      </c>
      <c r="BE582">
        <v>1415</v>
      </c>
      <c r="BF582" t="s">
        <v>151</v>
      </c>
      <c r="BG582">
        <v>88.333299999999994</v>
      </c>
      <c r="CK582">
        <v>2</v>
      </c>
      <c r="CL582" t="s">
        <v>4</v>
      </c>
      <c r="CM582" t="s">
        <v>98</v>
      </c>
      <c r="CN582" t="s">
        <v>98</v>
      </c>
      <c r="CO582" t="s">
        <v>99</v>
      </c>
      <c r="CP582">
        <v>23</v>
      </c>
      <c r="CQ582" t="s">
        <v>100</v>
      </c>
      <c r="CR582" t="s">
        <v>100</v>
      </c>
      <c r="CS582" t="s">
        <v>101</v>
      </c>
      <c r="CT582" s="7" t="s">
        <v>152</v>
      </c>
      <c r="CU582" t="s">
        <v>102</v>
      </c>
      <c r="CV582" t="s">
        <v>100</v>
      </c>
    </row>
    <row r="583" spans="1:100">
      <c r="A583" s="3" t="s">
        <v>287</v>
      </c>
      <c r="B583" s="4" t="s">
        <v>288</v>
      </c>
      <c r="C583">
        <v>62.7458405626816</v>
      </c>
      <c r="D583">
        <v>12.6720229934262</v>
      </c>
      <c r="E583">
        <v>2.30982750437733</v>
      </c>
      <c r="F583">
        <v>1.2577072847055901E-3</v>
      </c>
      <c r="G583" t="s">
        <v>4</v>
      </c>
      <c r="H583">
        <v>62.7458405626816</v>
      </c>
      <c r="I583">
        <v>8.1085598997007402</v>
      </c>
      <c r="J583">
        <v>2.9804941336355699</v>
      </c>
      <c r="K583" s="5">
        <v>6.5101972887638505E-5</v>
      </c>
      <c r="L583" t="s">
        <v>4</v>
      </c>
      <c r="M583">
        <v>12.6720229934262</v>
      </c>
      <c r="N583">
        <v>8.1085598997007402</v>
      </c>
      <c r="O583">
        <v>0.67066662925824205</v>
      </c>
      <c r="P583">
        <v>0.44683010394221401</v>
      </c>
      <c r="Q583" t="s">
        <v>4</v>
      </c>
      <c r="R583" s="4" t="s">
        <v>87</v>
      </c>
      <c r="S583" t="s">
        <v>4</v>
      </c>
      <c r="T583" t="s">
        <v>92</v>
      </c>
      <c r="U583" t="s">
        <v>92</v>
      </c>
      <c r="V583" t="s">
        <v>92</v>
      </c>
      <c r="W583" t="s">
        <v>92</v>
      </c>
      <c r="X583" t="s">
        <v>4</v>
      </c>
      <c r="Y583" t="s">
        <v>92</v>
      </c>
      <c r="Z583" t="s">
        <v>92</v>
      </c>
      <c r="AA583" t="s">
        <v>92</v>
      </c>
      <c r="AB583" t="s">
        <v>4</v>
      </c>
      <c r="AC583" s="3" t="s">
        <v>93</v>
      </c>
      <c r="AD583" t="s">
        <v>4</v>
      </c>
      <c r="AE583" s="4" t="s">
        <v>94</v>
      </c>
      <c r="AZ583" t="s">
        <v>4</v>
      </c>
      <c r="BA583" s="3" t="s">
        <v>95</v>
      </c>
      <c r="BB583" s="6" t="s">
        <v>95</v>
      </c>
      <c r="BC583" s="3" t="s">
        <v>197</v>
      </c>
      <c r="BD583" t="s">
        <v>4</v>
      </c>
      <c r="BE583">
        <v>2216</v>
      </c>
      <c r="BF583" t="s">
        <v>148</v>
      </c>
      <c r="BG583">
        <v>57.788899999999998</v>
      </c>
      <c r="BH583">
        <v>98.995000000000005</v>
      </c>
      <c r="BJ583">
        <v>47.236199999999997</v>
      </c>
      <c r="BK583">
        <v>41.206000000000003</v>
      </c>
      <c r="BL583">
        <v>44.2211</v>
      </c>
      <c r="BM583">
        <v>55.7789</v>
      </c>
      <c r="BN583" t="s">
        <v>289</v>
      </c>
      <c r="BO583">
        <v>36.683399999999999</v>
      </c>
      <c r="CK583">
        <v>3</v>
      </c>
      <c r="CL583" t="s">
        <v>4</v>
      </c>
      <c r="CM583" t="s">
        <v>98</v>
      </c>
      <c r="CN583" t="s">
        <v>98</v>
      </c>
      <c r="CO583" t="s">
        <v>99</v>
      </c>
      <c r="CP583">
        <v>24</v>
      </c>
      <c r="CQ583" t="s">
        <v>100</v>
      </c>
      <c r="CR583" t="s">
        <v>100</v>
      </c>
      <c r="CS583" t="s">
        <v>101</v>
      </c>
      <c r="CT583" t="s">
        <v>100</v>
      </c>
      <c r="CU583" t="s">
        <v>102</v>
      </c>
      <c r="CV583" t="s">
        <v>100</v>
      </c>
    </row>
    <row r="584" spans="1:100">
      <c r="A584" s="3" t="s">
        <v>290</v>
      </c>
      <c r="B584" s="4" t="s">
        <v>291</v>
      </c>
      <c r="C584">
        <v>708.80880161239099</v>
      </c>
      <c r="D584">
        <v>99.467526375689104</v>
      </c>
      <c r="E584">
        <v>2.8289286498392201</v>
      </c>
      <c r="F584" s="5">
        <v>1.4781531744784801E-14</v>
      </c>
      <c r="G584" t="s">
        <v>4</v>
      </c>
      <c r="H584">
        <v>708.80880161239099</v>
      </c>
      <c r="I584">
        <v>38.910811781182097</v>
      </c>
      <c r="J584">
        <v>4.1814611886724</v>
      </c>
      <c r="K584" s="5">
        <v>1.46394817680233E-27</v>
      </c>
      <c r="L584" t="s">
        <v>4</v>
      </c>
      <c r="M584">
        <v>99.467526375689104</v>
      </c>
      <c r="N584">
        <v>38.910811781182097</v>
      </c>
      <c r="O584">
        <v>1.3525325388331799</v>
      </c>
      <c r="P584">
        <v>9.6003408183065403E-4</v>
      </c>
      <c r="Q584" t="s">
        <v>4</v>
      </c>
      <c r="R584" s="4" t="s">
        <v>87</v>
      </c>
      <c r="S584" t="s">
        <v>4</v>
      </c>
      <c r="T584" t="s">
        <v>92</v>
      </c>
      <c r="U584" t="s">
        <v>92</v>
      </c>
      <c r="V584" t="s">
        <v>92</v>
      </c>
      <c r="W584" t="s">
        <v>92</v>
      </c>
      <c r="X584" t="s">
        <v>4</v>
      </c>
      <c r="Y584" t="s">
        <v>292</v>
      </c>
      <c r="Z584" t="s">
        <v>293</v>
      </c>
      <c r="AA584" t="s">
        <v>294</v>
      </c>
      <c r="AB584" t="s">
        <v>4</v>
      </c>
      <c r="AC584" s="3" t="s">
        <v>295</v>
      </c>
      <c r="AD584" t="s">
        <v>4</v>
      </c>
      <c r="AE584" t="s">
        <v>296</v>
      </c>
      <c r="AF584" t="s">
        <v>297</v>
      </c>
      <c r="AG584" t="s">
        <v>298</v>
      </c>
      <c r="AH584" t="s">
        <v>112</v>
      </c>
      <c r="AI584" t="s">
        <v>299</v>
      </c>
      <c r="AJ584" t="s">
        <v>300</v>
      </c>
      <c r="AL584" t="s">
        <v>301</v>
      </c>
      <c r="AM584" t="s">
        <v>302</v>
      </c>
      <c r="AQ584" t="s">
        <v>303</v>
      </c>
      <c r="AU584" t="s">
        <v>112</v>
      </c>
      <c r="AV584" t="s">
        <v>304</v>
      </c>
      <c r="AW584" t="s">
        <v>114</v>
      </c>
      <c r="AX584" t="s">
        <v>132</v>
      </c>
      <c r="AY584" t="s">
        <v>305</v>
      </c>
      <c r="AZ584" t="s">
        <v>4</v>
      </c>
      <c r="BA584" s="3" t="s">
        <v>95</v>
      </c>
      <c r="BB584" s="6" t="s">
        <v>95</v>
      </c>
      <c r="BC584" s="3" t="s">
        <v>95</v>
      </c>
      <c r="BD584" t="s">
        <v>4</v>
      </c>
      <c r="BE584">
        <v>4469</v>
      </c>
      <c r="BF584" t="s">
        <v>112</v>
      </c>
      <c r="BG584">
        <v>79.214399999999998</v>
      </c>
      <c r="BH584">
        <v>53.027799999999999</v>
      </c>
      <c r="BJ584">
        <v>43.535200000000003</v>
      </c>
      <c r="BK584">
        <v>40.261899999999997</v>
      </c>
      <c r="BM584">
        <v>45.335500000000003</v>
      </c>
      <c r="BN584">
        <v>52.373199999999997</v>
      </c>
      <c r="BO584">
        <v>53.355200000000004</v>
      </c>
      <c r="BP584">
        <v>17.184899999999999</v>
      </c>
      <c r="CK584">
        <v>5</v>
      </c>
      <c r="CL584" t="s">
        <v>4</v>
      </c>
      <c r="CM584" t="s">
        <v>98</v>
      </c>
      <c r="CN584" t="s">
        <v>98</v>
      </c>
      <c r="CO584" t="s">
        <v>99</v>
      </c>
      <c r="CP584">
        <v>25</v>
      </c>
      <c r="CQ584" t="s">
        <v>100</v>
      </c>
      <c r="CR584" t="s">
        <v>100</v>
      </c>
      <c r="CS584" t="s">
        <v>101</v>
      </c>
      <c r="CT584" s="7" t="s">
        <v>152</v>
      </c>
      <c r="CU584" t="s">
        <v>102</v>
      </c>
      <c r="CV584" t="s">
        <v>100</v>
      </c>
    </row>
    <row r="585" spans="1:100">
      <c r="A585" s="3" t="s">
        <v>306</v>
      </c>
      <c r="B585" s="4" t="s">
        <v>307</v>
      </c>
      <c r="C585">
        <v>60.9762136674453</v>
      </c>
      <c r="D585">
        <v>8.2826805417578306</v>
      </c>
      <c r="E585">
        <v>2.9052553923412101</v>
      </c>
      <c r="F585" s="5">
        <v>3.47101317326215E-5</v>
      </c>
      <c r="G585" t="s">
        <v>4</v>
      </c>
      <c r="H585">
        <v>60.9762136674453</v>
      </c>
      <c r="I585">
        <v>3.76724154731451</v>
      </c>
      <c r="J585">
        <v>3.9360185861076</v>
      </c>
      <c r="K585" s="5">
        <v>9.3273263871849898E-7</v>
      </c>
      <c r="L585" t="s">
        <v>4</v>
      </c>
      <c r="M585">
        <v>8.2826805417578306</v>
      </c>
      <c r="N585">
        <v>3.76724154731451</v>
      </c>
      <c r="O585">
        <v>1.0307631937663799</v>
      </c>
      <c r="P585">
        <v>0.27507423857330199</v>
      </c>
      <c r="Q585" t="s">
        <v>4</v>
      </c>
      <c r="R585" s="4" t="s">
        <v>87</v>
      </c>
      <c r="S585" t="s">
        <v>4</v>
      </c>
      <c r="T585" t="s">
        <v>92</v>
      </c>
      <c r="U585" t="s">
        <v>92</v>
      </c>
      <c r="V585" t="s">
        <v>92</v>
      </c>
      <c r="W585" t="s">
        <v>92</v>
      </c>
      <c r="X585" t="s">
        <v>4</v>
      </c>
      <c r="Y585" t="s">
        <v>308</v>
      </c>
      <c r="Z585" t="s">
        <v>309</v>
      </c>
      <c r="AA585" t="s">
        <v>310</v>
      </c>
      <c r="AB585" t="s">
        <v>4</v>
      </c>
      <c r="AC585" s="3" t="s">
        <v>295</v>
      </c>
      <c r="AD585" t="s">
        <v>4</v>
      </c>
      <c r="AE585" t="s">
        <v>311</v>
      </c>
      <c r="AF585" t="s">
        <v>312</v>
      </c>
      <c r="AG585" t="s">
        <v>313</v>
      </c>
      <c r="AH585" t="s">
        <v>314</v>
      </c>
      <c r="AU585" t="s">
        <v>112</v>
      </c>
      <c r="AV585" t="s">
        <v>315</v>
      </c>
      <c r="AW585" t="s">
        <v>114</v>
      </c>
      <c r="AX585" t="s">
        <v>144</v>
      </c>
      <c r="AY585" t="s">
        <v>316</v>
      </c>
      <c r="AZ585" t="s">
        <v>4</v>
      </c>
      <c r="BA585" s="3" t="s">
        <v>95</v>
      </c>
      <c r="BB585" s="6" t="s">
        <v>95</v>
      </c>
      <c r="BC585" s="3" t="s">
        <v>95</v>
      </c>
      <c r="BD585" t="s">
        <v>4</v>
      </c>
      <c r="BE585">
        <v>4470</v>
      </c>
      <c r="BF585" t="s">
        <v>112</v>
      </c>
      <c r="BG585">
        <v>91.851900000000001</v>
      </c>
      <c r="BJ585">
        <v>22.222200000000001</v>
      </c>
      <c r="BK585">
        <v>59.259300000000003</v>
      </c>
      <c r="BM585">
        <v>70.370400000000004</v>
      </c>
      <c r="BN585">
        <v>70.370400000000004</v>
      </c>
      <c r="BO585">
        <v>71.851900000000001</v>
      </c>
      <c r="BP585">
        <v>24.444400000000002</v>
      </c>
      <c r="CK585">
        <v>5</v>
      </c>
      <c r="CL585" t="s">
        <v>4</v>
      </c>
      <c r="CM585" t="s">
        <v>98</v>
      </c>
      <c r="CN585" t="s">
        <v>98</v>
      </c>
      <c r="CO585" t="s">
        <v>99</v>
      </c>
      <c r="CP585">
        <v>26</v>
      </c>
      <c r="CQ585" t="s">
        <v>100</v>
      </c>
      <c r="CR585" t="s">
        <v>100</v>
      </c>
      <c r="CS585" t="s">
        <v>101</v>
      </c>
      <c r="CT585" t="s">
        <v>100</v>
      </c>
      <c r="CU585" t="s">
        <v>102</v>
      </c>
      <c r="CV585" t="s">
        <v>100</v>
      </c>
    </row>
    <row r="586" spans="1:100">
      <c r="A586" s="3" t="s">
        <v>317</v>
      </c>
      <c r="B586" s="4" t="s">
        <v>318</v>
      </c>
      <c r="C586">
        <v>70.4067273382758</v>
      </c>
      <c r="D586">
        <v>12.9833026547901</v>
      </c>
      <c r="E586">
        <v>2.44850115025808</v>
      </c>
      <c r="F586">
        <v>8.3452046868251299E-4</v>
      </c>
      <c r="G586" t="s">
        <v>4</v>
      </c>
      <c r="H586">
        <v>70.4067273382758</v>
      </c>
      <c r="I586">
        <v>3.3267924843477901</v>
      </c>
      <c r="J586">
        <v>4.2265851572510398</v>
      </c>
      <c r="K586" s="5">
        <v>6.1447940245544097E-7</v>
      </c>
      <c r="L586" t="s">
        <v>4</v>
      </c>
      <c r="M586">
        <v>12.9833026547901</v>
      </c>
      <c r="N586">
        <v>3.3267924843477901</v>
      </c>
      <c r="O586">
        <v>1.77808400699295</v>
      </c>
      <c r="P586">
        <v>5.39871544031892E-2</v>
      </c>
      <c r="Q586" t="s">
        <v>4</v>
      </c>
      <c r="R586" s="4" t="s">
        <v>87</v>
      </c>
      <c r="S586" t="s">
        <v>4</v>
      </c>
      <c r="T586" t="s">
        <v>92</v>
      </c>
      <c r="U586" t="s">
        <v>92</v>
      </c>
      <c r="V586" t="s">
        <v>92</v>
      </c>
      <c r="W586" t="s">
        <v>92</v>
      </c>
      <c r="X586" t="s">
        <v>4</v>
      </c>
      <c r="Y586" t="s">
        <v>92</v>
      </c>
      <c r="Z586" t="s">
        <v>92</v>
      </c>
      <c r="AA586" t="s">
        <v>92</v>
      </c>
      <c r="AB586" t="s">
        <v>4</v>
      </c>
      <c r="AC586" s="3" t="s">
        <v>93</v>
      </c>
      <c r="AD586" t="s">
        <v>4</v>
      </c>
      <c r="AE586" s="4" t="s">
        <v>94</v>
      </c>
      <c r="AZ586" t="s">
        <v>4</v>
      </c>
      <c r="BA586" s="3" t="s">
        <v>95</v>
      </c>
      <c r="BB586" s="6" t="s">
        <v>95</v>
      </c>
      <c r="BC586" s="3" t="s">
        <v>95</v>
      </c>
      <c r="BD586" t="s">
        <v>4</v>
      </c>
      <c r="BE586">
        <v>2221</v>
      </c>
      <c r="BF586" t="s">
        <v>148</v>
      </c>
      <c r="BG586">
        <v>77.971000000000004</v>
      </c>
      <c r="BH586">
        <v>79.710099999999997</v>
      </c>
      <c r="BI586">
        <v>80.289900000000003</v>
      </c>
      <c r="BL586">
        <v>26.376799999999999</v>
      </c>
      <c r="BM586">
        <v>38.260899999999999</v>
      </c>
      <c r="BN586" t="s">
        <v>319</v>
      </c>
      <c r="CK586">
        <v>3</v>
      </c>
      <c r="CL586" t="s">
        <v>4</v>
      </c>
      <c r="CM586" t="s">
        <v>98</v>
      </c>
      <c r="CN586" t="s">
        <v>98</v>
      </c>
      <c r="CO586" t="s">
        <v>99</v>
      </c>
      <c r="CP586">
        <v>27</v>
      </c>
      <c r="CQ586" t="s">
        <v>100</v>
      </c>
      <c r="CR586" t="s">
        <v>100</v>
      </c>
      <c r="CS586" t="s">
        <v>101</v>
      </c>
      <c r="CT586" t="s">
        <v>100</v>
      </c>
      <c r="CU586" t="s">
        <v>102</v>
      </c>
      <c r="CV586" t="s">
        <v>100</v>
      </c>
    </row>
    <row r="587" spans="1:100">
      <c r="A587" s="3" t="s">
        <v>320</v>
      </c>
      <c r="B587" s="4" t="s">
        <v>321</v>
      </c>
      <c r="C587">
        <v>153.17856127893401</v>
      </c>
      <c r="D587">
        <v>4.5952919565969603</v>
      </c>
      <c r="E587">
        <v>5.1138137007258599</v>
      </c>
      <c r="F587" s="5">
        <v>3.0774102981699798E-8</v>
      </c>
      <c r="G587" t="s">
        <v>4</v>
      </c>
      <c r="H587">
        <v>153.17856127893401</v>
      </c>
      <c r="I587">
        <v>7.4224458211912099</v>
      </c>
      <c r="J587">
        <v>4.3941138843375898</v>
      </c>
      <c r="K587" s="5">
        <v>1.2031362732561101E-6</v>
      </c>
      <c r="L587" t="s">
        <v>4</v>
      </c>
      <c r="M587">
        <v>4.5952919565969603</v>
      </c>
      <c r="N587">
        <v>7.4224458211912099</v>
      </c>
      <c r="O587">
        <f>0.719699816388264</f>
        <v>0.71969981638826397</v>
      </c>
      <c r="P587">
        <v>0.53436015225010602</v>
      </c>
      <c r="Q587" t="s">
        <v>4</v>
      </c>
      <c r="R587" s="4" t="s">
        <v>87</v>
      </c>
      <c r="S587" t="s">
        <v>4</v>
      </c>
      <c r="T587" t="s">
        <v>92</v>
      </c>
      <c r="U587" t="s">
        <v>92</v>
      </c>
      <c r="V587" t="s">
        <v>92</v>
      </c>
      <c r="W587" t="s">
        <v>92</v>
      </c>
      <c r="X587" t="s">
        <v>4</v>
      </c>
      <c r="Y587" t="s">
        <v>92</v>
      </c>
      <c r="Z587" t="s">
        <v>92</v>
      </c>
      <c r="AA587" t="s">
        <v>92</v>
      </c>
      <c r="AB587" t="s">
        <v>4</v>
      </c>
      <c r="AC587" s="3" t="s">
        <v>93</v>
      </c>
      <c r="AD587" t="s">
        <v>4</v>
      </c>
      <c r="AE587" s="4" t="s">
        <v>94</v>
      </c>
      <c r="AZ587" t="s">
        <v>4</v>
      </c>
      <c r="BA587" s="3" t="s">
        <v>95</v>
      </c>
      <c r="BB587" s="6" t="s">
        <v>95</v>
      </c>
      <c r="BC587" s="3" t="s">
        <v>197</v>
      </c>
      <c r="BD587" t="s">
        <v>4</v>
      </c>
      <c r="BE587">
        <v>320</v>
      </c>
      <c r="BF587" t="s">
        <v>322</v>
      </c>
      <c r="CK587">
        <v>1</v>
      </c>
      <c r="CL587" t="s">
        <v>4</v>
      </c>
      <c r="CM587" t="s">
        <v>98</v>
      </c>
      <c r="CN587" t="s">
        <v>98</v>
      </c>
      <c r="CO587" t="s">
        <v>99</v>
      </c>
      <c r="CP587">
        <v>28</v>
      </c>
      <c r="CQ587" t="s">
        <v>100</v>
      </c>
      <c r="CR587" t="s">
        <v>100</v>
      </c>
      <c r="CS587" t="s">
        <v>101</v>
      </c>
      <c r="CT587" t="s">
        <v>100</v>
      </c>
      <c r="CU587" t="s">
        <v>102</v>
      </c>
      <c r="CV587" t="s">
        <v>100</v>
      </c>
    </row>
    <row r="588" spans="1:100">
      <c r="A588" s="3" t="s">
        <v>323</v>
      </c>
      <c r="B588" s="4" t="s">
        <v>324</v>
      </c>
      <c r="C588">
        <v>205.75905120975699</v>
      </c>
      <c r="D588">
        <v>37.7924863546653</v>
      </c>
      <c r="E588">
        <v>2.4524562058556998</v>
      </c>
      <c r="F588" s="5">
        <v>3.0556628471590199E-9</v>
      </c>
      <c r="G588" t="s">
        <v>4</v>
      </c>
      <c r="H588">
        <v>205.75905120975699</v>
      </c>
      <c r="I588">
        <v>35.7504101478617</v>
      </c>
      <c r="J588">
        <v>2.5213013158619</v>
      </c>
      <c r="K588" s="5">
        <v>1.85911422398851E-9</v>
      </c>
      <c r="L588" t="s">
        <v>4</v>
      </c>
      <c r="M588">
        <v>37.7924863546653</v>
      </c>
      <c r="N588">
        <v>35.7504101478617</v>
      </c>
      <c r="O588">
        <v>6.8845110006202997E-2</v>
      </c>
      <c r="P588">
        <v>0.90782756494085404</v>
      </c>
      <c r="Q588" t="s">
        <v>4</v>
      </c>
      <c r="R588" s="4" t="s">
        <v>87</v>
      </c>
      <c r="S588" t="s">
        <v>4</v>
      </c>
      <c r="T588" t="s">
        <v>325</v>
      </c>
      <c r="U588" t="s">
        <v>326</v>
      </c>
      <c r="V588" t="s">
        <v>327</v>
      </c>
      <c r="W588" t="s">
        <v>328</v>
      </c>
      <c r="X588" t="s">
        <v>4</v>
      </c>
      <c r="Y588" t="s">
        <v>329</v>
      </c>
      <c r="Z588" t="s">
        <v>330</v>
      </c>
      <c r="AA588" t="s">
        <v>331</v>
      </c>
      <c r="AB588" t="s">
        <v>4</v>
      </c>
      <c r="AC588" s="3" t="s">
        <v>332</v>
      </c>
      <c r="AD588" t="s">
        <v>4</v>
      </c>
      <c r="AE588" t="s">
        <v>333</v>
      </c>
      <c r="AF588" t="s">
        <v>334</v>
      </c>
      <c r="AG588" t="s">
        <v>335</v>
      </c>
      <c r="AH588" t="s">
        <v>112</v>
      </c>
      <c r="AJ588" t="s">
        <v>336</v>
      </c>
      <c r="AK588" t="s">
        <v>337</v>
      </c>
      <c r="AL588" t="s">
        <v>338</v>
      </c>
      <c r="AM588" t="s">
        <v>339</v>
      </c>
      <c r="AO588" t="s">
        <v>340</v>
      </c>
      <c r="AP588" t="s">
        <v>341</v>
      </c>
      <c r="AQ588" t="s">
        <v>342</v>
      </c>
      <c r="AS588" t="s">
        <v>343</v>
      </c>
      <c r="AU588" t="s">
        <v>112</v>
      </c>
      <c r="AV588" t="s">
        <v>344</v>
      </c>
      <c r="AW588" t="s">
        <v>114</v>
      </c>
      <c r="AX588" t="s">
        <v>345</v>
      </c>
      <c r="AY588" t="s">
        <v>346</v>
      </c>
      <c r="AZ588" t="s">
        <v>4</v>
      </c>
      <c r="BA588" s="3" t="s">
        <v>95</v>
      </c>
      <c r="BB588" t="s">
        <v>96</v>
      </c>
      <c r="BC588" s="3" t="s">
        <v>197</v>
      </c>
      <c r="BD588" t="s">
        <v>4</v>
      </c>
      <c r="BE588">
        <v>8124</v>
      </c>
      <c r="BF588" t="s">
        <v>213</v>
      </c>
      <c r="BG588">
        <v>37.036999999999999</v>
      </c>
      <c r="BJ588" t="s">
        <v>347</v>
      </c>
      <c r="BN588">
        <v>24.305599999999998</v>
      </c>
      <c r="BP588">
        <v>22.685199999999998</v>
      </c>
      <c r="BS588" t="s">
        <v>348</v>
      </c>
      <c r="BU588" t="s">
        <v>349</v>
      </c>
      <c r="BV588" t="s">
        <v>350</v>
      </c>
      <c r="BW588">
        <v>10.8796</v>
      </c>
      <c r="BZ588">
        <v>36.1111</v>
      </c>
      <c r="CB588">
        <v>13.4259</v>
      </c>
      <c r="CC588">
        <v>30.324100000000001</v>
      </c>
      <c r="CD588" t="s">
        <v>351</v>
      </c>
      <c r="CF588" t="s">
        <v>352</v>
      </c>
      <c r="CG588">
        <v>35.416699999999999</v>
      </c>
      <c r="CH588">
        <v>32.870399999999997</v>
      </c>
      <c r="CI588">
        <v>31.0185</v>
      </c>
      <c r="CK588">
        <v>8</v>
      </c>
      <c r="CL588" t="s">
        <v>4</v>
      </c>
      <c r="CM588" t="s">
        <v>98</v>
      </c>
      <c r="CN588" t="s">
        <v>98</v>
      </c>
      <c r="CO588" t="s">
        <v>99</v>
      </c>
      <c r="CP588">
        <v>29</v>
      </c>
      <c r="CQ588" t="s">
        <v>100</v>
      </c>
      <c r="CR588" t="s">
        <v>100</v>
      </c>
      <c r="CS588" t="s">
        <v>101</v>
      </c>
      <c r="CT588" t="s">
        <v>100</v>
      </c>
      <c r="CU588" t="s">
        <v>102</v>
      </c>
      <c r="CV588" t="s">
        <v>100</v>
      </c>
    </row>
    <row r="589" spans="1:100">
      <c r="A589" s="3" t="s">
        <v>353</v>
      </c>
      <c r="B589" s="4" t="s">
        <v>354</v>
      </c>
      <c r="C589">
        <v>85.603148103666101</v>
      </c>
      <c r="D589">
        <v>14.716669657993</v>
      </c>
      <c r="E589">
        <v>2.53871185893047</v>
      </c>
      <c r="F589">
        <v>4.2711255544439497E-3</v>
      </c>
      <c r="G589" t="s">
        <v>4</v>
      </c>
      <c r="H589">
        <v>85.603148103666101</v>
      </c>
      <c r="I589">
        <v>12.543797666328301</v>
      </c>
      <c r="J589">
        <v>2.7629328094691199</v>
      </c>
      <c r="K589">
        <v>1.7256695962222599E-3</v>
      </c>
      <c r="L589" t="s">
        <v>4</v>
      </c>
      <c r="M589">
        <v>14.716669657993</v>
      </c>
      <c r="N589">
        <v>12.543797666328301</v>
      </c>
      <c r="O589">
        <v>0.22422095053864199</v>
      </c>
      <c r="P589">
        <v>0.84609479621803096</v>
      </c>
      <c r="Q589" t="s">
        <v>4</v>
      </c>
      <c r="R589" s="4" t="s">
        <v>87</v>
      </c>
      <c r="S589" t="s">
        <v>4</v>
      </c>
      <c r="T589" t="s">
        <v>88</v>
      </c>
      <c r="U589" t="s">
        <v>89</v>
      </c>
      <c r="V589" t="s">
        <v>90</v>
      </c>
      <c r="W589" t="s">
        <v>91</v>
      </c>
      <c r="X589" t="s">
        <v>4</v>
      </c>
      <c r="Y589" t="s">
        <v>92</v>
      </c>
      <c r="Z589" t="s">
        <v>92</v>
      </c>
      <c r="AA589" t="s">
        <v>92</v>
      </c>
      <c r="AB589" t="s">
        <v>4</v>
      </c>
      <c r="AC589" s="3" t="s">
        <v>93</v>
      </c>
      <c r="AD589" t="s">
        <v>4</v>
      </c>
      <c r="AE589" s="4" t="s">
        <v>94</v>
      </c>
      <c r="AZ589" t="s">
        <v>4</v>
      </c>
      <c r="BA589" s="3" t="s">
        <v>95</v>
      </c>
      <c r="BB589" t="s">
        <v>96</v>
      </c>
      <c r="BC589" s="3" t="s">
        <v>95</v>
      </c>
      <c r="BD589" t="s">
        <v>4</v>
      </c>
      <c r="BE589">
        <v>2915</v>
      </c>
      <c r="BF589" t="s">
        <v>97</v>
      </c>
      <c r="BG589" t="s">
        <v>355</v>
      </c>
      <c r="BI589">
        <v>80.193200000000004</v>
      </c>
      <c r="BJ589" t="s">
        <v>356</v>
      </c>
      <c r="BK589">
        <v>77.294700000000006</v>
      </c>
      <c r="BL589">
        <v>60.869599999999998</v>
      </c>
      <c r="BM589">
        <v>60.869599999999998</v>
      </c>
      <c r="BN589" t="s">
        <v>357</v>
      </c>
      <c r="BO589">
        <v>75.845399999999998</v>
      </c>
      <c r="BP589">
        <v>35.748800000000003</v>
      </c>
      <c r="CK589">
        <v>4</v>
      </c>
      <c r="CL589" t="s">
        <v>4</v>
      </c>
      <c r="CM589" t="s">
        <v>98</v>
      </c>
      <c r="CN589" t="s">
        <v>98</v>
      </c>
      <c r="CO589" t="s">
        <v>99</v>
      </c>
      <c r="CP589">
        <v>30</v>
      </c>
      <c r="CQ589" t="s">
        <v>100</v>
      </c>
      <c r="CR589" t="s">
        <v>100</v>
      </c>
      <c r="CS589" t="s">
        <v>101</v>
      </c>
      <c r="CT589" t="s">
        <v>100</v>
      </c>
      <c r="CU589" t="s">
        <v>102</v>
      </c>
      <c r="CV589" t="s">
        <v>100</v>
      </c>
    </row>
    <row r="590" spans="1:100">
      <c r="A590" s="3" t="s">
        <v>358</v>
      </c>
      <c r="B590" s="4" t="s">
        <v>359</v>
      </c>
      <c r="C590">
        <v>51.7585476865315</v>
      </c>
      <c r="D590">
        <v>11.783106164651</v>
      </c>
      <c r="E590">
        <v>2.1480831781047498</v>
      </c>
      <c r="F590">
        <v>5.9930512800259296E-3</v>
      </c>
      <c r="G590" t="s">
        <v>4</v>
      </c>
      <c r="H590">
        <v>51.7585476865315</v>
      </c>
      <c r="I590">
        <v>2.0881920694337301</v>
      </c>
      <c r="J590">
        <v>4.7607638874553597</v>
      </c>
      <c r="K590" s="5">
        <v>3.3291305802307601E-6</v>
      </c>
      <c r="L590" t="s">
        <v>4</v>
      </c>
      <c r="M590">
        <v>11.783106164651</v>
      </c>
      <c r="N590">
        <v>2.0881920694337301</v>
      </c>
      <c r="O590">
        <v>2.6126807093506002</v>
      </c>
      <c r="P590">
        <v>1.5516364664520299E-2</v>
      </c>
      <c r="Q590" t="s">
        <v>4</v>
      </c>
      <c r="R590" s="4" t="s">
        <v>87</v>
      </c>
      <c r="S590" t="s">
        <v>4</v>
      </c>
      <c r="T590" t="s">
        <v>360</v>
      </c>
      <c r="U590" t="s">
        <v>361</v>
      </c>
      <c r="V590" t="s">
        <v>362</v>
      </c>
      <c r="W590" t="s">
        <v>328</v>
      </c>
      <c r="X590" t="s">
        <v>4</v>
      </c>
      <c r="Y590" t="s">
        <v>363</v>
      </c>
      <c r="Z590" t="s">
        <v>364</v>
      </c>
      <c r="AA590" t="s">
        <v>365</v>
      </c>
      <c r="AB590" t="s">
        <v>4</v>
      </c>
      <c r="AC590" s="3" t="s">
        <v>366</v>
      </c>
      <c r="AD590" t="s">
        <v>4</v>
      </c>
      <c r="AE590" t="s">
        <v>367</v>
      </c>
      <c r="AF590" t="s">
        <v>368</v>
      </c>
      <c r="AG590" t="s">
        <v>369</v>
      </c>
      <c r="AH590" t="s">
        <v>314</v>
      </c>
      <c r="AU590" t="s">
        <v>112</v>
      </c>
      <c r="AV590" t="s">
        <v>370</v>
      </c>
      <c r="AW590" t="s">
        <v>114</v>
      </c>
      <c r="AX590" t="s">
        <v>371</v>
      </c>
      <c r="AY590" t="s">
        <v>372</v>
      </c>
      <c r="AZ590" t="s">
        <v>4</v>
      </c>
      <c r="BA590" s="3" t="s">
        <v>95</v>
      </c>
      <c r="BB590" s="6" t="s">
        <v>95</v>
      </c>
      <c r="BC590" s="3" t="s">
        <v>95</v>
      </c>
      <c r="BD590" t="s">
        <v>4</v>
      </c>
      <c r="BE590">
        <v>8145</v>
      </c>
      <c r="BF590" t="s">
        <v>213</v>
      </c>
      <c r="BG590">
        <v>82.035899999999998</v>
      </c>
      <c r="BH590">
        <v>100</v>
      </c>
      <c r="CE590">
        <v>24.550899999999999</v>
      </c>
      <c r="CF590">
        <v>26.946100000000001</v>
      </c>
      <c r="CG590" t="s">
        <v>373</v>
      </c>
      <c r="CK590">
        <v>8</v>
      </c>
      <c r="CL590" t="s">
        <v>4</v>
      </c>
      <c r="CM590" t="s">
        <v>98</v>
      </c>
      <c r="CN590" t="s">
        <v>98</v>
      </c>
      <c r="CO590" t="s">
        <v>99</v>
      </c>
      <c r="CP590">
        <v>31</v>
      </c>
      <c r="CQ590" t="s">
        <v>100</v>
      </c>
      <c r="CR590" t="s">
        <v>100</v>
      </c>
      <c r="CS590" t="s">
        <v>101</v>
      </c>
      <c r="CT590" s="7" t="s">
        <v>152</v>
      </c>
      <c r="CU590" t="s">
        <v>102</v>
      </c>
      <c r="CV590" t="s">
        <v>100</v>
      </c>
    </row>
    <row r="591" spans="1:100">
      <c r="A591" s="3" t="s">
        <v>374</v>
      </c>
      <c r="B591" s="4" t="s">
        <v>375</v>
      </c>
      <c r="C591">
        <v>401.34160608222902</v>
      </c>
      <c r="D591">
        <v>62.943153716463698</v>
      </c>
      <c r="E591">
        <v>2.67523031493814</v>
      </c>
      <c r="F591" s="5">
        <v>1.4027040543695199E-9</v>
      </c>
      <c r="G591" t="s">
        <v>4</v>
      </c>
      <c r="H591">
        <v>401.34160608222902</v>
      </c>
      <c r="I591">
        <v>26.069908796738702</v>
      </c>
      <c r="J591">
        <v>3.9063889225050201</v>
      </c>
      <c r="K591" s="5">
        <v>1.95775843170009E-17</v>
      </c>
      <c r="L591" t="s">
        <v>4</v>
      </c>
      <c r="M591">
        <v>62.943153716463698</v>
      </c>
      <c r="N591">
        <v>26.069908796738702</v>
      </c>
      <c r="O591">
        <v>1.2311586075668799</v>
      </c>
      <c r="P591">
        <v>1.32205816055043E-2</v>
      </c>
      <c r="Q591" t="s">
        <v>4</v>
      </c>
      <c r="R591" s="4" t="s">
        <v>87</v>
      </c>
      <c r="S591" t="s">
        <v>4</v>
      </c>
      <c r="T591" t="s">
        <v>376</v>
      </c>
      <c r="U591" t="s">
        <v>377</v>
      </c>
      <c r="V591" t="s">
        <v>378</v>
      </c>
      <c r="W591" t="s">
        <v>328</v>
      </c>
      <c r="X591" t="s">
        <v>4</v>
      </c>
      <c r="Y591" t="s">
        <v>379</v>
      </c>
      <c r="Z591" t="s">
        <v>380</v>
      </c>
      <c r="AA591" t="s">
        <v>381</v>
      </c>
      <c r="AB591" t="s">
        <v>4</v>
      </c>
      <c r="AC591" s="3" t="s">
        <v>382</v>
      </c>
      <c r="AD591" t="s">
        <v>4</v>
      </c>
      <c r="AE591" t="s">
        <v>383</v>
      </c>
      <c r="AF591" t="s">
        <v>384</v>
      </c>
      <c r="AG591" t="s">
        <v>385</v>
      </c>
      <c r="AH591" t="s">
        <v>386</v>
      </c>
      <c r="AU591" t="s">
        <v>112</v>
      </c>
      <c r="AV591" t="s">
        <v>387</v>
      </c>
      <c r="AW591" t="s">
        <v>114</v>
      </c>
      <c r="AX591" t="s">
        <v>132</v>
      </c>
      <c r="AY591" t="s">
        <v>388</v>
      </c>
      <c r="AZ591" t="s">
        <v>4</v>
      </c>
      <c r="BA591" s="3" t="s">
        <v>95</v>
      </c>
      <c r="BB591" t="s">
        <v>96</v>
      </c>
      <c r="BC591" s="3" t="s">
        <v>197</v>
      </c>
      <c r="BD591" t="s">
        <v>4</v>
      </c>
      <c r="BE591">
        <v>8158</v>
      </c>
      <c r="BF591" t="s">
        <v>213</v>
      </c>
      <c r="BI591">
        <v>50.759</v>
      </c>
      <c r="BJ591">
        <v>7.49526</v>
      </c>
      <c r="BL591">
        <v>14.611000000000001</v>
      </c>
      <c r="BM591">
        <v>59.582500000000003</v>
      </c>
      <c r="BN591">
        <v>63.662199999999999</v>
      </c>
      <c r="BP591">
        <v>5.5977199999999998</v>
      </c>
      <c r="BQ591">
        <v>6.1669799999999997</v>
      </c>
      <c r="BT591">
        <v>4.5540799999999999</v>
      </c>
      <c r="BU591">
        <v>1.8975299999999999</v>
      </c>
      <c r="BV591" t="s">
        <v>389</v>
      </c>
      <c r="BY591">
        <v>4.1745700000000001</v>
      </c>
      <c r="BZ591">
        <v>1.8026599999999999</v>
      </c>
      <c r="CB591">
        <v>6.7362399999999996</v>
      </c>
      <c r="CC591">
        <v>6.5464900000000004</v>
      </c>
      <c r="CD591" t="s">
        <v>390</v>
      </c>
      <c r="CE591" t="s">
        <v>391</v>
      </c>
      <c r="CF591" t="s">
        <v>392</v>
      </c>
      <c r="CG591" t="s">
        <v>393</v>
      </c>
      <c r="CH591" t="s">
        <v>394</v>
      </c>
      <c r="CI591">
        <v>4.9335899999999997</v>
      </c>
      <c r="CK591">
        <v>8</v>
      </c>
      <c r="CL591" t="s">
        <v>4</v>
      </c>
      <c r="CM591" t="s">
        <v>98</v>
      </c>
      <c r="CN591" t="s">
        <v>98</v>
      </c>
      <c r="CO591" t="s">
        <v>99</v>
      </c>
      <c r="CP591">
        <v>32</v>
      </c>
      <c r="CQ591" t="s">
        <v>100</v>
      </c>
      <c r="CR591" t="s">
        <v>100</v>
      </c>
      <c r="CS591" t="s">
        <v>101</v>
      </c>
      <c r="CT591" s="7" t="s">
        <v>152</v>
      </c>
      <c r="CU591" t="s">
        <v>102</v>
      </c>
      <c r="CV591" t="s">
        <v>100</v>
      </c>
    </row>
    <row r="592" spans="1:100">
      <c r="A592" s="3" t="s">
        <v>395</v>
      </c>
      <c r="B592" s="4" t="s">
        <v>396</v>
      </c>
      <c r="C592">
        <v>91.9801842526402</v>
      </c>
      <c r="D592">
        <v>20.568297717944201</v>
      </c>
      <c r="E592">
        <v>2.15700657888457</v>
      </c>
      <c r="F592">
        <v>4.2209098481873703E-3</v>
      </c>
      <c r="G592" t="s">
        <v>4</v>
      </c>
      <c r="H592">
        <v>91.9801842526402</v>
      </c>
      <c r="I592">
        <v>4.8877654023919197</v>
      </c>
      <c r="J592">
        <v>4.2086368610972702</v>
      </c>
      <c r="K592" s="5">
        <v>3.8241062809613098E-7</v>
      </c>
      <c r="L592" t="s">
        <v>4</v>
      </c>
      <c r="M592">
        <v>20.568297717944201</v>
      </c>
      <c r="N592">
        <v>4.8877654023919197</v>
      </c>
      <c r="O592">
        <v>2.0516302822127002</v>
      </c>
      <c r="P592">
        <v>1.9361541694960498E-2</v>
      </c>
      <c r="Q592" t="s">
        <v>4</v>
      </c>
      <c r="R592" s="4" t="s">
        <v>87</v>
      </c>
      <c r="S592" t="s">
        <v>4</v>
      </c>
      <c r="T592" t="s">
        <v>92</v>
      </c>
      <c r="U592" t="s">
        <v>92</v>
      </c>
      <c r="V592" t="s">
        <v>92</v>
      </c>
      <c r="W592" t="s">
        <v>92</v>
      </c>
      <c r="X592" t="s">
        <v>4</v>
      </c>
      <c r="Y592" t="s">
        <v>92</v>
      </c>
      <c r="Z592" t="s">
        <v>92</v>
      </c>
      <c r="AA592" t="s">
        <v>92</v>
      </c>
      <c r="AB592" t="s">
        <v>4</v>
      </c>
      <c r="AC592" s="3" t="s">
        <v>93</v>
      </c>
      <c r="AD592" t="s">
        <v>4</v>
      </c>
      <c r="AE592" s="4" t="s">
        <v>94</v>
      </c>
      <c r="AZ592" t="s">
        <v>4</v>
      </c>
      <c r="BA592" s="3" t="s">
        <v>95</v>
      </c>
      <c r="BB592" s="6" t="s">
        <v>95</v>
      </c>
      <c r="BC592" s="3" t="s">
        <v>95</v>
      </c>
      <c r="BD592" t="s">
        <v>4</v>
      </c>
      <c r="BE592">
        <v>1447</v>
      </c>
      <c r="BF592" t="s">
        <v>151</v>
      </c>
      <c r="BI592" t="s">
        <v>397</v>
      </c>
      <c r="CK592">
        <v>2</v>
      </c>
      <c r="CL592" t="s">
        <v>4</v>
      </c>
      <c r="CM592" t="s">
        <v>98</v>
      </c>
      <c r="CN592" t="s">
        <v>98</v>
      </c>
      <c r="CO592" t="s">
        <v>99</v>
      </c>
      <c r="CP592">
        <v>33</v>
      </c>
      <c r="CQ592" t="s">
        <v>100</v>
      </c>
      <c r="CR592" t="s">
        <v>100</v>
      </c>
      <c r="CS592" t="s">
        <v>101</v>
      </c>
      <c r="CT592" s="7" t="s">
        <v>152</v>
      </c>
      <c r="CU592" t="s">
        <v>102</v>
      </c>
      <c r="CV592" t="s">
        <v>100</v>
      </c>
    </row>
    <row r="593" spans="1:100">
      <c r="A593" s="3" t="s">
        <v>398</v>
      </c>
      <c r="B593" s="4" t="s">
        <v>399</v>
      </c>
      <c r="C593">
        <v>62.018697068034697</v>
      </c>
      <c r="D593">
        <v>7.4075708658019002</v>
      </c>
      <c r="E593">
        <v>3.0544350863877501</v>
      </c>
      <c r="F593">
        <v>1.7578110020593601E-4</v>
      </c>
      <c r="G593" t="s">
        <v>4</v>
      </c>
      <c r="H593">
        <v>62.018697068034697</v>
      </c>
      <c r="I593">
        <v>2.8056126193570199</v>
      </c>
      <c r="J593">
        <v>4.3612740942950499</v>
      </c>
      <c r="K593" s="5">
        <v>3.3390878638790301E-6</v>
      </c>
      <c r="L593" t="s">
        <v>4</v>
      </c>
      <c r="M593">
        <v>7.4075708658019002</v>
      </c>
      <c r="N593">
        <v>2.8056126193570199</v>
      </c>
      <c r="O593">
        <v>1.3068390079073</v>
      </c>
      <c r="P593">
        <v>0.226187329982692</v>
      </c>
      <c r="Q593" t="s">
        <v>4</v>
      </c>
      <c r="R593" s="4" t="s">
        <v>87</v>
      </c>
      <c r="S593" t="s">
        <v>4</v>
      </c>
      <c r="T593" t="s">
        <v>92</v>
      </c>
      <c r="U593" t="s">
        <v>92</v>
      </c>
      <c r="V593" t="s">
        <v>92</v>
      </c>
      <c r="W593" t="s">
        <v>92</v>
      </c>
      <c r="X593" t="s">
        <v>4</v>
      </c>
      <c r="Y593" t="s">
        <v>92</v>
      </c>
      <c r="Z593" t="s">
        <v>92</v>
      </c>
      <c r="AA593" t="s">
        <v>92</v>
      </c>
      <c r="AB593" t="s">
        <v>4</v>
      </c>
      <c r="AC593" s="3" t="s">
        <v>93</v>
      </c>
      <c r="AD593" t="s">
        <v>4</v>
      </c>
      <c r="AE593" s="4" t="s">
        <v>94</v>
      </c>
      <c r="AZ593" t="s">
        <v>4</v>
      </c>
      <c r="BA593" s="3" t="s">
        <v>95</v>
      </c>
      <c r="BB593" s="6" t="s">
        <v>95</v>
      </c>
      <c r="BC593" s="3" t="s">
        <v>95</v>
      </c>
      <c r="BD593" t="s">
        <v>4</v>
      </c>
      <c r="BE593">
        <v>1449</v>
      </c>
      <c r="BF593" t="s">
        <v>151</v>
      </c>
      <c r="BG593">
        <v>78</v>
      </c>
      <c r="BI593">
        <v>68</v>
      </c>
      <c r="BL593">
        <v>29.333300000000001</v>
      </c>
      <c r="CK593">
        <v>2</v>
      </c>
      <c r="CL593" t="s">
        <v>4</v>
      </c>
      <c r="CM593" t="s">
        <v>98</v>
      </c>
      <c r="CN593" t="s">
        <v>98</v>
      </c>
      <c r="CO593" t="s">
        <v>99</v>
      </c>
      <c r="CP593">
        <v>34</v>
      </c>
      <c r="CQ593" t="s">
        <v>100</v>
      </c>
      <c r="CR593" t="s">
        <v>100</v>
      </c>
      <c r="CS593" t="s">
        <v>101</v>
      </c>
      <c r="CT593" t="s">
        <v>100</v>
      </c>
      <c r="CU593" t="s">
        <v>102</v>
      </c>
      <c r="CV593" t="s">
        <v>100</v>
      </c>
    </row>
    <row r="594" spans="1:100">
      <c r="A594" s="3" t="s">
        <v>400</v>
      </c>
      <c r="B594" s="4" t="s">
        <v>401</v>
      </c>
      <c r="C594">
        <v>1617.9443878070199</v>
      </c>
      <c r="D594">
        <v>382.17302217423298</v>
      </c>
      <c r="E594">
        <v>2.0805008574064399</v>
      </c>
      <c r="F594" s="5">
        <v>1.1431103979184899E-17</v>
      </c>
      <c r="G594" t="s">
        <v>4</v>
      </c>
      <c r="H594">
        <v>1617.9443878070199</v>
      </c>
      <c r="I594">
        <v>260.53277799190602</v>
      </c>
      <c r="J594">
        <v>2.6286176867959901</v>
      </c>
      <c r="K594" s="5">
        <v>1.86034201633969E-27</v>
      </c>
      <c r="L594" t="s">
        <v>4</v>
      </c>
      <c r="M594">
        <v>382.17302217423298</v>
      </c>
      <c r="N594">
        <v>260.53277799190602</v>
      </c>
      <c r="O594">
        <v>0.54811682938954998</v>
      </c>
      <c r="P594">
        <v>3.85815377988806E-2</v>
      </c>
      <c r="Q594" t="s">
        <v>4</v>
      </c>
      <c r="R594" s="4" t="s">
        <v>87</v>
      </c>
      <c r="S594" t="s">
        <v>4</v>
      </c>
      <c r="T594" t="s">
        <v>402</v>
      </c>
      <c r="U594" t="s">
        <v>403</v>
      </c>
      <c r="V594" t="s">
        <v>404</v>
      </c>
      <c r="W594" t="s">
        <v>203</v>
      </c>
      <c r="X594" t="s">
        <v>4</v>
      </c>
      <c r="Y594" t="s">
        <v>405</v>
      </c>
      <c r="Z594" t="s">
        <v>406</v>
      </c>
      <c r="AA594" t="s">
        <v>407</v>
      </c>
      <c r="AB594" t="s">
        <v>4</v>
      </c>
      <c r="AC594" s="3" t="s">
        <v>408</v>
      </c>
      <c r="AD594" t="s">
        <v>4</v>
      </c>
      <c r="AE594" t="s">
        <v>409</v>
      </c>
      <c r="AF594" t="s">
        <v>410</v>
      </c>
      <c r="AG594" t="s">
        <v>411</v>
      </c>
      <c r="AH594" t="s">
        <v>112</v>
      </c>
      <c r="AU594" t="s">
        <v>112</v>
      </c>
      <c r="AV594" t="s">
        <v>412</v>
      </c>
      <c r="AW594" t="s">
        <v>114</v>
      </c>
      <c r="AX594" t="s">
        <v>132</v>
      </c>
      <c r="AY594" t="s">
        <v>281</v>
      </c>
      <c r="AZ594" t="s">
        <v>4</v>
      </c>
      <c r="BA594" s="3" t="s">
        <v>95</v>
      </c>
      <c r="BB594" s="6" t="s">
        <v>95</v>
      </c>
      <c r="BC594" s="3" t="s">
        <v>95</v>
      </c>
      <c r="BD594" t="s">
        <v>4</v>
      </c>
      <c r="BE594">
        <v>5762</v>
      </c>
      <c r="BF594" t="s">
        <v>386</v>
      </c>
      <c r="BG594">
        <v>26.763100000000001</v>
      </c>
      <c r="BH594">
        <v>99.638300000000001</v>
      </c>
      <c r="BI594">
        <v>94.032499999999999</v>
      </c>
      <c r="BJ594">
        <v>79.023499999999999</v>
      </c>
      <c r="BK594">
        <v>74.864400000000003</v>
      </c>
      <c r="BM594">
        <v>75.768500000000003</v>
      </c>
      <c r="BN594">
        <v>78.661799999999999</v>
      </c>
      <c r="BO594">
        <v>76.130200000000002</v>
      </c>
      <c r="BS594">
        <v>25.316500000000001</v>
      </c>
      <c r="BX594">
        <v>25.1356</v>
      </c>
      <c r="CB594">
        <v>7.4141000000000004</v>
      </c>
      <c r="CC594" t="s">
        <v>413</v>
      </c>
      <c r="CD594" t="s">
        <v>414</v>
      </c>
      <c r="CE594">
        <v>16.998200000000001</v>
      </c>
      <c r="CF594">
        <v>18.444800000000001</v>
      </c>
      <c r="CK594">
        <v>7</v>
      </c>
      <c r="CL594" t="s">
        <v>4</v>
      </c>
      <c r="CM594" t="s">
        <v>98</v>
      </c>
      <c r="CN594" t="s">
        <v>98</v>
      </c>
      <c r="CO594" t="s">
        <v>99</v>
      </c>
      <c r="CP594">
        <v>35</v>
      </c>
      <c r="CQ594" t="s">
        <v>100</v>
      </c>
      <c r="CR594" t="s">
        <v>100</v>
      </c>
      <c r="CS594" t="s">
        <v>101</v>
      </c>
      <c r="CT594" t="s">
        <v>100</v>
      </c>
      <c r="CU594" t="s">
        <v>102</v>
      </c>
      <c r="CV594" t="s">
        <v>100</v>
      </c>
    </row>
    <row r="595" spans="1:100">
      <c r="A595" s="3" t="s">
        <v>415</v>
      </c>
      <c r="B595" s="4" t="s">
        <v>416</v>
      </c>
      <c r="C595">
        <v>3529.0468016187201</v>
      </c>
      <c r="D595">
        <v>776.516025477374</v>
      </c>
      <c r="E595">
        <v>2.1840914162631599</v>
      </c>
      <c r="F595" s="5">
        <v>2.0394282346863099E-9</v>
      </c>
      <c r="G595" t="s">
        <v>4</v>
      </c>
      <c r="H595">
        <v>3529.0468016187201</v>
      </c>
      <c r="I595">
        <v>136.25307915526801</v>
      </c>
      <c r="J595">
        <v>4.6783891573612699</v>
      </c>
      <c r="K595" s="5">
        <v>5.2870286448331E-39</v>
      </c>
      <c r="L595" t="s">
        <v>4</v>
      </c>
      <c r="M595">
        <v>776.516025477374</v>
      </c>
      <c r="N595">
        <v>136.25307915526801</v>
      </c>
      <c r="O595">
        <v>2.49429774109811</v>
      </c>
      <c r="P595" s="5">
        <v>7.3932348496096301E-12</v>
      </c>
      <c r="Q595" t="s">
        <v>4</v>
      </c>
      <c r="R595" s="4" t="s">
        <v>87</v>
      </c>
      <c r="S595" t="s">
        <v>4</v>
      </c>
      <c r="T595" t="s">
        <v>92</v>
      </c>
      <c r="U595" t="s">
        <v>92</v>
      </c>
      <c r="V595" t="s">
        <v>92</v>
      </c>
      <c r="W595" t="s">
        <v>92</v>
      </c>
      <c r="X595" t="s">
        <v>4</v>
      </c>
      <c r="Y595" t="s">
        <v>92</v>
      </c>
      <c r="Z595" t="s">
        <v>92</v>
      </c>
      <c r="AA595" t="s">
        <v>92</v>
      </c>
      <c r="AB595" t="s">
        <v>4</v>
      </c>
      <c r="AC595" s="3" t="s">
        <v>93</v>
      </c>
      <c r="AD595" t="s">
        <v>4</v>
      </c>
      <c r="AE595" s="4" t="s">
        <v>94</v>
      </c>
      <c r="AZ595" t="s">
        <v>4</v>
      </c>
      <c r="BA595" s="3" t="s">
        <v>95</v>
      </c>
      <c r="BB595" s="6" t="s">
        <v>95</v>
      </c>
      <c r="BC595" s="3" t="s">
        <v>95</v>
      </c>
      <c r="BD595" t="s">
        <v>4</v>
      </c>
      <c r="BE595">
        <v>1451</v>
      </c>
      <c r="BF595" t="s">
        <v>151</v>
      </c>
      <c r="BG595">
        <v>91.078100000000006</v>
      </c>
      <c r="BH595">
        <v>95.539000000000001</v>
      </c>
      <c r="BI595">
        <v>85.130099999999999</v>
      </c>
      <c r="BJ595" t="s">
        <v>417</v>
      </c>
      <c r="BL595">
        <v>23.420100000000001</v>
      </c>
      <c r="BM595">
        <v>37.918199999999999</v>
      </c>
      <c r="BN595">
        <v>39.033499999999997</v>
      </c>
      <c r="BO595">
        <v>38.29</v>
      </c>
      <c r="CK595">
        <v>2</v>
      </c>
      <c r="CL595" t="s">
        <v>4</v>
      </c>
      <c r="CM595" t="s">
        <v>98</v>
      </c>
      <c r="CN595" t="s">
        <v>98</v>
      </c>
      <c r="CO595" t="s">
        <v>99</v>
      </c>
      <c r="CP595">
        <v>36</v>
      </c>
      <c r="CQ595" t="s">
        <v>100</v>
      </c>
      <c r="CR595" t="s">
        <v>100</v>
      </c>
      <c r="CS595" t="s">
        <v>101</v>
      </c>
      <c r="CT595" t="s">
        <v>152</v>
      </c>
      <c r="CU595" t="s">
        <v>102</v>
      </c>
      <c r="CV595" t="s">
        <v>100</v>
      </c>
    </row>
    <row r="596" spans="1:100">
      <c r="A596" s="3" t="s">
        <v>418</v>
      </c>
      <c r="B596" s="4" t="s">
        <v>419</v>
      </c>
      <c r="C596">
        <v>46.424908364657497</v>
      </c>
      <c r="D596">
        <v>9.0714335230087002</v>
      </c>
      <c r="E596">
        <v>2.36678673363848</v>
      </c>
      <c r="F596">
        <v>2.1217739720238299E-3</v>
      </c>
      <c r="G596" t="s">
        <v>4</v>
      </c>
      <c r="H596">
        <v>46.424908364657497</v>
      </c>
      <c r="I596">
        <v>2.6093719344244999</v>
      </c>
      <c r="J596">
        <v>4.1006331287870204</v>
      </c>
      <c r="K596" s="5">
        <v>1.00421341616029E-5</v>
      </c>
      <c r="L596" t="s">
        <v>4</v>
      </c>
      <c r="M596">
        <v>9.0714335230087002</v>
      </c>
      <c r="N596">
        <v>2.6093719344244999</v>
      </c>
      <c r="O596">
        <v>1.7338463951485299</v>
      </c>
      <c r="P596">
        <v>8.9530974004926198E-2</v>
      </c>
      <c r="Q596" t="s">
        <v>4</v>
      </c>
      <c r="R596" s="4" t="s">
        <v>87</v>
      </c>
      <c r="S596" t="s">
        <v>4</v>
      </c>
      <c r="T596" t="s">
        <v>420</v>
      </c>
      <c r="U596" t="s">
        <v>421</v>
      </c>
      <c r="V596" t="s">
        <v>422</v>
      </c>
      <c r="W596" t="s">
        <v>91</v>
      </c>
      <c r="X596" t="s">
        <v>4</v>
      </c>
      <c r="Y596" t="s">
        <v>423</v>
      </c>
      <c r="Z596" t="s">
        <v>424</v>
      </c>
      <c r="AA596" t="s">
        <v>425</v>
      </c>
      <c r="AB596" t="s">
        <v>4</v>
      </c>
      <c r="AC596" s="3" t="s">
        <v>426</v>
      </c>
      <c r="AD596" t="s">
        <v>4</v>
      </c>
      <c r="AE596" t="s">
        <v>427</v>
      </c>
      <c r="AF596" t="s">
        <v>428</v>
      </c>
      <c r="AG596" t="s">
        <v>429</v>
      </c>
      <c r="AH596" t="s">
        <v>112</v>
      </c>
      <c r="AU596" t="s">
        <v>112</v>
      </c>
      <c r="AV596" t="s">
        <v>430</v>
      </c>
      <c r="AW596" t="s">
        <v>114</v>
      </c>
      <c r="AX596" t="s">
        <v>144</v>
      </c>
      <c r="AY596" t="s">
        <v>431</v>
      </c>
      <c r="AZ596" t="s">
        <v>4</v>
      </c>
      <c r="BA596" s="3" t="s">
        <v>95</v>
      </c>
      <c r="BB596" t="s">
        <v>96</v>
      </c>
      <c r="BC596" s="3" t="s">
        <v>95</v>
      </c>
      <c r="BD596" t="s">
        <v>4</v>
      </c>
      <c r="BE596">
        <v>1452</v>
      </c>
      <c r="BF596" t="s">
        <v>151</v>
      </c>
      <c r="BG596">
        <v>95.483900000000006</v>
      </c>
      <c r="BH596">
        <v>94.838700000000003</v>
      </c>
      <c r="BI596">
        <v>88.387100000000004</v>
      </c>
      <c r="BN596" t="s">
        <v>432</v>
      </c>
      <c r="BO596" t="s">
        <v>433</v>
      </c>
      <c r="CK596">
        <v>2</v>
      </c>
      <c r="CL596" t="s">
        <v>4</v>
      </c>
      <c r="CM596" t="s">
        <v>98</v>
      </c>
      <c r="CN596" t="s">
        <v>98</v>
      </c>
      <c r="CO596" t="s">
        <v>99</v>
      </c>
      <c r="CP596">
        <v>37</v>
      </c>
      <c r="CQ596" t="s">
        <v>100</v>
      </c>
      <c r="CR596" t="s">
        <v>100</v>
      </c>
      <c r="CS596" t="s">
        <v>101</v>
      </c>
      <c r="CT596" t="s">
        <v>100</v>
      </c>
      <c r="CU596" t="s">
        <v>102</v>
      </c>
      <c r="CV596" t="s">
        <v>100</v>
      </c>
    </row>
    <row r="597" spans="1:100">
      <c r="A597" s="3" t="s">
        <v>434</v>
      </c>
      <c r="B597" s="4" t="s">
        <v>435</v>
      </c>
      <c r="C597">
        <v>1059.5789783989101</v>
      </c>
      <c r="D597">
        <v>39.911009821232703</v>
      </c>
      <c r="E597">
        <v>4.7368455858622198</v>
      </c>
      <c r="F597" s="5">
        <v>7.89304142794003E-61</v>
      </c>
      <c r="G597" t="s">
        <v>4</v>
      </c>
      <c r="H597">
        <v>1059.5789783989101</v>
      </c>
      <c r="I597">
        <v>19.022732418758501</v>
      </c>
      <c r="J597">
        <v>5.81900118542492</v>
      </c>
      <c r="K597" s="5">
        <v>5.1619016631593896E-65</v>
      </c>
      <c r="L597" t="s">
        <v>4</v>
      </c>
      <c r="M597">
        <v>39.911009821232703</v>
      </c>
      <c r="N597">
        <v>19.022732418758501</v>
      </c>
      <c r="O597">
        <v>1.0821555995626999</v>
      </c>
      <c r="P597">
        <v>5.3736133535858604E-3</v>
      </c>
      <c r="Q597" t="s">
        <v>4</v>
      </c>
      <c r="R597" s="4" t="s">
        <v>87</v>
      </c>
      <c r="S597" t="s">
        <v>4</v>
      </c>
      <c r="T597" t="s">
        <v>92</v>
      </c>
      <c r="U597" t="s">
        <v>92</v>
      </c>
      <c r="V597" t="s">
        <v>92</v>
      </c>
      <c r="W597" t="s">
        <v>92</v>
      </c>
      <c r="X597" t="s">
        <v>4</v>
      </c>
      <c r="Y597" t="s">
        <v>92</v>
      </c>
      <c r="Z597" t="s">
        <v>92</v>
      </c>
      <c r="AA597" t="s">
        <v>92</v>
      </c>
      <c r="AB597" t="s">
        <v>4</v>
      </c>
      <c r="AC597" s="3" t="s">
        <v>93</v>
      </c>
      <c r="AD597" t="s">
        <v>4</v>
      </c>
      <c r="AE597" s="4" t="s">
        <v>94</v>
      </c>
      <c r="AZ597" t="s">
        <v>4</v>
      </c>
      <c r="BA597" s="3" t="s">
        <v>95</v>
      </c>
      <c r="BB597" s="6" t="s">
        <v>95</v>
      </c>
      <c r="BC597" s="3" t="s">
        <v>95</v>
      </c>
      <c r="BD597" t="s">
        <v>4</v>
      </c>
      <c r="BE597">
        <v>1456</v>
      </c>
      <c r="BF597" t="s">
        <v>151</v>
      </c>
      <c r="BG597">
        <v>97.058800000000005</v>
      </c>
      <c r="BH597">
        <v>100</v>
      </c>
      <c r="CK597">
        <v>2</v>
      </c>
      <c r="CL597" t="s">
        <v>4</v>
      </c>
      <c r="CM597" t="s">
        <v>98</v>
      </c>
      <c r="CN597" t="s">
        <v>98</v>
      </c>
      <c r="CO597" t="s">
        <v>99</v>
      </c>
      <c r="CP597">
        <v>38</v>
      </c>
      <c r="CQ597" t="s">
        <v>100</v>
      </c>
      <c r="CR597" t="s">
        <v>100</v>
      </c>
      <c r="CS597" t="s">
        <v>101</v>
      </c>
      <c r="CT597" s="7" t="s">
        <v>152</v>
      </c>
      <c r="CU597" t="s">
        <v>102</v>
      </c>
      <c r="CV597" t="s">
        <v>100</v>
      </c>
    </row>
    <row r="598" spans="1:100">
      <c r="A598" s="3" t="s">
        <v>436</v>
      </c>
      <c r="B598" s="4" t="s">
        <v>437</v>
      </c>
      <c r="C598">
        <v>116.113167691852</v>
      </c>
      <c r="D598">
        <v>19.438503494808302</v>
      </c>
      <c r="E598">
        <v>2.5758257806910598</v>
      </c>
      <c r="F598" s="5">
        <v>9.2561855141181299E-6</v>
      </c>
      <c r="G598" t="s">
        <v>4</v>
      </c>
      <c r="H598">
        <v>116.113167691852</v>
      </c>
      <c r="I598">
        <v>19.339616340455901</v>
      </c>
      <c r="J598">
        <v>2.52971933434636</v>
      </c>
      <c r="K598" s="5">
        <v>1.50005742549746E-5</v>
      </c>
      <c r="L598" t="s">
        <v>4</v>
      </c>
      <c r="M598">
        <v>19.438503494808302</v>
      </c>
      <c r="N598">
        <v>19.339616340455901</v>
      </c>
      <c r="O598">
        <f>0.0461064463446921</f>
        <v>4.6106446344692097E-2</v>
      </c>
      <c r="P598">
        <v>0.95525443981340996</v>
      </c>
      <c r="Q598" t="s">
        <v>4</v>
      </c>
      <c r="R598" s="4" t="s">
        <v>87</v>
      </c>
      <c r="S598" t="s">
        <v>4</v>
      </c>
      <c r="T598" t="s">
        <v>92</v>
      </c>
      <c r="U598" t="s">
        <v>92</v>
      </c>
      <c r="V598" t="s">
        <v>92</v>
      </c>
      <c r="W598" t="s">
        <v>92</v>
      </c>
      <c r="X598" t="s">
        <v>4</v>
      </c>
      <c r="Y598" t="s">
        <v>92</v>
      </c>
      <c r="Z598" t="s">
        <v>92</v>
      </c>
      <c r="AA598" t="s">
        <v>92</v>
      </c>
      <c r="AB598" t="s">
        <v>4</v>
      </c>
      <c r="AC598" s="3" t="s">
        <v>93</v>
      </c>
      <c r="AD598" t="s">
        <v>4</v>
      </c>
      <c r="AE598" s="4" t="s">
        <v>94</v>
      </c>
      <c r="AZ598" t="s">
        <v>4</v>
      </c>
      <c r="BA598" s="3" t="s">
        <v>95</v>
      </c>
      <c r="BB598" s="6" t="s">
        <v>95</v>
      </c>
      <c r="BC598" s="3" t="s">
        <v>95</v>
      </c>
      <c r="BD598" t="s">
        <v>4</v>
      </c>
      <c r="BE598">
        <v>1074</v>
      </c>
      <c r="BF598" t="s">
        <v>151</v>
      </c>
      <c r="BJ598">
        <v>59.223300000000002</v>
      </c>
      <c r="BM598">
        <v>30.097100000000001</v>
      </c>
      <c r="BO598">
        <v>47.572800000000001</v>
      </c>
      <c r="CK598">
        <v>2</v>
      </c>
      <c r="CL598" t="s">
        <v>4</v>
      </c>
      <c r="CM598" t="s">
        <v>98</v>
      </c>
      <c r="CN598" t="s">
        <v>98</v>
      </c>
      <c r="CO598" t="s">
        <v>99</v>
      </c>
      <c r="CP598">
        <v>39</v>
      </c>
      <c r="CQ598" t="s">
        <v>100</v>
      </c>
      <c r="CR598" t="s">
        <v>100</v>
      </c>
      <c r="CS598" t="s">
        <v>101</v>
      </c>
      <c r="CT598" t="s">
        <v>100</v>
      </c>
      <c r="CU598" t="s">
        <v>102</v>
      </c>
      <c r="CV598" t="s">
        <v>100</v>
      </c>
    </row>
    <row r="599" spans="1:100">
      <c r="A599" s="3" t="s">
        <v>438</v>
      </c>
      <c r="B599" s="4" t="s">
        <v>439</v>
      </c>
      <c r="C599">
        <v>32.727220602768497</v>
      </c>
      <c r="D599">
        <v>3.01172176417704</v>
      </c>
      <c r="E599">
        <v>3.4803404047236102</v>
      </c>
      <c r="F599">
        <v>6.9774016214909696E-4</v>
      </c>
      <c r="G599" t="s">
        <v>4</v>
      </c>
      <c r="H599">
        <v>32.727220602768497</v>
      </c>
      <c r="I599">
        <v>2.4252098222896601</v>
      </c>
      <c r="J599">
        <v>3.8004721532357899</v>
      </c>
      <c r="K599">
        <v>5.7636965565147297E-4</v>
      </c>
      <c r="L599" t="s">
        <v>4</v>
      </c>
      <c r="M599">
        <v>3.01172176417704</v>
      </c>
      <c r="N599">
        <v>2.4252098222896601</v>
      </c>
      <c r="O599">
        <v>0.32013174851218801</v>
      </c>
      <c r="P599">
        <v>0.83452456231717997</v>
      </c>
      <c r="Q599" t="s">
        <v>4</v>
      </c>
      <c r="R599" s="4" t="s">
        <v>87</v>
      </c>
      <c r="S599" t="s">
        <v>4</v>
      </c>
      <c r="T599" t="s">
        <v>88</v>
      </c>
      <c r="U599" t="s">
        <v>89</v>
      </c>
      <c r="V599" t="s">
        <v>90</v>
      </c>
      <c r="W599" t="s">
        <v>91</v>
      </c>
      <c r="X599" t="s">
        <v>4</v>
      </c>
      <c r="Y599" t="s">
        <v>92</v>
      </c>
      <c r="Z599" t="s">
        <v>92</v>
      </c>
      <c r="AA599" t="s">
        <v>92</v>
      </c>
      <c r="AB599" t="s">
        <v>4</v>
      </c>
      <c r="AC599" s="3" t="s">
        <v>93</v>
      </c>
      <c r="AD599" t="s">
        <v>4</v>
      </c>
      <c r="AE599" s="4" t="s">
        <v>94</v>
      </c>
      <c r="AZ599" t="s">
        <v>4</v>
      </c>
      <c r="BA599" s="3" t="s">
        <v>95</v>
      </c>
      <c r="BB599" t="s">
        <v>96</v>
      </c>
      <c r="BC599" s="3" t="s">
        <v>95</v>
      </c>
      <c r="BD599" t="s">
        <v>4</v>
      </c>
      <c r="BE599">
        <v>1085</v>
      </c>
      <c r="BF599" t="s">
        <v>151</v>
      </c>
      <c r="BG599">
        <v>88.953500000000005</v>
      </c>
      <c r="BI599">
        <v>54.069800000000001</v>
      </c>
      <c r="BJ599">
        <v>67.441900000000004</v>
      </c>
      <c r="BL599">
        <v>59.302300000000002</v>
      </c>
      <c r="BM599" t="s">
        <v>440</v>
      </c>
      <c r="BN599" t="s">
        <v>441</v>
      </c>
      <c r="BO599" t="s">
        <v>442</v>
      </c>
      <c r="CK599">
        <v>2</v>
      </c>
      <c r="CL599" t="s">
        <v>4</v>
      </c>
      <c r="CM599" t="s">
        <v>98</v>
      </c>
      <c r="CN599" t="s">
        <v>98</v>
      </c>
      <c r="CO599" t="s">
        <v>99</v>
      </c>
      <c r="CP599">
        <v>40</v>
      </c>
      <c r="CQ599" t="s">
        <v>100</v>
      </c>
      <c r="CR599" t="s">
        <v>100</v>
      </c>
      <c r="CS599" t="s">
        <v>101</v>
      </c>
      <c r="CT599" t="s">
        <v>100</v>
      </c>
      <c r="CU599" t="s">
        <v>102</v>
      </c>
      <c r="CV599" t="s">
        <v>100</v>
      </c>
    </row>
    <row r="600" spans="1:100">
      <c r="A600" s="3" t="s">
        <v>443</v>
      </c>
      <c r="B600" s="4" t="s">
        <v>444</v>
      </c>
      <c r="C600">
        <v>86.830574357169198</v>
      </c>
      <c r="D600">
        <v>14.591468118820201</v>
      </c>
      <c r="E600">
        <v>2.5829391741677101</v>
      </c>
      <c r="F600">
        <v>1.84482206993608E-3</v>
      </c>
      <c r="G600" t="s">
        <v>4</v>
      </c>
      <c r="H600">
        <v>86.830574357169198</v>
      </c>
      <c r="I600">
        <v>15.358922181554799</v>
      </c>
      <c r="J600">
        <v>2.52224321928218</v>
      </c>
      <c r="K600">
        <v>2.1672129572509699E-3</v>
      </c>
      <c r="L600" t="s">
        <v>4</v>
      </c>
      <c r="M600">
        <v>14.591468118820201</v>
      </c>
      <c r="N600">
        <v>15.358922181554799</v>
      </c>
      <c r="O600">
        <f>0.0606959548855323</f>
        <v>6.0695954885532297E-2</v>
      </c>
      <c r="P600">
        <v>0.95694608701559503</v>
      </c>
      <c r="Q600" t="s">
        <v>4</v>
      </c>
      <c r="R600" s="4" t="s">
        <v>87</v>
      </c>
      <c r="S600" t="s">
        <v>4</v>
      </c>
      <c r="T600" t="s">
        <v>445</v>
      </c>
      <c r="U600" t="s">
        <v>446</v>
      </c>
      <c r="V600" t="s">
        <v>447</v>
      </c>
      <c r="W600" t="s">
        <v>91</v>
      </c>
      <c r="X600" t="s">
        <v>4</v>
      </c>
      <c r="Y600" t="s">
        <v>448</v>
      </c>
      <c r="Z600" t="s">
        <v>449</v>
      </c>
      <c r="AA600" t="s">
        <v>450</v>
      </c>
      <c r="AB600" t="s">
        <v>4</v>
      </c>
      <c r="AC600" s="3" t="s">
        <v>451</v>
      </c>
      <c r="AD600" t="s">
        <v>4</v>
      </c>
      <c r="AE600" t="s">
        <v>452</v>
      </c>
      <c r="AF600" t="s">
        <v>453</v>
      </c>
      <c r="AG600" t="s">
        <v>454</v>
      </c>
      <c r="AH600" t="s">
        <v>112</v>
      </c>
      <c r="AU600" t="s">
        <v>112</v>
      </c>
      <c r="AV600" t="s">
        <v>455</v>
      </c>
      <c r="AW600" t="s">
        <v>114</v>
      </c>
      <c r="AX600" t="s">
        <v>144</v>
      </c>
      <c r="AY600" t="s">
        <v>456</v>
      </c>
      <c r="AZ600" t="s">
        <v>4</v>
      </c>
      <c r="BA600" s="3" t="s">
        <v>115</v>
      </c>
      <c r="BB600" t="s">
        <v>96</v>
      </c>
      <c r="BC600" s="3" t="s">
        <v>95</v>
      </c>
      <c r="BD600" t="s">
        <v>4</v>
      </c>
      <c r="BE600">
        <v>4556</v>
      </c>
      <c r="BF600" t="s">
        <v>112</v>
      </c>
      <c r="BH600">
        <v>87.648499999999999</v>
      </c>
      <c r="BJ600">
        <v>38.0047</v>
      </c>
      <c r="BK600">
        <v>55.819499999999998</v>
      </c>
      <c r="BM600">
        <v>34.441800000000001</v>
      </c>
      <c r="BN600">
        <v>35.3919</v>
      </c>
      <c r="BO600">
        <v>40.8551</v>
      </c>
      <c r="BR600" t="s">
        <v>457</v>
      </c>
      <c r="BS600">
        <v>27.5534</v>
      </c>
      <c r="CK600">
        <v>5</v>
      </c>
      <c r="CL600" t="s">
        <v>4</v>
      </c>
      <c r="CM600" t="s">
        <v>98</v>
      </c>
      <c r="CN600" t="s">
        <v>98</v>
      </c>
      <c r="CO600" t="s">
        <v>99</v>
      </c>
      <c r="CP600">
        <v>41</v>
      </c>
      <c r="CQ600" t="s">
        <v>100</v>
      </c>
      <c r="CR600" t="s">
        <v>100</v>
      </c>
      <c r="CS600" t="s">
        <v>101</v>
      </c>
      <c r="CT600" t="s">
        <v>100</v>
      </c>
      <c r="CU600" t="s">
        <v>102</v>
      </c>
      <c r="CV600" t="s">
        <v>100</v>
      </c>
    </row>
    <row r="601" spans="1:100">
      <c r="A601" s="3" t="s">
        <v>458</v>
      </c>
      <c r="B601" s="4" t="s">
        <v>459</v>
      </c>
      <c r="C601">
        <v>89.102060860546203</v>
      </c>
      <c r="D601">
        <v>13.5277037066829</v>
      </c>
      <c r="E601">
        <v>2.7244593856682702</v>
      </c>
      <c r="F601">
        <v>8.2020101694509301E-4</v>
      </c>
      <c r="G601" t="s">
        <v>4</v>
      </c>
      <c r="H601">
        <v>89.102060860546203</v>
      </c>
      <c r="I601">
        <v>20.4908959619809</v>
      </c>
      <c r="J601">
        <v>2.1383390454511302</v>
      </c>
      <c r="K601">
        <v>7.7022602652145403E-3</v>
      </c>
      <c r="L601" t="s">
        <v>4</v>
      </c>
      <c r="M601">
        <v>13.5277037066829</v>
      </c>
      <c r="N601">
        <v>20.4908959619809</v>
      </c>
      <c r="O601">
        <f>0.586120340217132</f>
        <v>0.586120340217132</v>
      </c>
      <c r="P601">
        <v>0.53436015225010602</v>
      </c>
      <c r="Q601" t="s">
        <v>4</v>
      </c>
      <c r="R601" s="4" t="s">
        <v>87</v>
      </c>
      <c r="S601" t="s">
        <v>4</v>
      </c>
      <c r="T601" t="s">
        <v>460</v>
      </c>
      <c r="U601" t="s">
        <v>461</v>
      </c>
      <c r="V601" t="s">
        <v>462</v>
      </c>
      <c r="W601" t="s">
        <v>123</v>
      </c>
      <c r="X601" t="s">
        <v>4</v>
      </c>
      <c r="Y601" t="s">
        <v>463</v>
      </c>
      <c r="Z601" t="s">
        <v>464</v>
      </c>
      <c r="AA601" t="s">
        <v>465</v>
      </c>
      <c r="AB601" t="s">
        <v>4</v>
      </c>
      <c r="AC601" s="3" t="s">
        <v>466</v>
      </c>
      <c r="AD601" t="s">
        <v>4</v>
      </c>
      <c r="AE601" t="s">
        <v>467</v>
      </c>
      <c r="AF601" t="s">
        <v>468</v>
      </c>
      <c r="AG601" t="s">
        <v>469</v>
      </c>
      <c r="AH601" t="s">
        <v>169</v>
      </c>
      <c r="AU601" t="s">
        <v>112</v>
      </c>
      <c r="AV601" t="s">
        <v>470</v>
      </c>
      <c r="AW601" t="s">
        <v>114</v>
      </c>
      <c r="AX601" t="s">
        <v>144</v>
      </c>
      <c r="AY601" t="s">
        <v>471</v>
      </c>
      <c r="AZ601" t="s">
        <v>4</v>
      </c>
      <c r="BA601" s="3" t="s">
        <v>95</v>
      </c>
      <c r="BB601" s="6" t="s">
        <v>95</v>
      </c>
      <c r="BC601" s="3" t="s">
        <v>197</v>
      </c>
      <c r="BD601" t="s">
        <v>4</v>
      </c>
      <c r="BE601">
        <v>8226</v>
      </c>
      <c r="BF601" t="s">
        <v>213</v>
      </c>
      <c r="BI601">
        <v>29.1221</v>
      </c>
      <c r="BP601">
        <v>10.2784</v>
      </c>
      <c r="BQ601">
        <v>6.6381199999999998</v>
      </c>
      <c r="BR601">
        <v>9.2077100000000005</v>
      </c>
      <c r="BS601">
        <v>13.276199999999999</v>
      </c>
      <c r="BW601">
        <v>14.1328</v>
      </c>
      <c r="BX601">
        <v>13.9186</v>
      </c>
      <c r="BZ601">
        <v>11.7773</v>
      </c>
      <c r="CB601">
        <v>8.7794399999999992</v>
      </c>
      <c r="CE601">
        <v>12.633800000000001</v>
      </c>
      <c r="CF601" t="s">
        <v>472</v>
      </c>
      <c r="CG601" t="s">
        <v>473</v>
      </c>
      <c r="CH601" t="s">
        <v>474</v>
      </c>
      <c r="CI601">
        <v>13.062099999999999</v>
      </c>
      <c r="CK601">
        <v>8</v>
      </c>
      <c r="CL601" t="s">
        <v>4</v>
      </c>
      <c r="CM601" t="s">
        <v>98</v>
      </c>
      <c r="CN601" t="s">
        <v>98</v>
      </c>
      <c r="CO601" t="s">
        <v>99</v>
      </c>
      <c r="CP601">
        <v>42</v>
      </c>
      <c r="CQ601" t="s">
        <v>100</v>
      </c>
      <c r="CR601" t="s">
        <v>100</v>
      </c>
      <c r="CS601" t="s">
        <v>101</v>
      </c>
      <c r="CT601" t="s">
        <v>100</v>
      </c>
      <c r="CU601" t="s">
        <v>102</v>
      </c>
      <c r="CV601" t="s">
        <v>100</v>
      </c>
    </row>
    <row r="602" spans="1:100">
      <c r="A602" s="3" t="s">
        <v>475</v>
      </c>
      <c r="B602" s="4" t="s">
        <v>476</v>
      </c>
      <c r="C602">
        <v>37.192004440831099</v>
      </c>
      <c r="D602">
        <v>5.1759612389673704</v>
      </c>
      <c r="E602">
        <v>2.85734458180176</v>
      </c>
      <c r="F602">
        <v>5.7356068357213999E-3</v>
      </c>
      <c r="G602" t="s">
        <v>4</v>
      </c>
      <c r="H602">
        <v>37.192004440831099</v>
      </c>
      <c r="I602">
        <v>4.0295677845452298</v>
      </c>
      <c r="J602">
        <v>3.2595640127660799</v>
      </c>
      <c r="K602">
        <v>2.3199080210958901E-3</v>
      </c>
      <c r="L602" t="s">
        <v>4</v>
      </c>
      <c r="M602">
        <v>5.1759612389673704</v>
      </c>
      <c r="N602">
        <v>4.0295677845452298</v>
      </c>
      <c r="O602">
        <v>0.402219430964319</v>
      </c>
      <c r="P602">
        <v>0.77155833215904601</v>
      </c>
      <c r="Q602" t="s">
        <v>4</v>
      </c>
      <c r="R602" s="4" t="s">
        <v>87</v>
      </c>
      <c r="S602" t="s">
        <v>4</v>
      </c>
      <c r="T602" t="s">
        <v>92</v>
      </c>
      <c r="U602" t="s">
        <v>92</v>
      </c>
      <c r="V602" t="s">
        <v>92</v>
      </c>
      <c r="W602" t="s">
        <v>92</v>
      </c>
      <c r="X602" t="s">
        <v>4</v>
      </c>
      <c r="Y602" t="s">
        <v>92</v>
      </c>
      <c r="Z602" t="s">
        <v>92</v>
      </c>
      <c r="AA602" t="s">
        <v>92</v>
      </c>
      <c r="AB602" t="s">
        <v>4</v>
      </c>
      <c r="AC602" s="3" t="s">
        <v>93</v>
      </c>
      <c r="AD602" t="s">
        <v>4</v>
      </c>
      <c r="AE602" t="s">
        <v>477</v>
      </c>
      <c r="AF602" t="s">
        <v>478</v>
      </c>
      <c r="AG602" t="s">
        <v>479</v>
      </c>
      <c r="AH602" t="s">
        <v>112</v>
      </c>
      <c r="AU602" t="s">
        <v>112</v>
      </c>
      <c r="AV602" t="s">
        <v>480</v>
      </c>
      <c r="AW602" t="s">
        <v>114</v>
      </c>
      <c r="AZ602" t="s">
        <v>4</v>
      </c>
      <c r="BA602" s="3" t="s">
        <v>95</v>
      </c>
      <c r="BB602" s="6" t="s">
        <v>95</v>
      </c>
      <c r="BC602" s="3" t="s">
        <v>197</v>
      </c>
      <c r="BD602" t="s">
        <v>4</v>
      </c>
      <c r="BE602">
        <v>4562</v>
      </c>
      <c r="BF602" t="s">
        <v>112</v>
      </c>
      <c r="BG602">
        <v>99.163200000000003</v>
      </c>
      <c r="BH602">
        <v>84.100399999999993</v>
      </c>
      <c r="BI602">
        <v>86.610900000000001</v>
      </c>
      <c r="BJ602">
        <v>77.405900000000003</v>
      </c>
      <c r="BK602">
        <v>68.200800000000001</v>
      </c>
      <c r="BL602">
        <v>66.108800000000002</v>
      </c>
      <c r="BM602">
        <v>69.456100000000006</v>
      </c>
      <c r="BN602">
        <v>73.640199999999993</v>
      </c>
      <c r="BO602">
        <v>66.945599999999999</v>
      </c>
      <c r="BP602">
        <v>46.025100000000002</v>
      </c>
      <c r="BQ602">
        <v>39.749000000000002</v>
      </c>
      <c r="BR602">
        <v>35.9833</v>
      </c>
      <c r="BS602">
        <v>45.188299999999998</v>
      </c>
      <c r="BT602">
        <v>41.004199999999997</v>
      </c>
      <c r="BU602">
        <v>34.728000000000002</v>
      </c>
      <c r="BV602" t="s">
        <v>481</v>
      </c>
      <c r="BW602">
        <v>41.004199999999997</v>
      </c>
      <c r="BX602">
        <v>30.543900000000001</v>
      </c>
      <c r="BY602">
        <v>32.217599999999997</v>
      </c>
      <c r="CA602">
        <v>31.799199999999999</v>
      </c>
      <c r="CK602">
        <v>5</v>
      </c>
      <c r="CL602" t="s">
        <v>4</v>
      </c>
      <c r="CM602" t="s">
        <v>482</v>
      </c>
      <c r="CN602" t="s">
        <v>483</v>
      </c>
      <c r="CO602" t="s">
        <v>99</v>
      </c>
      <c r="CP602">
        <v>43</v>
      </c>
      <c r="CQ602" t="s">
        <v>100</v>
      </c>
      <c r="CR602" t="s">
        <v>100</v>
      </c>
      <c r="CS602" t="s">
        <v>101</v>
      </c>
      <c r="CT602" t="s">
        <v>100</v>
      </c>
      <c r="CU602" t="s">
        <v>102</v>
      </c>
      <c r="CV602" t="s">
        <v>100</v>
      </c>
    </row>
    <row r="603" spans="1:100">
      <c r="A603" s="3" t="s">
        <v>484</v>
      </c>
      <c r="B603" s="4" t="s">
        <v>485</v>
      </c>
      <c r="C603">
        <v>345.812003612637</v>
      </c>
      <c r="D603">
        <v>27.761733735878</v>
      </c>
      <c r="E603">
        <v>3.6448063647781401</v>
      </c>
      <c r="F603" s="5">
        <v>5.2790001857066299E-8</v>
      </c>
      <c r="G603" t="s">
        <v>4</v>
      </c>
      <c r="H603">
        <v>345.812003612637</v>
      </c>
      <c r="I603">
        <v>16.208513836074498</v>
      </c>
      <c r="J603">
        <v>4.4719392151987298</v>
      </c>
      <c r="K603" s="5">
        <v>6.1380913584775194E-11</v>
      </c>
      <c r="L603" t="s">
        <v>4</v>
      </c>
      <c r="M603">
        <v>27.761733735878</v>
      </c>
      <c r="N603">
        <v>16.208513836074498</v>
      </c>
      <c r="O603">
        <v>0.82713285042059204</v>
      </c>
      <c r="P603">
        <v>0.29705986099980602</v>
      </c>
      <c r="Q603" t="s">
        <v>4</v>
      </c>
      <c r="R603" s="4" t="s">
        <v>87</v>
      </c>
      <c r="S603" t="s">
        <v>4</v>
      </c>
      <c r="T603" t="s">
        <v>92</v>
      </c>
      <c r="U603" t="s">
        <v>92</v>
      </c>
      <c r="V603" t="s">
        <v>92</v>
      </c>
      <c r="W603" t="s">
        <v>92</v>
      </c>
      <c r="X603" t="s">
        <v>4</v>
      </c>
      <c r="Y603" t="s">
        <v>486</v>
      </c>
      <c r="Z603" t="s">
        <v>487</v>
      </c>
      <c r="AA603" t="s">
        <v>488</v>
      </c>
      <c r="AB603" t="s">
        <v>4</v>
      </c>
      <c r="AC603" s="3" t="s">
        <v>93</v>
      </c>
      <c r="AD603" t="s">
        <v>4</v>
      </c>
      <c r="AE603" t="s">
        <v>489</v>
      </c>
      <c r="AF603" t="s">
        <v>490</v>
      </c>
      <c r="AG603" t="s">
        <v>491</v>
      </c>
      <c r="AH603" t="s">
        <v>112</v>
      </c>
      <c r="AU603" t="s">
        <v>112</v>
      </c>
      <c r="AV603" t="s">
        <v>492</v>
      </c>
      <c r="AW603" t="s">
        <v>114</v>
      </c>
      <c r="AZ603" t="s">
        <v>4</v>
      </c>
      <c r="BA603" s="3" t="s">
        <v>95</v>
      </c>
      <c r="BB603" s="6" t="s">
        <v>95</v>
      </c>
      <c r="BC603" s="3" t="s">
        <v>95</v>
      </c>
      <c r="BD603" t="s">
        <v>4</v>
      </c>
      <c r="BE603">
        <v>4563</v>
      </c>
      <c r="BF603" t="s">
        <v>112</v>
      </c>
      <c r="BG603">
        <v>79.577500000000001</v>
      </c>
      <c r="BH603">
        <v>94.835700000000003</v>
      </c>
      <c r="BI603">
        <v>87.089200000000005</v>
      </c>
      <c r="BJ603">
        <v>67.605599999999995</v>
      </c>
      <c r="BK603">
        <v>69.718299999999999</v>
      </c>
      <c r="BL603">
        <v>65.492999999999995</v>
      </c>
      <c r="BM603">
        <v>65.962400000000002</v>
      </c>
      <c r="BN603">
        <v>65.258200000000002</v>
      </c>
      <c r="BO603">
        <v>41.314599999999999</v>
      </c>
      <c r="BP603">
        <v>40.140799999999999</v>
      </c>
      <c r="BR603">
        <v>29.108000000000001</v>
      </c>
      <c r="BS603">
        <v>29.108000000000001</v>
      </c>
      <c r="BW603">
        <v>25.1174</v>
      </c>
      <c r="BX603">
        <v>26.5258</v>
      </c>
      <c r="BZ603">
        <v>25.5869</v>
      </c>
      <c r="CA603">
        <v>26.7606</v>
      </c>
      <c r="CK603">
        <v>5</v>
      </c>
      <c r="CL603" t="s">
        <v>4</v>
      </c>
      <c r="CM603" t="s">
        <v>493</v>
      </c>
      <c r="CN603" t="s">
        <v>494</v>
      </c>
      <c r="CO603" t="s">
        <v>99</v>
      </c>
      <c r="CP603">
        <v>44</v>
      </c>
      <c r="CQ603" t="s">
        <v>100</v>
      </c>
      <c r="CR603" t="s">
        <v>100</v>
      </c>
      <c r="CS603" t="s">
        <v>101</v>
      </c>
      <c r="CT603" t="s">
        <v>100</v>
      </c>
      <c r="CU603" t="s">
        <v>102</v>
      </c>
      <c r="CV603" t="s">
        <v>100</v>
      </c>
    </row>
    <row r="604" spans="1:100">
      <c r="A604" s="3" t="s">
        <v>495</v>
      </c>
      <c r="B604" s="4" t="s">
        <v>496</v>
      </c>
      <c r="C604">
        <v>31.440958224530998</v>
      </c>
      <c r="D604">
        <v>4.7399224584689499</v>
      </c>
      <c r="E604">
        <v>2.73116439530191</v>
      </c>
      <c r="F604">
        <v>2.3824728636106002E-3</v>
      </c>
      <c r="G604" t="s">
        <v>4</v>
      </c>
      <c r="H604">
        <v>31.440958224530998</v>
      </c>
      <c r="I604">
        <v>0.97370750075516699</v>
      </c>
      <c r="J604">
        <v>5.1042533751126102</v>
      </c>
      <c r="K604">
        <v>1.2891959135506601E-4</v>
      </c>
      <c r="L604" t="s">
        <v>4</v>
      </c>
      <c r="M604">
        <v>4.7399224584689499</v>
      </c>
      <c r="N604">
        <v>0.97370750075516699</v>
      </c>
      <c r="O604">
        <v>2.3730889798107002</v>
      </c>
      <c r="P604">
        <v>0.103812913524651</v>
      </c>
      <c r="Q604" t="s">
        <v>4</v>
      </c>
      <c r="R604" s="4" t="s">
        <v>87</v>
      </c>
      <c r="S604" t="s">
        <v>4</v>
      </c>
      <c r="T604" t="s">
        <v>92</v>
      </c>
      <c r="U604" t="s">
        <v>92</v>
      </c>
      <c r="V604" t="s">
        <v>92</v>
      </c>
      <c r="W604" t="s">
        <v>92</v>
      </c>
      <c r="X604" t="s">
        <v>4</v>
      </c>
      <c r="Y604" t="s">
        <v>92</v>
      </c>
      <c r="Z604" t="s">
        <v>92</v>
      </c>
      <c r="AA604" t="s">
        <v>92</v>
      </c>
      <c r="AB604" t="s">
        <v>4</v>
      </c>
      <c r="AC604" s="3" t="s">
        <v>93</v>
      </c>
      <c r="AD604" t="s">
        <v>4</v>
      </c>
      <c r="AE604" s="4" t="s">
        <v>94</v>
      </c>
      <c r="AZ604" t="s">
        <v>4</v>
      </c>
      <c r="BA604" s="3" t="s">
        <v>95</v>
      </c>
      <c r="BB604" s="6" t="s">
        <v>95</v>
      </c>
      <c r="BC604" s="3" t="s">
        <v>95</v>
      </c>
      <c r="BD604" t="s">
        <v>4</v>
      </c>
      <c r="BE604">
        <v>126</v>
      </c>
      <c r="BF604" t="s">
        <v>322</v>
      </c>
      <c r="CK604">
        <v>1</v>
      </c>
      <c r="CL604" t="s">
        <v>4</v>
      </c>
      <c r="CM604" t="s">
        <v>98</v>
      </c>
      <c r="CN604" t="s">
        <v>98</v>
      </c>
      <c r="CO604" t="s">
        <v>99</v>
      </c>
      <c r="CP604">
        <v>45</v>
      </c>
      <c r="CQ604" t="s">
        <v>100</v>
      </c>
      <c r="CR604" t="s">
        <v>100</v>
      </c>
      <c r="CS604" t="s">
        <v>101</v>
      </c>
      <c r="CT604" t="s">
        <v>100</v>
      </c>
      <c r="CU604" t="s">
        <v>102</v>
      </c>
      <c r="CV604" t="s">
        <v>100</v>
      </c>
    </row>
    <row r="605" spans="1:100">
      <c r="A605" s="3" t="s">
        <v>497</v>
      </c>
      <c r="B605" s="4" t="s">
        <v>498</v>
      </c>
      <c r="C605">
        <v>38.564617599175897</v>
      </c>
      <c r="D605">
        <v>5.4039163205853296</v>
      </c>
      <c r="E605">
        <v>2.8397063370204201</v>
      </c>
      <c r="F605">
        <v>1.37201752183638E-3</v>
      </c>
      <c r="G605" t="s">
        <v>4</v>
      </c>
      <c r="H605">
        <v>38.564617599175897</v>
      </c>
      <c r="I605">
        <v>4.0729528287566703</v>
      </c>
      <c r="J605">
        <v>3.2410277454896499</v>
      </c>
      <c r="K605">
        <v>5.3872779292328304E-4</v>
      </c>
      <c r="L605" t="s">
        <v>4</v>
      </c>
      <c r="M605">
        <v>5.4039163205853296</v>
      </c>
      <c r="N605">
        <v>4.0729528287566703</v>
      </c>
      <c r="O605">
        <v>0.40132140846923398</v>
      </c>
      <c r="P605">
        <v>0.74194008625601804</v>
      </c>
      <c r="Q605" t="s">
        <v>4</v>
      </c>
      <c r="R605" s="4" t="s">
        <v>87</v>
      </c>
      <c r="S605" t="s">
        <v>4</v>
      </c>
      <c r="T605" t="s">
        <v>92</v>
      </c>
      <c r="U605" t="s">
        <v>92</v>
      </c>
      <c r="V605" t="s">
        <v>92</v>
      </c>
      <c r="W605" t="s">
        <v>92</v>
      </c>
      <c r="X605" t="s">
        <v>4</v>
      </c>
      <c r="Y605" t="s">
        <v>92</v>
      </c>
      <c r="Z605" t="s">
        <v>92</v>
      </c>
      <c r="AA605" t="s">
        <v>92</v>
      </c>
      <c r="AB605" t="s">
        <v>4</v>
      </c>
      <c r="AC605" s="3" t="s">
        <v>93</v>
      </c>
      <c r="AD605" t="s">
        <v>4</v>
      </c>
      <c r="AE605" s="4" t="s">
        <v>94</v>
      </c>
      <c r="AZ605" t="s">
        <v>4</v>
      </c>
      <c r="BA605" s="3" t="s">
        <v>95</v>
      </c>
      <c r="BB605" s="6" t="s">
        <v>95</v>
      </c>
      <c r="BC605" s="3" t="s">
        <v>95</v>
      </c>
      <c r="BD605" t="s">
        <v>4</v>
      </c>
      <c r="BE605">
        <v>1473</v>
      </c>
      <c r="BF605" t="s">
        <v>151</v>
      </c>
      <c r="BG605" t="s">
        <v>499</v>
      </c>
      <c r="CK605">
        <v>2</v>
      </c>
      <c r="CL605" t="s">
        <v>4</v>
      </c>
      <c r="CM605" t="s">
        <v>98</v>
      </c>
      <c r="CN605" t="s">
        <v>98</v>
      </c>
      <c r="CO605" t="s">
        <v>99</v>
      </c>
      <c r="CP605">
        <v>46</v>
      </c>
      <c r="CQ605" t="s">
        <v>100</v>
      </c>
      <c r="CR605" t="s">
        <v>100</v>
      </c>
      <c r="CS605" t="s">
        <v>101</v>
      </c>
      <c r="CT605" t="s">
        <v>100</v>
      </c>
      <c r="CU605" t="s">
        <v>102</v>
      </c>
      <c r="CV605" t="s">
        <v>100</v>
      </c>
    </row>
    <row r="606" spans="1:100">
      <c r="A606" s="3" t="s">
        <v>500</v>
      </c>
      <c r="B606" s="4" t="s">
        <v>501</v>
      </c>
      <c r="C606">
        <v>101.502935370873</v>
      </c>
      <c r="D606">
        <v>18.2020387741916</v>
      </c>
      <c r="E606">
        <v>2.4838262926547001</v>
      </c>
      <c r="F606" s="5">
        <v>1.03822204243239E-6</v>
      </c>
      <c r="G606" t="s">
        <v>4</v>
      </c>
      <c r="H606">
        <v>101.502935370873</v>
      </c>
      <c r="I606">
        <v>15.514344499204</v>
      </c>
      <c r="J606">
        <v>2.6965847986067799</v>
      </c>
      <c r="K606" s="5">
        <v>2.8930876473387602E-7</v>
      </c>
      <c r="L606" t="s">
        <v>4</v>
      </c>
      <c r="M606">
        <v>18.2020387741916</v>
      </c>
      <c r="N606">
        <v>15.514344499204</v>
      </c>
      <c r="O606">
        <v>0.21275850595208001</v>
      </c>
      <c r="P606">
        <v>0.76113314638361795</v>
      </c>
      <c r="Q606" t="s">
        <v>4</v>
      </c>
      <c r="R606" s="4" t="s">
        <v>87</v>
      </c>
      <c r="S606" t="s">
        <v>4</v>
      </c>
      <c r="T606" t="s">
        <v>92</v>
      </c>
      <c r="U606" t="s">
        <v>92</v>
      </c>
      <c r="V606" t="s">
        <v>92</v>
      </c>
      <c r="W606" t="s">
        <v>92</v>
      </c>
      <c r="X606" t="s">
        <v>4</v>
      </c>
      <c r="Y606" t="s">
        <v>92</v>
      </c>
      <c r="Z606" t="s">
        <v>92</v>
      </c>
      <c r="AA606" t="s">
        <v>92</v>
      </c>
      <c r="AB606" t="s">
        <v>4</v>
      </c>
      <c r="AC606" s="3" t="s">
        <v>93</v>
      </c>
      <c r="AD606" t="s">
        <v>4</v>
      </c>
      <c r="AE606" s="4" t="s">
        <v>94</v>
      </c>
      <c r="AZ606" t="s">
        <v>4</v>
      </c>
      <c r="BA606" s="3" t="s">
        <v>95</v>
      </c>
      <c r="BB606" s="6" t="s">
        <v>95</v>
      </c>
      <c r="BC606" s="3" t="s">
        <v>95</v>
      </c>
      <c r="BD606" t="s">
        <v>4</v>
      </c>
      <c r="BE606">
        <v>1481</v>
      </c>
      <c r="BF606" t="s">
        <v>151</v>
      </c>
      <c r="BG606">
        <v>91.612899999999996</v>
      </c>
      <c r="BH606">
        <v>35.483899999999998</v>
      </c>
      <c r="BI606">
        <v>74.193600000000004</v>
      </c>
      <c r="BJ606">
        <v>38.709699999999998</v>
      </c>
      <c r="CK606">
        <v>2</v>
      </c>
      <c r="CL606" t="s">
        <v>4</v>
      </c>
      <c r="CM606" t="s">
        <v>98</v>
      </c>
      <c r="CN606" t="s">
        <v>98</v>
      </c>
      <c r="CO606" t="s">
        <v>99</v>
      </c>
      <c r="CP606">
        <v>47</v>
      </c>
      <c r="CQ606" t="s">
        <v>100</v>
      </c>
      <c r="CR606" t="s">
        <v>100</v>
      </c>
      <c r="CS606" t="s">
        <v>101</v>
      </c>
      <c r="CT606" t="s">
        <v>100</v>
      </c>
      <c r="CU606" t="s">
        <v>102</v>
      </c>
      <c r="CV606" t="s">
        <v>100</v>
      </c>
    </row>
    <row r="607" spans="1:100">
      <c r="A607" s="3" t="s">
        <v>502</v>
      </c>
      <c r="B607" s="4" t="s">
        <v>503</v>
      </c>
      <c r="C607">
        <v>48.315613647442703</v>
      </c>
      <c r="D607">
        <v>8.9518407127851596</v>
      </c>
      <c r="E607">
        <v>2.4359661179063199</v>
      </c>
      <c r="F607">
        <v>7.6719752383872996E-3</v>
      </c>
      <c r="G607" t="s">
        <v>4</v>
      </c>
      <c r="H607">
        <v>48.315613647442703</v>
      </c>
      <c r="I607">
        <v>4.36658553740115</v>
      </c>
      <c r="J607">
        <v>3.5014355530686601</v>
      </c>
      <c r="K607">
        <v>3.1153390964650402E-4</v>
      </c>
      <c r="L607" t="s">
        <v>4</v>
      </c>
      <c r="M607">
        <v>8.9518407127851596</v>
      </c>
      <c r="N607">
        <v>4.36658553740115</v>
      </c>
      <c r="O607">
        <v>1.0654694351623399</v>
      </c>
      <c r="P607">
        <v>0.338624406724083</v>
      </c>
      <c r="Q607" t="s">
        <v>4</v>
      </c>
      <c r="R607" s="4" t="s">
        <v>87</v>
      </c>
      <c r="S607" t="s">
        <v>4</v>
      </c>
      <c r="T607" t="s">
        <v>504</v>
      </c>
      <c r="U607" t="s">
        <v>505</v>
      </c>
      <c r="V607" t="s">
        <v>506</v>
      </c>
      <c r="W607" t="s">
        <v>507</v>
      </c>
      <c r="X607" t="s">
        <v>4</v>
      </c>
      <c r="Y607" t="s">
        <v>508</v>
      </c>
      <c r="Z607" t="s">
        <v>509</v>
      </c>
      <c r="AA607" t="s">
        <v>510</v>
      </c>
      <c r="AB607" t="s">
        <v>4</v>
      </c>
      <c r="AC607" s="3" t="s">
        <v>511</v>
      </c>
      <c r="AD607" t="s">
        <v>4</v>
      </c>
      <c r="AE607" s="4" t="s">
        <v>94</v>
      </c>
      <c r="AZ607" t="s">
        <v>4</v>
      </c>
      <c r="BA607" s="3" t="s">
        <v>95</v>
      </c>
      <c r="BB607" t="s">
        <v>96</v>
      </c>
      <c r="BC607" s="3" t="s">
        <v>95</v>
      </c>
      <c r="BD607" t="s">
        <v>4</v>
      </c>
      <c r="BE607">
        <v>4586</v>
      </c>
      <c r="BF607" t="s">
        <v>112</v>
      </c>
      <c r="BI607">
        <v>87.919499999999999</v>
      </c>
      <c r="BK607">
        <v>32.885899999999999</v>
      </c>
      <c r="BN607">
        <v>33.557000000000002</v>
      </c>
      <c r="BQ607">
        <v>35.234900000000003</v>
      </c>
      <c r="BW607" t="s">
        <v>512</v>
      </c>
      <c r="BX607">
        <v>26.174499999999998</v>
      </c>
      <c r="BY607">
        <v>30.2013</v>
      </c>
      <c r="BZ607">
        <v>34.563800000000001</v>
      </c>
      <c r="CA607" t="s">
        <v>513</v>
      </c>
      <c r="CK607">
        <v>5</v>
      </c>
      <c r="CL607" t="s">
        <v>4</v>
      </c>
      <c r="CM607" t="s">
        <v>514</v>
      </c>
      <c r="CN607" t="s">
        <v>515</v>
      </c>
      <c r="CO607" t="s">
        <v>516</v>
      </c>
      <c r="CP607">
        <v>48</v>
      </c>
      <c r="CQ607" t="s">
        <v>100</v>
      </c>
      <c r="CR607" t="s">
        <v>100</v>
      </c>
      <c r="CS607" t="s">
        <v>101</v>
      </c>
      <c r="CT607" t="s">
        <v>100</v>
      </c>
      <c r="CU607" t="s">
        <v>102</v>
      </c>
      <c r="CV607" t="s">
        <v>100</v>
      </c>
    </row>
    <row r="608" spans="1:100">
      <c r="A608" s="3" t="s">
        <v>517</v>
      </c>
      <c r="B608" s="4" t="s">
        <v>518</v>
      </c>
      <c r="C608">
        <v>215.66978619329601</v>
      </c>
      <c r="D608">
        <v>53.074677801163801</v>
      </c>
      <c r="E608">
        <v>2.0244059929876101</v>
      </c>
      <c r="F608">
        <v>5.20495841212394E-3</v>
      </c>
      <c r="G608" t="s">
        <v>4</v>
      </c>
      <c r="H608">
        <v>215.66978619329601</v>
      </c>
      <c r="I608">
        <v>30.023328428150101</v>
      </c>
      <c r="J608">
        <v>2.8425266120312598</v>
      </c>
      <c r="K608" s="5">
        <v>5.8659431276855898E-5</v>
      </c>
      <c r="L608" t="s">
        <v>4</v>
      </c>
      <c r="M608">
        <v>53.074677801163801</v>
      </c>
      <c r="N608">
        <v>30.023328428150101</v>
      </c>
      <c r="O608">
        <v>0.81812061904364897</v>
      </c>
      <c r="P608">
        <v>0.29940274881966</v>
      </c>
      <c r="Q608" t="s">
        <v>4</v>
      </c>
      <c r="R608" s="4" t="s">
        <v>87</v>
      </c>
      <c r="S608" t="s">
        <v>4</v>
      </c>
      <c r="T608" t="s">
        <v>92</v>
      </c>
      <c r="U608" t="s">
        <v>92</v>
      </c>
      <c r="V608" t="s">
        <v>92</v>
      </c>
      <c r="W608" t="s">
        <v>92</v>
      </c>
      <c r="X608" t="s">
        <v>4</v>
      </c>
      <c r="Y608" t="s">
        <v>92</v>
      </c>
      <c r="Z608" t="s">
        <v>92</v>
      </c>
      <c r="AA608" t="s">
        <v>92</v>
      </c>
      <c r="AB608" t="s">
        <v>4</v>
      </c>
      <c r="AC608" s="3" t="s">
        <v>93</v>
      </c>
      <c r="AD608" t="s">
        <v>4</v>
      </c>
      <c r="AE608" s="4" t="s">
        <v>94</v>
      </c>
      <c r="AZ608" t="s">
        <v>4</v>
      </c>
      <c r="BA608" s="3" t="s">
        <v>95</v>
      </c>
      <c r="BB608" s="6" t="s">
        <v>95</v>
      </c>
      <c r="BC608" s="3" t="s">
        <v>95</v>
      </c>
      <c r="BD608" t="s">
        <v>4</v>
      </c>
      <c r="BE608">
        <v>1484</v>
      </c>
      <c r="BF608" t="s">
        <v>151</v>
      </c>
      <c r="BG608">
        <v>81.998199999999997</v>
      </c>
      <c r="BH608">
        <v>41.674199999999999</v>
      </c>
      <c r="BI608">
        <v>76.5077</v>
      </c>
      <c r="BJ608">
        <v>12.421200000000001</v>
      </c>
      <c r="CK608">
        <v>2</v>
      </c>
      <c r="CL608" t="s">
        <v>4</v>
      </c>
      <c r="CM608" t="s">
        <v>98</v>
      </c>
      <c r="CN608" t="s">
        <v>98</v>
      </c>
      <c r="CO608" t="s">
        <v>99</v>
      </c>
      <c r="CP608">
        <v>49</v>
      </c>
      <c r="CQ608" t="s">
        <v>100</v>
      </c>
      <c r="CR608" t="s">
        <v>100</v>
      </c>
      <c r="CS608" t="s">
        <v>101</v>
      </c>
      <c r="CT608" t="s">
        <v>100</v>
      </c>
      <c r="CU608" t="s">
        <v>102</v>
      </c>
      <c r="CV608" t="s">
        <v>100</v>
      </c>
    </row>
    <row r="609" spans="1:100">
      <c r="A609" s="3" t="s">
        <v>519</v>
      </c>
      <c r="B609" s="4" t="s">
        <v>520</v>
      </c>
      <c r="C609">
        <v>109.50187325848199</v>
      </c>
      <c r="D609">
        <v>26.6638352872151</v>
      </c>
      <c r="E609">
        <v>2.0391070950537</v>
      </c>
      <c r="F609">
        <v>5.8059821172880503E-3</v>
      </c>
      <c r="G609" t="s">
        <v>4</v>
      </c>
      <c r="H609">
        <v>109.50187325848199</v>
      </c>
      <c r="I609">
        <v>20.253836909765099</v>
      </c>
      <c r="J609">
        <v>2.4381185294630501</v>
      </c>
      <c r="K609">
        <v>8.4525194744805696E-4</v>
      </c>
      <c r="L609" t="s">
        <v>4</v>
      </c>
      <c r="M609">
        <v>26.6638352872151</v>
      </c>
      <c r="N609">
        <v>20.253836909765099</v>
      </c>
      <c r="O609">
        <v>0.39901143440935199</v>
      </c>
      <c r="P609">
        <v>0.65045731761559</v>
      </c>
      <c r="Q609" t="s">
        <v>4</v>
      </c>
      <c r="R609" s="4" t="s">
        <v>87</v>
      </c>
      <c r="S609" t="s">
        <v>4</v>
      </c>
      <c r="T609" t="s">
        <v>92</v>
      </c>
      <c r="U609" t="s">
        <v>92</v>
      </c>
      <c r="V609" t="s">
        <v>92</v>
      </c>
      <c r="W609" t="s">
        <v>92</v>
      </c>
      <c r="X609" t="s">
        <v>4</v>
      </c>
      <c r="Y609" t="s">
        <v>92</v>
      </c>
      <c r="Z609" t="s">
        <v>92</v>
      </c>
      <c r="AA609" t="s">
        <v>92</v>
      </c>
      <c r="AB609" t="s">
        <v>4</v>
      </c>
      <c r="AC609" s="3" t="s">
        <v>93</v>
      </c>
      <c r="AD609" t="s">
        <v>4</v>
      </c>
      <c r="AE609" s="4" t="s">
        <v>94</v>
      </c>
      <c r="AZ609" t="s">
        <v>4</v>
      </c>
      <c r="BA609" s="3" t="s">
        <v>115</v>
      </c>
      <c r="BB609" s="6" t="s">
        <v>95</v>
      </c>
      <c r="BC609" s="3" t="s">
        <v>197</v>
      </c>
      <c r="BD609" t="s">
        <v>4</v>
      </c>
      <c r="BE609">
        <v>1489</v>
      </c>
      <c r="BF609" t="s">
        <v>151</v>
      </c>
      <c r="BG609">
        <v>80.855000000000004</v>
      </c>
      <c r="BH609">
        <v>82.527900000000002</v>
      </c>
      <c r="BI609" t="s">
        <v>521</v>
      </c>
      <c r="BJ609">
        <v>36.245399999999997</v>
      </c>
      <c r="BK609">
        <v>20.446100000000001</v>
      </c>
      <c r="BL609">
        <v>26.951699999999999</v>
      </c>
      <c r="BN609">
        <v>29.553899999999999</v>
      </c>
      <c r="BO609">
        <v>18.959099999999999</v>
      </c>
      <c r="CK609">
        <v>2</v>
      </c>
      <c r="CL609" t="s">
        <v>4</v>
      </c>
      <c r="CM609" t="s">
        <v>98</v>
      </c>
      <c r="CN609" t="s">
        <v>98</v>
      </c>
      <c r="CO609" t="s">
        <v>99</v>
      </c>
      <c r="CP609">
        <v>50</v>
      </c>
      <c r="CQ609" t="s">
        <v>100</v>
      </c>
      <c r="CR609" t="s">
        <v>100</v>
      </c>
      <c r="CS609" t="s">
        <v>101</v>
      </c>
      <c r="CT609" t="s">
        <v>100</v>
      </c>
      <c r="CU609" t="s">
        <v>102</v>
      </c>
      <c r="CV609" t="s">
        <v>100</v>
      </c>
    </row>
    <row r="610" spans="1:100">
      <c r="A610" s="3" t="s">
        <v>522</v>
      </c>
      <c r="B610" s="4" t="s">
        <v>523</v>
      </c>
      <c r="C610">
        <v>39.673045879210001</v>
      </c>
      <c r="D610">
        <v>7.0401515912229096</v>
      </c>
      <c r="E610">
        <v>2.5013724351079101</v>
      </c>
      <c r="F610">
        <v>4.7860014669304498E-3</v>
      </c>
      <c r="G610" t="s">
        <v>4</v>
      </c>
      <c r="H610">
        <v>39.673045879210001</v>
      </c>
      <c r="I610">
        <v>5.3776387959689202</v>
      </c>
      <c r="J610">
        <v>2.8729046957387698</v>
      </c>
      <c r="K610">
        <v>1.6745084743179199E-3</v>
      </c>
      <c r="L610" t="s">
        <v>4</v>
      </c>
      <c r="M610">
        <v>7.0401515912229096</v>
      </c>
      <c r="N610">
        <v>5.3776387959689202</v>
      </c>
      <c r="O610">
        <v>0.37153226063085998</v>
      </c>
      <c r="P610">
        <v>0.75091491622311302</v>
      </c>
      <c r="Q610" t="s">
        <v>4</v>
      </c>
      <c r="R610" s="4" t="s">
        <v>87</v>
      </c>
      <c r="S610" t="s">
        <v>4</v>
      </c>
      <c r="T610" t="s">
        <v>524</v>
      </c>
      <c r="U610" t="s">
        <v>525</v>
      </c>
      <c r="V610" t="s">
        <v>526</v>
      </c>
      <c r="W610" t="s">
        <v>203</v>
      </c>
      <c r="X610" t="s">
        <v>4</v>
      </c>
      <c r="Y610" t="s">
        <v>527</v>
      </c>
      <c r="Z610" t="s">
        <v>528</v>
      </c>
      <c r="AA610" t="s">
        <v>529</v>
      </c>
      <c r="AB610" t="s">
        <v>4</v>
      </c>
      <c r="AC610" s="3" t="s">
        <v>530</v>
      </c>
      <c r="AD610" t="s">
        <v>4</v>
      </c>
      <c r="AE610" t="s">
        <v>531</v>
      </c>
      <c r="AF610" t="s">
        <v>532</v>
      </c>
      <c r="AG610" t="s">
        <v>533</v>
      </c>
      <c r="AH610" t="s">
        <v>534</v>
      </c>
      <c r="AU610" t="s">
        <v>112</v>
      </c>
      <c r="AV610" t="s">
        <v>535</v>
      </c>
      <c r="AW610" t="s">
        <v>114</v>
      </c>
      <c r="AX610" t="s">
        <v>536</v>
      </c>
      <c r="AY610" t="s">
        <v>537</v>
      </c>
      <c r="AZ610" t="s">
        <v>4</v>
      </c>
      <c r="BA610" s="3" t="s">
        <v>95</v>
      </c>
      <c r="BB610" s="6" t="s">
        <v>95</v>
      </c>
      <c r="BC610" s="3" t="s">
        <v>95</v>
      </c>
      <c r="BD610" t="s">
        <v>4</v>
      </c>
      <c r="BE610">
        <v>8287</v>
      </c>
      <c r="BF610" t="s">
        <v>213</v>
      </c>
      <c r="BG610">
        <v>38.772500000000001</v>
      </c>
      <c r="BH610">
        <v>28.293399999999998</v>
      </c>
      <c r="BI610">
        <v>80.538899999999998</v>
      </c>
      <c r="BJ610">
        <v>9.1317400000000006</v>
      </c>
      <c r="BK610">
        <v>61.377200000000002</v>
      </c>
      <c r="BL610">
        <v>15.568899999999999</v>
      </c>
      <c r="BM610">
        <v>68.862300000000005</v>
      </c>
      <c r="BN610">
        <v>73.053899999999999</v>
      </c>
      <c r="BP610">
        <v>43.862299999999998</v>
      </c>
      <c r="BQ610">
        <v>40.119799999999998</v>
      </c>
      <c r="BR610">
        <v>47.155700000000003</v>
      </c>
      <c r="BX610">
        <v>31.886199999999999</v>
      </c>
      <c r="BY610" t="s">
        <v>538</v>
      </c>
      <c r="BZ610">
        <v>21.2575</v>
      </c>
      <c r="CB610">
        <v>45.209600000000002</v>
      </c>
      <c r="CE610">
        <v>22.904199999999999</v>
      </c>
      <c r="CG610" t="s">
        <v>539</v>
      </c>
      <c r="CH610" t="s">
        <v>540</v>
      </c>
      <c r="CI610" t="s">
        <v>541</v>
      </c>
      <c r="CK610">
        <v>8</v>
      </c>
      <c r="CL610" t="s">
        <v>4</v>
      </c>
      <c r="CM610" t="s">
        <v>98</v>
      </c>
      <c r="CN610" t="s">
        <v>98</v>
      </c>
      <c r="CO610" t="s">
        <v>99</v>
      </c>
      <c r="CP610">
        <v>51</v>
      </c>
      <c r="CQ610" t="s">
        <v>100</v>
      </c>
      <c r="CR610" t="s">
        <v>100</v>
      </c>
      <c r="CS610" t="s">
        <v>101</v>
      </c>
      <c r="CT610" t="s">
        <v>100</v>
      </c>
      <c r="CU610" t="s">
        <v>102</v>
      </c>
      <c r="CV610" t="s">
        <v>100</v>
      </c>
    </row>
    <row r="611" spans="1:100">
      <c r="A611" s="3" t="s">
        <v>542</v>
      </c>
      <c r="B611" s="4" t="s">
        <v>543</v>
      </c>
      <c r="C611">
        <v>71.510926760251294</v>
      </c>
      <c r="D611">
        <v>11.6078161612507</v>
      </c>
      <c r="E611">
        <v>2.6301834614053901</v>
      </c>
      <c r="F611">
        <v>1.2236006793163101E-3</v>
      </c>
      <c r="G611" t="s">
        <v>4</v>
      </c>
      <c r="H611">
        <v>71.510926760251294</v>
      </c>
      <c r="I611">
        <v>11.760291564106801</v>
      </c>
      <c r="J611">
        <v>2.5851348429145702</v>
      </c>
      <c r="K611">
        <v>1.4371299363091601E-3</v>
      </c>
      <c r="L611" t="s">
        <v>4</v>
      </c>
      <c r="M611">
        <v>11.6078161612507</v>
      </c>
      <c r="N611">
        <v>11.760291564106801</v>
      </c>
      <c r="O611">
        <f>0.0450486184908201</f>
        <v>4.5048618490820098E-2</v>
      </c>
      <c r="P611">
        <v>0.96856242566470396</v>
      </c>
      <c r="Q611" t="s">
        <v>4</v>
      </c>
      <c r="R611" s="4" t="s">
        <v>87</v>
      </c>
      <c r="S611" t="s">
        <v>4</v>
      </c>
      <c r="T611" t="s">
        <v>92</v>
      </c>
      <c r="U611" t="s">
        <v>92</v>
      </c>
      <c r="V611" t="s">
        <v>92</v>
      </c>
      <c r="W611" t="s">
        <v>92</v>
      </c>
      <c r="X611" t="s">
        <v>4</v>
      </c>
      <c r="Y611" t="s">
        <v>92</v>
      </c>
      <c r="Z611" t="s">
        <v>92</v>
      </c>
      <c r="AA611" t="s">
        <v>92</v>
      </c>
      <c r="AB611" t="s">
        <v>4</v>
      </c>
      <c r="AC611" s="3" t="s">
        <v>93</v>
      </c>
      <c r="AD611" t="s">
        <v>4</v>
      </c>
      <c r="AE611" s="4" t="s">
        <v>94</v>
      </c>
      <c r="AZ611" t="s">
        <v>4</v>
      </c>
      <c r="BA611" s="3" t="s">
        <v>95</v>
      </c>
      <c r="BB611" s="6" t="s">
        <v>95</v>
      </c>
      <c r="BC611" s="3" t="s">
        <v>95</v>
      </c>
      <c r="BD611" t="s">
        <v>4</v>
      </c>
      <c r="BE611">
        <v>1490</v>
      </c>
      <c r="BF611" t="s">
        <v>151</v>
      </c>
      <c r="CK611">
        <v>2</v>
      </c>
      <c r="CL611" t="s">
        <v>4</v>
      </c>
      <c r="CM611" t="s">
        <v>98</v>
      </c>
      <c r="CN611" t="s">
        <v>98</v>
      </c>
      <c r="CO611" t="s">
        <v>99</v>
      </c>
      <c r="CP611">
        <v>52</v>
      </c>
      <c r="CQ611" t="s">
        <v>100</v>
      </c>
      <c r="CR611" t="s">
        <v>100</v>
      </c>
      <c r="CS611" t="s">
        <v>101</v>
      </c>
      <c r="CT611" t="s">
        <v>100</v>
      </c>
      <c r="CU611" t="s">
        <v>102</v>
      </c>
      <c r="CV611" t="s">
        <v>100</v>
      </c>
    </row>
    <row r="612" spans="1:100">
      <c r="A612" s="3" t="s">
        <v>544</v>
      </c>
      <c r="B612" s="4" t="s">
        <v>545</v>
      </c>
      <c r="C612">
        <v>39.8417462823191</v>
      </c>
      <c r="D612">
        <v>7.88763388060962</v>
      </c>
      <c r="E612">
        <v>2.3526429490124001</v>
      </c>
      <c r="F612">
        <v>7.2102815407083598E-3</v>
      </c>
      <c r="G612" t="s">
        <v>4</v>
      </c>
      <c r="H612">
        <v>39.8417462823191</v>
      </c>
      <c r="I612">
        <v>6.7196705209937804</v>
      </c>
      <c r="J612">
        <v>2.52218677485132</v>
      </c>
      <c r="K612">
        <v>4.44895538163815E-3</v>
      </c>
      <c r="L612" t="s">
        <v>4</v>
      </c>
      <c r="M612">
        <v>7.88763388060962</v>
      </c>
      <c r="N612">
        <v>6.7196705209937804</v>
      </c>
      <c r="O612">
        <v>0.169543825838915</v>
      </c>
      <c r="P612">
        <v>0.88760964768128903</v>
      </c>
      <c r="Q612" t="s">
        <v>4</v>
      </c>
      <c r="R612" s="4" t="s">
        <v>87</v>
      </c>
      <c r="S612" t="s">
        <v>4</v>
      </c>
      <c r="T612" t="s">
        <v>92</v>
      </c>
      <c r="U612" t="s">
        <v>92</v>
      </c>
      <c r="V612" t="s">
        <v>92</v>
      </c>
      <c r="W612" t="s">
        <v>92</v>
      </c>
      <c r="X612" t="s">
        <v>4</v>
      </c>
      <c r="Y612" t="s">
        <v>92</v>
      </c>
      <c r="Z612" t="s">
        <v>92</v>
      </c>
      <c r="AA612" t="s">
        <v>92</v>
      </c>
      <c r="AB612" t="s">
        <v>4</v>
      </c>
      <c r="AC612" s="3" t="s">
        <v>93</v>
      </c>
      <c r="AD612" t="s">
        <v>4</v>
      </c>
      <c r="AE612" s="4" t="s">
        <v>94</v>
      </c>
      <c r="AZ612" t="s">
        <v>4</v>
      </c>
      <c r="BA612" s="3" t="s">
        <v>95</v>
      </c>
      <c r="BB612" s="6" t="s">
        <v>95</v>
      </c>
      <c r="BC612" s="3" t="s">
        <v>95</v>
      </c>
      <c r="BD612" t="s">
        <v>4</v>
      </c>
      <c r="BE612">
        <v>1491</v>
      </c>
      <c r="BF612" t="s">
        <v>151</v>
      </c>
      <c r="CK612">
        <v>2</v>
      </c>
      <c r="CL612" t="s">
        <v>4</v>
      </c>
      <c r="CM612" t="s">
        <v>98</v>
      </c>
      <c r="CN612" t="s">
        <v>98</v>
      </c>
      <c r="CO612" t="s">
        <v>99</v>
      </c>
      <c r="CP612">
        <v>53</v>
      </c>
      <c r="CQ612" t="s">
        <v>100</v>
      </c>
      <c r="CR612" t="s">
        <v>100</v>
      </c>
      <c r="CS612" t="s">
        <v>101</v>
      </c>
      <c r="CT612" t="s">
        <v>100</v>
      </c>
      <c r="CU612" t="s">
        <v>102</v>
      </c>
      <c r="CV612" t="s">
        <v>100</v>
      </c>
    </row>
    <row r="613" spans="1:100">
      <c r="A613" s="3" t="s">
        <v>546</v>
      </c>
      <c r="B613" s="4" t="s">
        <v>547</v>
      </c>
      <c r="C613">
        <v>36.6089037270144</v>
      </c>
      <c r="D613">
        <v>8.4355094674998607</v>
      </c>
      <c r="E613">
        <v>2.1123718276221402</v>
      </c>
      <c r="F613">
        <v>1.55876915149641E-3</v>
      </c>
      <c r="G613" t="s">
        <v>4</v>
      </c>
      <c r="H613">
        <v>36.6089037270144</v>
      </c>
      <c r="I613">
        <v>9.1256524446673506</v>
      </c>
      <c r="J613">
        <v>2.0118947643703899</v>
      </c>
      <c r="K613">
        <v>3.03456908691343E-3</v>
      </c>
      <c r="L613" t="s">
        <v>4</v>
      </c>
      <c r="M613">
        <v>8.4355094674998607</v>
      </c>
      <c r="N613">
        <v>9.1256524446673506</v>
      </c>
      <c r="O613">
        <f>0.100477063251755</f>
        <v>0.100477063251755</v>
      </c>
      <c r="P613">
        <v>0.91735097278055999</v>
      </c>
      <c r="Q613" t="s">
        <v>4</v>
      </c>
      <c r="R613" s="4" t="s">
        <v>87</v>
      </c>
      <c r="S613" t="s">
        <v>4</v>
      </c>
      <c r="T613" t="s">
        <v>92</v>
      </c>
      <c r="U613" t="s">
        <v>92</v>
      </c>
      <c r="V613" t="s">
        <v>92</v>
      </c>
      <c r="W613" t="s">
        <v>92</v>
      </c>
      <c r="X613" t="s">
        <v>4</v>
      </c>
      <c r="Y613" t="s">
        <v>92</v>
      </c>
      <c r="Z613" t="s">
        <v>92</v>
      </c>
      <c r="AA613" t="s">
        <v>92</v>
      </c>
      <c r="AB613" t="s">
        <v>4</v>
      </c>
      <c r="AC613" s="3" t="s">
        <v>93</v>
      </c>
      <c r="AD613" t="s">
        <v>4</v>
      </c>
      <c r="AE613" s="4" t="s">
        <v>94</v>
      </c>
      <c r="AZ613" t="s">
        <v>4</v>
      </c>
      <c r="BA613" s="3" t="s">
        <v>95</v>
      </c>
      <c r="BB613" s="6" t="s">
        <v>95</v>
      </c>
      <c r="BC613" s="3" t="s">
        <v>95</v>
      </c>
      <c r="BD613" t="s">
        <v>4</v>
      </c>
      <c r="BE613">
        <v>134</v>
      </c>
      <c r="BF613" t="s">
        <v>322</v>
      </c>
      <c r="CK613">
        <v>1</v>
      </c>
      <c r="CL613" t="s">
        <v>4</v>
      </c>
      <c r="CM613" t="s">
        <v>98</v>
      </c>
      <c r="CN613" t="s">
        <v>98</v>
      </c>
      <c r="CO613" t="s">
        <v>99</v>
      </c>
      <c r="CP613">
        <v>54</v>
      </c>
      <c r="CQ613" t="s">
        <v>100</v>
      </c>
      <c r="CR613" t="s">
        <v>100</v>
      </c>
      <c r="CS613" t="s">
        <v>101</v>
      </c>
      <c r="CT613" t="s">
        <v>100</v>
      </c>
      <c r="CU613" t="s">
        <v>102</v>
      </c>
      <c r="CV613" t="s">
        <v>100</v>
      </c>
    </row>
    <row r="614" spans="1:100">
      <c r="A614" s="3" t="s">
        <v>548</v>
      </c>
      <c r="B614" s="4" t="s">
        <v>549</v>
      </c>
      <c r="C614">
        <v>35.659379106070404</v>
      </c>
      <c r="D614">
        <v>7.1351491298363303</v>
      </c>
      <c r="E614">
        <v>2.33655619301507</v>
      </c>
      <c r="F614">
        <v>9.7569699453131902E-4</v>
      </c>
      <c r="G614" t="s">
        <v>4</v>
      </c>
      <c r="H614">
        <v>35.659379106070404</v>
      </c>
      <c r="I614">
        <v>3.7732808337133501</v>
      </c>
      <c r="J614">
        <v>3.1657898340250901</v>
      </c>
      <c r="K614" s="5">
        <v>7.5776464899879499E-5</v>
      </c>
      <c r="L614" t="s">
        <v>4</v>
      </c>
      <c r="M614">
        <v>7.1351491298363303</v>
      </c>
      <c r="N614">
        <v>3.7732808337133501</v>
      </c>
      <c r="O614">
        <v>0.82923364101001196</v>
      </c>
      <c r="P614">
        <v>0.38696625122760597</v>
      </c>
      <c r="Q614" t="s">
        <v>4</v>
      </c>
      <c r="R614" s="4" t="s">
        <v>87</v>
      </c>
      <c r="S614" t="s">
        <v>4</v>
      </c>
      <c r="T614" t="s">
        <v>88</v>
      </c>
      <c r="U614" t="s">
        <v>89</v>
      </c>
      <c r="V614" t="s">
        <v>90</v>
      </c>
      <c r="W614" t="s">
        <v>91</v>
      </c>
      <c r="X614" t="s">
        <v>4</v>
      </c>
      <c r="Y614" t="s">
        <v>92</v>
      </c>
      <c r="Z614" t="s">
        <v>92</v>
      </c>
      <c r="AA614" t="s">
        <v>92</v>
      </c>
      <c r="AB614" t="s">
        <v>4</v>
      </c>
      <c r="AC614" s="3" t="s">
        <v>93</v>
      </c>
      <c r="AD614" t="s">
        <v>4</v>
      </c>
      <c r="AE614" s="4" t="s">
        <v>94</v>
      </c>
      <c r="AZ614" t="s">
        <v>4</v>
      </c>
      <c r="BA614" s="3" t="s">
        <v>95</v>
      </c>
      <c r="BB614" t="s">
        <v>96</v>
      </c>
      <c r="BC614" s="3" t="s">
        <v>95</v>
      </c>
      <c r="BD614" t="s">
        <v>4</v>
      </c>
      <c r="BE614">
        <v>379</v>
      </c>
      <c r="BF614" t="s">
        <v>322</v>
      </c>
      <c r="CK614">
        <v>1</v>
      </c>
      <c r="CL614" t="s">
        <v>4</v>
      </c>
      <c r="CM614" t="s">
        <v>98</v>
      </c>
      <c r="CN614" t="s">
        <v>98</v>
      </c>
      <c r="CO614" t="s">
        <v>99</v>
      </c>
      <c r="CP614">
        <v>55</v>
      </c>
      <c r="CQ614" t="s">
        <v>100</v>
      </c>
      <c r="CR614" t="s">
        <v>100</v>
      </c>
      <c r="CS614" t="s">
        <v>101</v>
      </c>
      <c r="CT614" t="s">
        <v>100</v>
      </c>
      <c r="CU614" t="s">
        <v>102</v>
      </c>
      <c r="CV614" t="s">
        <v>100</v>
      </c>
    </row>
    <row r="615" spans="1:100">
      <c r="A615" s="3" t="s">
        <v>550</v>
      </c>
      <c r="B615" s="4" t="s">
        <v>551</v>
      </c>
      <c r="C615">
        <v>30.549606492472201</v>
      </c>
      <c r="D615">
        <v>2.8757321062134098</v>
      </c>
      <c r="E615">
        <v>3.41610729444024</v>
      </c>
      <c r="F615">
        <v>1.31607314065682E-3</v>
      </c>
      <c r="G615" t="s">
        <v>4</v>
      </c>
      <c r="H615">
        <v>30.549606492472201</v>
      </c>
      <c r="I615">
        <v>4.81307388676671</v>
      </c>
      <c r="J615">
        <v>2.7435922213213</v>
      </c>
      <c r="K615">
        <v>8.1475649065451197E-3</v>
      </c>
      <c r="L615" t="s">
        <v>4</v>
      </c>
      <c r="M615">
        <v>2.8757321062134098</v>
      </c>
      <c r="N615">
        <v>4.81307388676671</v>
      </c>
      <c r="O615">
        <f>0.672515073118949</f>
        <v>0.67251507311894898</v>
      </c>
      <c r="P615">
        <v>0.61455033026164196</v>
      </c>
      <c r="Q615" t="s">
        <v>4</v>
      </c>
      <c r="R615" s="4" t="s">
        <v>87</v>
      </c>
      <c r="S615" t="s">
        <v>4</v>
      </c>
      <c r="T615" t="s">
        <v>92</v>
      </c>
      <c r="U615" t="s">
        <v>92</v>
      </c>
      <c r="V615" t="s">
        <v>92</v>
      </c>
      <c r="W615" t="s">
        <v>92</v>
      </c>
      <c r="X615" t="s">
        <v>4</v>
      </c>
      <c r="Y615" t="s">
        <v>92</v>
      </c>
      <c r="Z615" t="s">
        <v>92</v>
      </c>
      <c r="AA615" t="s">
        <v>92</v>
      </c>
      <c r="AB615" t="s">
        <v>4</v>
      </c>
      <c r="AC615" s="3" t="s">
        <v>93</v>
      </c>
      <c r="AD615" t="s">
        <v>4</v>
      </c>
      <c r="AE615" s="4" t="s">
        <v>94</v>
      </c>
      <c r="AZ615" t="s">
        <v>4</v>
      </c>
      <c r="BA615" s="3" t="s">
        <v>95</v>
      </c>
      <c r="BB615" s="6" t="s">
        <v>95</v>
      </c>
      <c r="BC615" s="3" t="s">
        <v>95</v>
      </c>
      <c r="BD615" t="s">
        <v>4</v>
      </c>
      <c r="BE615">
        <v>137</v>
      </c>
      <c r="BF615" t="s">
        <v>322</v>
      </c>
      <c r="CK615">
        <v>1</v>
      </c>
      <c r="CL615" t="s">
        <v>4</v>
      </c>
      <c r="CM615" t="s">
        <v>98</v>
      </c>
      <c r="CN615" t="s">
        <v>98</v>
      </c>
      <c r="CO615" t="s">
        <v>99</v>
      </c>
      <c r="CP615">
        <v>56</v>
      </c>
      <c r="CQ615" t="s">
        <v>100</v>
      </c>
      <c r="CR615" t="s">
        <v>100</v>
      </c>
      <c r="CS615" t="s">
        <v>101</v>
      </c>
      <c r="CT615" t="s">
        <v>100</v>
      </c>
      <c r="CU615" t="s">
        <v>102</v>
      </c>
      <c r="CV615" t="s">
        <v>100</v>
      </c>
    </row>
    <row r="616" spans="1:100">
      <c r="A616" s="3" t="s">
        <v>552</v>
      </c>
      <c r="B616" s="4" t="s">
        <v>553</v>
      </c>
      <c r="C616">
        <v>32.977630256587801</v>
      </c>
      <c r="D616">
        <v>6.8432984311715801</v>
      </c>
      <c r="E616">
        <v>2.2845121380525302</v>
      </c>
      <c r="F616">
        <v>3.2164074752616301E-3</v>
      </c>
      <c r="G616" t="s">
        <v>4</v>
      </c>
      <c r="H616">
        <v>32.977630256587801</v>
      </c>
      <c r="I616">
        <v>1.31072525361109</v>
      </c>
      <c r="J616">
        <v>4.6146266561681202</v>
      </c>
      <c r="K616" s="5">
        <v>3.66939024053208E-5</v>
      </c>
      <c r="L616" t="s">
        <v>4</v>
      </c>
      <c r="M616">
        <v>6.8432984311715801</v>
      </c>
      <c r="N616">
        <v>1.31072525361109</v>
      </c>
      <c r="O616">
        <v>2.33011451811559</v>
      </c>
      <c r="P616">
        <v>5.3575209871186399E-2</v>
      </c>
      <c r="Q616" t="s">
        <v>4</v>
      </c>
      <c r="R616" s="4" t="s">
        <v>87</v>
      </c>
      <c r="S616" t="s">
        <v>4</v>
      </c>
      <c r="T616" t="s">
        <v>92</v>
      </c>
      <c r="U616" t="s">
        <v>92</v>
      </c>
      <c r="V616" t="s">
        <v>92</v>
      </c>
      <c r="W616" t="s">
        <v>92</v>
      </c>
      <c r="X616" t="s">
        <v>4</v>
      </c>
      <c r="Y616" t="s">
        <v>92</v>
      </c>
      <c r="Z616" t="s">
        <v>92</v>
      </c>
      <c r="AA616" t="s">
        <v>92</v>
      </c>
      <c r="AB616" t="s">
        <v>4</v>
      </c>
      <c r="AC616" s="3" t="s">
        <v>93</v>
      </c>
      <c r="AD616" t="s">
        <v>4</v>
      </c>
      <c r="AE616" s="4" t="s">
        <v>94</v>
      </c>
      <c r="AZ616" t="s">
        <v>4</v>
      </c>
      <c r="BA616" s="3" t="s">
        <v>95</v>
      </c>
      <c r="BB616" s="6" t="s">
        <v>95</v>
      </c>
      <c r="BC616" s="3" t="s">
        <v>95</v>
      </c>
      <c r="BD616" t="s">
        <v>4</v>
      </c>
      <c r="BE616">
        <v>397</v>
      </c>
      <c r="BF616" t="s">
        <v>322</v>
      </c>
      <c r="CK616">
        <v>1</v>
      </c>
      <c r="CL616" t="s">
        <v>4</v>
      </c>
      <c r="CM616" t="s">
        <v>98</v>
      </c>
      <c r="CN616" t="s">
        <v>98</v>
      </c>
      <c r="CO616" t="s">
        <v>99</v>
      </c>
      <c r="CP616">
        <v>57</v>
      </c>
      <c r="CQ616" t="s">
        <v>100</v>
      </c>
      <c r="CR616" t="s">
        <v>100</v>
      </c>
      <c r="CS616" t="s">
        <v>101</v>
      </c>
      <c r="CT616" t="s">
        <v>100</v>
      </c>
      <c r="CU616" t="s">
        <v>102</v>
      </c>
      <c r="CV616" t="s">
        <v>100</v>
      </c>
    </row>
    <row r="617" spans="1:100">
      <c r="A617" s="3" t="s">
        <v>554</v>
      </c>
      <c r="B617" s="4" t="s">
        <v>555</v>
      </c>
      <c r="C617">
        <v>50.016812698245502</v>
      </c>
      <c r="D617">
        <v>5.8516280599512003</v>
      </c>
      <c r="E617">
        <v>3.0855912912264798</v>
      </c>
      <c r="F617">
        <v>9.7518601049400395E-4</v>
      </c>
      <c r="G617" t="s">
        <v>4</v>
      </c>
      <c r="H617">
        <v>50.016812698245502</v>
      </c>
      <c r="I617">
        <v>3.5396943909682199</v>
      </c>
      <c r="J617">
        <v>3.8777978776168198</v>
      </c>
      <c r="K617">
        <v>1.22020585132977E-4</v>
      </c>
      <c r="L617" t="s">
        <v>4</v>
      </c>
      <c r="M617">
        <v>5.8516280599512003</v>
      </c>
      <c r="N617">
        <v>3.5396943909682199</v>
      </c>
      <c r="O617">
        <v>0.79220658639034802</v>
      </c>
      <c r="P617">
        <v>0.51701311366901903</v>
      </c>
      <c r="Q617" t="s">
        <v>4</v>
      </c>
      <c r="R617" s="4" t="s">
        <v>87</v>
      </c>
      <c r="S617" t="s">
        <v>4</v>
      </c>
      <c r="T617" t="s">
        <v>189</v>
      </c>
      <c r="U617" t="s">
        <v>190</v>
      </c>
      <c r="V617" t="s">
        <v>191</v>
      </c>
      <c r="W617" t="s">
        <v>192</v>
      </c>
      <c r="X617" t="s">
        <v>4</v>
      </c>
      <c r="Y617" t="s">
        <v>92</v>
      </c>
      <c r="Z617" t="s">
        <v>92</v>
      </c>
      <c r="AA617" t="s">
        <v>92</v>
      </c>
      <c r="AB617" t="s">
        <v>4</v>
      </c>
      <c r="AC617" s="3" t="s">
        <v>93</v>
      </c>
      <c r="AD617" t="s">
        <v>4</v>
      </c>
      <c r="AE617" s="4" t="s">
        <v>94</v>
      </c>
      <c r="AZ617" t="s">
        <v>4</v>
      </c>
      <c r="BA617" s="3" t="s">
        <v>95</v>
      </c>
      <c r="BB617" t="s">
        <v>96</v>
      </c>
      <c r="BC617" s="3" t="s">
        <v>95</v>
      </c>
      <c r="BD617" t="s">
        <v>4</v>
      </c>
      <c r="BE617">
        <v>2334</v>
      </c>
      <c r="BF617" t="s">
        <v>148</v>
      </c>
      <c r="BG617">
        <v>58.173099999999998</v>
      </c>
      <c r="BH617">
        <v>23.557700000000001</v>
      </c>
      <c r="BI617">
        <v>87.980800000000002</v>
      </c>
      <c r="BJ617">
        <v>39.423099999999998</v>
      </c>
      <c r="BN617">
        <v>52.403799999999997</v>
      </c>
      <c r="CK617">
        <v>3</v>
      </c>
      <c r="CL617" t="s">
        <v>4</v>
      </c>
      <c r="CM617" t="s">
        <v>98</v>
      </c>
      <c r="CN617" t="s">
        <v>98</v>
      </c>
      <c r="CO617" t="s">
        <v>99</v>
      </c>
      <c r="CP617">
        <v>58</v>
      </c>
      <c r="CQ617" t="s">
        <v>100</v>
      </c>
      <c r="CR617" t="s">
        <v>100</v>
      </c>
      <c r="CS617" t="s">
        <v>101</v>
      </c>
      <c r="CT617" t="s">
        <v>100</v>
      </c>
      <c r="CU617" t="s">
        <v>102</v>
      </c>
      <c r="CV617" t="s">
        <v>100</v>
      </c>
    </row>
    <row r="618" spans="1:100">
      <c r="A618" s="3" t="s">
        <v>556</v>
      </c>
      <c r="B618" s="4" t="s">
        <v>557</v>
      </c>
      <c r="C618">
        <v>47.815948210396002</v>
      </c>
      <c r="D618">
        <v>7.7158184122067404</v>
      </c>
      <c r="E618">
        <v>2.6209960210308698</v>
      </c>
      <c r="F618">
        <v>2.0596079934270899E-3</v>
      </c>
      <c r="G618" t="s">
        <v>4</v>
      </c>
      <c r="H618">
        <v>47.815948210396002</v>
      </c>
      <c r="I618">
        <v>3.8767121438241499</v>
      </c>
      <c r="J618">
        <v>3.6554884118867701</v>
      </c>
      <c r="K618" s="5">
        <v>8.5497071662636801E-5</v>
      </c>
      <c r="L618" t="s">
        <v>4</v>
      </c>
      <c r="M618">
        <v>7.7158184122067404</v>
      </c>
      <c r="N618">
        <v>3.8767121438241499</v>
      </c>
      <c r="O618">
        <v>1.0344923908559001</v>
      </c>
      <c r="P618">
        <v>0.33927757501901001</v>
      </c>
      <c r="Q618" t="s">
        <v>4</v>
      </c>
      <c r="R618" s="4" t="s">
        <v>87</v>
      </c>
      <c r="S618" t="s">
        <v>4</v>
      </c>
      <c r="T618" t="s">
        <v>92</v>
      </c>
      <c r="U618" t="s">
        <v>92</v>
      </c>
      <c r="V618" t="s">
        <v>92</v>
      </c>
      <c r="W618" t="s">
        <v>92</v>
      </c>
      <c r="X618" t="s">
        <v>4</v>
      </c>
      <c r="Y618" t="s">
        <v>92</v>
      </c>
      <c r="Z618" t="s">
        <v>92</v>
      </c>
      <c r="AA618" t="s">
        <v>92</v>
      </c>
      <c r="AB618" t="s">
        <v>4</v>
      </c>
      <c r="AC618" s="3" t="s">
        <v>93</v>
      </c>
      <c r="AD618" t="s">
        <v>4</v>
      </c>
      <c r="AE618" s="4" t="s">
        <v>94</v>
      </c>
      <c r="AZ618" t="s">
        <v>4</v>
      </c>
      <c r="BA618" s="3" t="s">
        <v>95</v>
      </c>
      <c r="BB618" s="6" t="s">
        <v>95</v>
      </c>
      <c r="BC618" s="3" t="s">
        <v>95</v>
      </c>
      <c r="BD618" t="s">
        <v>4</v>
      </c>
      <c r="BE618">
        <v>443</v>
      </c>
      <c r="BF618" t="s">
        <v>322</v>
      </c>
      <c r="CK618">
        <v>1</v>
      </c>
      <c r="CL618" t="s">
        <v>4</v>
      </c>
      <c r="CM618" t="s">
        <v>98</v>
      </c>
      <c r="CN618" t="s">
        <v>98</v>
      </c>
      <c r="CO618" t="s">
        <v>99</v>
      </c>
      <c r="CP618">
        <v>59</v>
      </c>
      <c r="CQ618" t="s">
        <v>100</v>
      </c>
      <c r="CR618" t="s">
        <v>100</v>
      </c>
      <c r="CS618" t="s">
        <v>101</v>
      </c>
      <c r="CT618" t="s">
        <v>100</v>
      </c>
      <c r="CU618" t="s">
        <v>102</v>
      </c>
      <c r="CV618" t="s">
        <v>100</v>
      </c>
    </row>
    <row r="619" spans="1:100">
      <c r="A619" s="3" t="s">
        <v>558</v>
      </c>
      <c r="B619" s="4" t="s">
        <v>559</v>
      </c>
      <c r="C619">
        <v>159.13757321167299</v>
      </c>
      <c r="D619">
        <v>9.3550857978034099</v>
      </c>
      <c r="E619">
        <v>4.1012505922914402</v>
      </c>
      <c r="F619" s="5">
        <v>1.6859788876807101E-13</v>
      </c>
      <c r="G619" t="s">
        <v>4</v>
      </c>
      <c r="H619">
        <v>159.13757321167299</v>
      </c>
      <c r="I619">
        <v>16.529980406661998</v>
      </c>
      <c r="J619">
        <v>3.2787921729684402</v>
      </c>
      <c r="K619" s="5">
        <v>1.35050186296032E-9</v>
      </c>
      <c r="L619" t="s">
        <v>4</v>
      </c>
      <c r="M619">
        <v>9.3550857978034099</v>
      </c>
      <c r="N619">
        <v>16.529980406661998</v>
      </c>
      <c r="O619">
        <f>0.822458419322997</f>
        <v>0.82245841932299701</v>
      </c>
      <c r="P619">
        <v>0.22159384886948899</v>
      </c>
      <c r="Q619" t="s">
        <v>4</v>
      </c>
      <c r="R619" s="4" t="s">
        <v>87</v>
      </c>
      <c r="S619" t="s">
        <v>4</v>
      </c>
      <c r="T619" t="s">
        <v>92</v>
      </c>
      <c r="U619" t="s">
        <v>92</v>
      </c>
      <c r="V619" t="s">
        <v>92</v>
      </c>
      <c r="W619" t="s">
        <v>92</v>
      </c>
      <c r="X619" t="s">
        <v>4</v>
      </c>
      <c r="Y619" t="s">
        <v>92</v>
      </c>
      <c r="Z619" t="s">
        <v>92</v>
      </c>
      <c r="AA619" t="s">
        <v>92</v>
      </c>
      <c r="AB619" t="s">
        <v>4</v>
      </c>
      <c r="AC619" s="3" t="s">
        <v>93</v>
      </c>
      <c r="AD619" t="s">
        <v>4</v>
      </c>
      <c r="AE619" s="4" t="s">
        <v>94</v>
      </c>
      <c r="AZ619" t="s">
        <v>4</v>
      </c>
      <c r="BA619" s="3" t="s">
        <v>95</v>
      </c>
      <c r="BB619" s="6" t="s">
        <v>95</v>
      </c>
      <c r="BC619" s="3" t="s">
        <v>95</v>
      </c>
      <c r="BD619" t="s">
        <v>4</v>
      </c>
      <c r="BE619">
        <v>148</v>
      </c>
      <c r="BF619" t="s">
        <v>322</v>
      </c>
      <c r="CK619">
        <v>1</v>
      </c>
      <c r="CL619" t="s">
        <v>4</v>
      </c>
      <c r="CM619" t="s">
        <v>98</v>
      </c>
      <c r="CN619" t="s">
        <v>98</v>
      </c>
      <c r="CO619" t="s">
        <v>99</v>
      </c>
      <c r="CP619">
        <v>60</v>
      </c>
      <c r="CQ619" t="s">
        <v>100</v>
      </c>
      <c r="CR619" t="s">
        <v>100</v>
      </c>
      <c r="CS619" t="s">
        <v>101</v>
      </c>
      <c r="CT619" t="s">
        <v>100</v>
      </c>
      <c r="CU619" t="s">
        <v>102</v>
      </c>
      <c r="CV619" t="s">
        <v>100</v>
      </c>
    </row>
    <row r="620" spans="1:100">
      <c r="A620" s="3" t="s">
        <v>560</v>
      </c>
      <c r="B620" s="4" t="s">
        <v>561</v>
      </c>
      <c r="C620">
        <v>1472.36672499991</v>
      </c>
      <c r="D620">
        <v>266.70734827744798</v>
      </c>
      <c r="E620">
        <v>2.4641765742082802</v>
      </c>
      <c r="F620" s="5">
        <v>6.6430292115343006E-11</v>
      </c>
      <c r="G620" t="s">
        <v>4</v>
      </c>
      <c r="H620">
        <v>1472.36672499991</v>
      </c>
      <c r="I620">
        <v>36.359470140694903</v>
      </c>
      <c r="J620">
        <v>5.3130524938381196</v>
      </c>
      <c r="K620" s="5">
        <v>4.5732642437861198E-41</v>
      </c>
      <c r="L620" t="s">
        <v>4</v>
      </c>
      <c r="M620">
        <v>266.70734827744798</v>
      </c>
      <c r="N620">
        <v>36.359470140694903</v>
      </c>
      <c r="O620">
        <v>2.8488759196298501</v>
      </c>
      <c r="P620" s="5">
        <v>1.7783624463456E-12</v>
      </c>
      <c r="Q620" t="s">
        <v>4</v>
      </c>
      <c r="R620" s="4" t="s">
        <v>87</v>
      </c>
      <c r="S620" t="s">
        <v>4</v>
      </c>
      <c r="T620" t="s">
        <v>92</v>
      </c>
      <c r="U620" t="s">
        <v>92</v>
      </c>
      <c r="V620" t="s">
        <v>92</v>
      </c>
      <c r="W620" t="s">
        <v>92</v>
      </c>
      <c r="X620" t="s">
        <v>4</v>
      </c>
      <c r="Y620" t="s">
        <v>92</v>
      </c>
      <c r="Z620" t="s">
        <v>92</v>
      </c>
      <c r="AA620" t="s">
        <v>92</v>
      </c>
      <c r="AB620" t="s">
        <v>4</v>
      </c>
      <c r="AC620" s="3" t="s">
        <v>93</v>
      </c>
      <c r="AD620" t="s">
        <v>4</v>
      </c>
      <c r="AE620" t="s">
        <v>562</v>
      </c>
      <c r="AF620" t="s">
        <v>563</v>
      </c>
      <c r="AG620" t="s">
        <v>564</v>
      </c>
      <c r="AH620" t="s">
        <v>314</v>
      </c>
      <c r="AU620" t="s">
        <v>112</v>
      </c>
      <c r="AV620" t="s">
        <v>565</v>
      </c>
      <c r="AW620" t="s">
        <v>114</v>
      </c>
      <c r="AX620" t="s">
        <v>536</v>
      </c>
      <c r="AY620" t="s">
        <v>566</v>
      </c>
      <c r="AZ620" t="s">
        <v>4</v>
      </c>
      <c r="BA620" s="3" t="s">
        <v>95</v>
      </c>
      <c r="BB620" s="6" t="s">
        <v>95</v>
      </c>
      <c r="BC620" s="3" t="s">
        <v>95</v>
      </c>
      <c r="BD620" t="s">
        <v>4</v>
      </c>
      <c r="BE620">
        <v>1533</v>
      </c>
      <c r="BF620" t="s">
        <v>151</v>
      </c>
      <c r="BG620">
        <v>62.5</v>
      </c>
      <c r="CK620">
        <v>2</v>
      </c>
      <c r="CL620" t="s">
        <v>4</v>
      </c>
      <c r="CM620" t="s">
        <v>98</v>
      </c>
      <c r="CN620" t="s">
        <v>98</v>
      </c>
      <c r="CO620" t="s">
        <v>99</v>
      </c>
      <c r="CP620">
        <v>61</v>
      </c>
      <c r="CQ620" t="s">
        <v>100</v>
      </c>
      <c r="CR620" t="s">
        <v>100</v>
      </c>
      <c r="CS620" t="s">
        <v>101</v>
      </c>
      <c r="CT620" t="s">
        <v>152</v>
      </c>
      <c r="CU620" t="s">
        <v>102</v>
      </c>
      <c r="CV620" t="s">
        <v>100</v>
      </c>
    </row>
    <row r="621" spans="1:100">
      <c r="A621" s="3" t="s">
        <v>567</v>
      </c>
      <c r="B621" s="4" t="s">
        <v>568</v>
      </c>
      <c r="C621">
        <v>81.493733547686105</v>
      </c>
      <c r="D621">
        <v>11.0439861466587</v>
      </c>
      <c r="E621">
        <v>2.88210241215809</v>
      </c>
      <c r="F621" s="5">
        <v>3.7507278340527002E-6</v>
      </c>
      <c r="G621" t="s">
        <v>4</v>
      </c>
      <c r="H621">
        <v>81.493733547686105</v>
      </c>
      <c r="I621">
        <v>10.7613168783367</v>
      </c>
      <c r="J621">
        <v>2.91153144920552</v>
      </c>
      <c r="K621" s="5">
        <v>5.2087001234398696E-6</v>
      </c>
      <c r="L621" t="s">
        <v>4</v>
      </c>
      <c r="M621">
        <v>11.0439861466587</v>
      </c>
      <c r="N621">
        <v>10.7613168783367</v>
      </c>
      <c r="O621">
        <v>2.9429037047421801E-2</v>
      </c>
      <c r="P621">
        <v>0.97686882127215202</v>
      </c>
      <c r="Q621" t="s">
        <v>4</v>
      </c>
      <c r="R621" s="4" t="s">
        <v>87</v>
      </c>
      <c r="S621" t="s">
        <v>4</v>
      </c>
      <c r="T621" t="s">
        <v>360</v>
      </c>
      <c r="U621" t="s">
        <v>361</v>
      </c>
      <c r="V621" t="s">
        <v>362</v>
      </c>
      <c r="W621" t="s">
        <v>328</v>
      </c>
      <c r="X621" t="s">
        <v>4</v>
      </c>
      <c r="Y621" t="s">
        <v>363</v>
      </c>
      <c r="Z621" t="s">
        <v>364</v>
      </c>
      <c r="AA621" t="s">
        <v>365</v>
      </c>
      <c r="AB621" t="s">
        <v>4</v>
      </c>
      <c r="AC621" s="3" t="s">
        <v>93</v>
      </c>
      <c r="AD621" t="s">
        <v>4</v>
      </c>
      <c r="AE621" t="s">
        <v>569</v>
      </c>
      <c r="AF621" t="s">
        <v>570</v>
      </c>
      <c r="AG621" t="s">
        <v>571</v>
      </c>
      <c r="AH621" t="s">
        <v>112</v>
      </c>
      <c r="AU621" t="s">
        <v>112</v>
      </c>
      <c r="AV621" t="s">
        <v>572</v>
      </c>
      <c r="AW621" t="s">
        <v>114</v>
      </c>
      <c r="AX621" t="s">
        <v>371</v>
      </c>
      <c r="AY621" t="s">
        <v>573</v>
      </c>
      <c r="AZ621" t="s">
        <v>4</v>
      </c>
      <c r="BA621" s="3" t="s">
        <v>95</v>
      </c>
      <c r="BB621" s="6" t="s">
        <v>95</v>
      </c>
      <c r="BC621" s="3" t="s">
        <v>95</v>
      </c>
      <c r="BD621" t="s">
        <v>4</v>
      </c>
      <c r="BE621">
        <v>8338</v>
      </c>
      <c r="BF621" t="s">
        <v>213</v>
      </c>
      <c r="BG621">
        <v>86.390500000000003</v>
      </c>
      <c r="BH621">
        <v>94.970399999999998</v>
      </c>
      <c r="BI621">
        <v>9.1715999999999998</v>
      </c>
      <c r="BJ621">
        <v>56.508899999999997</v>
      </c>
      <c r="BK621">
        <v>33.432000000000002</v>
      </c>
      <c r="BL621">
        <v>52.070999999999998</v>
      </c>
      <c r="BM621">
        <v>54.437899999999999</v>
      </c>
      <c r="BN621">
        <v>60.6509</v>
      </c>
      <c r="BO621">
        <v>54.733699999999999</v>
      </c>
      <c r="BP621">
        <v>23.668600000000001</v>
      </c>
      <c r="BQ621">
        <v>19.822500000000002</v>
      </c>
      <c r="BT621">
        <v>16.568000000000001</v>
      </c>
      <c r="BW621">
        <v>13.609500000000001</v>
      </c>
      <c r="CA621" t="s">
        <v>574</v>
      </c>
      <c r="CB621" t="s">
        <v>575</v>
      </c>
      <c r="CC621" t="s">
        <v>576</v>
      </c>
      <c r="CD621">
        <v>23.372800000000002</v>
      </c>
      <c r="CE621" t="s">
        <v>577</v>
      </c>
      <c r="CF621">
        <v>21.8935</v>
      </c>
      <c r="CG621" t="s">
        <v>578</v>
      </c>
      <c r="CH621" t="s">
        <v>579</v>
      </c>
      <c r="CI621" t="s">
        <v>580</v>
      </c>
      <c r="CK621">
        <v>8</v>
      </c>
      <c r="CL621" t="s">
        <v>4</v>
      </c>
      <c r="CM621" t="s">
        <v>581</v>
      </c>
      <c r="CN621" t="s">
        <v>582</v>
      </c>
      <c r="CO621" t="s">
        <v>99</v>
      </c>
      <c r="CP621">
        <v>62</v>
      </c>
      <c r="CQ621" t="s">
        <v>100</v>
      </c>
      <c r="CR621" t="s">
        <v>100</v>
      </c>
      <c r="CS621" t="s">
        <v>101</v>
      </c>
      <c r="CT621" t="s">
        <v>100</v>
      </c>
      <c r="CU621" t="s">
        <v>102</v>
      </c>
      <c r="CV621" t="s">
        <v>100</v>
      </c>
    </row>
    <row r="622" spans="1:100">
      <c r="A622" s="3" t="s">
        <v>583</v>
      </c>
      <c r="B622" s="4" t="s">
        <v>584</v>
      </c>
      <c r="C622">
        <v>57.1581446309782</v>
      </c>
      <c r="D622">
        <v>10.6947464809036</v>
      </c>
      <c r="E622">
        <v>2.4175252366108602</v>
      </c>
      <c r="F622" s="5">
        <v>4.8300660099903496E-6</v>
      </c>
      <c r="G622" t="s">
        <v>4</v>
      </c>
      <c r="H622">
        <v>57.1581446309782</v>
      </c>
      <c r="I622">
        <v>11.2824967433274</v>
      </c>
      <c r="J622">
        <v>2.3073541878350801</v>
      </c>
      <c r="K622" s="5">
        <v>2.26750501509386E-5</v>
      </c>
      <c r="L622" t="s">
        <v>4</v>
      </c>
      <c r="M622">
        <v>10.6947464809036</v>
      </c>
      <c r="N622">
        <v>11.2824967433274</v>
      </c>
      <c r="O622">
        <f>0.110171048775784</f>
        <v>0.110171048775784</v>
      </c>
      <c r="P622">
        <v>0.88826879042157003</v>
      </c>
      <c r="Q622" t="s">
        <v>4</v>
      </c>
      <c r="R622" s="4" t="s">
        <v>87</v>
      </c>
      <c r="S622" t="s">
        <v>4</v>
      </c>
      <c r="T622" t="s">
        <v>585</v>
      </c>
      <c r="U622" t="s">
        <v>586</v>
      </c>
      <c r="V622" t="s">
        <v>587</v>
      </c>
      <c r="W622" t="s">
        <v>192</v>
      </c>
      <c r="X622" t="s">
        <v>4</v>
      </c>
      <c r="Y622" t="s">
        <v>588</v>
      </c>
      <c r="Z622" t="s">
        <v>589</v>
      </c>
      <c r="AA622" t="s">
        <v>590</v>
      </c>
      <c r="AB622" t="s">
        <v>4</v>
      </c>
      <c r="AC622" s="3" t="s">
        <v>591</v>
      </c>
      <c r="AD622" t="s">
        <v>4</v>
      </c>
      <c r="AE622" t="s">
        <v>592</v>
      </c>
      <c r="AF622" t="s">
        <v>593</v>
      </c>
      <c r="AG622" t="s">
        <v>594</v>
      </c>
      <c r="AH622" t="s">
        <v>314</v>
      </c>
      <c r="AU622" t="s">
        <v>112</v>
      </c>
      <c r="AV622" t="s">
        <v>595</v>
      </c>
      <c r="AW622" t="s">
        <v>114</v>
      </c>
      <c r="AX622" t="s">
        <v>596</v>
      </c>
      <c r="AY622" t="s">
        <v>597</v>
      </c>
      <c r="AZ622" t="s">
        <v>4</v>
      </c>
      <c r="BA622" s="3" t="s">
        <v>95</v>
      </c>
      <c r="BB622" t="s">
        <v>96</v>
      </c>
      <c r="BC622" s="3" t="s">
        <v>95</v>
      </c>
      <c r="BD622" t="s">
        <v>4</v>
      </c>
      <c r="BE622">
        <v>3174</v>
      </c>
      <c r="BF622" t="s">
        <v>112</v>
      </c>
      <c r="BP622">
        <v>35.526299999999999</v>
      </c>
      <c r="BQ622" t="s">
        <v>598</v>
      </c>
      <c r="BR622">
        <v>36.842100000000002</v>
      </c>
      <c r="BS622">
        <v>32.8947</v>
      </c>
      <c r="CB622">
        <v>17.763200000000001</v>
      </c>
      <c r="CG622" t="s">
        <v>599</v>
      </c>
      <c r="CH622" t="s">
        <v>600</v>
      </c>
      <c r="CI622" t="s">
        <v>601</v>
      </c>
      <c r="CK622">
        <v>5</v>
      </c>
      <c r="CL622" t="s">
        <v>4</v>
      </c>
      <c r="CM622" t="s">
        <v>98</v>
      </c>
      <c r="CN622" t="s">
        <v>98</v>
      </c>
      <c r="CO622" t="s">
        <v>99</v>
      </c>
      <c r="CP622">
        <v>63</v>
      </c>
      <c r="CQ622" t="s">
        <v>100</v>
      </c>
      <c r="CR622" t="s">
        <v>100</v>
      </c>
      <c r="CS622" t="s">
        <v>101</v>
      </c>
      <c r="CT622" t="s">
        <v>100</v>
      </c>
      <c r="CU622" t="s">
        <v>102</v>
      </c>
      <c r="CV622" t="s">
        <v>100</v>
      </c>
    </row>
    <row r="623" spans="1:100">
      <c r="A623" s="3" t="s">
        <v>602</v>
      </c>
      <c r="B623" s="4" t="s">
        <v>603</v>
      </c>
      <c r="C623">
        <v>35.450841421088498</v>
      </c>
      <c r="D623">
        <v>4.3202805257106203</v>
      </c>
      <c r="E623">
        <v>3.0247041439753599</v>
      </c>
      <c r="F623">
        <v>4.1444294803157896E-3</v>
      </c>
      <c r="G623" t="s">
        <v>4</v>
      </c>
      <c r="H623">
        <v>35.450841421088498</v>
      </c>
      <c r="I623">
        <v>0.483834107178163</v>
      </c>
      <c r="J623">
        <v>6.1317943369353598</v>
      </c>
      <c r="K623" s="5">
        <v>8.51992034718178E-5</v>
      </c>
      <c r="L623" t="s">
        <v>4</v>
      </c>
      <c r="M623">
        <v>4.3202805257106203</v>
      </c>
      <c r="N623">
        <v>0.483834107178163</v>
      </c>
      <c r="O623">
        <v>3.1070901929599999</v>
      </c>
      <c r="P623">
        <v>6.42041333329922E-2</v>
      </c>
      <c r="Q623" t="s">
        <v>4</v>
      </c>
      <c r="R623" s="4" t="s">
        <v>87</v>
      </c>
      <c r="S623" t="s">
        <v>4</v>
      </c>
      <c r="T623" t="s">
        <v>92</v>
      </c>
      <c r="U623" t="s">
        <v>92</v>
      </c>
      <c r="V623" t="s">
        <v>92</v>
      </c>
      <c r="W623" t="s">
        <v>92</v>
      </c>
      <c r="X623" t="s">
        <v>4</v>
      </c>
      <c r="Y623" t="s">
        <v>92</v>
      </c>
      <c r="Z623" t="s">
        <v>92</v>
      </c>
      <c r="AA623" t="s">
        <v>92</v>
      </c>
      <c r="AB623" t="s">
        <v>4</v>
      </c>
      <c r="AC623" s="3" t="s">
        <v>93</v>
      </c>
      <c r="AD623" t="s">
        <v>4</v>
      </c>
      <c r="AE623" s="4" t="s">
        <v>94</v>
      </c>
      <c r="AZ623" t="s">
        <v>4</v>
      </c>
      <c r="BA623" s="3" t="s">
        <v>95</v>
      </c>
      <c r="BB623" s="6" t="s">
        <v>95</v>
      </c>
      <c r="BC623" s="3" t="s">
        <v>95</v>
      </c>
      <c r="BD623" t="s">
        <v>4</v>
      </c>
      <c r="BE623">
        <v>754</v>
      </c>
      <c r="BF623" t="s">
        <v>604</v>
      </c>
      <c r="BH623">
        <v>85.507199999999997</v>
      </c>
      <c r="CK623">
        <v>1.5</v>
      </c>
      <c r="CL623" t="s">
        <v>4</v>
      </c>
      <c r="CM623" t="s">
        <v>98</v>
      </c>
      <c r="CN623" t="s">
        <v>98</v>
      </c>
      <c r="CO623" t="s">
        <v>99</v>
      </c>
      <c r="CP623">
        <v>64</v>
      </c>
      <c r="CQ623" t="s">
        <v>100</v>
      </c>
      <c r="CR623" t="s">
        <v>100</v>
      </c>
      <c r="CS623" t="s">
        <v>101</v>
      </c>
      <c r="CT623" t="s">
        <v>100</v>
      </c>
      <c r="CU623" t="s">
        <v>102</v>
      </c>
      <c r="CV623" t="s">
        <v>100</v>
      </c>
    </row>
    <row r="624" spans="1:100">
      <c r="A624" s="3" t="s">
        <v>605</v>
      </c>
      <c r="B624" s="4" t="s">
        <v>606</v>
      </c>
      <c r="C624">
        <v>27.235100226648001</v>
      </c>
      <c r="D624">
        <v>2.73154402437974</v>
      </c>
      <c r="E624">
        <v>3.2926425571550402</v>
      </c>
      <c r="F624">
        <v>9.9141881679133399E-4</v>
      </c>
      <c r="G624" t="s">
        <v>4</v>
      </c>
      <c r="H624">
        <v>27.235100226648001</v>
      </c>
      <c r="I624">
        <v>0.82085186003408706</v>
      </c>
      <c r="J624">
        <v>4.9272196715189596</v>
      </c>
      <c r="K624">
        <v>3.3224839131276398E-4</v>
      </c>
      <c r="L624" t="s">
        <v>4</v>
      </c>
      <c r="M624">
        <v>2.73154402437974</v>
      </c>
      <c r="N624">
        <v>0.82085186003408706</v>
      </c>
      <c r="O624">
        <v>1.6345771143639201</v>
      </c>
      <c r="P624">
        <v>0.30841627531385402</v>
      </c>
      <c r="Q624" t="s">
        <v>4</v>
      </c>
      <c r="R624" s="4" t="s">
        <v>87</v>
      </c>
      <c r="S624" t="s">
        <v>4</v>
      </c>
      <c r="T624" t="s">
        <v>88</v>
      </c>
      <c r="U624" t="s">
        <v>89</v>
      </c>
      <c r="V624" t="s">
        <v>90</v>
      </c>
      <c r="W624" t="s">
        <v>91</v>
      </c>
      <c r="X624" t="s">
        <v>4</v>
      </c>
      <c r="Y624" t="s">
        <v>92</v>
      </c>
      <c r="Z624" t="s">
        <v>92</v>
      </c>
      <c r="AA624" t="s">
        <v>92</v>
      </c>
      <c r="AB624" t="s">
        <v>4</v>
      </c>
      <c r="AC624" s="3" t="s">
        <v>93</v>
      </c>
      <c r="AD624" t="s">
        <v>4</v>
      </c>
      <c r="AE624" s="4" t="s">
        <v>94</v>
      </c>
      <c r="AZ624" t="s">
        <v>4</v>
      </c>
      <c r="BA624" s="3" t="s">
        <v>95</v>
      </c>
      <c r="BB624" t="s">
        <v>96</v>
      </c>
      <c r="BC624" s="3" t="s">
        <v>95</v>
      </c>
      <c r="BD624" t="s">
        <v>4</v>
      </c>
      <c r="BE624">
        <v>1554</v>
      </c>
      <c r="BF624" t="s">
        <v>151</v>
      </c>
      <c r="BG624">
        <v>79.861099999999993</v>
      </c>
      <c r="BH624">
        <v>75.694400000000002</v>
      </c>
      <c r="BI624">
        <v>56.25</v>
      </c>
      <c r="BN624">
        <v>31.944400000000002</v>
      </c>
      <c r="BO624">
        <v>33.333300000000001</v>
      </c>
      <c r="CK624">
        <v>2</v>
      </c>
      <c r="CL624" t="s">
        <v>4</v>
      </c>
      <c r="CM624" t="s">
        <v>98</v>
      </c>
      <c r="CN624" t="s">
        <v>98</v>
      </c>
      <c r="CO624" t="s">
        <v>99</v>
      </c>
      <c r="CP624">
        <v>65</v>
      </c>
      <c r="CQ624" t="s">
        <v>100</v>
      </c>
      <c r="CR624" t="s">
        <v>100</v>
      </c>
      <c r="CS624" t="s">
        <v>101</v>
      </c>
      <c r="CT624" t="s">
        <v>100</v>
      </c>
      <c r="CU624" t="s">
        <v>102</v>
      </c>
      <c r="CV624" t="s">
        <v>100</v>
      </c>
    </row>
    <row r="625" spans="1:100">
      <c r="A625" s="3" t="s">
        <v>607</v>
      </c>
      <c r="B625" s="4" t="s">
        <v>608</v>
      </c>
      <c r="C625">
        <v>83.598931399571498</v>
      </c>
      <c r="D625">
        <v>18.377771197630199</v>
      </c>
      <c r="E625">
        <v>2.17890710979596</v>
      </c>
      <c r="F625" s="5">
        <v>5.6532978219816699E-6</v>
      </c>
      <c r="G625" t="s">
        <v>4</v>
      </c>
      <c r="H625">
        <v>83.598931399571498</v>
      </c>
      <c r="I625">
        <v>5.9048579473585301</v>
      </c>
      <c r="J625">
        <v>3.7510521428928199</v>
      </c>
      <c r="K625" s="5">
        <v>1.5455244368031699E-10</v>
      </c>
      <c r="L625" t="s">
        <v>4</v>
      </c>
      <c r="M625">
        <v>18.377771197630199</v>
      </c>
      <c r="N625">
        <v>5.9048579473585301</v>
      </c>
      <c r="O625">
        <v>1.57214503309687</v>
      </c>
      <c r="P625">
        <v>1.4135567677713101E-2</v>
      </c>
      <c r="Q625" t="s">
        <v>4</v>
      </c>
      <c r="R625" s="4" t="s">
        <v>87</v>
      </c>
      <c r="S625" t="s">
        <v>4</v>
      </c>
      <c r="T625" t="s">
        <v>92</v>
      </c>
      <c r="U625" t="s">
        <v>92</v>
      </c>
      <c r="V625" t="s">
        <v>92</v>
      </c>
      <c r="W625" t="s">
        <v>92</v>
      </c>
      <c r="X625" t="s">
        <v>4</v>
      </c>
      <c r="Y625" t="s">
        <v>92</v>
      </c>
      <c r="Z625" t="s">
        <v>92</v>
      </c>
      <c r="AA625" t="s">
        <v>92</v>
      </c>
      <c r="AB625" t="s">
        <v>4</v>
      </c>
      <c r="AC625" s="3" t="s">
        <v>93</v>
      </c>
      <c r="AD625" t="s">
        <v>4</v>
      </c>
      <c r="AE625" s="4" t="s">
        <v>94</v>
      </c>
      <c r="AZ625" t="s">
        <v>4</v>
      </c>
      <c r="BA625" s="3" t="s">
        <v>95</v>
      </c>
      <c r="BB625" s="6" t="s">
        <v>95</v>
      </c>
      <c r="BC625" s="3" t="s">
        <v>95</v>
      </c>
      <c r="BD625" t="s">
        <v>4</v>
      </c>
      <c r="BE625">
        <v>503</v>
      </c>
      <c r="BF625" t="s">
        <v>322</v>
      </c>
      <c r="CK625">
        <v>1</v>
      </c>
      <c r="CL625" t="s">
        <v>4</v>
      </c>
      <c r="CM625" t="s">
        <v>98</v>
      </c>
      <c r="CN625" t="s">
        <v>98</v>
      </c>
      <c r="CO625" t="s">
        <v>99</v>
      </c>
      <c r="CP625">
        <v>66</v>
      </c>
      <c r="CQ625" t="s">
        <v>100</v>
      </c>
      <c r="CR625" t="s">
        <v>100</v>
      </c>
      <c r="CS625" t="s">
        <v>101</v>
      </c>
      <c r="CT625" s="7" t="s">
        <v>152</v>
      </c>
      <c r="CU625" t="s">
        <v>102</v>
      </c>
      <c r="CV625" t="s">
        <v>100</v>
      </c>
    </row>
    <row r="626" spans="1:100">
      <c r="A626" s="3" t="s">
        <v>609</v>
      </c>
      <c r="B626" s="4" t="s">
        <v>610</v>
      </c>
      <c r="C626">
        <v>80.459584172694704</v>
      </c>
      <c r="D626">
        <v>14.8069433077338</v>
      </c>
      <c r="E626">
        <v>2.43577841405869</v>
      </c>
      <c r="F626">
        <v>4.7929787722697298E-4</v>
      </c>
      <c r="G626" t="s">
        <v>4</v>
      </c>
      <c r="H626">
        <v>80.459584172694704</v>
      </c>
      <c r="I626">
        <v>19.228689106437599</v>
      </c>
      <c r="J626">
        <v>2.02779900143751</v>
      </c>
      <c r="K626">
        <v>3.3511087671309098E-3</v>
      </c>
      <c r="L626" t="s">
        <v>4</v>
      </c>
      <c r="M626">
        <v>14.8069433077338</v>
      </c>
      <c r="N626">
        <v>19.228689106437599</v>
      </c>
      <c r="O626">
        <f>0.407979412621186</f>
        <v>0.40797941262118598</v>
      </c>
      <c r="P626">
        <v>0.62937560255438996</v>
      </c>
      <c r="Q626" t="s">
        <v>4</v>
      </c>
      <c r="R626" s="4" t="s">
        <v>87</v>
      </c>
      <c r="S626" t="s">
        <v>4</v>
      </c>
      <c r="T626" t="s">
        <v>92</v>
      </c>
      <c r="U626" t="s">
        <v>92</v>
      </c>
      <c r="V626" t="s">
        <v>92</v>
      </c>
      <c r="W626" t="s">
        <v>92</v>
      </c>
      <c r="X626" t="s">
        <v>4</v>
      </c>
      <c r="Y626" t="s">
        <v>92</v>
      </c>
      <c r="Z626" t="s">
        <v>92</v>
      </c>
      <c r="AA626" t="s">
        <v>92</v>
      </c>
      <c r="AB626" t="s">
        <v>4</v>
      </c>
      <c r="AC626" s="3" t="s">
        <v>93</v>
      </c>
      <c r="AD626" t="s">
        <v>4</v>
      </c>
      <c r="AE626" s="4" t="s">
        <v>94</v>
      </c>
      <c r="AZ626" t="s">
        <v>4</v>
      </c>
      <c r="BA626" s="3" t="s">
        <v>95</v>
      </c>
      <c r="BB626" t="s">
        <v>96</v>
      </c>
      <c r="BC626" s="3" t="s">
        <v>95</v>
      </c>
      <c r="BD626" t="s">
        <v>4</v>
      </c>
      <c r="BE626">
        <v>1112</v>
      </c>
      <c r="BF626" t="s">
        <v>151</v>
      </c>
      <c r="BG626">
        <v>61.818199999999997</v>
      </c>
      <c r="BH626">
        <v>80</v>
      </c>
      <c r="BI626">
        <v>67.636399999999995</v>
      </c>
      <c r="BO626">
        <v>42.181800000000003</v>
      </c>
      <c r="CK626">
        <v>2</v>
      </c>
      <c r="CL626" t="s">
        <v>4</v>
      </c>
      <c r="CM626" t="s">
        <v>98</v>
      </c>
      <c r="CN626" t="s">
        <v>98</v>
      </c>
      <c r="CO626" t="s">
        <v>99</v>
      </c>
      <c r="CP626">
        <v>67</v>
      </c>
      <c r="CQ626" t="s">
        <v>100</v>
      </c>
      <c r="CR626" t="s">
        <v>100</v>
      </c>
      <c r="CS626" t="s">
        <v>101</v>
      </c>
      <c r="CT626" t="s">
        <v>100</v>
      </c>
      <c r="CU626" t="s">
        <v>102</v>
      </c>
      <c r="CV626" t="s">
        <v>100</v>
      </c>
    </row>
    <row r="627" spans="1:100">
      <c r="A627" s="3" t="s">
        <v>611</v>
      </c>
      <c r="B627" s="4" t="s">
        <v>612</v>
      </c>
      <c r="C627">
        <v>137.59003180061299</v>
      </c>
      <c r="D627">
        <v>26.770063364657599</v>
      </c>
      <c r="E627">
        <v>2.3685209764826798</v>
      </c>
      <c r="F627" s="5">
        <v>3.7308624782084999E-6</v>
      </c>
      <c r="G627" t="s">
        <v>4</v>
      </c>
      <c r="H627">
        <v>137.59003180061299</v>
      </c>
      <c r="I627">
        <v>11.7784094233033</v>
      </c>
      <c r="J627">
        <v>3.5226362203578301</v>
      </c>
      <c r="K627" s="5">
        <v>1.8050502430637801E-10</v>
      </c>
      <c r="L627" t="s">
        <v>4</v>
      </c>
      <c r="M627">
        <v>26.770063364657599</v>
      </c>
      <c r="N627">
        <v>11.7784094233033</v>
      </c>
      <c r="O627">
        <v>1.1541152438751501</v>
      </c>
      <c r="P627">
        <v>5.9385401662417202E-2</v>
      </c>
      <c r="Q627" t="s">
        <v>4</v>
      </c>
      <c r="R627" s="4" t="s">
        <v>87</v>
      </c>
      <c r="S627" t="s">
        <v>4</v>
      </c>
      <c r="T627" t="s">
        <v>88</v>
      </c>
      <c r="U627" t="s">
        <v>89</v>
      </c>
      <c r="V627" t="s">
        <v>90</v>
      </c>
      <c r="W627" t="s">
        <v>91</v>
      </c>
      <c r="X627" t="s">
        <v>4</v>
      </c>
      <c r="Y627" t="s">
        <v>92</v>
      </c>
      <c r="Z627" t="s">
        <v>92</v>
      </c>
      <c r="AA627" t="s">
        <v>92</v>
      </c>
      <c r="AB627" t="s">
        <v>4</v>
      </c>
      <c r="AC627" s="3" t="s">
        <v>93</v>
      </c>
      <c r="AD627" t="s">
        <v>4</v>
      </c>
      <c r="AE627" s="4" t="s">
        <v>94</v>
      </c>
      <c r="AZ627" t="s">
        <v>4</v>
      </c>
      <c r="BA627" s="3" t="s">
        <v>95</v>
      </c>
      <c r="BB627" t="s">
        <v>96</v>
      </c>
      <c r="BC627" s="3" t="s">
        <v>95</v>
      </c>
      <c r="BD627" t="s">
        <v>4</v>
      </c>
      <c r="BE627">
        <v>167</v>
      </c>
      <c r="BF627" t="s">
        <v>322</v>
      </c>
      <c r="CK627">
        <v>1</v>
      </c>
      <c r="CL627" t="s">
        <v>4</v>
      </c>
      <c r="CM627" t="s">
        <v>98</v>
      </c>
      <c r="CN627" t="s">
        <v>98</v>
      </c>
      <c r="CO627" t="s">
        <v>99</v>
      </c>
      <c r="CP627">
        <v>68</v>
      </c>
      <c r="CQ627" t="s">
        <v>100</v>
      </c>
      <c r="CR627" t="s">
        <v>100</v>
      </c>
      <c r="CS627" t="s">
        <v>101</v>
      </c>
      <c r="CT627" t="s">
        <v>100</v>
      </c>
      <c r="CU627" t="s">
        <v>102</v>
      </c>
      <c r="CV627" t="s">
        <v>100</v>
      </c>
    </row>
    <row r="628" spans="1:100">
      <c r="A628" s="3" t="s">
        <v>613</v>
      </c>
      <c r="B628" s="4" t="s">
        <v>614</v>
      </c>
      <c r="C628">
        <v>406.913193001227</v>
      </c>
      <c r="D628">
        <v>25.6394622076849</v>
      </c>
      <c r="E628">
        <v>3.9811980941086</v>
      </c>
      <c r="F628" s="5">
        <v>1.05951517474676E-16</v>
      </c>
      <c r="G628" t="s">
        <v>4</v>
      </c>
      <c r="H628">
        <v>406.913193001227</v>
      </c>
      <c r="I628">
        <v>23.057433557160099</v>
      </c>
      <c r="J628">
        <v>4.0877094436414696</v>
      </c>
      <c r="K628" s="5">
        <v>6.5827908980442204E-17</v>
      </c>
      <c r="L628" t="s">
        <v>4</v>
      </c>
      <c r="M628">
        <v>25.6394622076849</v>
      </c>
      <c r="N628">
        <v>23.057433557160099</v>
      </c>
      <c r="O628">
        <v>0.106511349532872</v>
      </c>
      <c r="P628">
        <v>0.87832474698549201</v>
      </c>
      <c r="Q628" t="s">
        <v>4</v>
      </c>
      <c r="R628" s="4" t="s">
        <v>87</v>
      </c>
      <c r="S628" t="s">
        <v>4</v>
      </c>
      <c r="T628" t="s">
        <v>92</v>
      </c>
      <c r="U628" t="s">
        <v>92</v>
      </c>
      <c r="V628" t="s">
        <v>92</v>
      </c>
      <c r="W628" t="s">
        <v>92</v>
      </c>
      <c r="X628" t="s">
        <v>4</v>
      </c>
      <c r="Y628" t="s">
        <v>615</v>
      </c>
      <c r="Z628" t="s">
        <v>616</v>
      </c>
      <c r="AA628" t="s">
        <v>617</v>
      </c>
      <c r="AB628" t="s">
        <v>4</v>
      </c>
      <c r="AC628" s="3" t="s">
        <v>93</v>
      </c>
      <c r="AD628" t="s">
        <v>4</v>
      </c>
      <c r="AE628" t="s">
        <v>618</v>
      </c>
      <c r="AF628" t="s">
        <v>619</v>
      </c>
      <c r="AG628" t="s">
        <v>620</v>
      </c>
      <c r="AH628" t="s">
        <v>112</v>
      </c>
      <c r="AU628" t="s">
        <v>112</v>
      </c>
      <c r="AV628" t="s">
        <v>621</v>
      </c>
      <c r="AW628" t="s">
        <v>114</v>
      </c>
      <c r="AX628" t="s">
        <v>144</v>
      </c>
      <c r="AY628" t="s">
        <v>622</v>
      </c>
      <c r="AZ628" t="s">
        <v>4</v>
      </c>
      <c r="BA628" s="3" t="s">
        <v>95</v>
      </c>
      <c r="BB628" s="6" t="s">
        <v>95</v>
      </c>
      <c r="BC628" s="3" t="s">
        <v>95</v>
      </c>
      <c r="BD628" t="s">
        <v>4</v>
      </c>
      <c r="BE628">
        <v>5891</v>
      </c>
      <c r="BF628" t="s">
        <v>213</v>
      </c>
      <c r="BJ628">
        <v>49.625900000000001</v>
      </c>
      <c r="BM628">
        <v>24.688300000000002</v>
      </c>
      <c r="BN628">
        <v>37.655900000000003</v>
      </c>
      <c r="BO628">
        <v>29.177099999999999</v>
      </c>
      <c r="BP628">
        <v>23.940100000000001</v>
      </c>
      <c r="BR628">
        <v>18.703199999999999</v>
      </c>
      <c r="BS628">
        <v>15.960100000000001</v>
      </c>
      <c r="BU628">
        <v>18.204499999999999</v>
      </c>
      <c r="BV628" t="s">
        <v>623</v>
      </c>
      <c r="BW628">
        <v>12.967599999999999</v>
      </c>
      <c r="BX628">
        <v>18.9526</v>
      </c>
      <c r="BY628">
        <v>16.209499999999998</v>
      </c>
      <c r="CA628">
        <v>18.204499999999999</v>
      </c>
      <c r="CF628">
        <v>14.214499999999999</v>
      </c>
      <c r="CG628">
        <v>13.4663</v>
      </c>
      <c r="CH628">
        <v>13.4663</v>
      </c>
      <c r="CI628">
        <v>13.4663</v>
      </c>
      <c r="CK628">
        <v>8</v>
      </c>
      <c r="CL628" t="s">
        <v>4</v>
      </c>
      <c r="CM628" t="s">
        <v>624</v>
      </c>
      <c r="CN628" t="s">
        <v>625</v>
      </c>
      <c r="CO628" t="s">
        <v>219</v>
      </c>
      <c r="CP628">
        <v>69</v>
      </c>
      <c r="CQ628" t="s">
        <v>100</v>
      </c>
      <c r="CR628" t="s">
        <v>100</v>
      </c>
      <c r="CS628" t="s">
        <v>101</v>
      </c>
      <c r="CT628" t="s">
        <v>100</v>
      </c>
      <c r="CU628" t="s">
        <v>102</v>
      </c>
      <c r="CV628" t="s">
        <v>100</v>
      </c>
    </row>
    <row r="629" spans="1:100">
      <c r="A629" s="3" t="s">
        <v>626</v>
      </c>
      <c r="B629" s="4" t="s">
        <v>627</v>
      </c>
      <c r="C629">
        <v>72.2159737479368</v>
      </c>
      <c r="D629">
        <v>8.1073905383575404</v>
      </c>
      <c r="E629">
        <v>3.1670852340681699</v>
      </c>
      <c r="F629" s="5">
        <v>2.8123245921338301E-5</v>
      </c>
      <c r="G629" t="s">
        <v>4</v>
      </c>
      <c r="H629">
        <v>72.2159737479368</v>
      </c>
      <c r="I629">
        <v>14.361057535204299</v>
      </c>
      <c r="J629">
        <v>2.3533698262514502</v>
      </c>
      <c r="K629">
        <v>1.49675471624262E-3</v>
      </c>
      <c r="L629" t="s">
        <v>4</v>
      </c>
      <c r="M629">
        <v>8.1073905383575404</v>
      </c>
      <c r="N629">
        <v>14.361057535204299</v>
      </c>
      <c r="O629">
        <f>0.81371540781672</f>
        <v>0.81371540781672003</v>
      </c>
      <c r="P629">
        <v>0.35490201032208901</v>
      </c>
      <c r="Q629" t="s">
        <v>4</v>
      </c>
      <c r="R629" s="4" t="s">
        <v>87</v>
      </c>
      <c r="S629" t="s">
        <v>4</v>
      </c>
      <c r="T629" t="s">
        <v>628</v>
      </c>
      <c r="U629" t="s">
        <v>629</v>
      </c>
      <c r="V629" t="s">
        <v>630</v>
      </c>
      <c r="W629" t="s">
        <v>328</v>
      </c>
      <c r="X629" t="s">
        <v>4</v>
      </c>
      <c r="Y629" t="s">
        <v>631</v>
      </c>
      <c r="Z629" t="s">
        <v>632</v>
      </c>
      <c r="AA629" t="s">
        <v>633</v>
      </c>
      <c r="AB629" t="s">
        <v>4</v>
      </c>
      <c r="AC629" s="3" t="s">
        <v>634</v>
      </c>
      <c r="AD629" t="s">
        <v>4</v>
      </c>
      <c r="AE629" t="s">
        <v>635</v>
      </c>
      <c r="AF629" t="s">
        <v>636</v>
      </c>
      <c r="AG629" t="s">
        <v>637</v>
      </c>
      <c r="AH629" t="s">
        <v>638</v>
      </c>
      <c r="AI629" t="s">
        <v>639</v>
      </c>
      <c r="AL629" t="s">
        <v>640</v>
      </c>
      <c r="AQ629" t="s">
        <v>641</v>
      </c>
      <c r="AR629" t="s">
        <v>642</v>
      </c>
      <c r="AU629" t="s">
        <v>112</v>
      </c>
      <c r="AV629" t="s">
        <v>643</v>
      </c>
      <c r="AW629" t="s">
        <v>114</v>
      </c>
      <c r="AX629" t="s">
        <v>132</v>
      </c>
      <c r="AY629" t="s">
        <v>644</v>
      </c>
      <c r="AZ629" t="s">
        <v>4</v>
      </c>
      <c r="BA629" s="3" t="s">
        <v>95</v>
      </c>
      <c r="BB629" t="s">
        <v>96</v>
      </c>
      <c r="BC629" s="3" t="s">
        <v>197</v>
      </c>
      <c r="BD629" t="s">
        <v>4</v>
      </c>
      <c r="BE629">
        <v>4742</v>
      </c>
      <c r="BF629" t="s">
        <v>282</v>
      </c>
      <c r="BG629">
        <v>72.559899999999999</v>
      </c>
      <c r="BI629">
        <v>28.361000000000001</v>
      </c>
      <c r="BJ629">
        <v>20.2578</v>
      </c>
      <c r="BK629">
        <v>78.084699999999998</v>
      </c>
      <c r="BL629">
        <v>47.145499999999998</v>
      </c>
      <c r="BM629">
        <v>74.033100000000005</v>
      </c>
      <c r="BN629">
        <v>79.742199999999997</v>
      </c>
      <c r="BO629">
        <v>13.2597</v>
      </c>
      <c r="BP629">
        <v>54.327800000000003</v>
      </c>
      <c r="BQ629">
        <v>54.696100000000001</v>
      </c>
      <c r="BR629">
        <v>60.405200000000001</v>
      </c>
      <c r="BS629">
        <v>49.5396</v>
      </c>
      <c r="BT629">
        <v>39.226500000000001</v>
      </c>
      <c r="BW629">
        <v>20.073699999999999</v>
      </c>
      <c r="BX629">
        <v>58.011099999999999</v>
      </c>
      <c r="BY629">
        <v>51.749499999999998</v>
      </c>
      <c r="BZ629">
        <v>52.302</v>
      </c>
      <c r="CA629">
        <v>55.064500000000002</v>
      </c>
      <c r="CB629" t="s">
        <v>645</v>
      </c>
      <c r="CK629">
        <v>6</v>
      </c>
      <c r="CL629" t="s">
        <v>4</v>
      </c>
      <c r="CM629" t="s">
        <v>646</v>
      </c>
      <c r="CN629" t="s">
        <v>647</v>
      </c>
      <c r="CO629" t="s">
        <v>99</v>
      </c>
      <c r="CP629">
        <v>70</v>
      </c>
      <c r="CQ629" t="s">
        <v>100</v>
      </c>
      <c r="CR629" t="s">
        <v>100</v>
      </c>
      <c r="CS629" t="s">
        <v>101</v>
      </c>
      <c r="CT629" t="s">
        <v>100</v>
      </c>
      <c r="CU629" t="s">
        <v>102</v>
      </c>
      <c r="CV629" t="s">
        <v>100</v>
      </c>
    </row>
    <row r="630" spans="1:100">
      <c r="A630" s="3" t="s">
        <v>648</v>
      </c>
      <c r="B630" s="4" t="s">
        <v>649</v>
      </c>
      <c r="C630">
        <v>258.237780003377</v>
      </c>
      <c r="D630">
        <v>53.019162582327702</v>
      </c>
      <c r="E630">
        <v>2.28682058674053</v>
      </c>
      <c r="F630" s="5">
        <v>1.9605627248947501E-11</v>
      </c>
      <c r="G630" t="s">
        <v>4</v>
      </c>
      <c r="H630">
        <v>258.237780003377</v>
      </c>
      <c r="I630">
        <v>33.985700620977603</v>
      </c>
      <c r="J630">
        <v>2.9289936878581599</v>
      </c>
      <c r="K630" s="5">
        <v>2.7672123560602598E-16</v>
      </c>
      <c r="L630" t="s">
        <v>4</v>
      </c>
      <c r="M630">
        <v>53.019162582327702</v>
      </c>
      <c r="N630">
        <v>33.985700620977603</v>
      </c>
      <c r="O630">
        <v>0.64217310111762704</v>
      </c>
      <c r="P630">
        <v>0.117225918910879</v>
      </c>
      <c r="Q630" t="s">
        <v>4</v>
      </c>
      <c r="R630" s="4" t="s">
        <v>87</v>
      </c>
      <c r="S630" t="s">
        <v>4</v>
      </c>
      <c r="T630" t="s">
        <v>92</v>
      </c>
      <c r="U630" t="s">
        <v>92</v>
      </c>
      <c r="V630" t="s">
        <v>92</v>
      </c>
      <c r="W630" t="s">
        <v>92</v>
      </c>
      <c r="X630" t="s">
        <v>4</v>
      </c>
      <c r="Y630" t="s">
        <v>650</v>
      </c>
      <c r="Z630" t="s">
        <v>651</v>
      </c>
      <c r="AA630" t="s">
        <v>652</v>
      </c>
      <c r="AB630" t="s">
        <v>4</v>
      </c>
      <c r="AC630" s="3" t="s">
        <v>653</v>
      </c>
      <c r="AD630" t="s">
        <v>4</v>
      </c>
      <c r="AE630" t="s">
        <v>654</v>
      </c>
      <c r="AF630" t="s">
        <v>655</v>
      </c>
      <c r="AG630" t="s">
        <v>656</v>
      </c>
      <c r="AH630" t="s">
        <v>112</v>
      </c>
      <c r="AU630" t="s">
        <v>112</v>
      </c>
      <c r="AV630" t="s">
        <v>657</v>
      </c>
      <c r="AW630" t="s">
        <v>114</v>
      </c>
      <c r="AX630" t="s">
        <v>144</v>
      </c>
      <c r="AY630" t="s">
        <v>658</v>
      </c>
      <c r="AZ630" t="s">
        <v>4</v>
      </c>
      <c r="BA630" s="3" t="s">
        <v>95</v>
      </c>
      <c r="BB630" t="s">
        <v>96</v>
      </c>
      <c r="BC630" s="3" t="s">
        <v>95</v>
      </c>
      <c r="BD630" t="s">
        <v>4</v>
      </c>
      <c r="BE630">
        <v>3185</v>
      </c>
      <c r="BF630" t="s">
        <v>112</v>
      </c>
      <c r="BG630">
        <v>92.235299999999995</v>
      </c>
      <c r="BH630">
        <v>99.058800000000005</v>
      </c>
      <c r="BI630">
        <v>91.529399999999995</v>
      </c>
      <c r="BK630">
        <v>76.235299999999995</v>
      </c>
      <c r="BM630">
        <v>49.411799999999999</v>
      </c>
      <c r="BN630">
        <v>57.882399999999997</v>
      </c>
      <c r="BO630">
        <v>77.647099999999995</v>
      </c>
      <c r="BP630">
        <v>36.7059</v>
      </c>
      <c r="BQ630">
        <v>20.470600000000001</v>
      </c>
      <c r="BR630">
        <v>23.764700000000001</v>
      </c>
      <c r="BW630" t="s">
        <v>659</v>
      </c>
      <c r="BX630">
        <v>23.2941</v>
      </c>
      <c r="CA630" t="s">
        <v>660</v>
      </c>
      <c r="CK630">
        <v>5</v>
      </c>
      <c r="CL630" t="s">
        <v>4</v>
      </c>
      <c r="CM630" t="s">
        <v>661</v>
      </c>
      <c r="CN630" t="s">
        <v>662</v>
      </c>
      <c r="CO630" t="s">
        <v>663</v>
      </c>
      <c r="CP630">
        <v>71</v>
      </c>
      <c r="CQ630" t="s">
        <v>100</v>
      </c>
      <c r="CR630" t="s">
        <v>100</v>
      </c>
      <c r="CS630" t="s">
        <v>101</v>
      </c>
      <c r="CT630" t="s">
        <v>100</v>
      </c>
      <c r="CU630" t="s">
        <v>102</v>
      </c>
      <c r="CV630" t="s">
        <v>100</v>
      </c>
    </row>
    <row r="631" spans="1:100">
      <c r="A631" s="3" t="s">
        <v>664</v>
      </c>
      <c r="B631" s="4" t="s">
        <v>665</v>
      </c>
      <c r="C631">
        <v>49.648285700405403</v>
      </c>
      <c r="D631">
        <v>12.3637754470214</v>
      </c>
      <c r="E631">
        <v>2.0079729743810999</v>
      </c>
      <c r="F631">
        <v>7.2145641513805597E-3</v>
      </c>
      <c r="G631" t="s">
        <v>4</v>
      </c>
      <c r="H631">
        <v>49.648285700405403</v>
      </c>
      <c r="I631">
        <v>9.69021735386956</v>
      </c>
      <c r="J631">
        <v>2.32573778282597</v>
      </c>
      <c r="K631">
        <v>2.1237814451160902E-3</v>
      </c>
      <c r="L631" t="s">
        <v>4</v>
      </c>
      <c r="M631">
        <v>12.3637754470214</v>
      </c>
      <c r="N631">
        <v>9.69021735386956</v>
      </c>
      <c r="O631">
        <v>0.31776480844487598</v>
      </c>
      <c r="P631">
        <v>0.73857390377368703</v>
      </c>
      <c r="Q631" t="s">
        <v>4</v>
      </c>
      <c r="R631" s="4" t="s">
        <v>87</v>
      </c>
      <c r="S631" t="s">
        <v>4</v>
      </c>
      <c r="T631" t="s">
        <v>88</v>
      </c>
      <c r="U631" t="s">
        <v>89</v>
      </c>
      <c r="V631" t="s">
        <v>90</v>
      </c>
      <c r="W631" t="s">
        <v>91</v>
      </c>
      <c r="X631" t="s">
        <v>4</v>
      </c>
      <c r="Y631" t="s">
        <v>92</v>
      </c>
      <c r="Z631" t="s">
        <v>92</v>
      </c>
      <c r="AA631" t="s">
        <v>92</v>
      </c>
      <c r="AB631" t="s">
        <v>4</v>
      </c>
      <c r="AC631" s="3" t="s">
        <v>93</v>
      </c>
      <c r="AD631" t="s">
        <v>4</v>
      </c>
      <c r="AE631" s="4" t="s">
        <v>94</v>
      </c>
      <c r="AZ631" t="s">
        <v>4</v>
      </c>
      <c r="BA631" s="3" t="s">
        <v>95</v>
      </c>
      <c r="BB631" t="s">
        <v>96</v>
      </c>
      <c r="BC631" s="3" t="s">
        <v>95</v>
      </c>
      <c r="BD631" t="s">
        <v>4</v>
      </c>
      <c r="BE631">
        <v>1859</v>
      </c>
      <c r="BF631" t="s">
        <v>148</v>
      </c>
      <c r="BG631">
        <v>90.575900000000004</v>
      </c>
      <c r="BH631">
        <v>94.240799999999993</v>
      </c>
      <c r="BI631">
        <v>86.3874</v>
      </c>
      <c r="BJ631">
        <v>68.586399999999998</v>
      </c>
      <c r="BK631">
        <v>41.884799999999998</v>
      </c>
      <c r="BO631">
        <v>57.068100000000001</v>
      </c>
      <c r="CK631">
        <v>3</v>
      </c>
      <c r="CL631" t="s">
        <v>4</v>
      </c>
      <c r="CM631" t="s">
        <v>98</v>
      </c>
      <c r="CN631" t="s">
        <v>98</v>
      </c>
      <c r="CO631" t="s">
        <v>99</v>
      </c>
      <c r="CP631">
        <v>72</v>
      </c>
      <c r="CQ631" t="s">
        <v>100</v>
      </c>
      <c r="CR631" t="s">
        <v>100</v>
      </c>
      <c r="CS631" t="s">
        <v>101</v>
      </c>
      <c r="CT631" t="s">
        <v>100</v>
      </c>
      <c r="CU631" t="s">
        <v>102</v>
      </c>
      <c r="CV631" t="s">
        <v>100</v>
      </c>
    </row>
    <row r="632" spans="1:100">
      <c r="A632" s="3" t="s">
        <v>666</v>
      </c>
      <c r="B632" s="4" t="s">
        <v>667</v>
      </c>
      <c r="C632">
        <v>46.801437863633303</v>
      </c>
      <c r="D632">
        <v>10.3502307040212</v>
      </c>
      <c r="E632">
        <v>2.18754870341894</v>
      </c>
      <c r="F632">
        <v>6.0080293987326604E-3</v>
      </c>
      <c r="G632" t="s">
        <v>4</v>
      </c>
      <c r="H632">
        <v>46.801437863633303</v>
      </c>
      <c r="I632">
        <v>7.6186865061237299</v>
      </c>
      <c r="J632">
        <v>2.6426022097275799</v>
      </c>
      <c r="K632">
        <v>1.1996783209700199E-3</v>
      </c>
      <c r="L632" t="s">
        <v>4</v>
      </c>
      <c r="M632">
        <v>10.3502307040212</v>
      </c>
      <c r="N632">
        <v>7.6186865061237299</v>
      </c>
      <c r="O632">
        <v>0.455053506308639</v>
      </c>
      <c r="P632">
        <v>0.65068336417150396</v>
      </c>
      <c r="Q632" t="s">
        <v>4</v>
      </c>
      <c r="R632" s="4" t="s">
        <v>87</v>
      </c>
      <c r="S632" t="s">
        <v>4</v>
      </c>
      <c r="T632" t="s">
        <v>92</v>
      </c>
      <c r="U632" t="s">
        <v>92</v>
      </c>
      <c r="V632" t="s">
        <v>92</v>
      </c>
      <c r="W632" t="s">
        <v>92</v>
      </c>
      <c r="X632" t="s">
        <v>4</v>
      </c>
      <c r="Y632" t="s">
        <v>92</v>
      </c>
      <c r="Z632" t="s">
        <v>92</v>
      </c>
      <c r="AA632" t="s">
        <v>92</v>
      </c>
      <c r="AB632" t="s">
        <v>4</v>
      </c>
      <c r="AC632" s="3" t="s">
        <v>93</v>
      </c>
      <c r="AD632" t="s">
        <v>4</v>
      </c>
      <c r="AE632" s="4" t="s">
        <v>94</v>
      </c>
      <c r="AZ632" t="s">
        <v>4</v>
      </c>
      <c r="BA632" s="3" t="s">
        <v>95</v>
      </c>
      <c r="BB632" s="6" t="s">
        <v>95</v>
      </c>
      <c r="BC632" s="3" t="s">
        <v>95</v>
      </c>
      <c r="BD632" t="s">
        <v>4</v>
      </c>
      <c r="BE632">
        <v>1123</v>
      </c>
      <c r="BF632" t="s">
        <v>151</v>
      </c>
      <c r="CK632">
        <v>2</v>
      </c>
      <c r="CL632" t="s">
        <v>4</v>
      </c>
      <c r="CM632" t="s">
        <v>98</v>
      </c>
      <c r="CN632" t="s">
        <v>98</v>
      </c>
      <c r="CO632" t="s">
        <v>99</v>
      </c>
      <c r="CP632">
        <v>73</v>
      </c>
      <c r="CQ632" t="s">
        <v>100</v>
      </c>
      <c r="CR632" t="s">
        <v>100</v>
      </c>
      <c r="CS632" t="s">
        <v>101</v>
      </c>
      <c r="CT632" t="s">
        <v>100</v>
      </c>
      <c r="CU632" t="s">
        <v>102</v>
      </c>
      <c r="CV632" t="s">
        <v>100</v>
      </c>
    </row>
    <row r="633" spans="1:100">
      <c r="A633" s="3" t="s">
        <v>668</v>
      </c>
      <c r="B633" s="4" t="s">
        <v>669</v>
      </c>
      <c r="C633">
        <v>49.292698650874698</v>
      </c>
      <c r="D633">
        <v>7.5124586021989099</v>
      </c>
      <c r="E633">
        <v>2.71157480411259</v>
      </c>
      <c r="F633">
        <v>8.7080645781818702E-3</v>
      </c>
      <c r="G633" t="s">
        <v>4</v>
      </c>
      <c r="H633">
        <v>49.292698650874698</v>
      </c>
      <c r="I633">
        <v>6.4547776068348801</v>
      </c>
      <c r="J633">
        <v>2.9619296744133199</v>
      </c>
      <c r="K633">
        <v>4.3673276609904601E-3</v>
      </c>
      <c r="L633" t="s">
        <v>4</v>
      </c>
      <c r="M633">
        <v>7.5124586021989099</v>
      </c>
      <c r="N633">
        <v>6.4547776068348801</v>
      </c>
      <c r="O633">
        <v>0.25035487030073</v>
      </c>
      <c r="P633">
        <v>0.85488875068505799</v>
      </c>
      <c r="Q633" t="s">
        <v>4</v>
      </c>
      <c r="R633" s="4" t="s">
        <v>87</v>
      </c>
      <c r="S633" t="s">
        <v>4</v>
      </c>
      <c r="T633" t="s">
        <v>92</v>
      </c>
      <c r="U633" t="s">
        <v>92</v>
      </c>
      <c r="V633" t="s">
        <v>92</v>
      </c>
      <c r="W633" t="s">
        <v>92</v>
      </c>
      <c r="X633" t="s">
        <v>4</v>
      </c>
      <c r="Y633" t="s">
        <v>670</v>
      </c>
      <c r="Z633" t="s">
        <v>671</v>
      </c>
      <c r="AA633" t="s">
        <v>672</v>
      </c>
      <c r="AB633" t="s">
        <v>4</v>
      </c>
      <c r="AC633" s="3" t="s">
        <v>93</v>
      </c>
      <c r="AD633" t="s">
        <v>4</v>
      </c>
      <c r="AE633" s="4" t="s">
        <v>94</v>
      </c>
      <c r="AZ633" t="s">
        <v>4</v>
      </c>
      <c r="BA633" s="3" t="s">
        <v>95</v>
      </c>
      <c r="BB633" s="6" t="s">
        <v>95</v>
      </c>
      <c r="BC633" s="3" t="s">
        <v>95</v>
      </c>
      <c r="BD633" t="s">
        <v>4</v>
      </c>
      <c r="BE633">
        <v>1560</v>
      </c>
      <c r="BF633" t="s">
        <v>151</v>
      </c>
      <c r="BH633">
        <v>84.210499999999996</v>
      </c>
      <c r="BI633">
        <v>86.184200000000004</v>
      </c>
      <c r="BJ633">
        <v>70.3947</v>
      </c>
      <c r="BK633">
        <v>59.210500000000003</v>
      </c>
      <c r="BL633">
        <v>46.052599999999998</v>
      </c>
      <c r="BN633">
        <v>63.157899999999998</v>
      </c>
      <c r="BO633">
        <v>46.052599999999998</v>
      </c>
      <c r="CK633">
        <v>2</v>
      </c>
      <c r="CL633" t="s">
        <v>4</v>
      </c>
      <c r="CM633" t="s">
        <v>98</v>
      </c>
      <c r="CN633" t="s">
        <v>98</v>
      </c>
      <c r="CO633" t="s">
        <v>99</v>
      </c>
      <c r="CP633">
        <v>74</v>
      </c>
      <c r="CQ633" t="s">
        <v>100</v>
      </c>
      <c r="CR633" t="s">
        <v>100</v>
      </c>
      <c r="CS633" t="s">
        <v>101</v>
      </c>
      <c r="CT633" t="s">
        <v>100</v>
      </c>
      <c r="CU633" t="s">
        <v>102</v>
      </c>
      <c r="CV633" t="s">
        <v>100</v>
      </c>
    </row>
    <row r="634" spans="1:100">
      <c r="A634" s="3" t="s">
        <v>673</v>
      </c>
      <c r="B634" s="4" t="s">
        <v>674</v>
      </c>
      <c r="C634">
        <v>1193.5509426077399</v>
      </c>
      <c r="D634">
        <v>148.630270219762</v>
      </c>
      <c r="E634">
        <v>3.00883466751415</v>
      </c>
      <c r="F634" s="5">
        <v>4.2321903272533498E-24</v>
      </c>
      <c r="G634" t="s">
        <v>4</v>
      </c>
      <c r="H634">
        <v>1193.5509426077399</v>
      </c>
      <c r="I634">
        <v>98.212703314916894</v>
      </c>
      <c r="J634">
        <v>3.6230229629253099</v>
      </c>
      <c r="K634" s="5">
        <v>3.7536040931785097E-33</v>
      </c>
      <c r="L634" t="s">
        <v>4</v>
      </c>
      <c r="M634">
        <v>148.630270219762</v>
      </c>
      <c r="N634">
        <v>98.212703314916894</v>
      </c>
      <c r="O634">
        <v>0.61418829541116204</v>
      </c>
      <c r="P634">
        <v>6.9713959119194993E-2</v>
      </c>
      <c r="Q634" t="s">
        <v>4</v>
      </c>
      <c r="R634" s="4" t="s">
        <v>87</v>
      </c>
      <c r="S634" t="s">
        <v>4</v>
      </c>
      <c r="T634" t="s">
        <v>675</v>
      </c>
      <c r="U634" t="s">
        <v>676</v>
      </c>
      <c r="V634" t="s">
        <v>677</v>
      </c>
      <c r="W634" t="s">
        <v>123</v>
      </c>
      <c r="X634" t="s">
        <v>4</v>
      </c>
      <c r="Y634" t="s">
        <v>678</v>
      </c>
      <c r="Z634" t="s">
        <v>679</v>
      </c>
      <c r="AA634" t="s">
        <v>680</v>
      </c>
      <c r="AB634" t="s">
        <v>4</v>
      </c>
      <c r="AC634" s="3" t="s">
        <v>681</v>
      </c>
      <c r="AD634" t="s">
        <v>4</v>
      </c>
      <c r="AE634" s="4" t="s">
        <v>94</v>
      </c>
      <c r="AZ634" t="s">
        <v>4</v>
      </c>
      <c r="BA634" s="3" t="s">
        <v>95</v>
      </c>
      <c r="BB634" s="6" t="s">
        <v>95</v>
      </c>
      <c r="BC634" s="3" t="s">
        <v>95</v>
      </c>
      <c r="BD634" t="s">
        <v>4</v>
      </c>
      <c r="BE634">
        <v>4639</v>
      </c>
      <c r="BF634" t="s">
        <v>112</v>
      </c>
      <c r="BI634">
        <v>80.701800000000006</v>
      </c>
      <c r="BJ634">
        <v>72.514600000000002</v>
      </c>
      <c r="BK634">
        <v>6.4327500000000004</v>
      </c>
      <c r="BO634">
        <v>65.789500000000004</v>
      </c>
      <c r="BP634">
        <v>12.5731</v>
      </c>
      <c r="CK634">
        <v>5</v>
      </c>
      <c r="CL634" t="s">
        <v>4</v>
      </c>
      <c r="CM634" t="s">
        <v>98</v>
      </c>
      <c r="CN634" t="s">
        <v>98</v>
      </c>
      <c r="CO634" t="s">
        <v>99</v>
      </c>
      <c r="CP634">
        <v>75</v>
      </c>
      <c r="CQ634" t="s">
        <v>100</v>
      </c>
      <c r="CR634" t="s">
        <v>100</v>
      </c>
      <c r="CS634" t="s">
        <v>101</v>
      </c>
      <c r="CT634" t="s">
        <v>100</v>
      </c>
      <c r="CU634" t="s">
        <v>102</v>
      </c>
      <c r="CV634" t="s">
        <v>100</v>
      </c>
    </row>
    <row r="635" spans="1:100">
      <c r="A635" s="3" t="s">
        <v>682</v>
      </c>
      <c r="B635" s="4" t="s">
        <v>683</v>
      </c>
      <c r="C635">
        <v>92.824027913077501</v>
      </c>
      <c r="D635">
        <v>18.228325819715199</v>
      </c>
      <c r="E635">
        <v>2.3509636715597999</v>
      </c>
      <c r="F635">
        <v>9.8770599312006397E-3</v>
      </c>
      <c r="G635" t="s">
        <v>4</v>
      </c>
      <c r="H635">
        <v>92.824027913077501</v>
      </c>
      <c r="I635">
        <v>6.2297971274167701</v>
      </c>
      <c r="J635">
        <v>3.8452507702085201</v>
      </c>
      <c r="K635" s="5">
        <v>4.0358415939146897E-5</v>
      </c>
      <c r="L635" t="s">
        <v>4</v>
      </c>
      <c r="M635">
        <v>18.228325819715199</v>
      </c>
      <c r="N635">
        <v>6.2297971274167701</v>
      </c>
      <c r="O635">
        <v>1.49428709864873</v>
      </c>
      <c r="P635">
        <v>0.14324738175221099</v>
      </c>
      <c r="Q635" t="s">
        <v>4</v>
      </c>
      <c r="R635" s="4" t="s">
        <v>87</v>
      </c>
      <c r="S635" t="s">
        <v>4</v>
      </c>
      <c r="T635" t="s">
        <v>684</v>
      </c>
      <c r="U635" t="s">
        <v>685</v>
      </c>
      <c r="V635" t="s">
        <v>686</v>
      </c>
      <c r="W635" t="s">
        <v>123</v>
      </c>
      <c r="X635" t="s">
        <v>4</v>
      </c>
      <c r="Y635" t="s">
        <v>687</v>
      </c>
      <c r="Z635" t="s">
        <v>688</v>
      </c>
      <c r="AA635" t="s">
        <v>689</v>
      </c>
      <c r="AB635" t="s">
        <v>4</v>
      </c>
      <c r="AC635" s="3" t="s">
        <v>690</v>
      </c>
      <c r="AD635" t="s">
        <v>4</v>
      </c>
      <c r="AE635" t="s">
        <v>691</v>
      </c>
      <c r="AF635" t="s">
        <v>692</v>
      </c>
      <c r="AG635" t="s">
        <v>693</v>
      </c>
      <c r="AH635" t="s">
        <v>112</v>
      </c>
      <c r="AK635" t="s">
        <v>694</v>
      </c>
      <c r="AL635" t="s">
        <v>695</v>
      </c>
      <c r="AM635" t="s">
        <v>696</v>
      </c>
      <c r="AO635" t="s">
        <v>697</v>
      </c>
      <c r="AP635" t="s">
        <v>698</v>
      </c>
      <c r="AQ635" t="s">
        <v>342</v>
      </c>
      <c r="AU635" t="s">
        <v>112</v>
      </c>
      <c r="AV635" t="s">
        <v>699</v>
      </c>
      <c r="AW635" t="s">
        <v>114</v>
      </c>
      <c r="AX635" t="s">
        <v>700</v>
      </c>
      <c r="AY635" t="s">
        <v>701</v>
      </c>
      <c r="AZ635" t="s">
        <v>4</v>
      </c>
      <c r="BA635" s="3" t="s">
        <v>95</v>
      </c>
      <c r="BB635" s="6" t="s">
        <v>95</v>
      </c>
      <c r="BC635" s="3" t="s">
        <v>95</v>
      </c>
      <c r="BD635" t="s">
        <v>4</v>
      </c>
      <c r="BE635">
        <v>8374</v>
      </c>
      <c r="BF635" t="s">
        <v>213</v>
      </c>
      <c r="BH635" t="s">
        <v>702</v>
      </c>
      <c r="BI635">
        <v>94.698400000000007</v>
      </c>
      <c r="BJ635">
        <v>87.568600000000004</v>
      </c>
      <c r="BK635">
        <v>69.469800000000006</v>
      </c>
      <c r="BL635">
        <v>34.003700000000002</v>
      </c>
      <c r="BM635">
        <v>56.124299999999998</v>
      </c>
      <c r="BN635">
        <v>83.546599999999998</v>
      </c>
      <c r="BO635">
        <v>71.298000000000002</v>
      </c>
      <c r="BP635" t="s">
        <v>703</v>
      </c>
      <c r="BR635">
        <v>44.9726</v>
      </c>
      <c r="BS635">
        <v>8.7751400000000004</v>
      </c>
      <c r="BX635">
        <v>31.261399999999998</v>
      </c>
      <c r="CB635">
        <v>40.950600000000001</v>
      </c>
      <c r="CC635">
        <v>39.670900000000003</v>
      </c>
      <c r="CD635" t="s">
        <v>704</v>
      </c>
      <c r="CE635" t="s">
        <v>705</v>
      </c>
      <c r="CF635">
        <v>39.853700000000003</v>
      </c>
      <c r="CG635" t="s">
        <v>706</v>
      </c>
      <c r="CH635" t="s">
        <v>707</v>
      </c>
      <c r="CI635" t="s">
        <v>708</v>
      </c>
      <c r="CK635">
        <v>8</v>
      </c>
      <c r="CL635" t="s">
        <v>4</v>
      </c>
      <c r="CM635" t="s">
        <v>98</v>
      </c>
      <c r="CN635" t="s">
        <v>98</v>
      </c>
      <c r="CO635" t="s">
        <v>99</v>
      </c>
      <c r="CP635">
        <v>76</v>
      </c>
      <c r="CQ635" t="s">
        <v>100</v>
      </c>
      <c r="CR635" t="s">
        <v>100</v>
      </c>
      <c r="CS635" t="s">
        <v>101</v>
      </c>
      <c r="CT635" t="s">
        <v>100</v>
      </c>
      <c r="CU635" t="s">
        <v>102</v>
      </c>
      <c r="CV635" t="s">
        <v>100</v>
      </c>
    </row>
    <row r="636" spans="1:100">
      <c r="A636" s="3" t="s">
        <v>709</v>
      </c>
      <c r="B636" s="4" t="s">
        <v>710</v>
      </c>
      <c r="C636">
        <v>40.065521910213597</v>
      </c>
      <c r="D636">
        <v>6.1072105281383697</v>
      </c>
      <c r="E636">
        <v>2.7227919405266801</v>
      </c>
      <c r="F636">
        <v>1.5481431141161899E-3</v>
      </c>
      <c r="G636" t="s">
        <v>4</v>
      </c>
      <c r="H636">
        <v>40.065521910213597</v>
      </c>
      <c r="I636">
        <v>4.0729528287566703</v>
      </c>
      <c r="J636">
        <v>3.2951295210758098</v>
      </c>
      <c r="K636">
        <v>3.3344613138012899E-4</v>
      </c>
      <c r="L636" t="s">
        <v>4</v>
      </c>
      <c r="M636">
        <v>6.1072105281383697</v>
      </c>
      <c r="N636">
        <v>4.0729528287566703</v>
      </c>
      <c r="O636">
        <v>0.57233758054913197</v>
      </c>
      <c r="P636">
        <v>0.61857418458635505</v>
      </c>
      <c r="Q636" t="s">
        <v>4</v>
      </c>
      <c r="R636" s="4" t="s">
        <v>87</v>
      </c>
      <c r="S636" t="s">
        <v>4</v>
      </c>
      <c r="T636" t="s">
        <v>92</v>
      </c>
      <c r="U636" t="s">
        <v>92</v>
      </c>
      <c r="V636" t="s">
        <v>92</v>
      </c>
      <c r="W636" t="s">
        <v>92</v>
      </c>
      <c r="X636" t="s">
        <v>4</v>
      </c>
      <c r="Y636" t="s">
        <v>711</v>
      </c>
      <c r="Z636" t="s">
        <v>712</v>
      </c>
      <c r="AA636" t="s">
        <v>713</v>
      </c>
      <c r="AB636" t="s">
        <v>4</v>
      </c>
      <c r="AC636" s="3" t="s">
        <v>93</v>
      </c>
      <c r="AD636" t="s">
        <v>4</v>
      </c>
      <c r="AE636" s="4" t="s">
        <v>94</v>
      </c>
      <c r="AZ636" t="s">
        <v>4</v>
      </c>
      <c r="BA636" s="3" t="s">
        <v>95</v>
      </c>
      <c r="BB636" s="6" t="s">
        <v>95</v>
      </c>
      <c r="BC636" s="3" t="s">
        <v>95</v>
      </c>
      <c r="BD636" t="s">
        <v>4</v>
      </c>
      <c r="BE636">
        <v>8377</v>
      </c>
      <c r="BF636" t="s">
        <v>213</v>
      </c>
      <c r="BG636">
        <v>32.4176</v>
      </c>
      <c r="CK636">
        <v>8</v>
      </c>
      <c r="CL636" t="s">
        <v>4</v>
      </c>
      <c r="CM636" t="s">
        <v>98</v>
      </c>
      <c r="CN636" t="s">
        <v>98</v>
      </c>
      <c r="CO636" t="s">
        <v>99</v>
      </c>
      <c r="CP636">
        <v>77</v>
      </c>
      <c r="CQ636" t="s">
        <v>100</v>
      </c>
      <c r="CR636" t="s">
        <v>100</v>
      </c>
      <c r="CS636" t="s">
        <v>101</v>
      </c>
      <c r="CT636" t="s">
        <v>100</v>
      </c>
      <c r="CU636" t="s">
        <v>102</v>
      </c>
      <c r="CV636" t="s">
        <v>100</v>
      </c>
    </row>
    <row r="637" spans="1:100">
      <c r="A637" s="3" t="s">
        <v>714</v>
      </c>
      <c r="B637" s="4" t="s">
        <v>715</v>
      </c>
      <c r="C637">
        <v>32.873801822283198</v>
      </c>
      <c r="D637">
        <v>5.3037524730609604</v>
      </c>
      <c r="E637">
        <v>2.6521418139710602</v>
      </c>
      <c r="F637">
        <v>7.3325713105771902E-3</v>
      </c>
      <c r="G637" t="s">
        <v>4</v>
      </c>
      <c r="H637">
        <v>32.873801822283198</v>
      </c>
      <c r="I637">
        <v>2.7622275751455798</v>
      </c>
      <c r="J637">
        <v>3.5760739915572799</v>
      </c>
      <c r="K637">
        <v>9.3568206776670801E-4</v>
      </c>
      <c r="L637" t="s">
        <v>4</v>
      </c>
      <c r="M637">
        <v>5.3037524730609604</v>
      </c>
      <c r="N637">
        <v>2.7622275751455798</v>
      </c>
      <c r="O637">
        <v>0.92393217758621504</v>
      </c>
      <c r="P637">
        <v>0.47096635005347998</v>
      </c>
      <c r="Q637" t="s">
        <v>4</v>
      </c>
      <c r="R637" s="4" t="s">
        <v>87</v>
      </c>
      <c r="S637" t="s">
        <v>4</v>
      </c>
      <c r="T637" t="s">
        <v>92</v>
      </c>
      <c r="U637" t="s">
        <v>92</v>
      </c>
      <c r="V637" t="s">
        <v>92</v>
      </c>
      <c r="W637" t="s">
        <v>92</v>
      </c>
      <c r="X637" t="s">
        <v>4</v>
      </c>
      <c r="Y637" t="s">
        <v>92</v>
      </c>
      <c r="Z637" t="s">
        <v>92</v>
      </c>
      <c r="AA637" t="s">
        <v>92</v>
      </c>
      <c r="AB637" t="s">
        <v>4</v>
      </c>
      <c r="AC637" s="3" t="s">
        <v>93</v>
      </c>
      <c r="AD637" t="s">
        <v>4</v>
      </c>
      <c r="AE637" s="4" t="s">
        <v>94</v>
      </c>
      <c r="AZ637" t="s">
        <v>4</v>
      </c>
      <c r="BA637" s="3" t="s">
        <v>95</v>
      </c>
      <c r="BB637" s="6" t="s">
        <v>95</v>
      </c>
      <c r="BC637" s="3" t="s">
        <v>95</v>
      </c>
      <c r="BD637" t="s">
        <v>4</v>
      </c>
      <c r="BE637">
        <v>8379</v>
      </c>
      <c r="BF637" t="s">
        <v>213</v>
      </c>
      <c r="BG637">
        <v>54.6539</v>
      </c>
      <c r="CK637">
        <v>8</v>
      </c>
      <c r="CL637" t="s">
        <v>4</v>
      </c>
      <c r="CM637" t="s">
        <v>98</v>
      </c>
      <c r="CN637" t="s">
        <v>98</v>
      </c>
      <c r="CO637" t="s">
        <v>99</v>
      </c>
      <c r="CP637">
        <v>78</v>
      </c>
      <c r="CQ637" t="s">
        <v>100</v>
      </c>
      <c r="CR637" t="s">
        <v>100</v>
      </c>
      <c r="CS637" t="s">
        <v>101</v>
      </c>
      <c r="CT637" t="s">
        <v>100</v>
      </c>
      <c r="CU637" t="s">
        <v>102</v>
      </c>
      <c r="CV637" t="s">
        <v>100</v>
      </c>
    </row>
    <row r="638" spans="1:100">
      <c r="A638" s="3" t="s">
        <v>716</v>
      </c>
      <c r="B638" s="4" t="s">
        <v>717</v>
      </c>
      <c r="C638">
        <v>178.78879610072099</v>
      </c>
      <c r="D638">
        <v>4.5236403357184498</v>
      </c>
      <c r="E638">
        <v>5.2755613741220104</v>
      </c>
      <c r="F638" s="5">
        <v>1.1290408626103501E-11</v>
      </c>
      <c r="G638" t="s">
        <v>4</v>
      </c>
      <c r="H638">
        <v>178.78879610072099</v>
      </c>
      <c r="I638">
        <v>6.65705757816625</v>
      </c>
      <c r="J638">
        <v>4.7796756197954</v>
      </c>
      <c r="K638" s="5">
        <v>6.1366585218009699E-10</v>
      </c>
      <c r="L638" t="s">
        <v>4</v>
      </c>
      <c r="M638">
        <v>4.5236403357184498</v>
      </c>
      <c r="N638">
        <v>6.65705757816625</v>
      </c>
      <c r="O638">
        <f>0.495885754326611</f>
        <v>0.49588575432661097</v>
      </c>
      <c r="P638">
        <v>0.63849785841081097</v>
      </c>
      <c r="Q638" t="s">
        <v>4</v>
      </c>
      <c r="R638" s="4" t="s">
        <v>87</v>
      </c>
      <c r="S638" t="s">
        <v>4</v>
      </c>
      <c r="T638" t="s">
        <v>88</v>
      </c>
      <c r="U638" t="s">
        <v>89</v>
      </c>
      <c r="V638" t="s">
        <v>90</v>
      </c>
      <c r="W638" t="s">
        <v>91</v>
      </c>
      <c r="X638" t="s">
        <v>4</v>
      </c>
      <c r="Y638" t="s">
        <v>92</v>
      </c>
      <c r="Z638" t="s">
        <v>92</v>
      </c>
      <c r="AA638" t="s">
        <v>92</v>
      </c>
      <c r="AB638" t="s">
        <v>4</v>
      </c>
      <c r="AC638" s="3" t="s">
        <v>93</v>
      </c>
      <c r="AD638" t="s">
        <v>4</v>
      </c>
      <c r="AE638" s="4" t="s">
        <v>94</v>
      </c>
      <c r="AZ638" t="s">
        <v>4</v>
      </c>
      <c r="BA638" s="3" t="s">
        <v>95</v>
      </c>
      <c r="BB638" t="s">
        <v>96</v>
      </c>
      <c r="BC638" s="3" t="s">
        <v>95</v>
      </c>
      <c r="BD638" t="s">
        <v>4</v>
      </c>
      <c r="BE638">
        <v>3045</v>
      </c>
      <c r="BF638" t="s">
        <v>97</v>
      </c>
      <c r="CK638">
        <v>4</v>
      </c>
      <c r="CL638" t="s">
        <v>4</v>
      </c>
      <c r="CM638" t="s">
        <v>98</v>
      </c>
      <c r="CN638" t="s">
        <v>98</v>
      </c>
      <c r="CO638" t="s">
        <v>99</v>
      </c>
      <c r="CP638">
        <v>79</v>
      </c>
      <c r="CQ638" t="s">
        <v>100</v>
      </c>
      <c r="CR638" t="s">
        <v>100</v>
      </c>
      <c r="CS638" t="s">
        <v>101</v>
      </c>
      <c r="CT638" t="s">
        <v>100</v>
      </c>
      <c r="CU638" t="s">
        <v>102</v>
      </c>
      <c r="CV638" t="s">
        <v>100</v>
      </c>
    </row>
    <row r="639" spans="1:100">
      <c r="A639" s="3" t="s">
        <v>718</v>
      </c>
      <c r="B639" s="4" t="s">
        <v>719</v>
      </c>
      <c r="C639">
        <v>40.417416463543503</v>
      </c>
      <c r="D639">
        <v>1.3197893003627099</v>
      </c>
      <c r="E639">
        <v>4.9825895312305404</v>
      </c>
      <c r="F639" s="5">
        <v>1.2493965967325901E-6</v>
      </c>
      <c r="G639" t="s">
        <v>4</v>
      </c>
      <c r="H639">
        <v>40.417416463543503</v>
      </c>
      <c r="I639">
        <v>4.2571149408915101</v>
      </c>
      <c r="J639">
        <v>3.1901803815602299</v>
      </c>
      <c r="K639">
        <v>1.4163388740287501E-4</v>
      </c>
      <c r="L639" t="s">
        <v>4</v>
      </c>
      <c r="M639">
        <v>1.3197893003627099</v>
      </c>
      <c r="N639">
        <v>4.2571149408915101</v>
      </c>
      <c r="O639">
        <f>-1.79240914967032</f>
        <v>-1.7924091496703201</v>
      </c>
      <c r="P639">
        <v>0.13607928952289999</v>
      </c>
      <c r="Q639" t="s">
        <v>4</v>
      </c>
      <c r="R639" s="4" t="s">
        <v>87</v>
      </c>
      <c r="S639" t="s">
        <v>4</v>
      </c>
      <c r="T639" t="s">
        <v>88</v>
      </c>
      <c r="U639" t="s">
        <v>89</v>
      </c>
      <c r="V639" t="s">
        <v>90</v>
      </c>
      <c r="W639" t="s">
        <v>91</v>
      </c>
      <c r="X639" t="s">
        <v>4</v>
      </c>
      <c r="Y639" t="s">
        <v>92</v>
      </c>
      <c r="Z639" t="s">
        <v>92</v>
      </c>
      <c r="AA639" t="s">
        <v>92</v>
      </c>
      <c r="AB639" t="s">
        <v>4</v>
      </c>
      <c r="AC639" s="3" t="s">
        <v>93</v>
      </c>
      <c r="AD639" t="s">
        <v>4</v>
      </c>
      <c r="AE639" s="4" t="s">
        <v>94</v>
      </c>
      <c r="AZ639" t="s">
        <v>4</v>
      </c>
      <c r="BA639" s="3" t="s">
        <v>95</v>
      </c>
      <c r="BB639" t="s">
        <v>96</v>
      </c>
      <c r="BC639" s="3" t="s">
        <v>95</v>
      </c>
      <c r="BD639" t="s">
        <v>4</v>
      </c>
      <c r="BE639">
        <v>3051</v>
      </c>
      <c r="BF639" t="s">
        <v>97</v>
      </c>
      <c r="CK639">
        <v>4</v>
      </c>
      <c r="CL639" t="s">
        <v>4</v>
      </c>
      <c r="CM639" t="s">
        <v>98</v>
      </c>
      <c r="CN639" t="s">
        <v>98</v>
      </c>
      <c r="CO639" t="s">
        <v>99</v>
      </c>
      <c r="CP639">
        <v>80</v>
      </c>
      <c r="CQ639" t="s">
        <v>100</v>
      </c>
      <c r="CR639" t="s">
        <v>100</v>
      </c>
      <c r="CS639" t="s">
        <v>101</v>
      </c>
      <c r="CT639" t="s">
        <v>100</v>
      </c>
      <c r="CU639" t="s">
        <v>102</v>
      </c>
      <c r="CV639" t="s">
        <v>100</v>
      </c>
    </row>
    <row r="640" spans="1:100">
      <c r="A640" s="3" t="s">
        <v>720</v>
      </c>
      <c r="B640" s="4" t="s">
        <v>721</v>
      </c>
      <c r="C640">
        <v>55.240782458710797</v>
      </c>
      <c r="D640">
        <v>7.2353129773607003</v>
      </c>
      <c r="E640">
        <v>2.92805261451534</v>
      </c>
      <c r="F640" s="5">
        <v>2.3085485341171901E-5</v>
      </c>
      <c r="G640" t="s">
        <v>4</v>
      </c>
      <c r="H640">
        <v>55.240782458710797</v>
      </c>
      <c r="I640">
        <v>9.2316504317063206</v>
      </c>
      <c r="J640">
        <v>2.5052607619566398</v>
      </c>
      <c r="K640">
        <v>2.9080793973121198E-4</v>
      </c>
      <c r="L640" t="s">
        <v>4</v>
      </c>
      <c r="M640">
        <v>7.2353129773607003</v>
      </c>
      <c r="N640">
        <v>9.2316504317063206</v>
      </c>
      <c r="O640">
        <f>0.422791852558695</f>
        <v>0.422791852558695</v>
      </c>
      <c r="P640">
        <v>0.63663439268916899</v>
      </c>
      <c r="Q640" t="s">
        <v>4</v>
      </c>
      <c r="R640" s="4" t="s">
        <v>87</v>
      </c>
      <c r="S640" t="s">
        <v>4</v>
      </c>
      <c r="T640" t="s">
        <v>722</v>
      </c>
      <c r="U640" t="s">
        <v>723</v>
      </c>
      <c r="V640" t="s">
        <v>724</v>
      </c>
      <c r="W640" t="s">
        <v>328</v>
      </c>
      <c r="X640" t="s">
        <v>4</v>
      </c>
      <c r="Y640" t="s">
        <v>725</v>
      </c>
      <c r="Z640" t="s">
        <v>726</v>
      </c>
      <c r="AA640" t="s">
        <v>727</v>
      </c>
      <c r="AB640" t="s">
        <v>4</v>
      </c>
      <c r="AC640" s="3" t="s">
        <v>93</v>
      </c>
      <c r="AD640" t="s">
        <v>4</v>
      </c>
      <c r="AE640" t="s">
        <v>728</v>
      </c>
      <c r="AF640" t="s">
        <v>729</v>
      </c>
      <c r="AG640" t="s">
        <v>730</v>
      </c>
      <c r="AH640" t="s">
        <v>731</v>
      </c>
      <c r="AU640" t="s">
        <v>112</v>
      </c>
      <c r="AV640" t="s">
        <v>732</v>
      </c>
      <c r="AW640" t="s">
        <v>114</v>
      </c>
      <c r="AX640" t="s">
        <v>733</v>
      </c>
      <c r="AY640" t="s">
        <v>734</v>
      </c>
      <c r="AZ640" t="s">
        <v>4</v>
      </c>
      <c r="BA640" s="3" t="s">
        <v>95</v>
      </c>
      <c r="BB640" s="6" t="s">
        <v>95</v>
      </c>
      <c r="BC640" s="3" t="s">
        <v>95</v>
      </c>
      <c r="BD640" t="s">
        <v>4</v>
      </c>
      <c r="BE640">
        <v>898</v>
      </c>
      <c r="BF640" t="s">
        <v>604</v>
      </c>
      <c r="BH640">
        <v>20.6587</v>
      </c>
      <c r="CK640">
        <v>1.5</v>
      </c>
      <c r="CL640" t="s">
        <v>4</v>
      </c>
      <c r="CM640" t="s">
        <v>98</v>
      </c>
      <c r="CN640" t="s">
        <v>98</v>
      </c>
      <c r="CO640" t="s">
        <v>99</v>
      </c>
      <c r="CP640">
        <v>81</v>
      </c>
      <c r="CQ640" t="s">
        <v>100</v>
      </c>
      <c r="CR640" t="s">
        <v>100</v>
      </c>
      <c r="CS640" t="s">
        <v>101</v>
      </c>
      <c r="CT640" t="s">
        <v>100</v>
      </c>
      <c r="CU640" t="s">
        <v>102</v>
      </c>
      <c r="CV640" t="s">
        <v>100</v>
      </c>
    </row>
    <row r="641" spans="1:100">
      <c r="A641" s="3" t="s">
        <v>735</v>
      </c>
      <c r="B641" s="4" t="s">
        <v>736</v>
      </c>
      <c r="C641">
        <v>640.13892747584703</v>
      </c>
      <c r="D641">
        <v>96.383710570595198</v>
      </c>
      <c r="E641">
        <v>2.7277024355600199</v>
      </c>
      <c r="F641" s="5">
        <v>2.4758596656992901E-11</v>
      </c>
      <c r="G641" t="s">
        <v>4</v>
      </c>
      <c r="H641">
        <v>640.13892747584703</v>
      </c>
      <c r="I641">
        <v>37.104173847595199</v>
      </c>
      <c r="J641">
        <v>4.1020249555444099</v>
      </c>
      <c r="K641" s="5">
        <v>2.2078616780319099E-22</v>
      </c>
      <c r="L641" t="s">
        <v>4</v>
      </c>
      <c r="M641">
        <v>96.383710570595198</v>
      </c>
      <c r="N641">
        <v>37.104173847595199</v>
      </c>
      <c r="O641">
        <v>1.37432251998439</v>
      </c>
      <c r="P641">
        <v>2.1853273540079102E-3</v>
      </c>
      <c r="Q641" t="s">
        <v>4</v>
      </c>
      <c r="R641" s="4" t="s">
        <v>87</v>
      </c>
      <c r="S641" t="s">
        <v>4</v>
      </c>
      <c r="T641" t="s">
        <v>92</v>
      </c>
      <c r="U641" t="s">
        <v>92</v>
      </c>
      <c r="V641" t="s">
        <v>92</v>
      </c>
      <c r="W641" t="s">
        <v>92</v>
      </c>
      <c r="X641" t="s">
        <v>4</v>
      </c>
      <c r="Y641" t="s">
        <v>292</v>
      </c>
      <c r="Z641" t="s">
        <v>293</v>
      </c>
      <c r="AA641" t="s">
        <v>294</v>
      </c>
      <c r="AB641" t="s">
        <v>4</v>
      </c>
      <c r="AC641" s="3" t="s">
        <v>93</v>
      </c>
      <c r="AD641" t="s">
        <v>4</v>
      </c>
      <c r="AE641" t="s">
        <v>296</v>
      </c>
      <c r="AF641" t="s">
        <v>737</v>
      </c>
      <c r="AG641" t="s">
        <v>298</v>
      </c>
      <c r="AH641" t="s">
        <v>112</v>
      </c>
      <c r="AI641" t="s">
        <v>299</v>
      </c>
      <c r="AJ641" t="s">
        <v>300</v>
      </c>
      <c r="AL641" t="s">
        <v>301</v>
      </c>
      <c r="AM641" t="s">
        <v>302</v>
      </c>
      <c r="AQ641" t="s">
        <v>303</v>
      </c>
      <c r="AU641" t="s">
        <v>112</v>
      </c>
      <c r="AV641" t="s">
        <v>304</v>
      </c>
      <c r="AW641" t="s">
        <v>114</v>
      </c>
      <c r="AX641" t="s">
        <v>132</v>
      </c>
      <c r="AY641" t="s">
        <v>305</v>
      </c>
      <c r="AZ641" t="s">
        <v>4</v>
      </c>
      <c r="BA641" s="3" t="s">
        <v>95</v>
      </c>
      <c r="BB641" s="6" t="s">
        <v>95</v>
      </c>
      <c r="BC641" s="3" t="s">
        <v>95</v>
      </c>
      <c r="BD641" t="s">
        <v>4</v>
      </c>
      <c r="BE641">
        <v>4660</v>
      </c>
      <c r="BF641" t="s">
        <v>112</v>
      </c>
      <c r="BG641">
        <v>95.463499999999996</v>
      </c>
      <c r="BH641">
        <v>63.905299999999997</v>
      </c>
      <c r="BJ641">
        <v>52.465499999999999</v>
      </c>
      <c r="BK641">
        <v>48.520699999999998</v>
      </c>
      <c r="BM641">
        <v>54.437899999999999</v>
      </c>
      <c r="BN641">
        <v>63.116399999999999</v>
      </c>
      <c r="BO641">
        <v>64.299800000000005</v>
      </c>
      <c r="BP641">
        <v>20.710100000000001</v>
      </c>
      <c r="CK641">
        <v>5</v>
      </c>
      <c r="CL641" t="s">
        <v>4</v>
      </c>
      <c r="CM641" t="s">
        <v>98</v>
      </c>
      <c r="CN641" t="s">
        <v>98</v>
      </c>
      <c r="CO641" t="s">
        <v>99</v>
      </c>
      <c r="CP641">
        <v>82</v>
      </c>
      <c r="CQ641" t="s">
        <v>100</v>
      </c>
      <c r="CR641" t="s">
        <v>100</v>
      </c>
      <c r="CS641" t="s">
        <v>101</v>
      </c>
      <c r="CT641" s="7" t="s">
        <v>152</v>
      </c>
      <c r="CU641" t="s">
        <v>102</v>
      </c>
      <c r="CV641" t="s">
        <v>100</v>
      </c>
    </row>
    <row r="642" spans="1:100">
      <c r="A642" s="3" t="s">
        <v>738</v>
      </c>
      <c r="B642" s="4" t="s">
        <v>739</v>
      </c>
      <c r="C642">
        <v>79.468301339927507</v>
      </c>
      <c r="D642">
        <v>7.3876994830644103</v>
      </c>
      <c r="E642">
        <v>3.43620324808382</v>
      </c>
      <c r="F642" s="5">
        <v>3.4848981122010498E-6</v>
      </c>
      <c r="G642" t="s">
        <v>4</v>
      </c>
      <c r="H642">
        <v>79.468301339927507</v>
      </c>
      <c r="I642">
        <v>10.552997620606501</v>
      </c>
      <c r="J642">
        <v>2.9071868199192301</v>
      </c>
      <c r="K642" s="5">
        <v>7.5660376502891503E-5</v>
      </c>
      <c r="L642" t="s">
        <v>4</v>
      </c>
      <c r="M642">
        <v>7.3876994830644103</v>
      </c>
      <c r="N642">
        <v>10.552997620606501</v>
      </c>
      <c r="O642">
        <f>0.529016428164587</f>
        <v>0.52901642816458705</v>
      </c>
      <c r="P642">
        <v>0.56972348737570899</v>
      </c>
      <c r="Q642" t="s">
        <v>4</v>
      </c>
      <c r="R642" s="4" t="s">
        <v>87</v>
      </c>
      <c r="S642" t="s">
        <v>4</v>
      </c>
      <c r="T642" t="s">
        <v>88</v>
      </c>
      <c r="U642" t="s">
        <v>89</v>
      </c>
      <c r="V642" t="s">
        <v>90</v>
      </c>
      <c r="W642" t="s">
        <v>91</v>
      </c>
      <c r="X642" t="s">
        <v>4</v>
      </c>
      <c r="Y642" t="s">
        <v>92</v>
      </c>
      <c r="Z642" t="s">
        <v>92</v>
      </c>
      <c r="AA642" t="s">
        <v>92</v>
      </c>
      <c r="AB642" t="s">
        <v>4</v>
      </c>
      <c r="AC642" s="3" t="s">
        <v>93</v>
      </c>
      <c r="AD642" t="s">
        <v>4</v>
      </c>
      <c r="AE642" s="4" t="s">
        <v>94</v>
      </c>
      <c r="AZ642" t="s">
        <v>4</v>
      </c>
      <c r="BA642" s="3" t="s">
        <v>95</v>
      </c>
      <c r="BB642" t="s">
        <v>96</v>
      </c>
      <c r="BC642" s="3" t="s">
        <v>197</v>
      </c>
      <c r="BD642" t="s">
        <v>4</v>
      </c>
      <c r="BE642">
        <v>1638</v>
      </c>
      <c r="BF642" t="s">
        <v>151</v>
      </c>
      <c r="BG642">
        <v>75.862099999999998</v>
      </c>
      <c r="BH642">
        <v>63.218400000000003</v>
      </c>
      <c r="BI642">
        <v>33.333300000000001</v>
      </c>
      <c r="CK642">
        <v>2</v>
      </c>
      <c r="CL642" t="s">
        <v>4</v>
      </c>
      <c r="CM642" t="s">
        <v>98</v>
      </c>
      <c r="CN642" t="s">
        <v>98</v>
      </c>
      <c r="CO642" t="s">
        <v>99</v>
      </c>
      <c r="CP642">
        <v>83</v>
      </c>
      <c r="CQ642" t="s">
        <v>100</v>
      </c>
      <c r="CR642" t="s">
        <v>100</v>
      </c>
      <c r="CS642" t="s">
        <v>101</v>
      </c>
      <c r="CT642" t="s">
        <v>100</v>
      </c>
      <c r="CU642" t="s">
        <v>102</v>
      </c>
      <c r="CV642" t="s">
        <v>100</v>
      </c>
    </row>
    <row r="643" spans="1:100">
      <c r="A643" s="3" t="s">
        <v>740</v>
      </c>
      <c r="B643" s="4" t="s">
        <v>741</v>
      </c>
      <c r="C643">
        <v>27.880089002183698</v>
      </c>
      <c r="D643">
        <v>5.3957178967152801</v>
      </c>
      <c r="E643">
        <v>2.37199693956914</v>
      </c>
      <c r="F643">
        <v>5.6469750803575004E-3</v>
      </c>
      <c r="G643" t="s">
        <v>4</v>
      </c>
      <c r="H643">
        <v>27.880089002183698</v>
      </c>
      <c r="I643">
        <v>5.0779668009255996</v>
      </c>
      <c r="J643">
        <v>2.4045021407667599</v>
      </c>
      <c r="K643">
        <v>6.0963048290781797E-3</v>
      </c>
      <c r="L643" t="s">
        <v>4</v>
      </c>
      <c r="M643">
        <v>5.3957178967152801</v>
      </c>
      <c r="N643">
        <v>5.0779668009255996</v>
      </c>
      <c r="O643">
        <v>3.2505201197613902E-2</v>
      </c>
      <c r="P643">
        <v>0.98242115288349396</v>
      </c>
      <c r="Q643" t="s">
        <v>4</v>
      </c>
      <c r="R643" s="4" t="s">
        <v>87</v>
      </c>
      <c r="S643" t="s">
        <v>4</v>
      </c>
      <c r="T643" t="s">
        <v>92</v>
      </c>
      <c r="U643" t="s">
        <v>92</v>
      </c>
      <c r="V643" t="s">
        <v>92</v>
      </c>
      <c r="W643" t="s">
        <v>92</v>
      </c>
      <c r="X643" t="s">
        <v>4</v>
      </c>
      <c r="Y643" t="s">
        <v>742</v>
      </c>
      <c r="Z643" t="s">
        <v>743</v>
      </c>
      <c r="AA643" t="s">
        <v>744</v>
      </c>
      <c r="AB643" t="s">
        <v>4</v>
      </c>
      <c r="AC643" s="3" t="s">
        <v>93</v>
      </c>
      <c r="AD643" t="s">
        <v>4</v>
      </c>
      <c r="AE643" t="s">
        <v>745</v>
      </c>
      <c r="AF643" t="s">
        <v>746</v>
      </c>
      <c r="AG643" t="s">
        <v>747</v>
      </c>
      <c r="AH643" t="s">
        <v>282</v>
      </c>
      <c r="AU643" t="s">
        <v>112</v>
      </c>
      <c r="AV643" t="s">
        <v>748</v>
      </c>
      <c r="AW643" t="s">
        <v>114</v>
      </c>
      <c r="AX643" t="s">
        <v>144</v>
      </c>
      <c r="AY643" t="s">
        <v>749</v>
      </c>
      <c r="AZ643" t="s">
        <v>4</v>
      </c>
      <c r="BA643" s="3" t="s">
        <v>95</v>
      </c>
      <c r="BB643" s="6" t="s">
        <v>95</v>
      </c>
      <c r="BC643" s="3" t="s">
        <v>95</v>
      </c>
      <c r="BD643" t="s">
        <v>4</v>
      </c>
      <c r="BE643">
        <v>1645</v>
      </c>
      <c r="BF643" t="s">
        <v>151</v>
      </c>
      <c r="BG643" t="s">
        <v>750</v>
      </c>
      <c r="BI643">
        <v>17.341000000000001</v>
      </c>
      <c r="BJ643" t="s">
        <v>751</v>
      </c>
      <c r="CK643">
        <v>2</v>
      </c>
      <c r="CL643" t="s">
        <v>4</v>
      </c>
      <c r="CM643" t="s">
        <v>98</v>
      </c>
      <c r="CN643" t="s">
        <v>98</v>
      </c>
      <c r="CO643" t="s">
        <v>99</v>
      </c>
      <c r="CP643">
        <v>84</v>
      </c>
      <c r="CQ643" t="s">
        <v>100</v>
      </c>
      <c r="CR643" t="s">
        <v>100</v>
      </c>
      <c r="CS643" t="s">
        <v>101</v>
      </c>
      <c r="CT643" t="s">
        <v>100</v>
      </c>
      <c r="CU643" t="s">
        <v>102</v>
      </c>
      <c r="CV643" t="s">
        <v>100</v>
      </c>
    </row>
    <row r="644" spans="1:100">
      <c r="A644" s="3" t="s">
        <v>752</v>
      </c>
      <c r="B644" s="4" t="s">
        <v>753</v>
      </c>
      <c r="C644">
        <v>46.124773604565199</v>
      </c>
      <c r="D644">
        <v>7.6795501817291596</v>
      </c>
      <c r="E644">
        <v>2.5926053693492199</v>
      </c>
      <c r="F644">
        <v>1.0334200301786399E-3</v>
      </c>
      <c r="G644" t="s">
        <v>4</v>
      </c>
      <c r="H644">
        <v>46.124773604565199</v>
      </c>
      <c r="I644">
        <v>5.7146565488248404</v>
      </c>
      <c r="J644">
        <v>2.9884887451219799</v>
      </c>
      <c r="K644">
        <v>2.9551364858428601E-4</v>
      </c>
      <c r="L644" t="s">
        <v>4</v>
      </c>
      <c r="M644">
        <v>7.6795501817291596</v>
      </c>
      <c r="N644">
        <v>5.7146565488248404</v>
      </c>
      <c r="O644">
        <v>0.39588337577275901</v>
      </c>
      <c r="P644">
        <v>0.70767968561856198</v>
      </c>
      <c r="Q644" t="s">
        <v>4</v>
      </c>
      <c r="R644" s="4" t="s">
        <v>87</v>
      </c>
      <c r="S644" t="s">
        <v>4</v>
      </c>
      <c r="T644" t="s">
        <v>92</v>
      </c>
      <c r="U644" t="s">
        <v>92</v>
      </c>
      <c r="V644" t="s">
        <v>92</v>
      </c>
      <c r="W644" t="s">
        <v>92</v>
      </c>
      <c r="X644" t="s">
        <v>4</v>
      </c>
      <c r="Y644" t="s">
        <v>92</v>
      </c>
      <c r="Z644" t="s">
        <v>92</v>
      </c>
      <c r="AA644" t="s">
        <v>92</v>
      </c>
      <c r="AB644" t="s">
        <v>4</v>
      </c>
      <c r="AC644" s="3" t="s">
        <v>93</v>
      </c>
      <c r="AD644" t="s">
        <v>4</v>
      </c>
      <c r="AE644" s="4" t="s">
        <v>94</v>
      </c>
      <c r="AZ644" t="s">
        <v>4</v>
      </c>
      <c r="BA644" s="3" t="s">
        <v>95</v>
      </c>
      <c r="BB644" s="6" t="s">
        <v>95</v>
      </c>
      <c r="BC644" s="3" t="s">
        <v>95</v>
      </c>
      <c r="BD644" t="s">
        <v>4</v>
      </c>
      <c r="BE644">
        <v>1648</v>
      </c>
      <c r="BF644" t="s">
        <v>151</v>
      </c>
      <c r="BG644">
        <v>47.440300000000001</v>
      </c>
      <c r="CK644">
        <v>2</v>
      </c>
      <c r="CL644" t="s">
        <v>4</v>
      </c>
      <c r="CM644" t="s">
        <v>98</v>
      </c>
      <c r="CN644" t="s">
        <v>98</v>
      </c>
      <c r="CO644" t="s">
        <v>99</v>
      </c>
      <c r="CP644">
        <v>85</v>
      </c>
      <c r="CQ644" t="s">
        <v>100</v>
      </c>
      <c r="CR644" t="s">
        <v>100</v>
      </c>
      <c r="CS644" t="s">
        <v>101</v>
      </c>
      <c r="CT644" t="s">
        <v>100</v>
      </c>
      <c r="CU644" t="s">
        <v>102</v>
      </c>
      <c r="CV644" t="s">
        <v>100</v>
      </c>
    </row>
    <row r="645" spans="1:100">
      <c r="A645" s="3" t="s">
        <v>754</v>
      </c>
      <c r="B645" s="4" t="s">
        <v>755</v>
      </c>
      <c r="C645">
        <v>165.89494529976201</v>
      </c>
      <c r="D645">
        <v>33.293883710595303</v>
      </c>
      <c r="E645">
        <v>2.32053077957756</v>
      </c>
      <c r="F645" s="5">
        <v>1.25348037380589E-5</v>
      </c>
      <c r="G645" t="s">
        <v>4</v>
      </c>
      <c r="H645">
        <v>165.89494529976201</v>
      </c>
      <c r="I645">
        <v>34.981202697276998</v>
      </c>
      <c r="J645">
        <v>2.2270711898659901</v>
      </c>
      <c r="K645" s="5">
        <v>2.6364871431456401E-5</v>
      </c>
      <c r="L645" t="s">
        <v>4</v>
      </c>
      <c r="M645">
        <v>33.293883710595303</v>
      </c>
      <c r="N645">
        <v>34.981202697276998</v>
      </c>
      <c r="O645">
        <f>0.0934595897115645</f>
        <v>9.3459589711564497E-2</v>
      </c>
      <c r="P645">
        <v>0.89748780512481896</v>
      </c>
      <c r="Q645" t="s">
        <v>4</v>
      </c>
      <c r="R645" s="4" t="s">
        <v>87</v>
      </c>
      <c r="S645" t="s">
        <v>4</v>
      </c>
      <c r="T645" t="s">
        <v>460</v>
      </c>
      <c r="U645" t="s">
        <v>461</v>
      </c>
      <c r="V645" t="s">
        <v>462</v>
      </c>
      <c r="W645" t="s">
        <v>123</v>
      </c>
      <c r="X645" t="s">
        <v>4</v>
      </c>
      <c r="Y645" t="s">
        <v>463</v>
      </c>
      <c r="Z645" t="s">
        <v>464</v>
      </c>
      <c r="AA645" t="s">
        <v>465</v>
      </c>
      <c r="AB645" t="s">
        <v>4</v>
      </c>
      <c r="AC645" s="3" t="s">
        <v>93</v>
      </c>
      <c r="AD645" t="s">
        <v>4</v>
      </c>
      <c r="AE645" t="s">
        <v>756</v>
      </c>
      <c r="AF645" t="s">
        <v>757</v>
      </c>
      <c r="AG645" t="s">
        <v>758</v>
      </c>
      <c r="AH645" t="s">
        <v>169</v>
      </c>
      <c r="AU645" t="s">
        <v>112</v>
      </c>
      <c r="AV645" t="s">
        <v>470</v>
      </c>
      <c r="AW645" t="s">
        <v>114</v>
      </c>
      <c r="AX645" t="s">
        <v>144</v>
      </c>
      <c r="AY645" t="s">
        <v>471</v>
      </c>
      <c r="AZ645" t="s">
        <v>4</v>
      </c>
      <c r="BA645" s="3" t="s">
        <v>95</v>
      </c>
      <c r="BB645" s="6" t="s">
        <v>95</v>
      </c>
      <c r="BC645" s="3" t="s">
        <v>197</v>
      </c>
      <c r="BD645" t="s">
        <v>4</v>
      </c>
      <c r="BE645">
        <v>1658</v>
      </c>
      <c r="BF645" t="s">
        <v>151</v>
      </c>
      <c r="CK645">
        <v>2</v>
      </c>
      <c r="CL645" t="s">
        <v>4</v>
      </c>
      <c r="CM645" t="s">
        <v>98</v>
      </c>
      <c r="CN645" t="s">
        <v>98</v>
      </c>
      <c r="CO645" t="s">
        <v>99</v>
      </c>
      <c r="CP645">
        <v>86</v>
      </c>
      <c r="CQ645" t="s">
        <v>100</v>
      </c>
      <c r="CR645" t="s">
        <v>100</v>
      </c>
      <c r="CS645" t="s">
        <v>101</v>
      </c>
      <c r="CT645" t="s">
        <v>100</v>
      </c>
      <c r="CU645" t="s">
        <v>102</v>
      </c>
      <c r="CV645" t="s">
        <v>100</v>
      </c>
    </row>
    <row r="646" spans="1:100">
      <c r="A646" s="3" t="s">
        <v>759</v>
      </c>
      <c r="B646" s="4" t="s">
        <v>760</v>
      </c>
      <c r="C646">
        <v>94.968321660657907</v>
      </c>
      <c r="D646">
        <v>11.1078817637054</v>
      </c>
      <c r="E646">
        <v>3.0969904852747199</v>
      </c>
      <c r="F646">
        <v>2.1275183174804201E-3</v>
      </c>
      <c r="G646" t="s">
        <v>4</v>
      </c>
      <c r="H646">
        <v>94.968321660657907</v>
      </c>
      <c r="I646">
        <v>15.281868095878499</v>
      </c>
      <c r="J646">
        <v>2.6261566952819502</v>
      </c>
      <c r="K646">
        <v>8.0876600294761698E-3</v>
      </c>
      <c r="L646" t="s">
        <v>4</v>
      </c>
      <c r="M646">
        <v>11.1078817637054</v>
      </c>
      <c r="N646">
        <v>15.281868095878499</v>
      </c>
      <c r="O646">
        <f>0.470833789992769</f>
        <v>0.47083378999276898</v>
      </c>
      <c r="P646">
        <v>0.69712877101888804</v>
      </c>
      <c r="Q646" t="s">
        <v>4</v>
      </c>
      <c r="R646" s="4" t="s">
        <v>87</v>
      </c>
      <c r="S646" t="s">
        <v>4</v>
      </c>
      <c r="T646" t="s">
        <v>92</v>
      </c>
      <c r="U646" t="s">
        <v>92</v>
      </c>
      <c r="V646" t="s">
        <v>92</v>
      </c>
      <c r="W646" t="s">
        <v>92</v>
      </c>
      <c r="X646" t="s">
        <v>4</v>
      </c>
      <c r="Y646" t="s">
        <v>92</v>
      </c>
      <c r="Z646" t="s">
        <v>92</v>
      </c>
      <c r="AA646" t="s">
        <v>92</v>
      </c>
      <c r="AB646" t="s">
        <v>4</v>
      </c>
      <c r="AC646" s="3" t="s">
        <v>93</v>
      </c>
      <c r="AD646" t="s">
        <v>4</v>
      </c>
      <c r="AE646" s="4" t="s">
        <v>94</v>
      </c>
      <c r="AZ646" t="s">
        <v>4</v>
      </c>
      <c r="BA646" s="3" t="s">
        <v>95</v>
      </c>
      <c r="BB646" s="6" t="s">
        <v>95</v>
      </c>
      <c r="BC646" s="3" t="s">
        <v>95</v>
      </c>
      <c r="BD646" t="s">
        <v>4</v>
      </c>
      <c r="BE646">
        <v>592</v>
      </c>
      <c r="BF646" t="s">
        <v>322</v>
      </c>
      <c r="CK646">
        <v>1</v>
      </c>
      <c r="CL646" t="s">
        <v>4</v>
      </c>
      <c r="CM646" t="s">
        <v>98</v>
      </c>
      <c r="CN646" t="s">
        <v>98</v>
      </c>
      <c r="CO646" t="s">
        <v>99</v>
      </c>
      <c r="CP646">
        <v>87</v>
      </c>
      <c r="CQ646" t="s">
        <v>100</v>
      </c>
      <c r="CR646" t="s">
        <v>100</v>
      </c>
      <c r="CS646" t="s">
        <v>101</v>
      </c>
      <c r="CT646" t="s">
        <v>100</v>
      </c>
      <c r="CU646" t="s">
        <v>102</v>
      </c>
      <c r="CV646" t="s">
        <v>100</v>
      </c>
    </row>
    <row r="647" spans="1:100">
      <c r="A647" s="3" t="s">
        <v>761</v>
      </c>
      <c r="B647" s="4" t="s">
        <v>762</v>
      </c>
      <c r="C647">
        <v>34.588067508462402</v>
      </c>
      <c r="D647">
        <v>4.1756500238386298</v>
      </c>
      <c r="E647">
        <v>3.0893741292284802</v>
      </c>
      <c r="F647">
        <v>8.2472533738575608E-3</v>
      </c>
      <c r="G647" t="s">
        <v>4</v>
      </c>
      <c r="H647">
        <v>34.588067508462402</v>
      </c>
      <c r="I647">
        <v>3.3989173230448202</v>
      </c>
      <c r="J647">
        <v>3.3823683242765301</v>
      </c>
      <c r="K647">
        <v>4.8047144288131402E-3</v>
      </c>
      <c r="L647" t="s">
        <v>4</v>
      </c>
      <c r="M647">
        <v>4.1756500238386298</v>
      </c>
      <c r="N647">
        <v>3.3989173230448202</v>
      </c>
      <c r="O647">
        <v>0.29299419504805202</v>
      </c>
      <c r="P647">
        <v>0.85528882746996204</v>
      </c>
      <c r="Q647" t="s">
        <v>4</v>
      </c>
      <c r="R647" s="4" t="s">
        <v>87</v>
      </c>
      <c r="S647" t="s">
        <v>4</v>
      </c>
      <c r="T647" t="s">
        <v>460</v>
      </c>
      <c r="U647" t="s">
        <v>461</v>
      </c>
      <c r="V647" t="s">
        <v>462</v>
      </c>
      <c r="W647" t="s">
        <v>123</v>
      </c>
      <c r="X647" t="s">
        <v>4</v>
      </c>
      <c r="Y647" t="s">
        <v>463</v>
      </c>
      <c r="Z647" t="s">
        <v>464</v>
      </c>
      <c r="AA647" t="s">
        <v>465</v>
      </c>
      <c r="AB647" t="s">
        <v>4</v>
      </c>
      <c r="AC647" s="3" t="s">
        <v>93</v>
      </c>
      <c r="AD647" t="s">
        <v>4</v>
      </c>
      <c r="AE647" t="s">
        <v>763</v>
      </c>
      <c r="AF647" t="s">
        <v>764</v>
      </c>
      <c r="AG647" t="s">
        <v>765</v>
      </c>
      <c r="AH647" t="s">
        <v>386</v>
      </c>
      <c r="AU647" t="s">
        <v>112</v>
      </c>
      <c r="AV647" t="s">
        <v>766</v>
      </c>
      <c r="AW647" t="s">
        <v>114</v>
      </c>
      <c r="AX647" t="s">
        <v>144</v>
      </c>
      <c r="AY647" t="s">
        <v>471</v>
      </c>
      <c r="AZ647" t="s">
        <v>4</v>
      </c>
      <c r="BA647" s="3" t="s">
        <v>95</v>
      </c>
      <c r="BB647" s="6" t="s">
        <v>95</v>
      </c>
      <c r="BC647" s="3" t="s">
        <v>197</v>
      </c>
      <c r="BD647" t="s">
        <v>4</v>
      </c>
      <c r="BE647">
        <v>8420</v>
      </c>
      <c r="BF647" t="s">
        <v>213</v>
      </c>
      <c r="BH647">
        <v>8.4142399999999995</v>
      </c>
      <c r="BI647">
        <v>18.4466</v>
      </c>
      <c r="BJ647">
        <v>17.4757</v>
      </c>
      <c r="BK647">
        <v>15.2104</v>
      </c>
      <c r="BL647">
        <v>18.770199999999999</v>
      </c>
      <c r="BO647">
        <v>20.388300000000001</v>
      </c>
      <c r="BP647">
        <v>12.6214</v>
      </c>
      <c r="BS647">
        <v>15.8576</v>
      </c>
      <c r="BU647">
        <v>17.799399999999999</v>
      </c>
      <c r="BV647">
        <v>18.4466</v>
      </c>
      <c r="BZ647">
        <v>16.504899999999999</v>
      </c>
      <c r="CB647">
        <v>13.268599999999999</v>
      </c>
      <c r="CD647">
        <v>24.595500000000001</v>
      </c>
      <c r="CE647">
        <v>9.7087400000000006</v>
      </c>
      <c r="CI647">
        <v>14.5631</v>
      </c>
      <c r="CK647">
        <v>8</v>
      </c>
      <c r="CL647" t="s">
        <v>4</v>
      </c>
      <c r="CM647" t="s">
        <v>98</v>
      </c>
      <c r="CN647" t="s">
        <v>98</v>
      </c>
      <c r="CO647" t="s">
        <v>99</v>
      </c>
      <c r="CP647">
        <v>88</v>
      </c>
      <c r="CQ647" t="s">
        <v>100</v>
      </c>
      <c r="CR647" t="s">
        <v>100</v>
      </c>
      <c r="CS647" t="s">
        <v>101</v>
      </c>
      <c r="CT647" t="s">
        <v>100</v>
      </c>
      <c r="CU647" t="s">
        <v>102</v>
      </c>
      <c r="CV647" t="s">
        <v>100</v>
      </c>
    </row>
    <row r="648" spans="1:100">
      <c r="A648" s="3" t="s">
        <v>767</v>
      </c>
      <c r="B648" s="4" t="s">
        <v>768</v>
      </c>
      <c r="C648">
        <v>70.811902873507705</v>
      </c>
      <c r="D648">
        <v>12.3914028335906</v>
      </c>
      <c r="E648">
        <v>2.5248055596850798</v>
      </c>
      <c r="F648">
        <v>1.42173927509976E-3</v>
      </c>
      <c r="G648" t="s">
        <v>4</v>
      </c>
      <c r="H648">
        <v>70.811902873507705</v>
      </c>
      <c r="I648">
        <v>15.3034585645457</v>
      </c>
      <c r="J648">
        <v>2.2420391895298302</v>
      </c>
      <c r="K648">
        <v>4.2834806761587896E-3</v>
      </c>
      <c r="L648" t="s">
        <v>4</v>
      </c>
      <c r="M648">
        <v>12.3914028335906</v>
      </c>
      <c r="N648">
        <v>15.3034585645457</v>
      </c>
      <c r="O648">
        <f>0.282766370155248</f>
        <v>0.28276637015524803</v>
      </c>
      <c r="P648">
        <v>0.77794772481470198</v>
      </c>
      <c r="Q648" t="s">
        <v>4</v>
      </c>
      <c r="R648" s="4" t="s">
        <v>87</v>
      </c>
      <c r="S648" t="s">
        <v>4</v>
      </c>
      <c r="T648" t="s">
        <v>92</v>
      </c>
      <c r="U648" t="s">
        <v>92</v>
      </c>
      <c r="V648" t="s">
        <v>92</v>
      </c>
      <c r="W648" t="s">
        <v>92</v>
      </c>
      <c r="X648" t="s">
        <v>4</v>
      </c>
      <c r="Y648" t="s">
        <v>769</v>
      </c>
      <c r="Z648" t="s">
        <v>770</v>
      </c>
      <c r="AA648" t="s">
        <v>771</v>
      </c>
      <c r="AB648" t="s">
        <v>4</v>
      </c>
      <c r="AC648" s="3" t="s">
        <v>93</v>
      </c>
      <c r="AD648" t="s">
        <v>4</v>
      </c>
      <c r="AE648" t="s">
        <v>772</v>
      </c>
      <c r="AF648" t="s">
        <v>773</v>
      </c>
      <c r="AG648" t="s">
        <v>774</v>
      </c>
      <c r="AH648" t="s">
        <v>314</v>
      </c>
      <c r="AU648" t="s">
        <v>112</v>
      </c>
      <c r="AV648" t="s">
        <v>775</v>
      </c>
      <c r="AW648" t="s">
        <v>114</v>
      </c>
      <c r="AZ648" t="s">
        <v>4</v>
      </c>
      <c r="BA648" s="3" t="s">
        <v>115</v>
      </c>
      <c r="BB648" s="6" t="s">
        <v>95</v>
      </c>
      <c r="BC648" s="3" t="s">
        <v>95</v>
      </c>
      <c r="BD648" t="s">
        <v>4</v>
      </c>
      <c r="BE648">
        <v>8426</v>
      </c>
      <c r="BF648" t="s">
        <v>213</v>
      </c>
      <c r="BV648">
        <v>8.6603499999999993</v>
      </c>
      <c r="BW648">
        <v>18.403199999999998</v>
      </c>
      <c r="BX648">
        <v>5.81867</v>
      </c>
      <c r="BY648">
        <v>6.6305800000000001</v>
      </c>
      <c r="BZ648">
        <v>0</v>
      </c>
      <c r="CK648">
        <v>8</v>
      </c>
      <c r="CL648" t="s">
        <v>4</v>
      </c>
      <c r="CM648" t="s">
        <v>98</v>
      </c>
      <c r="CN648" t="s">
        <v>98</v>
      </c>
      <c r="CO648" t="s">
        <v>99</v>
      </c>
      <c r="CP648">
        <v>89</v>
      </c>
      <c r="CQ648" t="s">
        <v>100</v>
      </c>
      <c r="CR648" t="s">
        <v>100</v>
      </c>
      <c r="CS648" t="s">
        <v>101</v>
      </c>
      <c r="CT648" t="s">
        <v>100</v>
      </c>
      <c r="CU648" t="s">
        <v>102</v>
      </c>
      <c r="CV648" t="s">
        <v>100</v>
      </c>
    </row>
    <row r="649" spans="1:100">
      <c r="A649" s="3" t="s">
        <v>776</v>
      </c>
      <c r="B649" s="4" t="s">
        <v>777</v>
      </c>
      <c r="C649">
        <v>91.343952107546002</v>
      </c>
      <c r="D649">
        <v>17.228014604586502</v>
      </c>
      <c r="E649">
        <v>2.4112106009158198</v>
      </c>
      <c r="F649">
        <v>7.3037007149931903E-3</v>
      </c>
      <c r="G649" t="s">
        <v>4</v>
      </c>
      <c r="H649">
        <v>91.343952107546002</v>
      </c>
      <c r="I649">
        <v>7.31297522468157</v>
      </c>
      <c r="J649">
        <v>3.63739913281383</v>
      </c>
      <c r="K649" s="5">
        <v>7.2570347273483304E-5</v>
      </c>
      <c r="L649" t="s">
        <v>4</v>
      </c>
      <c r="M649">
        <v>17.228014604586502</v>
      </c>
      <c r="N649">
        <v>7.31297522468157</v>
      </c>
      <c r="O649">
        <v>1.2261885318980099</v>
      </c>
      <c r="P649">
        <v>0.228550802293321</v>
      </c>
      <c r="Q649" t="s">
        <v>4</v>
      </c>
      <c r="R649" s="4" t="s">
        <v>87</v>
      </c>
      <c r="S649" t="s">
        <v>4</v>
      </c>
      <c r="T649" t="s">
        <v>92</v>
      </c>
      <c r="U649" t="s">
        <v>92</v>
      </c>
      <c r="V649" t="s">
        <v>92</v>
      </c>
      <c r="W649" t="s">
        <v>92</v>
      </c>
      <c r="X649" t="s">
        <v>4</v>
      </c>
      <c r="Y649" t="s">
        <v>92</v>
      </c>
      <c r="Z649" t="s">
        <v>92</v>
      </c>
      <c r="AA649" t="s">
        <v>92</v>
      </c>
      <c r="AB649" t="s">
        <v>4</v>
      </c>
      <c r="AC649" s="3" t="s">
        <v>93</v>
      </c>
      <c r="AD649" t="s">
        <v>4</v>
      </c>
      <c r="AE649" s="4" t="s">
        <v>94</v>
      </c>
      <c r="AZ649" t="s">
        <v>4</v>
      </c>
      <c r="BA649" s="3" t="s">
        <v>115</v>
      </c>
      <c r="BB649" s="6" t="s">
        <v>95</v>
      </c>
      <c r="BC649" s="3" t="s">
        <v>95</v>
      </c>
      <c r="BD649" t="s">
        <v>4</v>
      </c>
      <c r="BE649">
        <v>1710</v>
      </c>
      <c r="BF649" t="s">
        <v>151</v>
      </c>
      <c r="BH649">
        <v>62.3583</v>
      </c>
      <c r="CK649">
        <v>2</v>
      </c>
      <c r="CL649" t="s">
        <v>4</v>
      </c>
      <c r="CM649" t="s">
        <v>98</v>
      </c>
      <c r="CN649" t="s">
        <v>98</v>
      </c>
      <c r="CO649" t="s">
        <v>99</v>
      </c>
      <c r="CP649">
        <v>90</v>
      </c>
      <c r="CQ649" t="s">
        <v>100</v>
      </c>
      <c r="CR649" t="s">
        <v>100</v>
      </c>
      <c r="CS649" t="s">
        <v>101</v>
      </c>
      <c r="CT649" t="s">
        <v>100</v>
      </c>
      <c r="CU649" t="s">
        <v>102</v>
      </c>
      <c r="CV649" t="s">
        <v>100</v>
      </c>
    </row>
    <row r="650" spans="1:100">
      <c r="A650" s="3" t="s">
        <v>778</v>
      </c>
      <c r="B650" s="4" t="s">
        <v>779</v>
      </c>
      <c r="C650">
        <v>69.150940845863602</v>
      </c>
      <c r="D650">
        <v>10.2241312438412</v>
      </c>
      <c r="E650">
        <v>2.7599030758579799</v>
      </c>
      <c r="F650">
        <v>2.3944982514985998E-3</v>
      </c>
      <c r="G650" t="s">
        <v>4</v>
      </c>
      <c r="H650">
        <v>69.150940845863602</v>
      </c>
      <c r="I650">
        <v>3.4302237944585898</v>
      </c>
      <c r="J650">
        <v>4.2794125915270902</v>
      </c>
      <c r="K650" s="5">
        <v>1.72599129730636E-5</v>
      </c>
      <c r="L650" t="s">
        <v>4</v>
      </c>
      <c r="M650">
        <v>10.2241312438412</v>
      </c>
      <c r="N650">
        <v>3.4302237944585898</v>
      </c>
      <c r="O650">
        <v>1.5195095156691201</v>
      </c>
      <c r="P650">
        <v>0.170179421238152</v>
      </c>
      <c r="Q650" t="s">
        <v>4</v>
      </c>
      <c r="R650" s="4" t="s">
        <v>87</v>
      </c>
      <c r="S650" t="s">
        <v>4</v>
      </c>
      <c r="T650" t="s">
        <v>92</v>
      </c>
      <c r="U650" t="s">
        <v>92</v>
      </c>
      <c r="V650" t="s">
        <v>92</v>
      </c>
      <c r="W650" t="s">
        <v>92</v>
      </c>
      <c r="X650" t="s">
        <v>4</v>
      </c>
      <c r="Y650" t="s">
        <v>92</v>
      </c>
      <c r="Z650" t="s">
        <v>92</v>
      </c>
      <c r="AA650" t="s">
        <v>92</v>
      </c>
      <c r="AB650" t="s">
        <v>4</v>
      </c>
      <c r="AC650" s="3" t="s">
        <v>93</v>
      </c>
      <c r="AD650" t="s">
        <v>4</v>
      </c>
      <c r="AE650" s="4" t="s">
        <v>94</v>
      </c>
      <c r="AZ650" t="s">
        <v>4</v>
      </c>
      <c r="BA650" s="3" t="s">
        <v>115</v>
      </c>
      <c r="BB650" t="s">
        <v>96</v>
      </c>
      <c r="BC650" s="3" t="s">
        <v>197</v>
      </c>
      <c r="BD650" t="s">
        <v>4</v>
      </c>
      <c r="BE650">
        <v>1711</v>
      </c>
      <c r="BF650" t="s">
        <v>151</v>
      </c>
      <c r="BG650">
        <v>90.070899999999995</v>
      </c>
      <c r="CK650">
        <v>2</v>
      </c>
      <c r="CL650" t="s">
        <v>4</v>
      </c>
      <c r="CM650" t="s">
        <v>98</v>
      </c>
      <c r="CN650" t="s">
        <v>98</v>
      </c>
      <c r="CO650" t="s">
        <v>99</v>
      </c>
      <c r="CP650">
        <v>91</v>
      </c>
      <c r="CQ650" t="s">
        <v>100</v>
      </c>
      <c r="CR650" t="s">
        <v>100</v>
      </c>
      <c r="CS650" t="s">
        <v>101</v>
      </c>
      <c r="CT650" t="s">
        <v>100</v>
      </c>
      <c r="CU650" t="s">
        <v>102</v>
      </c>
      <c r="CV650" t="s">
        <v>100</v>
      </c>
    </row>
    <row r="651" spans="1:100">
      <c r="A651" s="3" t="s">
        <v>780</v>
      </c>
      <c r="B651" s="4" t="s">
        <v>781</v>
      </c>
      <c r="C651">
        <v>272.954794678307</v>
      </c>
      <c r="D651">
        <v>41.307083644176302</v>
      </c>
      <c r="E651">
        <v>2.7277794205408799</v>
      </c>
      <c r="F651">
        <v>1.1674464709450401E-3</v>
      </c>
      <c r="G651" t="s">
        <v>4</v>
      </c>
      <c r="H651">
        <v>272.954794678307</v>
      </c>
      <c r="I651">
        <v>42.616550425088597</v>
      </c>
      <c r="J651">
        <v>2.6764724752865199</v>
      </c>
      <c r="K651">
        <v>1.14656025434712E-3</v>
      </c>
      <c r="L651" t="s">
        <v>4</v>
      </c>
      <c r="M651">
        <v>41.307083644176302</v>
      </c>
      <c r="N651">
        <v>42.616550425088597</v>
      </c>
      <c r="O651">
        <f>0.0513069452543601</f>
        <v>5.1306945254360102E-2</v>
      </c>
      <c r="P651">
        <v>0.96287007429064297</v>
      </c>
      <c r="Q651" t="s">
        <v>4</v>
      </c>
      <c r="R651" s="4" t="s">
        <v>87</v>
      </c>
      <c r="S651" t="s">
        <v>4</v>
      </c>
      <c r="T651" t="s">
        <v>92</v>
      </c>
      <c r="U651" t="s">
        <v>92</v>
      </c>
      <c r="V651" t="s">
        <v>92</v>
      </c>
      <c r="W651" t="s">
        <v>92</v>
      </c>
      <c r="X651" t="s">
        <v>4</v>
      </c>
      <c r="Y651" t="s">
        <v>92</v>
      </c>
      <c r="Z651" t="s">
        <v>92</v>
      </c>
      <c r="AA651" t="s">
        <v>92</v>
      </c>
      <c r="AB651" t="s">
        <v>4</v>
      </c>
      <c r="AC651" s="3" t="s">
        <v>93</v>
      </c>
      <c r="AD651" t="s">
        <v>4</v>
      </c>
      <c r="AE651" s="4" t="s">
        <v>94</v>
      </c>
      <c r="AZ651" t="s">
        <v>4</v>
      </c>
      <c r="BA651" s="3" t="s">
        <v>115</v>
      </c>
      <c r="BB651" s="6" t="s">
        <v>95</v>
      </c>
      <c r="BC651" s="3" t="s">
        <v>782</v>
      </c>
      <c r="BD651" t="s">
        <v>4</v>
      </c>
      <c r="BE651">
        <v>647</v>
      </c>
      <c r="BF651" t="s">
        <v>322</v>
      </c>
      <c r="CK651">
        <v>1</v>
      </c>
      <c r="CL651" t="s">
        <v>4</v>
      </c>
      <c r="CM651" t="s">
        <v>98</v>
      </c>
      <c r="CN651" t="s">
        <v>98</v>
      </c>
      <c r="CO651" t="s">
        <v>99</v>
      </c>
      <c r="CP651">
        <v>92</v>
      </c>
      <c r="CQ651" t="s">
        <v>100</v>
      </c>
      <c r="CR651" t="s">
        <v>100</v>
      </c>
      <c r="CS651" t="s">
        <v>101</v>
      </c>
      <c r="CT651" t="s">
        <v>100</v>
      </c>
      <c r="CU651" t="s">
        <v>102</v>
      </c>
      <c r="CV651" t="s">
        <v>100</v>
      </c>
    </row>
    <row r="652" spans="1:100">
      <c r="A652" s="3" t="s">
        <v>783</v>
      </c>
      <c r="B652" s="4" t="s">
        <v>784</v>
      </c>
      <c r="C652">
        <v>26.955495244662099</v>
      </c>
      <c r="D652">
        <v>1.6280368467675399</v>
      </c>
      <c r="E652">
        <v>4.0729565066518703</v>
      </c>
      <c r="F652">
        <v>1.8222681933805101E-3</v>
      </c>
      <c r="G652" t="s">
        <v>4</v>
      </c>
      <c r="H652">
        <v>26.955495244662099</v>
      </c>
      <c r="I652">
        <v>0</v>
      </c>
      <c r="J652">
        <v>6.7019551232837999</v>
      </c>
      <c r="K652" s="5">
        <v>4.3305243856534303E-5</v>
      </c>
      <c r="L652" t="s">
        <v>4</v>
      </c>
      <c r="M652">
        <v>1.6280368467675399</v>
      </c>
      <c r="N652">
        <v>0</v>
      </c>
      <c r="O652">
        <v>2.6289986166319301</v>
      </c>
      <c r="P652">
        <v>0.166774784265975</v>
      </c>
      <c r="Q652" t="s">
        <v>4</v>
      </c>
      <c r="R652" s="4" t="s">
        <v>87</v>
      </c>
      <c r="S652" t="s">
        <v>4</v>
      </c>
      <c r="T652" t="s">
        <v>92</v>
      </c>
      <c r="U652" t="s">
        <v>92</v>
      </c>
      <c r="V652" t="s">
        <v>92</v>
      </c>
      <c r="W652" t="s">
        <v>92</v>
      </c>
      <c r="X652" t="s">
        <v>4</v>
      </c>
      <c r="Y652" t="s">
        <v>92</v>
      </c>
      <c r="Z652" t="s">
        <v>92</v>
      </c>
      <c r="AA652" t="s">
        <v>92</v>
      </c>
      <c r="AB652" t="s">
        <v>4</v>
      </c>
      <c r="AC652" s="3" t="s">
        <v>93</v>
      </c>
      <c r="AD652" t="s">
        <v>4</v>
      </c>
      <c r="AE652" s="4" t="s">
        <v>94</v>
      </c>
      <c r="AZ652" t="s">
        <v>4</v>
      </c>
      <c r="BA652" s="3" t="s">
        <v>95</v>
      </c>
      <c r="BB652" t="s">
        <v>96</v>
      </c>
      <c r="BC652" s="3" t="s">
        <v>95</v>
      </c>
      <c r="BD652" t="s">
        <v>4</v>
      </c>
      <c r="BE652">
        <v>2392</v>
      </c>
      <c r="BF652" t="s">
        <v>148</v>
      </c>
      <c r="BM652">
        <v>52.688200000000002</v>
      </c>
      <c r="BO652">
        <v>50.537599999999998</v>
      </c>
      <c r="CK652">
        <v>3</v>
      </c>
      <c r="CL652" t="s">
        <v>4</v>
      </c>
      <c r="CM652" t="s">
        <v>98</v>
      </c>
      <c r="CN652" t="s">
        <v>98</v>
      </c>
      <c r="CO652" t="s">
        <v>99</v>
      </c>
      <c r="CP652">
        <v>93</v>
      </c>
      <c r="CQ652" t="s">
        <v>100</v>
      </c>
      <c r="CR652" t="s">
        <v>100</v>
      </c>
      <c r="CS652" t="s">
        <v>101</v>
      </c>
      <c r="CT652" t="s">
        <v>100</v>
      </c>
      <c r="CU652" t="s">
        <v>102</v>
      </c>
      <c r="CV652" t="s">
        <v>100</v>
      </c>
    </row>
    <row r="653" spans="1:100">
      <c r="A653" s="3" t="s">
        <v>785</v>
      </c>
      <c r="B653" s="4" t="s">
        <v>786</v>
      </c>
      <c r="C653">
        <v>62.203789471572897</v>
      </c>
      <c r="D653">
        <v>11.8638410494762</v>
      </c>
      <c r="E653">
        <v>2.3874349977565799</v>
      </c>
      <c r="F653">
        <v>4.40334971124446E-3</v>
      </c>
      <c r="G653" t="s">
        <v>4</v>
      </c>
      <c r="H653">
        <v>62.203789471572897</v>
      </c>
      <c r="I653">
        <v>10.9489515999422</v>
      </c>
      <c r="J653">
        <v>2.5573832893275399</v>
      </c>
      <c r="K653">
        <v>2.2978685871311E-3</v>
      </c>
      <c r="L653" t="s">
        <v>4</v>
      </c>
      <c r="M653">
        <v>11.8638410494762</v>
      </c>
      <c r="N653">
        <v>10.9489515999422</v>
      </c>
      <c r="O653">
        <v>0.16994829157096</v>
      </c>
      <c r="P653">
        <v>0.87912787048530605</v>
      </c>
      <c r="Q653" t="s">
        <v>4</v>
      </c>
      <c r="R653" s="4" t="s">
        <v>87</v>
      </c>
      <c r="S653" t="s">
        <v>4</v>
      </c>
      <c r="T653" t="s">
        <v>460</v>
      </c>
      <c r="U653" t="s">
        <v>461</v>
      </c>
      <c r="V653" t="s">
        <v>462</v>
      </c>
      <c r="W653" t="s">
        <v>123</v>
      </c>
      <c r="X653" t="s">
        <v>4</v>
      </c>
      <c r="Y653" t="s">
        <v>463</v>
      </c>
      <c r="Z653" t="s">
        <v>464</v>
      </c>
      <c r="AA653" t="s">
        <v>465</v>
      </c>
      <c r="AB653" t="s">
        <v>4</v>
      </c>
      <c r="AC653" s="3" t="s">
        <v>93</v>
      </c>
      <c r="AD653" t="s">
        <v>4</v>
      </c>
      <c r="AE653" t="s">
        <v>763</v>
      </c>
      <c r="AF653" t="s">
        <v>787</v>
      </c>
      <c r="AG653" t="s">
        <v>788</v>
      </c>
      <c r="AH653" t="s">
        <v>386</v>
      </c>
      <c r="AU653" t="s">
        <v>112</v>
      </c>
      <c r="AV653" t="s">
        <v>766</v>
      </c>
      <c r="AW653" t="s">
        <v>114</v>
      </c>
      <c r="AX653" t="s">
        <v>144</v>
      </c>
      <c r="AY653" t="s">
        <v>471</v>
      </c>
      <c r="AZ653" t="s">
        <v>4</v>
      </c>
      <c r="BA653" s="3" t="s">
        <v>95</v>
      </c>
      <c r="BB653" s="6" t="s">
        <v>95</v>
      </c>
      <c r="BC653" s="3" t="s">
        <v>197</v>
      </c>
      <c r="BD653" t="s">
        <v>4</v>
      </c>
      <c r="BE653">
        <v>8474</v>
      </c>
      <c r="BF653" t="s">
        <v>213</v>
      </c>
      <c r="BG653">
        <v>60.218000000000004</v>
      </c>
      <c r="BO653">
        <v>18.528600000000001</v>
      </c>
      <c r="BS653">
        <v>15.803800000000001</v>
      </c>
      <c r="BT653">
        <v>18.801100000000002</v>
      </c>
      <c r="CF653" t="s">
        <v>789</v>
      </c>
      <c r="CG653" t="s">
        <v>790</v>
      </c>
      <c r="CH653" t="s">
        <v>791</v>
      </c>
      <c r="CI653" t="s">
        <v>792</v>
      </c>
      <c r="CK653">
        <v>8</v>
      </c>
      <c r="CL653" t="s">
        <v>4</v>
      </c>
      <c r="CM653" t="s">
        <v>98</v>
      </c>
      <c r="CN653" t="s">
        <v>98</v>
      </c>
      <c r="CO653" t="s">
        <v>99</v>
      </c>
      <c r="CP653">
        <v>94</v>
      </c>
      <c r="CQ653" t="s">
        <v>100</v>
      </c>
      <c r="CR653" t="s">
        <v>100</v>
      </c>
      <c r="CS653" t="s">
        <v>101</v>
      </c>
      <c r="CT653" t="s">
        <v>100</v>
      </c>
      <c r="CU653" t="s">
        <v>102</v>
      </c>
      <c r="CV653" t="s">
        <v>100</v>
      </c>
    </row>
    <row r="654" spans="1:100">
      <c r="A654" s="3" t="s">
        <v>793</v>
      </c>
      <c r="B654" s="4" t="s">
        <v>794</v>
      </c>
      <c r="C654">
        <v>303.568837791612</v>
      </c>
      <c r="D654">
        <v>44.090667787277397</v>
      </c>
      <c r="E654">
        <v>2.7808653525617801</v>
      </c>
      <c r="F654" s="5">
        <v>1.5067547484341001E-11</v>
      </c>
      <c r="G654" t="s">
        <v>4</v>
      </c>
      <c r="H654">
        <v>303.568837791612</v>
      </c>
      <c r="I654">
        <v>15.5456509706178</v>
      </c>
      <c r="J654">
        <v>4.2519086757871198</v>
      </c>
      <c r="K654" s="5">
        <v>1.49484622272338E-20</v>
      </c>
      <c r="L654" t="s">
        <v>4</v>
      </c>
      <c r="M654">
        <v>44.090667787277397</v>
      </c>
      <c r="N654">
        <v>15.5456509706178</v>
      </c>
      <c r="O654">
        <v>1.4710433232253399</v>
      </c>
      <c r="P654">
        <v>2.9058294484811298E-3</v>
      </c>
      <c r="Q654" t="s">
        <v>4</v>
      </c>
      <c r="R654" s="4" t="s">
        <v>87</v>
      </c>
      <c r="S654" t="s">
        <v>4</v>
      </c>
      <c r="T654" t="s">
        <v>92</v>
      </c>
      <c r="U654" t="s">
        <v>92</v>
      </c>
      <c r="V654" t="s">
        <v>92</v>
      </c>
      <c r="W654" t="s">
        <v>92</v>
      </c>
      <c r="X654" t="s">
        <v>4</v>
      </c>
      <c r="Y654" t="s">
        <v>92</v>
      </c>
      <c r="Z654" t="s">
        <v>92</v>
      </c>
      <c r="AA654" t="s">
        <v>92</v>
      </c>
      <c r="AB654" t="s">
        <v>4</v>
      </c>
      <c r="AC654" s="3" t="s">
        <v>93</v>
      </c>
      <c r="AD654" t="s">
        <v>4</v>
      </c>
      <c r="AE654" s="4" t="s">
        <v>94</v>
      </c>
      <c r="AZ654" t="s">
        <v>4</v>
      </c>
      <c r="BA654" s="3" t="s">
        <v>115</v>
      </c>
      <c r="BB654" s="6" t="s">
        <v>95</v>
      </c>
      <c r="BC654" s="3" t="s">
        <v>95</v>
      </c>
      <c r="BD654" t="s">
        <v>4</v>
      </c>
      <c r="BE654">
        <v>1732</v>
      </c>
      <c r="BF654" t="s">
        <v>151</v>
      </c>
      <c r="BG654" t="s">
        <v>795</v>
      </c>
      <c r="CK654">
        <v>2</v>
      </c>
      <c r="CL654" t="s">
        <v>4</v>
      </c>
      <c r="CM654" t="s">
        <v>98</v>
      </c>
      <c r="CN654" t="s">
        <v>98</v>
      </c>
      <c r="CO654" t="s">
        <v>99</v>
      </c>
      <c r="CP654">
        <v>95</v>
      </c>
      <c r="CQ654" t="s">
        <v>100</v>
      </c>
      <c r="CR654" t="s">
        <v>100</v>
      </c>
      <c r="CS654" t="s">
        <v>101</v>
      </c>
      <c r="CT654" s="7" t="s">
        <v>152</v>
      </c>
      <c r="CU654" t="s">
        <v>102</v>
      </c>
      <c r="CV654" t="s">
        <v>100</v>
      </c>
    </row>
    <row r="655" spans="1:100">
      <c r="A655" s="3" t="s">
        <v>796</v>
      </c>
      <c r="B655" s="4" t="s">
        <v>797</v>
      </c>
      <c r="C655">
        <v>119.479674381919</v>
      </c>
      <c r="D655">
        <v>26.5179554314679</v>
      </c>
      <c r="E655">
        <v>2.1726078895444498</v>
      </c>
      <c r="F655">
        <v>1.8856679254962701E-4</v>
      </c>
      <c r="G655" t="s">
        <v>4</v>
      </c>
      <c r="H655">
        <v>119.479674381919</v>
      </c>
      <c r="I655">
        <v>13.2526122529245</v>
      </c>
      <c r="J655">
        <v>3.20834420373808</v>
      </c>
      <c r="K655" s="5">
        <v>1.17237385123716E-7</v>
      </c>
      <c r="L655" t="s">
        <v>4</v>
      </c>
      <c r="M655">
        <v>26.5179554314679</v>
      </c>
      <c r="N655">
        <v>13.2526122529245</v>
      </c>
      <c r="O655">
        <v>1.03573631419363</v>
      </c>
      <c r="P655">
        <v>0.12401698274070901</v>
      </c>
      <c r="Q655" t="s">
        <v>4</v>
      </c>
      <c r="R655" s="4" t="s">
        <v>87</v>
      </c>
      <c r="S655" t="s">
        <v>4</v>
      </c>
      <c r="T655" t="s">
        <v>92</v>
      </c>
      <c r="U655" t="s">
        <v>92</v>
      </c>
      <c r="V655" t="s">
        <v>92</v>
      </c>
      <c r="W655" t="s">
        <v>92</v>
      </c>
      <c r="X655" t="s">
        <v>4</v>
      </c>
      <c r="Y655" t="s">
        <v>92</v>
      </c>
      <c r="Z655" t="s">
        <v>92</v>
      </c>
      <c r="AA655" t="s">
        <v>92</v>
      </c>
      <c r="AB655" t="s">
        <v>4</v>
      </c>
      <c r="AC655" s="3" t="s">
        <v>93</v>
      </c>
      <c r="AD655" t="s">
        <v>4</v>
      </c>
      <c r="AE655" t="s">
        <v>772</v>
      </c>
      <c r="AF655" t="s">
        <v>798</v>
      </c>
      <c r="AG655" t="s">
        <v>799</v>
      </c>
      <c r="AH655" t="s">
        <v>314</v>
      </c>
      <c r="AU655" t="s">
        <v>112</v>
      </c>
      <c r="AV655" t="s">
        <v>775</v>
      </c>
      <c r="AW655" t="s">
        <v>114</v>
      </c>
      <c r="AZ655" t="s">
        <v>4</v>
      </c>
      <c r="BA655" s="3" t="s">
        <v>95</v>
      </c>
      <c r="BB655" s="6" t="s">
        <v>95</v>
      </c>
      <c r="BC655" s="3" t="s">
        <v>95</v>
      </c>
      <c r="BD655" t="s">
        <v>4</v>
      </c>
      <c r="BE655">
        <v>671</v>
      </c>
      <c r="BF655" t="s">
        <v>322</v>
      </c>
      <c r="CK655">
        <v>1</v>
      </c>
      <c r="CL655" t="s">
        <v>4</v>
      </c>
      <c r="CM655" t="s">
        <v>98</v>
      </c>
      <c r="CN655" t="s">
        <v>98</v>
      </c>
      <c r="CO655" t="s">
        <v>99</v>
      </c>
      <c r="CP655">
        <v>96</v>
      </c>
      <c r="CQ655" t="s">
        <v>100</v>
      </c>
      <c r="CR655" t="s">
        <v>100</v>
      </c>
      <c r="CS655" t="s">
        <v>101</v>
      </c>
      <c r="CT655" t="s">
        <v>100</v>
      </c>
      <c r="CU655" t="s">
        <v>102</v>
      </c>
      <c r="CV655" t="s">
        <v>100</v>
      </c>
    </row>
    <row r="656" spans="1:100">
      <c r="A656" s="3" t="s">
        <v>800</v>
      </c>
      <c r="B656" s="4" t="s">
        <v>801</v>
      </c>
      <c r="C656">
        <v>84.9943041138024</v>
      </c>
      <c r="D656">
        <v>19.913842620743399</v>
      </c>
      <c r="E656">
        <v>2.0948640657947202</v>
      </c>
      <c r="F656">
        <v>2.5951006164485701E-3</v>
      </c>
      <c r="G656" t="s">
        <v>4</v>
      </c>
      <c r="H656">
        <v>84.9943041138024</v>
      </c>
      <c r="I656">
        <v>7.2695901804701304</v>
      </c>
      <c r="J656">
        <v>3.5746545459522401</v>
      </c>
      <c r="K656" s="5">
        <v>1.4712901640377699E-6</v>
      </c>
      <c r="L656" t="s">
        <v>4</v>
      </c>
      <c r="M656">
        <v>19.913842620743399</v>
      </c>
      <c r="N656">
        <v>7.2695901804701304</v>
      </c>
      <c r="O656">
        <v>1.4797904801575199</v>
      </c>
      <c r="P656">
        <v>6.6025953439660598E-2</v>
      </c>
      <c r="Q656" t="s">
        <v>4</v>
      </c>
      <c r="R656" s="4" t="s">
        <v>87</v>
      </c>
      <c r="S656" t="s">
        <v>4</v>
      </c>
      <c r="T656" t="s">
        <v>92</v>
      </c>
      <c r="U656" t="s">
        <v>92</v>
      </c>
      <c r="V656" t="s">
        <v>92</v>
      </c>
      <c r="W656" t="s">
        <v>92</v>
      </c>
      <c r="X656" t="s">
        <v>4</v>
      </c>
      <c r="Y656" t="s">
        <v>802</v>
      </c>
      <c r="Z656" t="s">
        <v>803</v>
      </c>
      <c r="AA656" t="s">
        <v>804</v>
      </c>
      <c r="AB656" t="s">
        <v>4</v>
      </c>
      <c r="AC656" s="3" t="s">
        <v>93</v>
      </c>
      <c r="AD656" t="s">
        <v>4</v>
      </c>
      <c r="AE656" t="s">
        <v>772</v>
      </c>
      <c r="AF656" t="s">
        <v>805</v>
      </c>
      <c r="AG656" t="s">
        <v>806</v>
      </c>
      <c r="AH656" t="s">
        <v>314</v>
      </c>
      <c r="AU656" t="s">
        <v>112</v>
      </c>
      <c r="AV656" t="s">
        <v>775</v>
      </c>
      <c r="AW656" t="s">
        <v>114</v>
      </c>
      <c r="AZ656" t="s">
        <v>4</v>
      </c>
      <c r="BA656" s="3" t="s">
        <v>95</v>
      </c>
      <c r="BB656" s="6" t="s">
        <v>95</v>
      </c>
      <c r="BC656" s="3" t="s">
        <v>197</v>
      </c>
      <c r="BD656" t="s">
        <v>4</v>
      </c>
      <c r="BE656">
        <v>672</v>
      </c>
      <c r="BF656" t="s">
        <v>322</v>
      </c>
      <c r="CK656">
        <v>1</v>
      </c>
      <c r="CL656" t="s">
        <v>4</v>
      </c>
      <c r="CM656" t="s">
        <v>98</v>
      </c>
      <c r="CN656" t="s">
        <v>98</v>
      </c>
      <c r="CO656" t="s">
        <v>99</v>
      </c>
      <c r="CP656">
        <v>97</v>
      </c>
      <c r="CQ656" t="s">
        <v>100</v>
      </c>
      <c r="CR656" t="s">
        <v>100</v>
      </c>
      <c r="CS656" t="s">
        <v>101</v>
      </c>
      <c r="CT656" t="s">
        <v>100</v>
      </c>
      <c r="CU656" t="s">
        <v>102</v>
      </c>
      <c r="CV656" t="s">
        <v>100</v>
      </c>
    </row>
    <row r="657" spans="1:100">
      <c r="A657" s="3" t="s">
        <v>807</v>
      </c>
      <c r="B657" s="4" t="s">
        <v>808</v>
      </c>
      <c r="C657">
        <v>124.006391821891</v>
      </c>
      <c r="D657">
        <v>15.975595456268</v>
      </c>
      <c r="E657">
        <v>2.9607282389763001</v>
      </c>
      <c r="F657" s="5">
        <v>2.8026584426514701E-6</v>
      </c>
      <c r="G657" t="s">
        <v>4</v>
      </c>
      <c r="H657">
        <v>124.006391821891</v>
      </c>
      <c r="I657">
        <v>6.2826940674977196</v>
      </c>
      <c r="J657">
        <v>4.4120318662483502</v>
      </c>
      <c r="K657" s="5">
        <v>6.3374367756419296E-10</v>
      </c>
      <c r="L657" t="s">
        <v>4</v>
      </c>
      <c r="M657">
        <v>15.975595456268</v>
      </c>
      <c r="N657">
        <v>6.2826940674977196</v>
      </c>
      <c r="O657">
        <v>1.4513036272720501</v>
      </c>
      <c r="P657">
        <v>6.7518908005430603E-2</v>
      </c>
      <c r="Q657" t="s">
        <v>4</v>
      </c>
      <c r="R657" s="4" t="s">
        <v>87</v>
      </c>
      <c r="S657" t="s">
        <v>4</v>
      </c>
      <c r="T657" t="s">
        <v>92</v>
      </c>
      <c r="U657" t="s">
        <v>92</v>
      </c>
      <c r="V657" t="s">
        <v>92</v>
      </c>
      <c r="W657" t="s">
        <v>92</v>
      </c>
      <c r="X657" t="s">
        <v>4</v>
      </c>
      <c r="Y657" t="s">
        <v>92</v>
      </c>
      <c r="Z657" t="s">
        <v>92</v>
      </c>
      <c r="AA657" t="s">
        <v>92</v>
      </c>
      <c r="AB657" t="s">
        <v>4</v>
      </c>
      <c r="AC657" s="3" t="s">
        <v>93</v>
      </c>
      <c r="AD657" t="s">
        <v>4</v>
      </c>
      <c r="AE657" s="4" t="s">
        <v>94</v>
      </c>
      <c r="AZ657" t="s">
        <v>4</v>
      </c>
      <c r="BA657" s="3" t="s">
        <v>95</v>
      </c>
      <c r="BB657" s="6" t="s">
        <v>95</v>
      </c>
      <c r="BC657" s="3" t="s">
        <v>95</v>
      </c>
      <c r="BD657" t="s">
        <v>4</v>
      </c>
      <c r="BE657">
        <v>948</v>
      </c>
      <c r="BF657" t="s">
        <v>604</v>
      </c>
      <c r="BH657" t="s">
        <v>809</v>
      </c>
      <c r="CK657">
        <v>1.5</v>
      </c>
      <c r="CL657" t="s">
        <v>4</v>
      </c>
      <c r="CM657" t="s">
        <v>98</v>
      </c>
      <c r="CN657" t="s">
        <v>98</v>
      </c>
      <c r="CO657" t="s">
        <v>99</v>
      </c>
      <c r="CP657">
        <v>98</v>
      </c>
      <c r="CQ657" t="s">
        <v>100</v>
      </c>
      <c r="CR657" t="s">
        <v>100</v>
      </c>
      <c r="CS657" t="s">
        <v>101</v>
      </c>
      <c r="CT657" t="s">
        <v>100</v>
      </c>
      <c r="CU657" t="s">
        <v>102</v>
      </c>
      <c r="CV657" t="s">
        <v>100</v>
      </c>
    </row>
    <row r="658" spans="1:100">
      <c r="A658" s="3" t="s">
        <v>810</v>
      </c>
      <c r="B658" s="8" t="s">
        <v>811</v>
      </c>
      <c r="C658">
        <v>36.263581566536899</v>
      </c>
      <c r="D658">
        <v>5.6957670192500798</v>
      </c>
      <c r="E658">
        <v>2.6725998165856502</v>
      </c>
      <c r="F658">
        <v>8.9034195909525201E-4</v>
      </c>
      <c r="G658" t="s">
        <v>4</v>
      </c>
      <c r="H658">
        <v>36.263581566536899</v>
      </c>
      <c r="I658">
        <v>2.4252098222896601</v>
      </c>
      <c r="J658">
        <v>3.9583010397842102</v>
      </c>
      <c r="K658" s="5">
        <v>4.4942420611699303E-5</v>
      </c>
      <c r="L658" t="s">
        <v>4</v>
      </c>
      <c r="M658">
        <v>5.6957670192500798</v>
      </c>
      <c r="N658">
        <v>2.4252098222896601</v>
      </c>
      <c r="O658">
        <v>1.2857012231985601</v>
      </c>
      <c r="P658">
        <v>0.25257819149490701</v>
      </c>
      <c r="Q658" t="s">
        <v>4</v>
      </c>
      <c r="R658" s="4" t="s">
        <v>95</v>
      </c>
      <c r="S658" t="s">
        <v>4</v>
      </c>
      <c r="T658" t="s">
        <v>92</v>
      </c>
      <c r="U658" t="s">
        <v>92</v>
      </c>
      <c r="V658" t="s">
        <v>92</v>
      </c>
      <c r="W658" t="s">
        <v>92</v>
      </c>
      <c r="X658" t="s">
        <v>4</v>
      </c>
      <c r="Y658" t="s">
        <v>92</v>
      </c>
      <c r="Z658" t="s">
        <v>92</v>
      </c>
      <c r="AA658" t="s">
        <v>92</v>
      </c>
      <c r="AB658" t="s">
        <v>4</v>
      </c>
      <c r="AC658" s="3" t="s">
        <v>93</v>
      </c>
      <c r="AD658" t="s">
        <v>4</v>
      </c>
      <c r="AE658" s="4" t="s">
        <v>94</v>
      </c>
      <c r="AZ658" t="s">
        <v>4</v>
      </c>
      <c r="BA658" s="3" t="s">
        <v>812</v>
      </c>
      <c r="BB658" s="3" t="s">
        <v>812</v>
      </c>
      <c r="BC658" s="3" t="s">
        <v>812</v>
      </c>
      <c r="BD658" t="s">
        <v>4</v>
      </c>
      <c r="BE658" s="3" t="s">
        <v>812</v>
      </c>
      <c r="BF658" s="3" t="s">
        <v>812</v>
      </c>
      <c r="BG658" s="3" t="s">
        <v>812</v>
      </c>
      <c r="BH658" s="3" t="s">
        <v>812</v>
      </c>
      <c r="BI658" s="3" t="s">
        <v>812</v>
      </c>
      <c r="BJ658" s="3" t="s">
        <v>812</v>
      </c>
      <c r="BK658" s="3" t="s">
        <v>812</v>
      </c>
      <c r="BL658" s="3" t="s">
        <v>812</v>
      </c>
      <c r="BM658" s="3" t="s">
        <v>812</v>
      </c>
      <c r="BN658" s="3" t="s">
        <v>812</v>
      </c>
      <c r="BO658" s="3" t="s">
        <v>812</v>
      </c>
      <c r="BP658" s="3" t="s">
        <v>812</v>
      </c>
      <c r="BQ658" s="3" t="s">
        <v>812</v>
      </c>
      <c r="BR658" s="3" t="s">
        <v>812</v>
      </c>
      <c r="BS658" s="3" t="s">
        <v>812</v>
      </c>
      <c r="BT658" s="3" t="s">
        <v>812</v>
      </c>
      <c r="BU658" s="3" t="s">
        <v>812</v>
      </c>
      <c r="BV658" s="3" t="s">
        <v>812</v>
      </c>
      <c r="BW658" s="3" t="s">
        <v>812</v>
      </c>
      <c r="BX658" s="3" t="s">
        <v>812</v>
      </c>
      <c r="BY658" s="3" t="s">
        <v>812</v>
      </c>
      <c r="BZ658" s="3" t="s">
        <v>812</v>
      </c>
      <c r="CA658" s="3" t="s">
        <v>812</v>
      </c>
      <c r="CB658" s="3" t="s">
        <v>812</v>
      </c>
      <c r="CC658" s="3" t="s">
        <v>812</v>
      </c>
      <c r="CD658" s="3" t="s">
        <v>812</v>
      </c>
      <c r="CE658" s="3" t="s">
        <v>812</v>
      </c>
      <c r="CF658" s="3" t="s">
        <v>812</v>
      </c>
      <c r="CG658" s="3" t="s">
        <v>812</v>
      </c>
      <c r="CH658" s="3" t="s">
        <v>812</v>
      </c>
      <c r="CI658" s="3" t="s">
        <v>812</v>
      </c>
      <c r="CJ658" s="3" t="s">
        <v>812</v>
      </c>
      <c r="CK658" s="3" t="s">
        <v>812</v>
      </c>
      <c r="CL658" t="s">
        <v>4</v>
      </c>
      <c r="CM658" s="3" t="s">
        <v>812</v>
      </c>
      <c r="CN658" s="3" t="s">
        <v>812</v>
      </c>
      <c r="CO658" s="3" t="s">
        <v>812</v>
      </c>
      <c r="CP658">
        <v>99</v>
      </c>
      <c r="CQ658" t="s">
        <v>100</v>
      </c>
      <c r="CR658" t="s">
        <v>100</v>
      </c>
      <c r="CS658" t="s">
        <v>101</v>
      </c>
      <c r="CT658" t="s">
        <v>100</v>
      </c>
      <c r="CU658" t="s">
        <v>102</v>
      </c>
      <c r="CV658" t="s">
        <v>100</v>
      </c>
    </row>
    <row r="659" spans="1:100">
      <c r="A659" s="3" t="s">
        <v>813</v>
      </c>
      <c r="B659" s="4" t="s">
        <v>814</v>
      </c>
      <c r="C659">
        <v>4264.5483257299402</v>
      </c>
      <c r="D659">
        <v>907.42215901682198</v>
      </c>
      <c r="E659">
        <v>2.2324207643666898</v>
      </c>
      <c r="F659" s="5">
        <v>5.9309702931299202E-11</v>
      </c>
      <c r="G659" t="s">
        <v>4</v>
      </c>
      <c r="H659">
        <v>4264.5483257299402</v>
      </c>
      <c r="I659">
        <v>128.88408960861099</v>
      </c>
      <c r="J659">
        <v>5.0344918432994596</v>
      </c>
      <c r="K659" s="5">
        <v>3.5424113173669402E-50</v>
      </c>
      <c r="L659" t="s">
        <v>4</v>
      </c>
      <c r="M659">
        <v>907.42215901682198</v>
      </c>
      <c r="N659">
        <v>128.88408960861099</v>
      </c>
      <c r="O659">
        <v>2.8020710789327699</v>
      </c>
      <c r="P659" s="5">
        <v>2.8590254924874198E-16</v>
      </c>
      <c r="Q659" t="s">
        <v>4</v>
      </c>
      <c r="R659" s="4" t="s">
        <v>87</v>
      </c>
      <c r="S659" t="s">
        <v>4</v>
      </c>
      <c r="T659" t="s">
        <v>815</v>
      </c>
      <c r="U659" t="s">
        <v>816</v>
      </c>
      <c r="V659" t="s">
        <v>817</v>
      </c>
      <c r="W659" t="s">
        <v>203</v>
      </c>
      <c r="X659" t="s">
        <v>4</v>
      </c>
      <c r="Y659" t="s">
        <v>818</v>
      </c>
      <c r="Z659" t="s">
        <v>819</v>
      </c>
      <c r="AA659" t="s">
        <v>820</v>
      </c>
      <c r="AB659" t="s">
        <v>4</v>
      </c>
      <c r="AC659" s="3" t="s">
        <v>93</v>
      </c>
      <c r="AD659" t="s">
        <v>4</v>
      </c>
      <c r="AE659" t="s">
        <v>562</v>
      </c>
      <c r="AF659" t="s">
        <v>821</v>
      </c>
      <c r="AG659" t="s">
        <v>822</v>
      </c>
      <c r="AH659" t="s">
        <v>314</v>
      </c>
      <c r="AU659" t="s">
        <v>112</v>
      </c>
      <c r="AV659" t="s">
        <v>565</v>
      </c>
      <c r="AW659" t="s">
        <v>114</v>
      </c>
      <c r="AX659" t="s">
        <v>536</v>
      </c>
      <c r="AY659" t="s">
        <v>566</v>
      </c>
      <c r="AZ659" t="s">
        <v>4</v>
      </c>
      <c r="BA659" s="3" t="s">
        <v>95</v>
      </c>
      <c r="BB659" s="6" t="s">
        <v>95</v>
      </c>
      <c r="BC659" s="3" t="s">
        <v>95</v>
      </c>
      <c r="BD659" t="s">
        <v>4</v>
      </c>
      <c r="BE659">
        <v>2402</v>
      </c>
      <c r="BF659" t="s">
        <v>148</v>
      </c>
      <c r="BG659" t="s">
        <v>823</v>
      </c>
      <c r="BH659">
        <v>65.853700000000003</v>
      </c>
      <c r="BJ659">
        <v>11.149800000000001</v>
      </c>
      <c r="BO659" t="s">
        <v>824</v>
      </c>
      <c r="CK659">
        <v>3</v>
      </c>
      <c r="CL659" t="s">
        <v>4</v>
      </c>
      <c r="CM659" t="s">
        <v>98</v>
      </c>
      <c r="CN659" t="s">
        <v>98</v>
      </c>
      <c r="CO659" t="s">
        <v>99</v>
      </c>
      <c r="CP659">
        <v>100</v>
      </c>
      <c r="CQ659" t="s">
        <v>100</v>
      </c>
      <c r="CR659" t="s">
        <v>100</v>
      </c>
      <c r="CS659" t="s">
        <v>101</v>
      </c>
      <c r="CT659" t="s">
        <v>152</v>
      </c>
      <c r="CU659" t="s">
        <v>102</v>
      </c>
      <c r="CV659" t="s">
        <v>100</v>
      </c>
    </row>
    <row r="660" spans="1:100">
      <c r="A660" s="3" t="s">
        <v>825</v>
      </c>
      <c r="B660" s="4" t="s">
        <v>826</v>
      </c>
      <c r="C660">
        <v>356.02262297868202</v>
      </c>
      <c r="D660">
        <v>55.1932922549016</v>
      </c>
      <c r="E660">
        <v>2.6921378347876099</v>
      </c>
      <c r="F660" s="5">
        <v>1.4463492361162999E-22</v>
      </c>
      <c r="G660" t="s">
        <v>4</v>
      </c>
      <c r="H660">
        <v>356.02262297868202</v>
      </c>
      <c r="I660">
        <v>33.116881067841803</v>
      </c>
      <c r="J660">
        <v>3.4168487420482898</v>
      </c>
      <c r="K660" s="5">
        <v>1.15254262826395E-29</v>
      </c>
      <c r="L660" t="s">
        <v>4</v>
      </c>
      <c r="M660">
        <v>55.1932922549016</v>
      </c>
      <c r="N660">
        <v>33.116881067841803</v>
      </c>
      <c r="O660">
        <v>0.72471090726067799</v>
      </c>
      <c r="P660">
        <v>3.5944213746535003E-2</v>
      </c>
      <c r="Q660" t="s">
        <v>4</v>
      </c>
      <c r="R660" s="4" t="s">
        <v>87</v>
      </c>
      <c r="S660" t="s">
        <v>4</v>
      </c>
      <c r="T660" t="s">
        <v>827</v>
      </c>
      <c r="U660" t="s">
        <v>828</v>
      </c>
      <c r="V660" t="s">
        <v>829</v>
      </c>
      <c r="W660" t="s">
        <v>203</v>
      </c>
      <c r="X660" t="s">
        <v>4</v>
      </c>
      <c r="Y660" t="s">
        <v>830</v>
      </c>
      <c r="Z660" t="s">
        <v>831</v>
      </c>
      <c r="AA660" t="s">
        <v>832</v>
      </c>
      <c r="AB660" t="s">
        <v>4</v>
      </c>
      <c r="AC660" s="3" t="s">
        <v>93</v>
      </c>
      <c r="AD660" t="s">
        <v>4</v>
      </c>
      <c r="AE660" t="s">
        <v>833</v>
      </c>
      <c r="AF660" t="s">
        <v>834</v>
      </c>
      <c r="AG660" t="s">
        <v>835</v>
      </c>
      <c r="AH660" t="s">
        <v>112</v>
      </c>
      <c r="AU660" t="s">
        <v>112</v>
      </c>
      <c r="AV660" t="s">
        <v>836</v>
      </c>
      <c r="AW660" t="s">
        <v>114</v>
      </c>
      <c r="AX660" t="s">
        <v>536</v>
      </c>
      <c r="AY660" t="s">
        <v>837</v>
      </c>
      <c r="AZ660" t="s">
        <v>4</v>
      </c>
      <c r="BA660" s="3" t="s">
        <v>95</v>
      </c>
      <c r="BB660" t="s">
        <v>96</v>
      </c>
      <c r="BC660" s="3" t="s">
        <v>95</v>
      </c>
      <c r="BD660" t="s">
        <v>4</v>
      </c>
      <c r="BE660">
        <v>5283</v>
      </c>
      <c r="BF660" t="s">
        <v>282</v>
      </c>
      <c r="BG660">
        <v>95.516900000000007</v>
      </c>
      <c r="BH660">
        <v>10.887499999999999</v>
      </c>
      <c r="BI660">
        <v>65.507800000000003</v>
      </c>
      <c r="BJ660">
        <v>63.586500000000001</v>
      </c>
      <c r="BK660">
        <v>64.318399999999997</v>
      </c>
      <c r="BL660">
        <v>59.7438</v>
      </c>
      <c r="BM660">
        <v>60.5672</v>
      </c>
      <c r="BN660">
        <v>71.912199999999999</v>
      </c>
      <c r="BO660">
        <v>74.382400000000004</v>
      </c>
      <c r="BP660">
        <v>59.469299999999997</v>
      </c>
      <c r="BQ660">
        <v>44.464799999999997</v>
      </c>
      <c r="BR660">
        <v>47.392499999999998</v>
      </c>
      <c r="BS660">
        <v>49.588299999999997</v>
      </c>
      <c r="BT660">
        <v>40.347700000000003</v>
      </c>
      <c r="BU660">
        <v>3.9341300000000001</v>
      </c>
      <c r="BV660" t="s">
        <v>838</v>
      </c>
      <c r="BW660">
        <v>49.039299999999997</v>
      </c>
      <c r="BX660">
        <v>50.777700000000003</v>
      </c>
      <c r="BY660">
        <v>5.0320200000000002</v>
      </c>
      <c r="BZ660" t="s">
        <v>839</v>
      </c>
      <c r="CA660">
        <v>50.777700000000003</v>
      </c>
      <c r="CB660">
        <v>15.0961</v>
      </c>
      <c r="CC660" t="s">
        <v>840</v>
      </c>
      <c r="CD660">
        <v>33.485799999999998</v>
      </c>
      <c r="CF660">
        <v>17.200399999999998</v>
      </c>
      <c r="CG660" t="s">
        <v>841</v>
      </c>
      <c r="CH660" t="s">
        <v>842</v>
      </c>
      <c r="CI660" t="s">
        <v>843</v>
      </c>
      <c r="CK660">
        <v>6</v>
      </c>
      <c r="CL660" t="s">
        <v>4</v>
      </c>
      <c r="CM660" t="s">
        <v>844</v>
      </c>
      <c r="CN660" t="s">
        <v>845</v>
      </c>
      <c r="CO660" t="s">
        <v>99</v>
      </c>
      <c r="CP660">
        <v>101</v>
      </c>
      <c r="CQ660" t="s">
        <v>100</v>
      </c>
      <c r="CR660" t="s">
        <v>100</v>
      </c>
      <c r="CS660" t="s">
        <v>101</v>
      </c>
      <c r="CT660" t="s">
        <v>100</v>
      </c>
      <c r="CU660" t="s">
        <v>102</v>
      </c>
      <c r="CV660" t="s">
        <v>100</v>
      </c>
    </row>
    <row r="661" spans="1:100">
      <c r="A661" s="3" t="s">
        <v>846</v>
      </c>
      <c r="B661" s="4" t="s">
        <v>847</v>
      </c>
      <c r="C661">
        <v>69.744443069305305</v>
      </c>
      <c r="D661">
        <v>5.9038507181305402</v>
      </c>
      <c r="E661">
        <v>3.5805572584418801</v>
      </c>
      <c r="F661" s="5">
        <v>4.0463893995498698E-5</v>
      </c>
      <c r="G661" t="s">
        <v>4</v>
      </c>
      <c r="H661">
        <v>69.744443069305305</v>
      </c>
      <c r="I661">
        <v>5.5557616217049199</v>
      </c>
      <c r="J661">
        <v>3.6037024079787998</v>
      </c>
      <c r="K661" s="5">
        <v>5.3683949768592001E-5</v>
      </c>
      <c r="L661" t="s">
        <v>4</v>
      </c>
      <c r="M661">
        <v>5.9038507181305402</v>
      </c>
      <c r="N661">
        <v>5.5557616217049199</v>
      </c>
      <c r="O661">
        <v>2.3145149536916799E-2</v>
      </c>
      <c r="P661">
        <v>0.98995958315369104</v>
      </c>
      <c r="Q661" t="s">
        <v>4</v>
      </c>
      <c r="R661" s="4" t="s">
        <v>87</v>
      </c>
      <c r="S661" t="s">
        <v>4</v>
      </c>
      <c r="T661" t="s">
        <v>92</v>
      </c>
      <c r="U661" t="s">
        <v>92</v>
      </c>
      <c r="V661" t="s">
        <v>92</v>
      </c>
      <c r="W661" t="s">
        <v>92</v>
      </c>
      <c r="X661" t="s">
        <v>4</v>
      </c>
      <c r="Y661" t="s">
        <v>92</v>
      </c>
      <c r="Z661" t="s">
        <v>92</v>
      </c>
      <c r="AA661" t="s">
        <v>92</v>
      </c>
      <c r="AB661" t="s">
        <v>4</v>
      </c>
      <c r="AC661" s="3" t="s">
        <v>93</v>
      </c>
      <c r="AD661" t="s">
        <v>4</v>
      </c>
      <c r="AE661" t="s">
        <v>848</v>
      </c>
      <c r="AF661" t="s">
        <v>849</v>
      </c>
      <c r="AG661" t="s">
        <v>850</v>
      </c>
      <c r="AH661" t="s">
        <v>112</v>
      </c>
      <c r="AU661" t="s">
        <v>112</v>
      </c>
      <c r="AV661" t="s">
        <v>851</v>
      </c>
      <c r="AW661" t="s">
        <v>114</v>
      </c>
      <c r="AZ661" t="s">
        <v>4</v>
      </c>
      <c r="BA661" s="3" t="s">
        <v>95</v>
      </c>
      <c r="BB661" s="6" t="s">
        <v>95</v>
      </c>
      <c r="BC661" s="3" t="s">
        <v>95</v>
      </c>
      <c r="BD661" t="s">
        <v>4</v>
      </c>
      <c r="BE661">
        <v>3102</v>
      </c>
      <c r="BF661" t="s">
        <v>97</v>
      </c>
      <c r="BG661">
        <v>97.938100000000006</v>
      </c>
      <c r="BI661">
        <v>88.659800000000004</v>
      </c>
      <c r="BJ661">
        <v>77.663200000000003</v>
      </c>
      <c r="BK661">
        <v>73.883200000000002</v>
      </c>
      <c r="BM661">
        <v>65.979399999999998</v>
      </c>
      <c r="BN661">
        <v>65.979399999999998</v>
      </c>
      <c r="BO661">
        <v>65.292100000000005</v>
      </c>
      <c r="BP661">
        <v>20.962199999999999</v>
      </c>
      <c r="CK661">
        <v>4</v>
      </c>
      <c r="CL661" t="s">
        <v>4</v>
      </c>
      <c r="CM661" t="s">
        <v>98</v>
      </c>
      <c r="CN661" t="s">
        <v>98</v>
      </c>
      <c r="CO661" t="s">
        <v>99</v>
      </c>
      <c r="CP661">
        <v>102</v>
      </c>
      <c r="CQ661" t="s">
        <v>100</v>
      </c>
      <c r="CR661" t="s">
        <v>100</v>
      </c>
      <c r="CS661" t="s">
        <v>101</v>
      </c>
      <c r="CT661" t="s">
        <v>100</v>
      </c>
      <c r="CU661" t="s">
        <v>102</v>
      </c>
      <c r="CV661" t="s">
        <v>100</v>
      </c>
    </row>
    <row r="662" spans="1:100">
      <c r="A662" s="3" t="s">
        <v>852</v>
      </c>
      <c r="B662" s="4" t="s">
        <v>853</v>
      </c>
      <c r="C662">
        <v>33.4886462364558</v>
      </c>
      <c r="D662">
        <v>4.1562210611394503</v>
      </c>
      <c r="E662">
        <v>3.0166177409837598</v>
      </c>
      <c r="F662">
        <v>4.9031309914997802E-3</v>
      </c>
      <c r="G662" t="s">
        <v>4</v>
      </c>
      <c r="H662">
        <v>33.4886462364558</v>
      </c>
      <c r="I662">
        <v>1.6417037200681699</v>
      </c>
      <c r="J662">
        <v>4.2539934956961796</v>
      </c>
      <c r="K662">
        <v>5.6082495243139105E-4</v>
      </c>
      <c r="L662" t="s">
        <v>4</v>
      </c>
      <c r="M662">
        <v>4.1562210611394503</v>
      </c>
      <c r="N662">
        <v>1.6417037200681699</v>
      </c>
      <c r="O662">
        <v>1.23737575471242</v>
      </c>
      <c r="P662">
        <v>0.39276396359155302</v>
      </c>
      <c r="Q662" t="s">
        <v>4</v>
      </c>
      <c r="R662" s="4" t="s">
        <v>87</v>
      </c>
      <c r="S662" t="s">
        <v>4</v>
      </c>
      <c r="T662" t="s">
        <v>92</v>
      </c>
      <c r="U662" t="s">
        <v>92</v>
      </c>
      <c r="V662" t="s">
        <v>92</v>
      </c>
      <c r="W662" t="s">
        <v>92</v>
      </c>
      <c r="X662" t="s">
        <v>4</v>
      </c>
      <c r="Y662" t="s">
        <v>854</v>
      </c>
      <c r="Z662" t="s">
        <v>855</v>
      </c>
      <c r="AA662" t="s">
        <v>856</v>
      </c>
      <c r="AB662" t="s">
        <v>4</v>
      </c>
      <c r="AC662" s="3" t="s">
        <v>93</v>
      </c>
      <c r="AD662" t="s">
        <v>4</v>
      </c>
      <c r="AE662" t="s">
        <v>857</v>
      </c>
      <c r="AF662" t="s">
        <v>858</v>
      </c>
      <c r="AG662" t="s">
        <v>859</v>
      </c>
      <c r="AH662" t="s">
        <v>638</v>
      </c>
      <c r="AL662" t="s">
        <v>860</v>
      </c>
      <c r="AQ662" t="s">
        <v>861</v>
      </c>
      <c r="AU662" t="s">
        <v>112</v>
      </c>
      <c r="AV662" t="s">
        <v>862</v>
      </c>
      <c r="AW662" t="s">
        <v>114</v>
      </c>
      <c r="AX662" t="s">
        <v>596</v>
      </c>
      <c r="AY662" t="s">
        <v>863</v>
      </c>
      <c r="AZ662" t="s">
        <v>4</v>
      </c>
      <c r="BA662" s="3" t="s">
        <v>95</v>
      </c>
      <c r="BB662" s="6" t="s">
        <v>95</v>
      </c>
      <c r="BC662" s="3" t="s">
        <v>95</v>
      </c>
      <c r="BD662" t="s">
        <v>4</v>
      </c>
      <c r="BE662">
        <v>3104</v>
      </c>
      <c r="BF662" t="s">
        <v>97</v>
      </c>
      <c r="BG662">
        <v>94.5578</v>
      </c>
      <c r="BH662">
        <v>96.258499999999998</v>
      </c>
      <c r="BI662">
        <v>90.136099999999999</v>
      </c>
      <c r="BJ662">
        <v>44.217700000000001</v>
      </c>
      <c r="BK662">
        <v>57.823099999999997</v>
      </c>
      <c r="BL662">
        <v>52.381</v>
      </c>
      <c r="BM662">
        <v>48.979599999999998</v>
      </c>
      <c r="BN662">
        <v>67.687100000000001</v>
      </c>
      <c r="BO662" t="s">
        <v>864</v>
      </c>
      <c r="BP662">
        <v>12.9252</v>
      </c>
      <c r="CK662">
        <v>4</v>
      </c>
      <c r="CL662" t="s">
        <v>4</v>
      </c>
      <c r="CM662" t="s">
        <v>98</v>
      </c>
      <c r="CN662" t="s">
        <v>98</v>
      </c>
      <c r="CO662" t="s">
        <v>99</v>
      </c>
      <c r="CP662">
        <v>103</v>
      </c>
      <c r="CQ662" t="s">
        <v>100</v>
      </c>
      <c r="CR662" t="s">
        <v>100</v>
      </c>
      <c r="CS662" t="s">
        <v>101</v>
      </c>
      <c r="CT662" t="s">
        <v>100</v>
      </c>
      <c r="CU662" t="s">
        <v>102</v>
      </c>
      <c r="CV662" t="s">
        <v>100</v>
      </c>
    </row>
    <row r="663" spans="1:100">
      <c r="A663" s="3" t="s">
        <v>865</v>
      </c>
      <c r="B663" s="4" t="s">
        <v>866</v>
      </c>
      <c r="C663">
        <v>71.579741602842603</v>
      </c>
      <c r="D663">
        <v>11.3634642318926</v>
      </c>
      <c r="E663">
        <v>2.6679223296381802</v>
      </c>
      <c r="F663" s="5">
        <v>8.2725719043428902E-5</v>
      </c>
      <c r="G663" t="s">
        <v>4</v>
      </c>
      <c r="H663">
        <v>71.579741602842603</v>
      </c>
      <c r="I663">
        <v>16.688875333782001</v>
      </c>
      <c r="J663">
        <v>2.1163835022559598</v>
      </c>
      <c r="K663">
        <v>1.60975008223343E-3</v>
      </c>
      <c r="L663" t="s">
        <v>4</v>
      </c>
      <c r="M663">
        <v>11.3634642318926</v>
      </c>
      <c r="N663">
        <v>16.688875333782001</v>
      </c>
      <c r="O663">
        <f>0.551538827382221</f>
        <v>0.55153882738222104</v>
      </c>
      <c r="P663">
        <v>0.49456382762192402</v>
      </c>
      <c r="Q663" t="s">
        <v>4</v>
      </c>
      <c r="R663" s="4" t="s">
        <v>87</v>
      </c>
      <c r="S663" t="s">
        <v>4</v>
      </c>
      <c r="T663" t="s">
        <v>867</v>
      </c>
      <c r="U663" t="s">
        <v>868</v>
      </c>
      <c r="V663" t="s">
        <v>869</v>
      </c>
      <c r="W663" t="s">
        <v>91</v>
      </c>
      <c r="X663" t="s">
        <v>4</v>
      </c>
      <c r="Y663" t="s">
        <v>870</v>
      </c>
      <c r="Z663" t="s">
        <v>871</v>
      </c>
      <c r="AA663" t="s">
        <v>872</v>
      </c>
      <c r="AB663" t="s">
        <v>4</v>
      </c>
      <c r="AC663" s="3" t="s">
        <v>93</v>
      </c>
      <c r="AD663" t="s">
        <v>4</v>
      </c>
      <c r="AE663" t="s">
        <v>873</v>
      </c>
      <c r="AF663" t="s">
        <v>874</v>
      </c>
      <c r="AG663" t="s">
        <v>875</v>
      </c>
      <c r="AH663" t="s">
        <v>112</v>
      </c>
      <c r="AJ663" t="s">
        <v>876</v>
      </c>
      <c r="AL663" t="s">
        <v>877</v>
      </c>
      <c r="AM663" t="s">
        <v>878</v>
      </c>
      <c r="AQ663" t="s">
        <v>879</v>
      </c>
      <c r="AU663" t="s">
        <v>112</v>
      </c>
      <c r="AV663" t="s">
        <v>880</v>
      </c>
      <c r="AW663" t="s">
        <v>114</v>
      </c>
      <c r="AX663" t="s">
        <v>881</v>
      </c>
      <c r="AY663" t="s">
        <v>882</v>
      </c>
      <c r="AZ663" t="s">
        <v>4</v>
      </c>
      <c r="BA663" s="3" t="s">
        <v>95</v>
      </c>
      <c r="BB663" t="s">
        <v>96</v>
      </c>
      <c r="BC663" s="3" t="s">
        <v>95</v>
      </c>
      <c r="BD663" t="s">
        <v>4</v>
      </c>
      <c r="BE663">
        <v>8485</v>
      </c>
      <c r="BF663" t="s">
        <v>213</v>
      </c>
      <c r="BG663">
        <v>97.692300000000003</v>
      </c>
      <c r="BH663">
        <v>99.743600000000001</v>
      </c>
      <c r="BM663">
        <v>51.794899999999998</v>
      </c>
      <c r="BN663">
        <v>51.2821</v>
      </c>
      <c r="BO663" t="s">
        <v>883</v>
      </c>
      <c r="CC663" t="s">
        <v>884</v>
      </c>
      <c r="CD663" t="s">
        <v>885</v>
      </c>
      <c r="CG663" t="s">
        <v>886</v>
      </c>
      <c r="CH663" t="s">
        <v>887</v>
      </c>
      <c r="CI663" t="s">
        <v>888</v>
      </c>
      <c r="CK663">
        <v>8</v>
      </c>
      <c r="CL663" t="s">
        <v>4</v>
      </c>
      <c r="CM663" t="s">
        <v>98</v>
      </c>
      <c r="CN663" t="s">
        <v>98</v>
      </c>
      <c r="CO663" t="s">
        <v>99</v>
      </c>
      <c r="CP663">
        <v>104</v>
      </c>
      <c r="CQ663" t="s">
        <v>100</v>
      </c>
      <c r="CR663" t="s">
        <v>100</v>
      </c>
      <c r="CS663" t="s">
        <v>101</v>
      </c>
      <c r="CT663" t="s">
        <v>100</v>
      </c>
      <c r="CU663" t="s">
        <v>102</v>
      </c>
      <c r="CV663" t="s">
        <v>100</v>
      </c>
    </row>
    <row r="664" spans="1:100">
      <c r="A664" s="3" t="s">
        <v>889</v>
      </c>
      <c r="B664" s="4" t="s">
        <v>890</v>
      </c>
      <c r="C664">
        <v>101.211521634536</v>
      </c>
      <c r="D664">
        <v>18.495672233940201</v>
      </c>
      <c r="E664">
        <v>2.44974184103841</v>
      </c>
      <c r="F664" s="5">
        <v>1.1168720584031701E-5</v>
      </c>
      <c r="G664" t="s">
        <v>4</v>
      </c>
      <c r="H664">
        <v>101.211521634536</v>
      </c>
      <c r="I664">
        <v>18.677108702575602</v>
      </c>
      <c r="J664">
        <v>2.4955840139824002</v>
      </c>
      <c r="K664" s="5">
        <v>1.01109220747545E-5</v>
      </c>
      <c r="L664" t="s">
        <v>4</v>
      </c>
      <c r="M664">
        <v>18.495672233940201</v>
      </c>
      <c r="N664">
        <v>18.677108702575602</v>
      </c>
      <c r="O664">
        <v>4.5842172943986299E-2</v>
      </c>
      <c r="P664">
        <v>0.95427868691015205</v>
      </c>
      <c r="Q664" t="s">
        <v>4</v>
      </c>
      <c r="R664" s="4" t="s">
        <v>87</v>
      </c>
      <c r="S664" t="s">
        <v>4</v>
      </c>
      <c r="T664" t="s">
        <v>88</v>
      </c>
      <c r="U664" t="s">
        <v>89</v>
      </c>
      <c r="V664" t="s">
        <v>90</v>
      </c>
      <c r="W664" t="s">
        <v>91</v>
      </c>
      <c r="X664" t="s">
        <v>4</v>
      </c>
      <c r="Y664" t="s">
        <v>92</v>
      </c>
      <c r="Z664" t="s">
        <v>92</v>
      </c>
      <c r="AA664" t="s">
        <v>92</v>
      </c>
      <c r="AB664" t="s">
        <v>4</v>
      </c>
      <c r="AC664" s="3" t="s">
        <v>93</v>
      </c>
      <c r="AD664" t="s">
        <v>4</v>
      </c>
      <c r="AE664" t="s">
        <v>891</v>
      </c>
      <c r="AF664" t="s">
        <v>892</v>
      </c>
      <c r="AG664" t="s">
        <v>893</v>
      </c>
      <c r="AH664" t="s">
        <v>638</v>
      </c>
      <c r="AU664" t="s">
        <v>112</v>
      </c>
      <c r="AV664" t="s">
        <v>894</v>
      </c>
      <c r="AW664" t="s">
        <v>114</v>
      </c>
      <c r="AZ664" t="s">
        <v>4</v>
      </c>
      <c r="BA664" s="3" t="s">
        <v>95</v>
      </c>
      <c r="BB664" t="s">
        <v>96</v>
      </c>
      <c r="BC664" s="3" t="s">
        <v>95</v>
      </c>
      <c r="BD664" t="s">
        <v>4</v>
      </c>
      <c r="BE664">
        <v>4712</v>
      </c>
      <c r="BF664" t="s">
        <v>112</v>
      </c>
      <c r="BG664">
        <v>88.153300000000002</v>
      </c>
      <c r="BH664">
        <v>63.4146</v>
      </c>
      <c r="BM664">
        <v>43.205599999999997</v>
      </c>
      <c r="BN664">
        <v>73.519199999999998</v>
      </c>
      <c r="BP664">
        <v>45.644599999999997</v>
      </c>
      <c r="BS664">
        <v>23.344899999999999</v>
      </c>
      <c r="BT664">
        <v>33.100999999999999</v>
      </c>
      <c r="BU664">
        <v>30.313600000000001</v>
      </c>
      <c r="BV664">
        <v>31.0105</v>
      </c>
      <c r="BW664">
        <v>33.4495</v>
      </c>
      <c r="BY664">
        <v>25.783999999999999</v>
      </c>
      <c r="CA664">
        <v>39.0244</v>
      </c>
      <c r="CK664">
        <v>5</v>
      </c>
      <c r="CL664" t="s">
        <v>4</v>
      </c>
      <c r="CM664" t="s">
        <v>895</v>
      </c>
      <c r="CN664" t="s">
        <v>896</v>
      </c>
      <c r="CO664" t="s">
        <v>99</v>
      </c>
      <c r="CP664">
        <v>105</v>
      </c>
      <c r="CQ664" t="s">
        <v>100</v>
      </c>
      <c r="CR664" t="s">
        <v>100</v>
      </c>
      <c r="CS664" t="s">
        <v>101</v>
      </c>
      <c r="CT664" t="s">
        <v>100</v>
      </c>
      <c r="CU664" t="s">
        <v>102</v>
      </c>
      <c r="CV664" t="s">
        <v>100</v>
      </c>
    </row>
    <row r="665" spans="1:100">
      <c r="A665" s="3" t="s">
        <v>897</v>
      </c>
      <c r="B665" s="4" t="s">
        <v>898</v>
      </c>
      <c r="C665">
        <v>361.33491298594299</v>
      </c>
      <c r="D665">
        <v>63.764609406024398</v>
      </c>
      <c r="E665">
        <v>2.5032339455055701</v>
      </c>
      <c r="F665">
        <v>4.4834589475241096E-3</v>
      </c>
      <c r="G665" t="s">
        <v>4</v>
      </c>
      <c r="H665">
        <v>361.33491298594299</v>
      </c>
      <c r="I665">
        <v>59.83833759857</v>
      </c>
      <c r="J665">
        <v>2.5930878645376199</v>
      </c>
      <c r="K665">
        <v>2.4907945228961198E-3</v>
      </c>
      <c r="L665" t="s">
        <v>4</v>
      </c>
      <c r="M665">
        <v>63.764609406024398</v>
      </c>
      <c r="N665">
        <v>59.83833759857</v>
      </c>
      <c r="O665">
        <v>8.9853919032049007E-2</v>
      </c>
      <c r="P665">
        <v>0.93808558337588499</v>
      </c>
      <c r="Q665" t="s">
        <v>4</v>
      </c>
      <c r="R665" s="4" t="s">
        <v>87</v>
      </c>
      <c r="S665" t="s">
        <v>4</v>
      </c>
      <c r="T665" t="s">
        <v>92</v>
      </c>
      <c r="U665" t="s">
        <v>92</v>
      </c>
      <c r="V665" t="s">
        <v>92</v>
      </c>
      <c r="W665" t="s">
        <v>92</v>
      </c>
      <c r="X665" t="s">
        <v>4</v>
      </c>
      <c r="Y665" t="s">
        <v>92</v>
      </c>
      <c r="Z665" t="s">
        <v>92</v>
      </c>
      <c r="AA665" t="s">
        <v>92</v>
      </c>
      <c r="AB665" t="s">
        <v>4</v>
      </c>
      <c r="AC665" s="3" t="s">
        <v>93</v>
      </c>
      <c r="AD665" t="s">
        <v>4</v>
      </c>
      <c r="AE665" s="4" t="s">
        <v>94</v>
      </c>
      <c r="AZ665" t="s">
        <v>4</v>
      </c>
      <c r="BA665" s="3" t="s">
        <v>115</v>
      </c>
      <c r="BB665" s="6" t="s">
        <v>95</v>
      </c>
      <c r="BC665" s="3" t="s">
        <v>197</v>
      </c>
      <c r="BD665" t="s">
        <v>4</v>
      </c>
      <c r="BE665">
        <v>1763</v>
      </c>
      <c r="BF665" t="s">
        <v>151</v>
      </c>
      <c r="BG665">
        <v>18.6145</v>
      </c>
      <c r="BH665">
        <v>6.8746700000000001</v>
      </c>
      <c r="BL665">
        <v>4.0190400000000004</v>
      </c>
      <c r="BM665">
        <v>4.1247999999999996</v>
      </c>
      <c r="CK665">
        <v>2</v>
      </c>
      <c r="CL665" t="s">
        <v>4</v>
      </c>
      <c r="CM665" t="s">
        <v>98</v>
      </c>
      <c r="CN665" t="s">
        <v>98</v>
      </c>
      <c r="CO665" t="s">
        <v>99</v>
      </c>
      <c r="CP665">
        <v>106</v>
      </c>
      <c r="CQ665" t="s">
        <v>100</v>
      </c>
      <c r="CR665" t="s">
        <v>100</v>
      </c>
      <c r="CS665" t="s">
        <v>101</v>
      </c>
      <c r="CT665" t="s">
        <v>100</v>
      </c>
      <c r="CU665" t="s">
        <v>102</v>
      </c>
      <c r="CV665" t="s">
        <v>100</v>
      </c>
    </row>
    <row r="666" spans="1:100">
      <c r="A666" s="3" t="s">
        <v>899</v>
      </c>
      <c r="B666" s="4" t="s">
        <v>900</v>
      </c>
      <c r="C666">
        <v>48.618137482519501</v>
      </c>
      <c r="D666">
        <v>10.5716791356827</v>
      </c>
      <c r="E666">
        <v>2.2067689404561599</v>
      </c>
      <c r="F666">
        <v>6.5152447045204696E-3</v>
      </c>
      <c r="G666" t="s">
        <v>4</v>
      </c>
      <c r="H666">
        <v>48.618137482519501</v>
      </c>
      <c r="I666">
        <v>0.337017752855924</v>
      </c>
      <c r="J666">
        <v>6.5893752310407896</v>
      </c>
      <c r="K666" s="5">
        <v>4.9481250929854899E-6</v>
      </c>
      <c r="L666" t="s">
        <v>4</v>
      </c>
      <c r="M666">
        <v>10.5716791356827</v>
      </c>
      <c r="N666">
        <v>0.337017752855924</v>
      </c>
      <c r="O666">
        <v>4.3826062905846204</v>
      </c>
      <c r="P666">
        <v>3.07831806825147E-3</v>
      </c>
      <c r="Q666" t="s">
        <v>4</v>
      </c>
      <c r="R666" s="4" t="s">
        <v>87</v>
      </c>
      <c r="S666" t="s">
        <v>4</v>
      </c>
      <c r="T666" t="s">
        <v>92</v>
      </c>
      <c r="U666" t="s">
        <v>92</v>
      </c>
      <c r="V666" t="s">
        <v>92</v>
      </c>
      <c r="W666" t="s">
        <v>92</v>
      </c>
      <c r="X666" t="s">
        <v>4</v>
      </c>
      <c r="Y666" t="s">
        <v>92</v>
      </c>
      <c r="Z666" t="s">
        <v>92</v>
      </c>
      <c r="AA666" t="s">
        <v>92</v>
      </c>
      <c r="AB666" t="s">
        <v>4</v>
      </c>
      <c r="AC666" s="3" t="s">
        <v>93</v>
      </c>
      <c r="AD666" t="s">
        <v>4</v>
      </c>
      <c r="AE666" t="s">
        <v>901</v>
      </c>
      <c r="AF666" t="s">
        <v>902</v>
      </c>
      <c r="AG666" t="s">
        <v>903</v>
      </c>
      <c r="AH666" t="s">
        <v>112</v>
      </c>
      <c r="AI666" t="s">
        <v>904</v>
      </c>
      <c r="AJ666" t="s">
        <v>905</v>
      </c>
      <c r="AL666" t="s">
        <v>906</v>
      </c>
      <c r="AQ666" t="s">
        <v>641</v>
      </c>
      <c r="AR666" t="s">
        <v>907</v>
      </c>
      <c r="AU666" t="s">
        <v>112</v>
      </c>
      <c r="AV666" t="s">
        <v>908</v>
      </c>
      <c r="AW666" t="s">
        <v>114</v>
      </c>
      <c r="AX666" t="s">
        <v>909</v>
      </c>
      <c r="AY666" t="s">
        <v>910</v>
      </c>
      <c r="AZ666" t="s">
        <v>4</v>
      </c>
      <c r="BA666" s="3" t="s">
        <v>95</v>
      </c>
      <c r="BB666" s="6" t="s">
        <v>95</v>
      </c>
      <c r="BC666" s="3" t="s">
        <v>95</v>
      </c>
      <c r="BD666" t="s">
        <v>4</v>
      </c>
      <c r="BE666">
        <v>955</v>
      </c>
      <c r="BF666" t="s">
        <v>604</v>
      </c>
      <c r="BG666">
        <v>24.6479</v>
      </c>
      <c r="CK666">
        <v>1.5</v>
      </c>
      <c r="CL666" t="s">
        <v>4</v>
      </c>
      <c r="CM666" t="s">
        <v>98</v>
      </c>
      <c r="CN666" t="s">
        <v>98</v>
      </c>
      <c r="CO666" t="s">
        <v>99</v>
      </c>
      <c r="CP666">
        <v>107</v>
      </c>
      <c r="CQ666" t="s">
        <v>100</v>
      </c>
      <c r="CR666" t="s">
        <v>100</v>
      </c>
      <c r="CS666" t="s">
        <v>101</v>
      </c>
      <c r="CT666" t="s">
        <v>152</v>
      </c>
      <c r="CU666" t="s">
        <v>102</v>
      </c>
      <c r="CV666" t="s">
        <v>100</v>
      </c>
    </row>
    <row r="667" spans="1:100">
      <c r="A667" s="3" t="s">
        <v>911</v>
      </c>
      <c r="B667" s="4" t="s">
        <v>912</v>
      </c>
      <c r="C667">
        <v>45.796574710265098</v>
      </c>
      <c r="D667">
        <v>3.18397965261825</v>
      </c>
      <c r="E667">
        <v>3.8508054081616998</v>
      </c>
      <c r="F667" s="5">
        <v>3.6494472818686899E-6</v>
      </c>
      <c r="G667" t="s">
        <v>4</v>
      </c>
      <c r="H667">
        <v>45.796574710265098</v>
      </c>
      <c r="I667">
        <v>4.0356070709440699</v>
      </c>
      <c r="J667">
        <v>3.5869992820678198</v>
      </c>
      <c r="K667" s="5">
        <v>2.53075472788031E-5</v>
      </c>
      <c r="L667" t="s">
        <v>4</v>
      </c>
      <c r="M667">
        <v>3.18397965261825</v>
      </c>
      <c r="N667">
        <v>4.0356070709440699</v>
      </c>
      <c r="O667">
        <f>0.263806126093884</f>
        <v>0.26380612609388399</v>
      </c>
      <c r="P667">
        <v>0.83270170961425305</v>
      </c>
      <c r="Q667" t="s">
        <v>4</v>
      </c>
      <c r="R667" s="4" t="s">
        <v>87</v>
      </c>
      <c r="S667" t="s">
        <v>4</v>
      </c>
      <c r="T667" t="s">
        <v>92</v>
      </c>
      <c r="U667" t="s">
        <v>92</v>
      </c>
      <c r="V667" t="s">
        <v>92</v>
      </c>
      <c r="W667" t="s">
        <v>92</v>
      </c>
      <c r="X667" t="s">
        <v>4</v>
      </c>
      <c r="Y667" t="s">
        <v>92</v>
      </c>
      <c r="Z667" t="s">
        <v>92</v>
      </c>
      <c r="AA667" t="s">
        <v>92</v>
      </c>
      <c r="AB667" t="s">
        <v>4</v>
      </c>
      <c r="AC667" s="3" t="s">
        <v>93</v>
      </c>
      <c r="AD667" t="s">
        <v>4</v>
      </c>
      <c r="AE667" s="4" t="s">
        <v>94</v>
      </c>
      <c r="AZ667" t="s">
        <v>4</v>
      </c>
      <c r="BA667" s="3" t="s">
        <v>95</v>
      </c>
      <c r="BB667" s="6" t="s">
        <v>95</v>
      </c>
      <c r="BC667" s="3" t="s">
        <v>95</v>
      </c>
      <c r="BD667" t="s">
        <v>4</v>
      </c>
      <c r="BE667">
        <v>709</v>
      </c>
      <c r="BF667" t="s">
        <v>322</v>
      </c>
      <c r="CK667">
        <v>1</v>
      </c>
      <c r="CL667" t="s">
        <v>4</v>
      </c>
      <c r="CM667" t="s">
        <v>98</v>
      </c>
      <c r="CN667" t="s">
        <v>98</v>
      </c>
      <c r="CO667" t="s">
        <v>99</v>
      </c>
      <c r="CP667">
        <v>108</v>
      </c>
      <c r="CQ667" t="s">
        <v>100</v>
      </c>
      <c r="CR667" t="s">
        <v>100</v>
      </c>
      <c r="CS667" t="s">
        <v>101</v>
      </c>
      <c r="CT667" t="s">
        <v>100</v>
      </c>
      <c r="CU667" t="s">
        <v>102</v>
      </c>
      <c r="CV667" t="s">
        <v>100</v>
      </c>
    </row>
    <row r="668" spans="1:100">
      <c r="A668" s="3" t="s">
        <v>913</v>
      </c>
      <c r="B668" s="4" t="s">
        <v>914</v>
      </c>
      <c r="C668">
        <v>49.925547147597399</v>
      </c>
      <c r="D668">
        <v>8.1911575381418196</v>
      </c>
      <c r="E668">
        <v>2.6074119118789301</v>
      </c>
      <c r="F668" s="5">
        <v>1.9498354215869E-5</v>
      </c>
      <c r="G668" t="s">
        <v>4</v>
      </c>
      <c r="H668">
        <v>49.925547147597399</v>
      </c>
      <c r="I668">
        <v>11.035721688365101</v>
      </c>
      <c r="J668">
        <v>2.2190833010623598</v>
      </c>
      <c r="K668">
        <v>2.9786408280238399E-4</v>
      </c>
      <c r="L668" t="s">
        <v>4</v>
      </c>
      <c r="M668">
        <v>8.1911575381418196</v>
      </c>
      <c r="N668">
        <v>11.035721688365101</v>
      </c>
      <c r="O668">
        <f>0.388328610816569</f>
        <v>0.388328610816569</v>
      </c>
      <c r="P668">
        <v>0.62695247711715796</v>
      </c>
      <c r="Q668" t="s">
        <v>4</v>
      </c>
      <c r="R668" s="4" t="s">
        <v>87</v>
      </c>
      <c r="S668" t="s">
        <v>4</v>
      </c>
      <c r="T668" t="s">
        <v>92</v>
      </c>
      <c r="U668" t="s">
        <v>92</v>
      </c>
      <c r="V668" t="s">
        <v>92</v>
      </c>
      <c r="W668" t="s">
        <v>92</v>
      </c>
      <c r="X668" t="s">
        <v>4</v>
      </c>
      <c r="Y668" t="s">
        <v>92</v>
      </c>
      <c r="Z668" t="s">
        <v>92</v>
      </c>
      <c r="AA668" t="s">
        <v>92</v>
      </c>
      <c r="AB668" t="s">
        <v>4</v>
      </c>
      <c r="AC668" s="3" t="s">
        <v>915</v>
      </c>
      <c r="AD668" t="s">
        <v>4</v>
      </c>
      <c r="AE668" t="s">
        <v>916</v>
      </c>
      <c r="AF668" t="s">
        <v>917</v>
      </c>
      <c r="AG668" t="s">
        <v>918</v>
      </c>
      <c r="AH668" t="s">
        <v>112</v>
      </c>
      <c r="AU668" t="s">
        <v>112</v>
      </c>
      <c r="AV668" t="s">
        <v>919</v>
      </c>
      <c r="AW668" t="s">
        <v>114</v>
      </c>
      <c r="AZ668" t="s">
        <v>4</v>
      </c>
      <c r="BA668" s="3" t="s">
        <v>95</v>
      </c>
      <c r="BB668" s="6" t="s">
        <v>95</v>
      </c>
      <c r="BC668" s="3" t="s">
        <v>197</v>
      </c>
      <c r="BD668" t="s">
        <v>4</v>
      </c>
      <c r="BE668">
        <v>3230</v>
      </c>
      <c r="BF668" t="s">
        <v>112</v>
      </c>
      <c r="BG668">
        <v>87.866100000000003</v>
      </c>
      <c r="BH668">
        <v>99.163200000000003</v>
      </c>
      <c r="BI668">
        <v>92.468599999999995</v>
      </c>
      <c r="BJ668">
        <v>78.661100000000005</v>
      </c>
      <c r="BK668">
        <v>63.598300000000002</v>
      </c>
      <c r="BL668">
        <v>42.259399999999999</v>
      </c>
      <c r="BM668">
        <v>57.740600000000001</v>
      </c>
      <c r="BN668">
        <v>66.527199999999993</v>
      </c>
      <c r="BO668">
        <v>67.364000000000004</v>
      </c>
      <c r="BR668">
        <v>31.380800000000001</v>
      </c>
      <c r="BW668">
        <v>28.0335</v>
      </c>
      <c r="BY668">
        <v>24.267800000000001</v>
      </c>
      <c r="CA668">
        <v>29.288699999999999</v>
      </c>
      <c r="CK668">
        <v>5</v>
      </c>
      <c r="CL668" t="s">
        <v>4</v>
      </c>
      <c r="CM668" t="s">
        <v>920</v>
      </c>
      <c r="CN668" t="s">
        <v>921</v>
      </c>
      <c r="CO668" t="s">
        <v>99</v>
      </c>
      <c r="CP668">
        <v>109</v>
      </c>
      <c r="CQ668" t="s">
        <v>100</v>
      </c>
      <c r="CR668" t="s">
        <v>100</v>
      </c>
      <c r="CS668" t="s">
        <v>101</v>
      </c>
      <c r="CT668" t="s">
        <v>100</v>
      </c>
      <c r="CU668" t="s">
        <v>102</v>
      </c>
      <c r="CV668" t="s">
        <v>100</v>
      </c>
    </row>
    <row r="669" spans="1:100">
      <c r="A669" s="3" t="s">
        <v>922</v>
      </c>
      <c r="B669" s="4" t="s">
        <v>923</v>
      </c>
      <c r="C669">
        <v>72.098542316398195</v>
      </c>
      <c r="D669">
        <v>11.0716135332279</v>
      </c>
      <c r="E669">
        <v>2.7163014796098301</v>
      </c>
      <c r="F669">
        <v>1.20752170699007E-4</v>
      </c>
      <c r="G669" t="s">
        <v>4</v>
      </c>
      <c r="H669">
        <v>72.098542316398195</v>
      </c>
      <c r="I669">
        <v>17.325565081681201</v>
      </c>
      <c r="J669">
        <v>2.07485327223187</v>
      </c>
      <c r="K669">
        <v>2.9458595049600802E-3</v>
      </c>
      <c r="L669" t="s">
        <v>4</v>
      </c>
      <c r="M669">
        <v>11.0716135332279</v>
      </c>
      <c r="N669">
        <v>17.325565081681201</v>
      </c>
      <c r="O669">
        <f>0.641448207377956</f>
        <v>0.64144820737795605</v>
      </c>
      <c r="P669">
        <v>0.43670203567191401</v>
      </c>
      <c r="Q669" t="s">
        <v>4</v>
      </c>
      <c r="R669" s="4" t="s">
        <v>87</v>
      </c>
      <c r="S669" t="s">
        <v>4</v>
      </c>
      <c r="T669" t="s">
        <v>867</v>
      </c>
      <c r="U669" t="s">
        <v>868</v>
      </c>
      <c r="V669" t="s">
        <v>869</v>
      </c>
      <c r="W669" t="s">
        <v>91</v>
      </c>
      <c r="X669" t="s">
        <v>4</v>
      </c>
      <c r="Y669" t="s">
        <v>870</v>
      </c>
      <c r="Z669" t="s">
        <v>871</v>
      </c>
      <c r="AA669" t="s">
        <v>872</v>
      </c>
      <c r="AB669" t="s">
        <v>4</v>
      </c>
      <c r="AC669" s="3" t="s">
        <v>924</v>
      </c>
      <c r="AD669" t="s">
        <v>4</v>
      </c>
      <c r="AE669" t="s">
        <v>873</v>
      </c>
      <c r="AF669" t="s">
        <v>874</v>
      </c>
      <c r="AG669" t="s">
        <v>875</v>
      </c>
      <c r="AH669" t="s">
        <v>112</v>
      </c>
      <c r="AJ669" t="s">
        <v>876</v>
      </c>
      <c r="AL669" t="s">
        <v>877</v>
      </c>
      <c r="AM669" t="s">
        <v>878</v>
      </c>
      <c r="AQ669" t="s">
        <v>879</v>
      </c>
      <c r="AU669" t="s">
        <v>112</v>
      </c>
      <c r="AV669" t="s">
        <v>880</v>
      </c>
      <c r="AW669" t="s">
        <v>114</v>
      </c>
      <c r="AX669" t="s">
        <v>881</v>
      </c>
      <c r="AY669" t="s">
        <v>882</v>
      </c>
      <c r="AZ669" t="s">
        <v>4</v>
      </c>
      <c r="BA669" s="3" t="s">
        <v>95</v>
      </c>
      <c r="BB669" t="s">
        <v>96</v>
      </c>
      <c r="BC669" s="3" t="s">
        <v>95</v>
      </c>
      <c r="BD669" t="s">
        <v>4</v>
      </c>
      <c r="BE669">
        <v>5999</v>
      </c>
      <c r="BF669" t="s">
        <v>213</v>
      </c>
      <c r="BG669">
        <v>97.692300000000003</v>
      </c>
      <c r="BH669">
        <v>99.743600000000001</v>
      </c>
      <c r="BM669">
        <v>51.794899999999998</v>
      </c>
      <c r="BN669">
        <v>51.2821</v>
      </c>
      <c r="BO669" t="s">
        <v>883</v>
      </c>
      <c r="CC669" t="s">
        <v>884</v>
      </c>
      <c r="CD669" t="s">
        <v>885</v>
      </c>
      <c r="CG669" t="s">
        <v>886</v>
      </c>
      <c r="CH669" t="s">
        <v>887</v>
      </c>
      <c r="CI669" t="s">
        <v>888</v>
      </c>
      <c r="CK669">
        <v>8</v>
      </c>
      <c r="CL669" t="s">
        <v>4</v>
      </c>
      <c r="CM669" t="s">
        <v>98</v>
      </c>
      <c r="CN669" t="s">
        <v>98</v>
      </c>
      <c r="CO669" t="s">
        <v>99</v>
      </c>
      <c r="CP669">
        <v>110</v>
      </c>
      <c r="CQ669" t="s">
        <v>100</v>
      </c>
      <c r="CR669" t="s">
        <v>100</v>
      </c>
      <c r="CS669" t="s">
        <v>101</v>
      </c>
      <c r="CT669" t="s">
        <v>100</v>
      </c>
      <c r="CU669" t="s">
        <v>102</v>
      </c>
      <c r="CV669" t="s">
        <v>100</v>
      </c>
    </row>
    <row r="670" spans="1:100">
      <c r="A670" s="3" t="s">
        <v>925</v>
      </c>
      <c r="B670" s="4" t="s">
        <v>926</v>
      </c>
      <c r="C670">
        <v>70.275006997020796</v>
      </c>
      <c r="D670">
        <v>13.794959133737599</v>
      </c>
      <c r="E670">
        <v>2.3550634316812098</v>
      </c>
      <c r="F670">
        <v>7.6922896281381105E-4</v>
      </c>
      <c r="G670" t="s">
        <v>4</v>
      </c>
      <c r="H670">
        <v>70.275006997020796</v>
      </c>
      <c r="I670">
        <v>14.588604691550501</v>
      </c>
      <c r="J670">
        <v>2.2757401235266599</v>
      </c>
      <c r="K670">
        <v>1.1504595784143101E-3</v>
      </c>
      <c r="L670" t="s">
        <v>4</v>
      </c>
      <c r="M670">
        <v>13.794959133737599</v>
      </c>
      <c r="N670">
        <v>14.588604691550501</v>
      </c>
      <c r="O670">
        <f>0.0793233081545513</f>
        <v>7.9323308154551297E-2</v>
      </c>
      <c r="P670">
        <v>0.93614219168996204</v>
      </c>
      <c r="Q670" t="s">
        <v>4</v>
      </c>
      <c r="R670" s="4" t="s">
        <v>87</v>
      </c>
      <c r="S670" t="s">
        <v>4</v>
      </c>
      <c r="T670" t="s">
        <v>927</v>
      </c>
      <c r="U670" t="s">
        <v>928</v>
      </c>
      <c r="V670" t="s">
        <v>929</v>
      </c>
      <c r="W670" t="s">
        <v>328</v>
      </c>
      <c r="X670" t="s">
        <v>4</v>
      </c>
      <c r="Y670" t="s">
        <v>930</v>
      </c>
      <c r="Z670" t="s">
        <v>931</v>
      </c>
      <c r="AA670" t="s">
        <v>932</v>
      </c>
      <c r="AB670" t="s">
        <v>4</v>
      </c>
      <c r="AC670" s="3" t="s">
        <v>933</v>
      </c>
      <c r="AD670" t="s">
        <v>4</v>
      </c>
      <c r="AE670" t="s">
        <v>934</v>
      </c>
      <c r="AF670" t="s">
        <v>935</v>
      </c>
      <c r="AG670" t="s">
        <v>936</v>
      </c>
      <c r="AH670" t="s">
        <v>112</v>
      </c>
      <c r="AI670" t="s">
        <v>937</v>
      </c>
      <c r="AJ670" t="s">
        <v>938</v>
      </c>
      <c r="AU670" t="s">
        <v>112</v>
      </c>
      <c r="AV670" t="s">
        <v>939</v>
      </c>
      <c r="AW670" t="s">
        <v>114</v>
      </c>
      <c r="AX670" t="s">
        <v>371</v>
      </c>
      <c r="AY670" t="s">
        <v>940</v>
      </c>
      <c r="AZ670" t="s">
        <v>4</v>
      </c>
      <c r="BA670" s="3" t="s">
        <v>95</v>
      </c>
      <c r="BB670" s="6" t="s">
        <v>95</v>
      </c>
      <c r="BC670" s="3" t="s">
        <v>95</v>
      </c>
      <c r="BD670" t="s">
        <v>4</v>
      </c>
      <c r="BE670">
        <v>5339</v>
      </c>
      <c r="BF670" t="s">
        <v>386</v>
      </c>
      <c r="BG670" t="s">
        <v>941</v>
      </c>
      <c r="BH670">
        <v>95.195700000000002</v>
      </c>
      <c r="BI670">
        <v>78.291799999999995</v>
      </c>
      <c r="BJ670">
        <v>81.672600000000003</v>
      </c>
      <c r="BK670">
        <v>72.597899999999996</v>
      </c>
      <c r="BM670">
        <v>27.757999999999999</v>
      </c>
      <c r="BN670">
        <v>77.580100000000002</v>
      </c>
      <c r="BO670">
        <v>74.911000000000001</v>
      </c>
      <c r="BP670">
        <v>37.188600000000001</v>
      </c>
      <c r="BQ670">
        <v>38.2562</v>
      </c>
      <c r="BR670">
        <v>38.612099999999998</v>
      </c>
      <c r="BS670">
        <v>34.519599999999997</v>
      </c>
      <c r="BU670">
        <v>13.7011</v>
      </c>
      <c r="BV670" t="s">
        <v>942</v>
      </c>
      <c r="BX670">
        <v>38.434199999999997</v>
      </c>
      <c r="BY670">
        <v>12.6335</v>
      </c>
      <c r="CA670">
        <v>37.366500000000002</v>
      </c>
      <c r="CB670">
        <v>24.377199999999998</v>
      </c>
      <c r="CC670">
        <v>21.886099999999999</v>
      </c>
      <c r="CD670">
        <v>20.8185</v>
      </c>
      <c r="CF670">
        <v>26.6904</v>
      </c>
      <c r="CG670">
        <v>22.419899999999998</v>
      </c>
      <c r="CH670">
        <v>22.7758</v>
      </c>
      <c r="CI670" t="s">
        <v>943</v>
      </c>
      <c r="CK670">
        <v>7</v>
      </c>
      <c r="CL670" t="s">
        <v>4</v>
      </c>
      <c r="CM670" t="s">
        <v>944</v>
      </c>
      <c r="CN670" t="s">
        <v>945</v>
      </c>
      <c r="CO670" t="s">
        <v>99</v>
      </c>
      <c r="CP670">
        <v>111</v>
      </c>
      <c r="CQ670" t="s">
        <v>100</v>
      </c>
      <c r="CR670" t="s">
        <v>100</v>
      </c>
      <c r="CS670" t="s">
        <v>101</v>
      </c>
      <c r="CT670" t="s">
        <v>100</v>
      </c>
      <c r="CU670" t="s">
        <v>102</v>
      </c>
      <c r="CV670" t="s">
        <v>100</v>
      </c>
    </row>
    <row r="671" spans="1:100">
      <c r="A671" s="3" t="s">
        <v>946</v>
      </c>
      <c r="B671" s="4" t="s">
        <v>947</v>
      </c>
      <c r="C671">
        <v>21.040812759493701</v>
      </c>
      <c r="D671">
        <v>0.89194894373433098</v>
      </c>
      <c r="E671">
        <v>4.5006694668948803</v>
      </c>
      <c r="F671">
        <v>9.36539970247011E-4</v>
      </c>
      <c r="G671" t="s">
        <v>4</v>
      </c>
      <c r="H671">
        <v>21.040812759493701</v>
      </c>
      <c r="I671">
        <v>1.7572136029766501</v>
      </c>
      <c r="J671">
        <v>3.8010779328338899</v>
      </c>
      <c r="K671">
        <v>3.54807964910663E-3</v>
      </c>
      <c r="L671" t="s">
        <v>4</v>
      </c>
      <c r="M671">
        <v>0.89194894373433098</v>
      </c>
      <c r="N671">
        <v>1.7572136029766501</v>
      </c>
      <c r="O671">
        <f>0.699591534060994</f>
        <v>0.69959153406099395</v>
      </c>
      <c r="P671">
        <v>0.71150011018417803</v>
      </c>
      <c r="Q671" t="s">
        <v>4</v>
      </c>
      <c r="R671" s="4" t="s">
        <v>87</v>
      </c>
      <c r="S671" t="s">
        <v>4</v>
      </c>
      <c r="T671" t="s">
        <v>948</v>
      </c>
      <c r="U671" t="s">
        <v>949</v>
      </c>
      <c r="V671" t="s">
        <v>950</v>
      </c>
      <c r="W671" t="s">
        <v>328</v>
      </c>
      <c r="X671" t="s">
        <v>4</v>
      </c>
      <c r="Y671" t="s">
        <v>951</v>
      </c>
      <c r="Z671" t="s">
        <v>952</v>
      </c>
      <c r="AA671" t="s">
        <v>953</v>
      </c>
      <c r="AB671" t="s">
        <v>4</v>
      </c>
      <c r="AC671" s="3" t="s">
        <v>954</v>
      </c>
      <c r="AD671" t="s">
        <v>4</v>
      </c>
      <c r="AE671" t="s">
        <v>955</v>
      </c>
      <c r="AF671" t="s">
        <v>956</v>
      </c>
      <c r="AG671" t="s">
        <v>957</v>
      </c>
      <c r="AH671" t="s">
        <v>112</v>
      </c>
      <c r="AJ671" t="s">
        <v>958</v>
      </c>
      <c r="AU671" t="s">
        <v>112</v>
      </c>
      <c r="AV671" t="s">
        <v>959</v>
      </c>
      <c r="AW671" t="s">
        <v>114</v>
      </c>
      <c r="AX671" t="s">
        <v>909</v>
      </c>
      <c r="AY671" t="s">
        <v>960</v>
      </c>
      <c r="AZ671" t="s">
        <v>4</v>
      </c>
      <c r="BA671" s="3" t="s">
        <v>95</v>
      </c>
      <c r="BB671" t="s">
        <v>96</v>
      </c>
      <c r="BC671" s="3" t="s">
        <v>95</v>
      </c>
      <c r="BD671" t="s">
        <v>4</v>
      </c>
      <c r="BE671">
        <v>5347</v>
      </c>
      <c r="BF671" t="s">
        <v>386</v>
      </c>
      <c r="BG671">
        <v>91.119699999999995</v>
      </c>
      <c r="BH671">
        <v>88.030900000000003</v>
      </c>
      <c r="BI671">
        <v>71.428600000000003</v>
      </c>
      <c r="BJ671">
        <v>70.656400000000005</v>
      </c>
      <c r="BM671">
        <v>72.200800000000001</v>
      </c>
      <c r="BN671">
        <v>77.9923</v>
      </c>
      <c r="BP671">
        <v>43.243200000000002</v>
      </c>
      <c r="BQ671">
        <v>40.154400000000003</v>
      </c>
      <c r="BR671">
        <v>47.104199999999999</v>
      </c>
      <c r="BS671">
        <v>42.470999999999997</v>
      </c>
      <c r="BU671">
        <v>45.945900000000002</v>
      </c>
      <c r="BV671" t="s">
        <v>961</v>
      </c>
      <c r="BW671">
        <v>46.7181</v>
      </c>
      <c r="BX671">
        <v>50.5792</v>
      </c>
      <c r="CA671">
        <v>49.4208</v>
      </c>
      <c r="CF671">
        <v>19.691099999999999</v>
      </c>
      <c r="CG671" t="s">
        <v>962</v>
      </c>
      <c r="CH671" t="s">
        <v>963</v>
      </c>
      <c r="CI671" t="s">
        <v>964</v>
      </c>
      <c r="CK671">
        <v>7</v>
      </c>
      <c r="CL671" t="s">
        <v>4</v>
      </c>
      <c r="CM671" t="s">
        <v>965</v>
      </c>
      <c r="CN671" t="s">
        <v>966</v>
      </c>
      <c r="CO671" t="s">
        <v>99</v>
      </c>
      <c r="CP671">
        <v>112</v>
      </c>
      <c r="CQ671" t="s">
        <v>100</v>
      </c>
      <c r="CR671" t="s">
        <v>100</v>
      </c>
      <c r="CS671" t="s">
        <v>101</v>
      </c>
      <c r="CT671" t="s">
        <v>100</v>
      </c>
      <c r="CU671" t="s">
        <v>102</v>
      </c>
      <c r="CV671" t="s">
        <v>100</v>
      </c>
    </row>
    <row r="672" spans="1:100">
      <c r="A672" s="3" t="s">
        <v>967</v>
      </c>
      <c r="B672" s="4" t="s">
        <v>968</v>
      </c>
      <c r="C672">
        <v>200.53078137786201</v>
      </c>
      <c r="D672">
        <v>33.477905545074201</v>
      </c>
      <c r="E672">
        <v>2.5815789743503599</v>
      </c>
      <c r="F672" s="5">
        <v>2.9185250411676901E-5</v>
      </c>
      <c r="G672" t="s">
        <v>4</v>
      </c>
      <c r="H672">
        <v>200.53078137786201</v>
      </c>
      <c r="I672">
        <v>23.237572354858099</v>
      </c>
      <c r="J672">
        <v>3.1033283848031399</v>
      </c>
      <c r="K672" s="5">
        <v>5.3104404573831604E-7</v>
      </c>
      <c r="L672" t="s">
        <v>4</v>
      </c>
      <c r="M672">
        <v>33.477905545074201</v>
      </c>
      <c r="N672">
        <v>23.237572354858099</v>
      </c>
      <c r="O672">
        <v>0.52174941045277901</v>
      </c>
      <c r="P672">
        <v>0.47569291664025598</v>
      </c>
      <c r="Q672" t="s">
        <v>4</v>
      </c>
      <c r="R672" s="4" t="s">
        <v>87</v>
      </c>
      <c r="S672" t="s">
        <v>4</v>
      </c>
      <c r="T672" t="s">
        <v>92</v>
      </c>
      <c r="U672" t="s">
        <v>92</v>
      </c>
      <c r="V672" t="s">
        <v>92</v>
      </c>
      <c r="W672" t="s">
        <v>92</v>
      </c>
      <c r="X672" t="s">
        <v>4</v>
      </c>
      <c r="Y672" t="s">
        <v>650</v>
      </c>
      <c r="Z672" t="s">
        <v>651</v>
      </c>
      <c r="AA672" t="s">
        <v>652</v>
      </c>
      <c r="AB672" t="s">
        <v>4</v>
      </c>
      <c r="AC672" s="3" t="s">
        <v>653</v>
      </c>
      <c r="AD672" t="s">
        <v>4</v>
      </c>
      <c r="AE672" t="s">
        <v>654</v>
      </c>
      <c r="AF672" t="s">
        <v>969</v>
      </c>
      <c r="AG672" t="s">
        <v>970</v>
      </c>
      <c r="AH672" t="s">
        <v>112</v>
      </c>
      <c r="AU672" t="s">
        <v>112</v>
      </c>
      <c r="AV672" t="s">
        <v>657</v>
      </c>
      <c r="AW672" t="s">
        <v>114</v>
      </c>
      <c r="AX672" t="s">
        <v>144</v>
      </c>
      <c r="AY672" t="s">
        <v>658</v>
      </c>
      <c r="AZ672" t="s">
        <v>4</v>
      </c>
      <c r="BA672" s="3" t="s">
        <v>95</v>
      </c>
      <c r="BB672" s="6" t="s">
        <v>95</v>
      </c>
      <c r="BC672" s="3" t="s">
        <v>95</v>
      </c>
      <c r="BD672" t="s">
        <v>4</v>
      </c>
      <c r="BE672">
        <v>3296</v>
      </c>
      <c r="BF672" t="s">
        <v>112</v>
      </c>
      <c r="BG672">
        <v>98.104299999999995</v>
      </c>
      <c r="BH672">
        <v>59.715600000000002</v>
      </c>
      <c r="BJ672">
        <v>78.91</v>
      </c>
      <c r="BK672">
        <v>77.725099999999998</v>
      </c>
      <c r="BL672">
        <v>85.071100000000001</v>
      </c>
      <c r="BM672">
        <v>84.360200000000006</v>
      </c>
      <c r="BN672">
        <v>84.360200000000006</v>
      </c>
      <c r="BO672">
        <v>83.412300000000002</v>
      </c>
      <c r="BP672">
        <v>41.469200000000001</v>
      </c>
      <c r="CK672">
        <v>5</v>
      </c>
      <c r="CL672" t="s">
        <v>4</v>
      </c>
      <c r="CM672" t="s">
        <v>98</v>
      </c>
      <c r="CN672" t="s">
        <v>98</v>
      </c>
      <c r="CO672" t="s">
        <v>99</v>
      </c>
      <c r="CP672">
        <v>113</v>
      </c>
      <c r="CQ672" t="s">
        <v>100</v>
      </c>
      <c r="CR672" t="s">
        <v>100</v>
      </c>
      <c r="CS672" t="s">
        <v>101</v>
      </c>
      <c r="CT672" t="s">
        <v>100</v>
      </c>
      <c r="CU672" t="s">
        <v>102</v>
      </c>
      <c r="CV672" t="s">
        <v>100</v>
      </c>
    </row>
    <row r="673" spans="1:100">
      <c r="A673" s="3" t="s">
        <v>971</v>
      </c>
      <c r="B673" s="4" t="s">
        <v>972</v>
      </c>
      <c r="C673">
        <v>450.71968061990901</v>
      </c>
      <c r="D673">
        <v>50.7802393716997</v>
      </c>
      <c r="E673">
        <v>3.1462153127047898</v>
      </c>
      <c r="F673" s="5">
        <v>1.01226505209734E-17</v>
      </c>
      <c r="G673" t="s">
        <v>4</v>
      </c>
      <c r="H673">
        <v>450.71968061990901</v>
      </c>
      <c r="I673">
        <v>89.128277451287005</v>
      </c>
      <c r="J673">
        <v>2.3347905572454799</v>
      </c>
      <c r="K673" s="5">
        <v>1.2224702869937599E-10</v>
      </c>
      <c r="L673" t="s">
        <v>4</v>
      </c>
      <c r="M673">
        <v>50.7802393716997</v>
      </c>
      <c r="N673">
        <v>89.128277451287005</v>
      </c>
      <c r="O673">
        <f>0.811424755459315</f>
        <v>0.81142475545931503</v>
      </c>
      <c r="P673">
        <v>4.4677590963115903E-2</v>
      </c>
      <c r="Q673" t="s">
        <v>4</v>
      </c>
      <c r="R673" s="4" t="s">
        <v>87</v>
      </c>
      <c r="S673" t="s">
        <v>4</v>
      </c>
      <c r="T673" t="s">
        <v>973</v>
      </c>
      <c r="U673" t="s">
        <v>974</v>
      </c>
      <c r="V673" t="s">
        <v>975</v>
      </c>
      <c r="W673" t="s">
        <v>976</v>
      </c>
      <c r="X673" t="s">
        <v>4</v>
      </c>
      <c r="Y673" t="s">
        <v>977</v>
      </c>
      <c r="Z673" t="s">
        <v>978</v>
      </c>
      <c r="AA673" t="s">
        <v>979</v>
      </c>
      <c r="AB673" t="s">
        <v>4</v>
      </c>
      <c r="AC673" s="3" t="s">
        <v>980</v>
      </c>
      <c r="AD673" t="s">
        <v>4</v>
      </c>
      <c r="AE673" t="s">
        <v>981</v>
      </c>
      <c r="AF673" t="s">
        <v>834</v>
      </c>
      <c r="AG673" t="s">
        <v>982</v>
      </c>
      <c r="AH673" t="s">
        <v>112</v>
      </c>
      <c r="AJ673" t="s">
        <v>983</v>
      </c>
      <c r="AU673" t="s">
        <v>112</v>
      </c>
      <c r="AV673" t="s">
        <v>984</v>
      </c>
      <c r="AW673" t="s">
        <v>114</v>
      </c>
      <c r="AX673" t="s">
        <v>144</v>
      </c>
      <c r="AY673" t="s">
        <v>985</v>
      </c>
      <c r="AZ673" t="s">
        <v>4</v>
      </c>
      <c r="BA673" s="3" t="s">
        <v>95</v>
      </c>
      <c r="BB673" t="s">
        <v>96</v>
      </c>
      <c r="BC673" s="3" t="s">
        <v>95</v>
      </c>
      <c r="BD673" t="s">
        <v>4</v>
      </c>
      <c r="BE673">
        <v>4787</v>
      </c>
      <c r="BF673" t="s">
        <v>282</v>
      </c>
      <c r="BG673">
        <v>30.031300000000002</v>
      </c>
      <c r="BH673">
        <v>7.5078199999999997</v>
      </c>
      <c r="BI673">
        <v>12.304500000000001</v>
      </c>
      <c r="BJ673">
        <v>86.027100000000004</v>
      </c>
      <c r="BK673">
        <v>83.837299999999999</v>
      </c>
      <c r="BL673">
        <v>10.9489</v>
      </c>
      <c r="BM673">
        <v>13.243</v>
      </c>
      <c r="BN673">
        <v>79.561999999999998</v>
      </c>
      <c r="BO673">
        <v>30.1356</v>
      </c>
      <c r="BP673" t="s">
        <v>986</v>
      </c>
      <c r="BQ673">
        <v>53.076099999999997</v>
      </c>
      <c r="BR673">
        <v>54.014600000000002</v>
      </c>
      <c r="BS673">
        <v>52.554699999999997</v>
      </c>
      <c r="BT673" t="s">
        <v>987</v>
      </c>
      <c r="BU673">
        <v>48.800800000000002</v>
      </c>
      <c r="BV673" t="s">
        <v>988</v>
      </c>
      <c r="BW673">
        <v>53.805999999999997</v>
      </c>
      <c r="BX673">
        <v>47.132399999999997</v>
      </c>
      <c r="BY673">
        <v>25.0261</v>
      </c>
      <c r="BZ673" t="s">
        <v>989</v>
      </c>
      <c r="CA673">
        <v>52.0334</v>
      </c>
      <c r="CB673">
        <v>13.243</v>
      </c>
      <c r="CK673">
        <v>6</v>
      </c>
      <c r="CL673" t="s">
        <v>4</v>
      </c>
      <c r="CM673" t="s">
        <v>990</v>
      </c>
      <c r="CN673" t="s">
        <v>991</v>
      </c>
      <c r="CO673" t="s">
        <v>99</v>
      </c>
      <c r="CP673">
        <v>114</v>
      </c>
      <c r="CQ673" t="s">
        <v>100</v>
      </c>
      <c r="CR673" t="s">
        <v>100</v>
      </c>
      <c r="CS673" t="s">
        <v>101</v>
      </c>
      <c r="CT673" t="s">
        <v>100</v>
      </c>
      <c r="CU673" t="s">
        <v>102</v>
      </c>
      <c r="CV673" t="s">
        <v>100</v>
      </c>
    </row>
    <row r="674" spans="1:100">
      <c r="A674" s="3" t="s">
        <v>992</v>
      </c>
      <c r="B674" s="4" t="s">
        <v>993</v>
      </c>
      <c r="C674">
        <v>83.808086593287499</v>
      </c>
      <c r="D674">
        <v>20.331701792417899</v>
      </c>
      <c r="E674">
        <v>2.04713977984296</v>
      </c>
      <c r="F674">
        <v>7.6706946592159002E-3</v>
      </c>
      <c r="G674" t="s">
        <v>4</v>
      </c>
      <c r="H674">
        <v>83.808086593287499</v>
      </c>
      <c r="I674">
        <v>3.28340744013635</v>
      </c>
      <c r="J674">
        <v>4.5806294431029304</v>
      </c>
      <c r="K674" s="5">
        <v>2.5199689694239398E-7</v>
      </c>
      <c r="L674" t="s">
        <v>4</v>
      </c>
      <c r="M674">
        <v>20.331701792417899</v>
      </c>
      <c r="N674">
        <v>3.28340744013635</v>
      </c>
      <c r="O674">
        <v>2.5334896632599699</v>
      </c>
      <c r="P674">
        <v>6.3119510467164004E-3</v>
      </c>
      <c r="Q674" t="s">
        <v>4</v>
      </c>
      <c r="R674" s="4" t="s">
        <v>87</v>
      </c>
      <c r="S674" t="s">
        <v>4</v>
      </c>
      <c r="T674" t="s">
        <v>360</v>
      </c>
      <c r="U674" t="s">
        <v>361</v>
      </c>
      <c r="V674" t="s">
        <v>362</v>
      </c>
      <c r="W674" t="s">
        <v>328</v>
      </c>
      <c r="X674" t="s">
        <v>4</v>
      </c>
      <c r="Y674" t="s">
        <v>994</v>
      </c>
      <c r="Z674" t="s">
        <v>995</v>
      </c>
      <c r="AA674" t="s">
        <v>996</v>
      </c>
      <c r="AB674" t="s">
        <v>4</v>
      </c>
      <c r="AC674" s="3" t="s">
        <v>997</v>
      </c>
      <c r="AD674" t="s">
        <v>4</v>
      </c>
      <c r="AE674" t="s">
        <v>998</v>
      </c>
      <c r="AF674" t="s">
        <v>999</v>
      </c>
      <c r="AG674" t="s">
        <v>1000</v>
      </c>
      <c r="AH674" t="s">
        <v>638</v>
      </c>
      <c r="AJ674" t="s">
        <v>1001</v>
      </c>
      <c r="AL674" t="s">
        <v>1002</v>
      </c>
      <c r="AQ674" t="s">
        <v>1003</v>
      </c>
      <c r="AU674" t="s">
        <v>112</v>
      </c>
      <c r="AV674" t="s">
        <v>1004</v>
      </c>
      <c r="AW674" t="s">
        <v>114</v>
      </c>
      <c r="AX674" t="s">
        <v>371</v>
      </c>
      <c r="AY674" t="s">
        <v>1005</v>
      </c>
      <c r="AZ674" t="s">
        <v>4</v>
      </c>
      <c r="BA674" s="3" t="s">
        <v>95</v>
      </c>
      <c r="BB674" s="6" t="s">
        <v>95</v>
      </c>
      <c r="BC674" s="3" t="s">
        <v>95</v>
      </c>
      <c r="BD674" t="s">
        <v>4</v>
      </c>
      <c r="BE674">
        <v>6131</v>
      </c>
      <c r="BF674" t="s">
        <v>213</v>
      </c>
      <c r="BG674">
        <v>37.352899999999998</v>
      </c>
      <c r="BH674">
        <v>25.2941</v>
      </c>
      <c r="BI674">
        <v>36.176499999999997</v>
      </c>
      <c r="BJ674">
        <v>16.470600000000001</v>
      </c>
      <c r="BL674">
        <v>17.352900000000002</v>
      </c>
      <c r="BM674">
        <v>49.7059</v>
      </c>
      <c r="BN674">
        <v>54.411799999999999</v>
      </c>
      <c r="BP674">
        <v>15.588200000000001</v>
      </c>
      <c r="BQ674">
        <v>27.647099999999998</v>
      </c>
      <c r="BR674">
        <v>28.235299999999999</v>
      </c>
      <c r="BV674" t="s">
        <v>1006</v>
      </c>
      <c r="BX674">
        <v>28.529399999999999</v>
      </c>
      <c r="BY674">
        <v>17.941199999999998</v>
      </c>
      <c r="BZ674">
        <v>22.058800000000002</v>
      </c>
      <c r="CA674">
        <v>27.941199999999998</v>
      </c>
      <c r="CB674">
        <v>11.470599999999999</v>
      </c>
      <c r="CC674">
        <v>22.352900000000002</v>
      </c>
      <c r="CD674">
        <v>20.2941</v>
      </c>
      <c r="CE674">
        <v>16.470600000000001</v>
      </c>
      <c r="CF674">
        <v>19.7059</v>
      </c>
      <c r="CG674" t="s">
        <v>1007</v>
      </c>
      <c r="CH674" t="s">
        <v>1008</v>
      </c>
      <c r="CI674" t="s">
        <v>1009</v>
      </c>
      <c r="CK674">
        <v>8</v>
      </c>
      <c r="CL674" t="s">
        <v>4</v>
      </c>
      <c r="CM674" t="s">
        <v>1010</v>
      </c>
      <c r="CN674" t="s">
        <v>1011</v>
      </c>
      <c r="CO674" t="s">
        <v>99</v>
      </c>
      <c r="CP674">
        <v>115</v>
      </c>
      <c r="CQ674" t="s">
        <v>100</v>
      </c>
      <c r="CR674" t="s">
        <v>100</v>
      </c>
      <c r="CS674" t="s">
        <v>101</v>
      </c>
      <c r="CT674" t="s">
        <v>152</v>
      </c>
      <c r="CU674" t="s">
        <v>102</v>
      </c>
      <c r="CV674" t="s">
        <v>100</v>
      </c>
    </row>
    <row r="675" spans="1:100">
      <c r="A675" s="3" t="s">
        <v>1012</v>
      </c>
      <c r="B675" s="4" t="s">
        <v>1013</v>
      </c>
      <c r="C675">
        <v>63.7854311365667</v>
      </c>
      <c r="D675">
        <v>12.4307031790272</v>
      </c>
      <c r="E675">
        <v>2.3694539252192199</v>
      </c>
      <c r="F675">
        <v>8.72162464975086E-4</v>
      </c>
      <c r="G675" t="s">
        <v>4</v>
      </c>
      <c r="H675">
        <v>63.7854311365667</v>
      </c>
      <c r="I675">
        <v>10.705853261327601</v>
      </c>
      <c r="J675">
        <v>2.57489726300104</v>
      </c>
      <c r="K675">
        <v>3.67507168323627E-4</v>
      </c>
      <c r="L675" t="s">
        <v>4</v>
      </c>
      <c r="M675">
        <v>12.4307031790272</v>
      </c>
      <c r="N675">
        <v>10.705853261327601</v>
      </c>
      <c r="O675">
        <v>0.205443337781826</v>
      </c>
      <c r="P675">
        <v>0.83117149913029698</v>
      </c>
      <c r="Q675" t="s">
        <v>4</v>
      </c>
      <c r="R675" s="4" t="s">
        <v>87</v>
      </c>
      <c r="S675" t="s">
        <v>4</v>
      </c>
      <c r="T675" t="s">
        <v>92</v>
      </c>
      <c r="U675" t="s">
        <v>92</v>
      </c>
      <c r="V675" t="s">
        <v>92</v>
      </c>
      <c r="W675" t="s">
        <v>92</v>
      </c>
      <c r="X675" t="s">
        <v>4</v>
      </c>
      <c r="Y675" t="s">
        <v>92</v>
      </c>
      <c r="Z675" t="s">
        <v>92</v>
      </c>
      <c r="AA675" t="s">
        <v>92</v>
      </c>
      <c r="AB675" t="s">
        <v>4</v>
      </c>
      <c r="AC675" s="3" t="s">
        <v>93</v>
      </c>
      <c r="AD675" t="s">
        <v>4</v>
      </c>
      <c r="AE675" s="4" t="s">
        <v>94</v>
      </c>
      <c r="AZ675" t="s">
        <v>4</v>
      </c>
      <c r="BA675" s="3" t="s">
        <v>95</v>
      </c>
      <c r="BB675" s="6" t="s">
        <v>95</v>
      </c>
      <c r="BC675" s="3" t="s">
        <v>197</v>
      </c>
      <c r="BD675" t="s">
        <v>4</v>
      </c>
      <c r="BE675">
        <v>985</v>
      </c>
      <c r="BF675" t="s">
        <v>151</v>
      </c>
      <c r="BG675">
        <v>97.309399999999997</v>
      </c>
      <c r="BH675">
        <v>99.551599999999993</v>
      </c>
      <c r="BI675">
        <v>89.237700000000004</v>
      </c>
      <c r="BJ675">
        <v>45.291499999999999</v>
      </c>
      <c r="BL675">
        <v>39.013500000000001</v>
      </c>
      <c r="BM675">
        <v>53.363199999999999</v>
      </c>
      <c r="BN675">
        <v>52.017899999999997</v>
      </c>
      <c r="BO675">
        <v>49.327399999999997</v>
      </c>
      <c r="CK675">
        <v>2</v>
      </c>
      <c r="CL675" t="s">
        <v>4</v>
      </c>
      <c r="CM675" t="s">
        <v>98</v>
      </c>
      <c r="CN675" t="s">
        <v>98</v>
      </c>
      <c r="CO675" t="s">
        <v>99</v>
      </c>
      <c r="CP675">
        <v>116</v>
      </c>
      <c r="CQ675" t="s">
        <v>100</v>
      </c>
      <c r="CR675" t="s">
        <v>100</v>
      </c>
      <c r="CS675" t="s">
        <v>101</v>
      </c>
      <c r="CT675" t="s">
        <v>100</v>
      </c>
      <c r="CU675" t="s">
        <v>102</v>
      </c>
      <c r="CV675" t="s">
        <v>100</v>
      </c>
    </row>
    <row r="676" spans="1:100">
      <c r="A676" s="3" t="s">
        <v>1014</v>
      </c>
      <c r="B676" s="4" t="s">
        <v>1015</v>
      </c>
      <c r="C676">
        <v>1026.29094568355</v>
      </c>
      <c r="D676">
        <v>180.00353735732801</v>
      </c>
      <c r="E676">
        <v>2.5113879210829699</v>
      </c>
      <c r="F676" s="5">
        <v>7.7567677464223804E-14</v>
      </c>
      <c r="G676" t="s">
        <v>4</v>
      </c>
      <c r="H676">
        <v>1026.29094568355</v>
      </c>
      <c r="I676">
        <v>152.17401682807201</v>
      </c>
      <c r="J676">
        <v>2.7580702517573998</v>
      </c>
      <c r="K676" s="5">
        <v>1.4664044744323899E-16</v>
      </c>
      <c r="L676" t="s">
        <v>4</v>
      </c>
      <c r="M676">
        <v>180.00353735732801</v>
      </c>
      <c r="N676">
        <v>152.17401682807201</v>
      </c>
      <c r="O676">
        <v>0.24668233067442999</v>
      </c>
      <c r="P676">
        <v>0.54484532798662999</v>
      </c>
      <c r="Q676" t="s">
        <v>4</v>
      </c>
      <c r="R676" s="4" t="s">
        <v>87</v>
      </c>
      <c r="S676" t="s">
        <v>4</v>
      </c>
      <c r="T676" t="s">
        <v>1016</v>
      </c>
      <c r="U676" t="s">
        <v>1017</v>
      </c>
      <c r="V676" t="s">
        <v>1018</v>
      </c>
      <c r="W676" t="s">
        <v>328</v>
      </c>
      <c r="X676" t="s">
        <v>4</v>
      </c>
      <c r="Y676" t="s">
        <v>1019</v>
      </c>
      <c r="Z676" t="s">
        <v>1020</v>
      </c>
      <c r="AA676" t="s">
        <v>1021</v>
      </c>
      <c r="AB676" t="s">
        <v>4</v>
      </c>
      <c r="AC676" s="3" t="s">
        <v>1022</v>
      </c>
      <c r="AD676" t="s">
        <v>4</v>
      </c>
      <c r="AE676" t="s">
        <v>1023</v>
      </c>
      <c r="AF676" t="s">
        <v>1024</v>
      </c>
      <c r="AG676" t="s">
        <v>1025</v>
      </c>
      <c r="AH676" t="s">
        <v>112</v>
      </c>
      <c r="AJ676" t="s">
        <v>1026</v>
      </c>
      <c r="AL676" t="s">
        <v>1027</v>
      </c>
      <c r="AQ676" t="s">
        <v>1028</v>
      </c>
      <c r="AU676" t="s">
        <v>112</v>
      </c>
      <c r="AV676" t="s">
        <v>1029</v>
      </c>
      <c r="AW676" t="s">
        <v>114</v>
      </c>
      <c r="AX676" t="s">
        <v>144</v>
      </c>
      <c r="AY676" t="s">
        <v>1030</v>
      </c>
      <c r="AZ676" t="s">
        <v>4</v>
      </c>
      <c r="BA676" s="3" t="s">
        <v>95</v>
      </c>
      <c r="BB676" t="s">
        <v>96</v>
      </c>
      <c r="BC676" s="3" t="s">
        <v>95</v>
      </c>
      <c r="BD676" t="s">
        <v>4</v>
      </c>
      <c r="BE676">
        <v>6219</v>
      </c>
      <c r="BF676" t="s">
        <v>213</v>
      </c>
      <c r="BG676">
        <v>74.891800000000003</v>
      </c>
      <c r="BH676">
        <v>57.575800000000001</v>
      </c>
      <c r="BI676">
        <v>82.359300000000005</v>
      </c>
      <c r="BJ676">
        <v>38.311700000000002</v>
      </c>
      <c r="BK676">
        <v>62.662300000000002</v>
      </c>
      <c r="BM676">
        <v>40.151499999999999</v>
      </c>
      <c r="BN676">
        <v>82.467500000000001</v>
      </c>
      <c r="BO676">
        <v>81.818200000000004</v>
      </c>
      <c r="BP676">
        <v>43.181800000000003</v>
      </c>
      <c r="BQ676">
        <v>28.138500000000001</v>
      </c>
      <c r="BR676">
        <v>36.039000000000001</v>
      </c>
      <c r="BS676">
        <v>34.307400000000001</v>
      </c>
      <c r="BU676">
        <v>26.7316</v>
      </c>
      <c r="BV676" t="s">
        <v>1031</v>
      </c>
      <c r="BW676">
        <v>39.177500000000002</v>
      </c>
      <c r="BX676">
        <v>41.341999999999999</v>
      </c>
      <c r="BY676" t="s">
        <v>1032</v>
      </c>
      <c r="BZ676" t="s">
        <v>1033</v>
      </c>
      <c r="CA676">
        <v>39.069299999999998</v>
      </c>
      <c r="CB676">
        <v>26.8398</v>
      </c>
      <c r="CC676" t="s">
        <v>1034</v>
      </c>
      <c r="CD676">
        <v>29.437200000000001</v>
      </c>
      <c r="CE676">
        <v>25</v>
      </c>
      <c r="CF676" t="s">
        <v>1035</v>
      </c>
      <c r="CG676" t="s">
        <v>1036</v>
      </c>
      <c r="CH676" t="s">
        <v>1037</v>
      </c>
      <c r="CI676" t="s">
        <v>1038</v>
      </c>
      <c r="CJ676" t="s">
        <v>1039</v>
      </c>
      <c r="CK676">
        <v>8</v>
      </c>
      <c r="CL676" t="s">
        <v>4</v>
      </c>
      <c r="CM676" t="s">
        <v>1040</v>
      </c>
      <c r="CN676" t="s">
        <v>1041</v>
      </c>
      <c r="CO676" t="s">
        <v>663</v>
      </c>
      <c r="CP676">
        <v>117</v>
      </c>
      <c r="CQ676" t="s">
        <v>100</v>
      </c>
      <c r="CR676" t="s">
        <v>100</v>
      </c>
      <c r="CS676" t="s">
        <v>101</v>
      </c>
      <c r="CT676" t="s">
        <v>100</v>
      </c>
      <c r="CU676" t="s">
        <v>102</v>
      </c>
      <c r="CV676" t="s">
        <v>100</v>
      </c>
    </row>
    <row r="677" spans="1:100">
      <c r="A677" s="3" t="s">
        <v>1042</v>
      </c>
      <c r="B677" s="4" t="s">
        <v>1043</v>
      </c>
      <c r="C677">
        <v>56.901276341320802</v>
      </c>
      <c r="D677">
        <v>11.6307196589472</v>
      </c>
      <c r="E677">
        <v>2.3027676521339999</v>
      </c>
      <c r="F677">
        <v>1.3467859430743199E-4</v>
      </c>
      <c r="G677" t="s">
        <v>4</v>
      </c>
      <c r="H677">
        <v>56.901276341320802</v>
      </c>
      <c r="I677">
        <v>3.2460616823237398</v>
      </c>
      <c r="J677">
        <v>4.1465093432301803</v>
      </c>
      <c r="K677" s="5">
        <v>9.2276092432923094E-8</v>
      </c>
      <c r="L677" t="s">
        <v>4</v>
      </c>
      <c r="M677">
        <v>11.6307196589472</v>
      </c>
      <c r="N677">
        <v>3.2460616823237398</v>
      </c>
      <c r="O677">
        <v>1.8437416910961799</v>
      </c>
      <c r="P677">
        <v>2.9524488636412102E-2</v>
      </c>
      <c r="Q677" t="s">
        <v>4</v>
      </c>
      <c r="R677" s="4" t="s">
        <v>87</v>
      </c>
      <c r="S677" t="s">
        <v>4</v>
      </c>
      <c r="T677" t="s">
        <v>360</v>
      </c>
      <c r="U677" t="s">
        <v>361</v>
      </c>
      <c r="V677" t="s">
        <v>362</v>
      </c>
      <c r="W677" t="s">
        <v>328</v>
      </c>
      <c r="X677" t="s">
        <v>4</v>
      </c>
      <c r="Y677" t="s">
        <v>1044</v>
      </c>
      <c r="Z677" t="s">
        <v>1045</v>
      </c>
      <c r="AA677" t="s">
        <v>1046</v>
      </c>
      <c r="AB677" t="s">
        <v>4</v>
      </c>
      <c r="AC677" s="3" t="s">
        <v>1047</v>
      </c>
      <c r="AD677" t="s">
        <v>4</v>
      </c>
      <c r="AE677" t="s">
        <v>1048</v>
      </c>
      <c r="AF677" t="s">
        <v>1049</v>
      </c>
      <c r="AG677" t="s">
        <v>1050</v>
      </c>
      <c r="AH677" t="s">
        <v>112</v>
      </c>
      <c r="AJ677" t="s">
        <v>1051</v>
      </c>
      <c r="AL677" t="s">
        <v>1052</v>
      </c>
      <c r="AQ677" t="s">
        <v>1003</v>
      </c>
      <c r="AU677" t="s">
        <v>112</v>
      </c>
      <c r="AV677" t="s">
        <v>1053</v>
      </c>
      <c r="AW677" t="s">
        <v>114</v>
      </c>
      <c r="AX677" t="s">
        <v>371</v>
      </c>
      <c r="AY677" t="s">
        <v>573</v>
      </c>
      <c r="AZ677" t="s">
        <v>4</v>
      </c>
      <c r="BA677" s="3" t="s">
        <v>95</v>
      </c>
      <c r="BB677" s="6" t="s">
        <v>95</v>
      </c>
      <c r="BC677" s="3" t="s">
        <v>95</v>
      </c>
      <c r="BD677" t="s">
        <v>4</v>
      </c>
      <c r="BE677">
        <v>6221</v>
      </c>
      <c r="BF677" t="s">
        <v>213</v>
      </c>
      <c r="BG677">
        <v>81.428600000000003</v>
      </c>
      <c r="BH677">
        <v>98.214299999999994</v>
      </c>
      <c r="BI677">
        <v>71.071399999999997</v>
      </c>
      <c r="BJ677">
        <v>66.071399999999997</v>
      </c>
      <c r="BK677">
        <v>67.142899999999997</v>
      </c>
      <c r="BL677">
        <v>68.928600000000003</v>
      </c>
      <c r="BM677">
        <v>71.071399999999997</v>
      </c>
      <c r="BN677">
        <v>71.071399999999997</v>
      </c>
      <c r="BO677">
        <v>68.928600000000003</v>
      </c>
      <c r="BQ677">
        <v>31.785699999999999</v>
      </c>
      <c r="BR677">
        <v>25</v>
      </c>
      <c r="BV677">
        <v>24.642900000000001</v>
      </c>
      <c r="BW677" t="s">
        <v>1054</v>
      </c>
      <c r="BZ677">
        <v>19.285699999999999</v>
      </c>
      <c r="CA677">
        <v>26.428599999999999</v>
      </c>
      <c r="CB677">
        <v>18.571400000000001</v>
      </c>
      <c r="CC677">
        <v>25</v>
      </c>
      <c r="CD677">
        <v>24.642900000000001</v>
      </c>
      <c r="CG677">
        <v>23.571400000000001</v>
      </c>
      <c r="CH677">
        <v>22.142900000000001</v>
      </c>
      <c r="CI677">
        <v>24.642900000000001</v>
      </c>
      <c r="CK677">
        <v>8</v>
      </c>
      <c r="CL677" t="s">
        <v>4</v>
      </c>
      <c r="CM677" t="s">
        <v>1055</v>
      </c>
      <c r="CN677" t="s">
        <v>1056</v>
      </c>
      <c r="CO677" t="s">
        <v>99</v>
      </c>
      <c r="CP677">
        <v>118</v>
      </c>
      <c r="CQ677" t="s">
        <v>100</v>
      </c>
      <c r="CR677" t="s">
        <v>100</v>
      </c>
      <c r="CS677" t="s">
        <v>101</v>
      </c>
      <c r="CT677" s="7" t="s">
        <v>152</v>
      </c>
      <c r="CU677" t="s">
        <v>102</v>
      </c>
      <c r="CV677" t="s">
        <v>100</v>
      </c>
    </row>
    <row r="678" spans="1:100">
      <c r="A678" s="3" t="s">
        <v>1057</v>
      </c>
      <c r="B678" s="4" t="s">
        <v>1058</v>
      </c>
      <c r="C678">
        <v>196.845371782341</v>
      </c>
      <c r="D678">
        <v>27.080093672146301</v>
      </c>
      <c r="E678">
        <v>2.8649037336311398</v>
      </c>
      <c r="F678" s="5">
        <v>1.24432103957584E-8</v>
      </c>
      <c r="G678" t="s">
        <v>4</v>
      </c>
      <c r="H678">
        <v>196.845371782341</v>
      </c>
      <c r="I678">
        <v>28.465828119576599</v>
      </c>
      <c r="J678">
        <v>2.8046920030403899</v>
      </c>
      <c r="K678" s="5">
        <v>3.1066598101056398E-8</v>
      </c>
      <c r="L678" t="s">
        <v>4</v>
      </c>
      <c r="M678">
        <v>27.080093672146301</v>
      </c>
      <c r="N678">
        <v>28.465828119576599</v>
      </c>
      <c r="O678">
        <f>0.0602117305907507</f>
        <v>6.0211730590750703E-2</v>
      </c>
      <c r="P678">
        <v>0.93469818998381204</v>
      </c>
      <c r="Q678" t="s">
        <v>4</v>
      </c>
      <c r="R678" s="4" t="s">
        <v>87</v>
      </c>
      <c r="S678" t="s">
        <v>4</v>
      </c>
      <c r="T678" t="s">
        <v>92</v>
      </c>
      <c r="U678" t="s">
        <v>92</v>
      </c>
      <c r="V678" t="s">
        <v>92</v>
      </c>
      <c r="W678" t="s">
        <v>92</v>
      </c>
      <c r="X678" t="s">
        <v>4</v>
      </c>
      <c r="Y678" t="s">
        <v>92</v>
      </c>
      <c r="Z678" t="s">
        <v>92</v>
      </c>
      <c r="AA678" t="s">
        <v>92</v>
      </c>
      <c r="AB678" t="s">
        <v>4</v>
      </c>
      <c r="AC678" s="3" t="s">
        <v>93</v>
      </c>
      <c r="AD678" t="s">
        <v>4</v>
      </c>
      <c r="AE678" t="s">
        <v>1059</v>
      </c>
      <c r="AF678" t="s">
        <v>1060</v>
      </c>
      <c r="AG678" t="s">
        <v>1061</v>
      </c>
      <c r="AH678" t="s">
        <v>112</v>
      </c>
      <c r="AU678" t="s">
        <v>112</v>
      </c>
      <c r="AV678" t="s">
        <v>1062</v>
      </c>
      <c r="AW678" t="s">
        <v>114</v>
      </c>
      <c r="AZ678" t="s">
        <v>4</v>
      </c>
      <c r="BA678" s="3" t="s">
        <v>95</v>
      </c>
      <c r="BB678" s="6" t="s">
        <v>95</v>
      </c>
      <c r="BC678" s="3" t="s">
        <v>95</v>
      </c>
      <c r="BD678" t="s">
        <v>4</v>
      </c>
      <c r="BE678">
        <v>5377</v>
      </c>
      <c r="BF678" t="s">
        <v>386</v>
      </c>
      <c r="BG678">
        <v>95.327100000000002</v>
      </c>
      <c r="BH678">
        <v>93.457899999999995</v>
      </c>
      <c r="BJ678">
        <v>45.233600000000003</v>
      </c>
      <c r="BK678">
        <v>52.149500000000003</v>
      </c>
      <c r="BN678">
        <v>60.934600000000003</v>
      </c>
      <c r="BW678">
        <v>28.411200000000001</v>
      </c>
      <c r="BX678">
        <v>27.476600000000001</v>
      </c>
      <c r="CA678">
        <v>21.121500000000001</v>
      </c>
      <c r="CB678">
        <v>28.598099999999999</v>
      </c>
      <c r="CF678">
        <v>17.757000000000001</v>
      </c>
      <c r="CK678">
        <v>7</v>
      </c>
      <c r="CL678" t="s">
        <v>4</v>
      </c>
      <c r="CM678" t="s">
        <v>1063</v>
      </c>
      <c r="CN678" t="s">
        <v>1064</v>
      </c>
      <c r="CO678" t="s">
        <v>663</v>
      </c>
      <c r="CP678">
        <v>119</v>
      </c>
      <c r="CQ678" t="s">
        <v>100</v>
      </c>
      <c r="CR678" t="s">
        <v>100</v>
      </c>
      <c r="CS678" t="s">
        <v>101</v>
      </c>
      <c r="CT678" t="s">
        <v>100</v>
      </c>
      <c r="CU678" t="s">
        <v>102</v>
      </c>
      <c r="CV678" t="s">
        <v>100</v>
      </c>
    </row>
    <row r="679" spans="1:100">
      <c r="A679" s="3" t="s">
        <v>1065</v>
      </c>
      <c r="B679" s="4" t="s">
        <v>1066</v>
      </c>
      <c r="C679">
        <v>289.71479193319902</v>
      </c>
      <c r="D679">
        <v>23.135782277752799</v>
      </c>
      <c r="E679">
        <v>3.6433979773540601</v>
      </c>
      <c r="F679" s="5">
        <v>9.6563454913826593E-12</v>
      </c>
      <c r="G679" t="s">
        <v>4</v>
      </c>
      <c r="H679">
        <v>289.71479193319902</v>
      </c>
      <c r="I679">
        <v>29.284664007648701</v>
      </c>
      <c r="J679">
        <v>3.2868868242575502</v>
      </c>
      <c r="K679" s="5">
        <v>7.0944966153292801E-10</v>
      </c>
      <c r="L679" t="s">
        <v>4</v>
      </c>
      <c r="M679">
        <v>23.135782277752799</v>
      </c>
      <c r="N679">
        <v>29.284664007648701</v>
      </c>
      <c r="O679">
        <f>0.356511153096511</f>
        <v>0.35651115309651099</v>
      </c>
      <c r="P679">
        <v>0.59804082566837202</v>
      </c>
      <c r="Q679" t="s">
        <v>4</v>
      </c>
      <c r="R679" s="4" t="s">
        <v>87</v>
      </c>
      <c r="S679" t="s">
        <v>4</v>
      </c>
      <c r="T679" t="s">
        <v>1067</v>
      </c>
      <c r="U679" t="s">
        <v>1068</v>
      </c>
      <c r="V679" t="s">
        <v>1069</v>
      </c>
      <c r="W679" t="s">
        <v>507</v>
      </c>
      <c r="X679" t="s">
        <v>4</v>
      </c>
      <c r="Y679" t="s">
        <v>1070</v>
      </c>
      <c r="Z679" t="s">
        <v>1071</v>
      </c>
      <c r="AA679" t="s">
        <v>1072</v>
      </c>
      <c r="AB679" t="s">
        <v>4</v>
      </c>
      <c r="AC679" s="3" t="s">
        <v>1073</v>
      </c>
      <c r="AD679" t="s">
        <v>4</v>
      </c>
      <c r="AE679" t="s">
        <v>1074</v>
      </c>
      <c r="AF679" t="s">
        <v>834</v>
      </c>
      <c r="AG679" t="s">
        <v>1075</v>
      </c>
      <c r="AH679" t="s">
        <v>112</v>
      </c>
      <c r="AU679" t="s">
        <v>112</v>
      </c>
      <c r="AV679" t="s">
        <v>1076</v>
      </c>
      <c r="AW679" t="s">
        <v>114</v>
      </c>
      <c r="AX679" t="s">
        <v>144</v>
      </c>
      <c r="AY679" t="s">
        <v>1077</v>
      </c>
      <c r="AZ679" t="s">
        <v>4</v>
      </c>
      <c r="BA679" s="3" t="s">
        <v>95</v>
      </c>
      <c r="BB679" t="s">
        <v>96</v>
      </c>
      <c r="BC679" s="3" t="s">
        <v>95</v>
      </c>
      <c r="BD679" t="s">
        <v>4</v>
      </c>
      <c r="BE679">
        <v>3376</v>
      </c>
      <c r="BF679" t="s">
        <v>112</v>
      </c>
      <c r="BG679" t="s">
        <v>1078</v>
      </c>
      <c r="BH679">
        <v>94.214100000000002</v>
      </c>
      <c r="BI679">
        <v>80.231399999999994</v>
      </c>
      <c r="BJ679">
        <v>62.102200000000003</v>
      </c>
      <c r="BK679">
        <v>59.594999999999999</v>
      </c>
      <c r="BL679">
        <v>50.337499999999999</v>
      </c>
      <c r="BM679">
        <v>64.513000000000005</v>
      </c>
      <c r="BN679">
        <v>64.513000000000005</v>
      </c>
      <c r="BS679">
        <v>21.504300000000001</v>
      </c>
      <c r="BW679">
        <v>20.4436</v>
      </c>
      <c r="CA679">
        <v>19.6721</v>
      </c>
      <c r="CF679" t="s">
        <v>1079</v>
      </c>
      <c r="CK679">
        <v>5</v>
      </c>
      <c r="CL679" t="s">
        <v>4</v>
      </c>
      <c r="CM679" t="s">
        <v>1080</v>
      </c>
      <c r="CN679" t="s">
        <v>1081</v>
      </c>
      <c r="CO679" t="s">
        <v>663</v>
      </c>
      <c r="CP679">
        <v>120</v>
      </c>
      <c r="CQ679" t="s">
        <v>100</v>
      </c>
      <c r="CR679" t="s">
        <v>100</v>
      </c>
      <c r="CS679" t="s">
        <v>101</v>
      </c>
      <c r="CT679" t="s">
        <v>100</v>
      </c>
      <c r="CU679" t="s">
        <v>102</v>
      </c>
      <c r="CV679" t="s">
        <v>100</v>
      </c>
    </row>
    <row r="680" spans="1:100">
      <c r="A680" s="3" t="s">
        <v>1082</v>
      </c>
      <c r="B680" s="4" t="s">
        <v>1083</v>
      </c>
      <c r="C680">
        <v>150.471881752954</v>
      </c>
      <c r="D680">
        <v>26.699661097654399</v>
      </c>
      <c r="E680">
        <v>2.4981129265978201</v>
      </c>
      <c r="F680">
        <v>1.5003175819596699E-4</v>
      </c>
      <c r="G680" t="s">
        <v>4</v>
      </c>
      <c r="H680">
        <v>150.471881752954</v>
      </c>
      <c r="I680">
        <v>31.068050728182701</v>
      </c>
      <c r="J680">
        <v>2.2883508214316302</v>
      </c>
      <c r="K680">
        <v>4.60171775876206E-4</v>
      </c>
      <c r="L680" t="s">
        <v>4</v>
      </c>
      <c r="M680">
        <v>26.699661097654399</v>
      </c>
      <c r="N680">
        <v>31.068050728182701</v>
      </c>
      <c r="O680">
        <f>0.209762105166185</f>
        <v>0.20976210516618499</v>
      </c>
      <c r="P680">
        <v>0.80159863167651801</v>
      </c>
      <c r="Q680" t="s">
        <v>4</v>
      </c>
      <c r="R680" s="4" t="s">
        <v>87</v>
      </c>
      <c r="S680" t="s">
        <v>4</v>
      </c>
      <c r="T680" t="s">
        <v>1084</v>
      </c>
      <c r="U680" t="s">
        <v>1085</v>
      </c>
      <c r="V680" t="s">
        <v>1086</v>
      </c>
      <c r="W680" t="s">
        <v>328</v>
      </c>
      <c r="X680" t="s">
        <v>4</v>
      </c>
      <c r="Y680" t="s">
        <v>1087</v>
      </c>
      <c r="Z680" t="s">
        <v>1088</v>
      </c>
      <c r="AA680" t="s">
        <v>1089</v>
      </c>
      <c r="AB680" t="s">
        <v>4</v>
      </c>
      <c r="AC680" s="3" t="s">
        <v>1090</v>
      </c>
      <c r="AD680" t="s">
        <v>4</v>
      </c>
      <c r="AE680" t="s">
        <v>1091</v>
      </c>
      <c r="AF680" t="s">
        <v>1092</v>
      </c>
      <c r="AG680" t="s">
        <v>1093</v>
      </c>
      <c r="AH680" t="s">
        <v>638</v>
      </c>
      <c r="AJ680" t="s">
        <v>1094</v>
      </c>
      <c r="AU680" t="s">
        <v>112</v>
      </c>
      <c r="AV680" t="s">
        <v>1095</v>
      </c>
      <c r="AW680" t="s">
        <v>114</v>
      </c>
      <c r="AX680" t="s">
        <v>1096</v>
      </c>
      <c r="AY680" t="s">
        <v>1097</v>
      </c>
      <c r="AZ680" t="s">
        <v>4</v>
      </c>
      <c r="BA680" s="3" t="s">
        <v>95</v>
      </c>
      <c r="BB680" s="6" t="s">
        <v>95</v>
      </c>
      <c r="BC680" s="3" t="s">
        <v>95</v>
      </c>
      <c r="BD680" t="s">
        <v>4</v>
      </c>
      <c r="BE680">
        <v>3391</v>
      </c>
      <c r="BF680" t="s">
        <v>112</v>
      </c>
      <c r="BG680">
        <v>86.936199999999999</v>
      </c>
      <c r="BH680">
        <v>53.810299999999998</v>
      </c>
      <c r="BI680">
        <v>37.480600000000003</v>
      </c>
      <c r="BP680" t="s">
        <v>1098</v>
      </c>
      <c r="BQ680">
        <v>30.793199999999999</v>
      </c>
      <c r="BR680">
        <v>31.104199999999999</v>
      </c>
      <c r="BS680">
        <v>28.3048</v>
      </c>
      <c r="BW680">
        <v>29.548999999999999</v>
      </c>
      <c r="BX680">
        <v>32.192799999999998</v>
      </c>
      <c r="BY680">
        <v>32.192799999999998</v>
      </c>
      <c r="BZ680">
        <v>24.883400000000002</v>
      </c>
      <c r="CA680">
        <v>31.415199999999999</v>
      </c>
      <c r="CB680">
        <v>13.8414</v>
      </c>
      <c r="CF680" t="s">
        <v>1099</v>
      </c>
      <c r="CG680" t="s">
        <v>1100</v>
      </c>
      <c r="CH680" t="s">
        <v>1101</v>
      </c>
      <c r="CI680" t="s">
        <v>1102</v>
      </c>
      <c r="CK680">
        <v>5</v>
      </c>
      <c r="CL680" t="s">
        <v>4</v>
      </c>
      <c r="CM680" t="s">
        <v>1103</v>
      </c>
      <c r="CN680" t="s">
        <v>1104</v>
      </c>
      <c r="CO680" t="s">
        <v>99</v>
      </c>
      <c r="CP680">
        <v>121</v>
      </c>
      <c r="CQ680" t="s">
        <v>100</v>
      </c>
      <c r="CR680" t="s">
        <v>100</v>
      </c>
      <c r="CS680" t="s">
        <v>101</v>
      </c>
      <c r="CT680" t="s">
        <v>100</v>
      </c>
      <c r="CU680" t="s">
        <v>102</v>
      </c>
      <c r="CV680" t="s">
        <v>100</v>
      </c>
    </row>
    <row r="681" spans="1:100">
      <c r="A681" s="3" t="s">
        <v>1105</v>
      </c>
      <c r="B681" s="4" t="s">
        <v>1106</v>
      </c>
      <c r="C681">
        <v>55.420147679083598</v>
      </c>
      <c r="D681">
        <v>5.2955540491909101</v>
      </c>
      <c r="E681">
        <v>3.4109326273589802</v>
      </c>
      <c r="F681">
        <v>2.2082561575009399E-4</v>
      </c>
      <c r="G681" t="s">
        <v>4</v>
      </c>
      <c r="H681">
        <v>55.420147679083598</v>
      </c>
      <c r="I681">
        <v>3.5169938828814802</v>
      </c>
      <c r="J681">
        <v>3.8030595482049199</v>
      </c>
      <c r="K681" s="5">
        <v>9.1670443900451697E-5</v>
      </c>
      <c r="L681" t="s">
        <v>4</v>
      </c>
      <c r="M681">
        <v>5.2955540491909101</v>
      </c>
      <c r="N681">
        <v>3.5169938828814802</v>
      </c>
      <c r="O681">
        <v>0.39212692084594097</v>
      </c>
      <c r="P681">
        <v>0.75979434471150298</v>
      </c>
      <c r="Q681" t="s">
        <v>4</v>
      </c>
      <c r="R681" s="4" t="s">
        <v>87</v>
      </c>
      <c r="S681" t="s">
        <v>4</v>
      </c>
      <c r="T681" t="s">
        <v>1107</v>
      </c>
      <c r="U681" t="s">
        <v>1108</v>
      </c>
      <c r="V681" t="s">
        <v>1109</v>
      </c>
      <c r="W681" t="s">
        <v>328</v>
      </c>
      <c r="X681" t="s">
        <v>4</v>
      </c>
      <c r="Y681" t="s">
        <v>1110</v>
      </c>
      <c r="Z681" t="s">
        <v>1111</v>
      </c>
      <c r="AA681" t="s">
        <v>1112</v>
      </c>
      <c r="AB681" t="s">
        <v>4</v>
      </c>
      <c r="AC681" s="3" t="s">
        <v>1113</v>
      </c>
      <c r="AD681" t="s">
        <v>4</v>
      </c>
      <c r="AE681" t="s">
        <v>1114</v>
      </c>
      <c r="AF681" t="s">
        <v>1115</v>
      </c>
      <c r="AG681" t="s">
        <v>1116</v>
      </c>
      <c r="AH681" t="s">
        <v>112</v>
      </c>
      <c r="AU681" t="s">
        <v>112</v>
      </c>
      <c r="AV681" t="s">
        <v>1117</v>
      </c>
      <c r="AW681" t="s">
        <v>114</v>
      </c>
      <c r="AX681" t="s">
        <v>536</v>
      </c>
      <c r="AY681" t="s">
        <v>1118</v>
      </c>
      <c r="AZ681" t="s">
        <v>4</v>
      </c>
      <c r="BA681" s="3" t="s">
        <v>95</v>
      </c>
      <c r="BB681" s="6" t="s">
        <v>95</v>
      </c>
      <c r="BC681" s="3" t="s">
        <v>95</v>
      </c>
      <c r="BD681" t="s">
        <v>4</v>
      </c>
      <c r="BE681">
        <v>6287</v>
      </c>
      <c r="BF681" t="s">
        <v>213</v>
      </c>
      <c r="BN681">
        <v>69.257900000000006</v>
      </c>
      <c r="CB681">
        <v>35.335700000000003</v>
      </c>
      <c r="CC681">
        <v>33.568899999999999</v>
      </c>
      <c r="CD681" t="s">
        <v>1119</v>
      </c>
      <c r="CE681" t="s">
        <v>1120</v>
      </c>
      <c r="CF681">
        <v>28.268599999999999</v>
      </c>
      <c r="CG681">
        <v>33.568899999999999</v>
      </c>
      <c r="CH681">
        <v>33.568899999999999</v>
      </c>
      <c r="CI681">
        <v>33.215499999999999</v>
      </c>
      <c r="CK681">
        <v>8</v>
      </c>
      <c r="CL681" t="s">
        <v>4</v>
      </c>
      <c r="CM681" t="s">
        <v>98</v>
      </c>
      <c r="CN681" t="s">
        <v>98</v>
      </c>
      <c r="CO681" t="s">
        <v>99</v>
      </c>
      <c r="CP681">
        <v>122</v>
      </c>
      <c r="CQ681" t="s">
        <v>100</v>
      </c>
      <c r="CR681" t="s">
        <v>100</v>
      </c>
      <c r="CS681" t="s">
        <v>101</v>
      </c>
      <c r="CT681" t="s">
        <v>100</v>
      </c>
      <c r="CU681" t="s">
        <v>102</v>
      </c>
      <c r="CV681" t="s">
        <v>100</v>
      </c>
    </row>
    <row r="682" spans="1:100">
      <c r="A682" s="3" t="s">
        <v>1121</v>
      </c>
      <c r="B682" s="4" t="s">
        <v>1122</v>
      </c>
      <c r="C682">
        <v>1029.45795973913</v>
      </c>
      <c r="D682">
        <v>248.46332847572799</v>
      </c>
      <c r="E682">
        <v>2.0501648001361201</v>
      </c>
      <c r="F682">
        <v>1.2272345761237099E-4</v>
      </c>
      <c r="G682" t="s">
        <v>4</v>
      </c>
      <c r="H682">
        <v>1029.45795973913</v>
      </c>
      <c r="I682">
        <v>39.349795577152904</v>
      </c>
      <c r="J682">
        <v>4.6635234242731203</v>
      </c>
      <c r="K682" s="5">
        <v>4.8417807584909799E-19</v>
      </c>
      <c r="L682" t="s">
        <v>4</v>
      </c>
      <c r="M682">
        <v>248.46332847572799</v>
      </c>
      <c r="N682">
        <v>39.349795577152904</v>
      </c>
      <c r="O682">
        <v>2.6133586241370002</v>
      </c>
      <c r="P682" s="5">
        <v>9.8260212969257598E-7</v>
      </c>
      <c r="Q682" t="s">
        <v>4</v>
      </c>
      <c r="R682" s="4" t="s">
        <v>87</v>
      </c>
      <c r="S682" t="s">
        <v>4</v>
      </c>
      <c r="T682" t="s">
        <v>92</v>
      </c>
      <c r="U682" t="s">
        <v>92</v>
      </c>
      <c r="V682" t="s">
        <v>92</v>
      </c>
      <c r="W682" t="s">
        <v>92</v>
      </c>
      <c r="X682" t="s">
        <v>4</v>
      </c>
      <c r="Y682" t="s">
        <v>1123</v>
      </c>
      <c r="Z682" t="s">
        <v>1124</v>
      </c>
      <c r="AA682" t="s">
        <v>1125</v>
      </c>
      <c r="AB682" t="s">
        <v>4</v>
      </c>
      <c r="AC682" s="3" t="s">
        <v>1126</v>
      </c>
      <c r="AD682" t="s">
        <v>4</v>
      </c>
      <c r="AE682" t="s">
        <v>1127</v>
      </c>
      <c r="AF682" t="s">
        <v>1128</v>
      </c>
      <c r="AG682" t="s">
        <v>1129</v>
      </c>
      <c r="AH682" t="s">
        <v>112</v>
      </c>
      <c r="AU682" t="s">
        <v>112</v>
      </c>
      <c r="AV682" t="s">
        <v>1130</v>
      </c>
      <c r="AW682" t="s">
        <v>114</v>
      </c>
      <c r="AX682" t="s">
        <v>144</v>
      </c>
      <c r="AY682" t="s">
        <v>1131</v>
      </c>
      <c r="AZ682" t="s">
        <v>4</v>
      </c>
      <c r="BA682" s="3" t="s">
        <v>95</v>
      </c>
      <c r="BB682" s="6" t="s">
        <v>95</v>
      </c>
      <c r="BC682" s="3" t="s">
        <v>95</v>
      </c>
      <c r="BD682" t="s">
        <v>4</v>
      </c>
      <c r="BE682">
        <v>3130</v>
      </c>
      <c r="BF682" t="s">
        <v>112</v>
      </c>
      <c r="BG682">
        <v>85.302599999999998</v>
      </c>
      <c r="BH682">
        <v>50.432299999999998</v>
      </c>
      <c r="BI682">
        <v>80.691599999999994</v>
      </c>
      <c r="BJ682">
        <v>46.9741</v>
      </c>
      <c r="BK682">
        <v>29.1066</v>
      </c>
      <c r="BL682">
        <v>17.0029</v>
      </c>
      <c r="BM682">
        <v>38.040300000000002</v>
      </c>
      <c r="BN682">
        <v>42.651299999999999</v>
      </c>
      <c r="BO682">
        <v>43.227699999999999</v>
      </c>
      <c r="CK682">
        <v>5</v>
      </c>
      <c r="CL682" t="s">
        <v>4</v>
      </c>
      <c r="CM682" t="s">
        <v>98</v>
      </c>
      <c r="CN682" t="s">
        <v>98</v>
      </c>
      <c r="CO682" t="s">
        <v>99</v>
      </c>
      <c r="CP682">
        <v>123</v>
      </c>
      <c r="CQ682" t="s">
        <v>100</v>
      </c>
      <c r="CR682" t="s">
        <v>100</v>
      </c>
      <c r="CS682" t="s">
        <v>101</v>
      </c>
      <c r="CT682" t="s">
        <v>152</v>
      </c>
      <c r="CU682" t="s">
        <v>102</v>
      </c>
      <c r="CV682" t="s">
        <v>100</v>
      </c>
    </row>
    <row r="683" spans="1:100">
      <c r="A683" s="3" t="s">
        <v>1132</v>
      </c>
      <c r="B683" s="4" t="s">
        <v>1133</v>
      </c>
      <c r="C683">
        <v>179.52067501477001</v>
      </c>
      <c r="D683">
        <v>33.205392821938297</v>
      </c>
      <c r="E683">
        <v>2.43836321092938</v>
      </c>
      <c r="F683" s="5">
        <v>6.6108888604444502E-8</v>
      </c>
      <c r="G683" t="s">
        <v>4</v>
      </c>
      <c r="H683">
        <v>179.52067501477001</v>
      </c>
      <c r="I683">
        <v>33.965566789819</v>
      </c>
      <c r="J683">
        <v>2.3699337038649801</v>
      </c>
      <c r="K683" s="5">
        <v>1.83574013871321E-7</v>
      </c>
      <c r="L683" t="s">
        <v>4</v>
      </c>
      <c r="M683">
        <v>33.205392821938297</v>
      </c>
      <c r="N683">
        <v>33.965566789819</v>
      </c>
      <c r="O683">
        <f>0.0684295070644006</f>
        <v>6.8429507064400596E-2</v>
      </c>
      <c r="P683">
        <v>0.91591488878387795</v>
      </c>
      <c r="Q683" t="s">
        <v>4</v>
      </c>
      <c r="R683" s="4" t="s">
        <v>87</v>
      </c>
      <c r="S683" t="s">
        <v>4</v>
      </c>
      <c r="T683" t="s">
        <v>92</v>
      </c>
      <c r="U683" t="s">
        <v>92</v>
      </c>
      <c r="V683" t="s">
        <v>92</v>
      </c>
      <c r="W683" t="s">
        <v>92</v>
      </c>
      <c r="X683" t="s">
        <v>4</v>
      </c>
      <c r="Y683" t="s">
        <v>92</v>
      </c>
      <c r="Z683" t="s">
        <v>92</v>
      </c>
      <c r="AA683" t="s">
        <v>92</v>
      </c>
      <c r="AB683" t="s">
        <v>4</v>
      </c>
      <c r="AC683" s="3" t="s">
        <v>93</v>
      </c>
      <c r="AD683" t="s">
        <v>4</v>
      </c>
      <c r="AE683" t="s">
        <v>1134</v>
      </c>
      <c r="AF683" t="s">
        <v>1135</v>
      </c>
      <c r="AG683" t="s">
        <v>1136</v>
      </c>
      <c r="AH683" t="s">
        <v>112</v>
      </c>
      <c r="AU683" t="s">
        <v>112</v>
      </c>
      <c r="AV683" t="s">
        <v>1137</v>
      </c>
      <c r="AW683" t="s">
        <v>114</v>
      </c>
      <c r="AZ683" t="s">
        <v>4</v>
      </c>
      <c r="BA683" s="3" t="s">
        <v>95</v>
      </c>
      <c r="BB683" s="6" t="s">
        <v>95</v>
      </c>
      <c r="BC683" s="3" t="s">
        <v>95</v>
      </c>
      <c r="BD683" t="s">
        <v>4</v>
      </c>
      <c r="BE683">
        <v>3433</v>
      </c>
      <c r="BF683" t="s">
        <v>112</v>
      </c>
      <c r="BG683">
        <v>95.412800000000004</v>
      </c>
      <c r="BH683">
        <v>58.027500000000003</v>
      </c>
      <c r="BI683">
        <v>91.972499999999997</v>
      </c>
      <c r="BJ683">
        <v>81.192700000000002</v>
      </c>
      <c r="BK683">
        <v>4.5871599999999999</v>
      </c>
      <c r="BM683">
        <v>75.688100000000006</v>
      </c>
      <c r="BN683">
        <v>69.724800000000002</v>
      </c>
      <c r="BO683">
        <v>75</v>
      </c>
      <c r="BP683">
        <v>33.027500000000003</v>
      </c>
      <c r="BW683">
        <v>27.752300000000002</v>
      </c>
      <c r="BX683">
        <v>30.0459</v>
      </c>
      <c r="BZ683">
        <v>30.275200000000002</v>
      </c>
      <c r="CA683">
        <v>23.853200000000001</v>
      </c>
      <c r="CK683">
        <v>5</v>
      </c>
      <c r="CL683" t="s">
        <v>4</v>
      </c>
      <c r="CM683" t="s">
        <v>1138</v>
      </c>
      <c r="CN683" t="s">
        <v>1139</v>
      </c>
      <c r="CO683" t="s">
        <v>663</v>
      </c>
      <c r="CP683">
        <v>124</v>
      </c>
      <c r="CQ683" t="s">
        <v>100</v>
      </c>
      <c r="CR683" t="s">
        <v>100</v>
      </c>
      <c r="CS683" t="s">
        <v>101</v>
      </c>
      <c r="CT683" t="s">
        <v>100</v>
      </c>
      <c r="CU683" t="s">
        <v>102</v>
      </c>
      <c r="CV683" t="s">
        <v>100</v>
      </c>
    </row>
    <row r="684" spans="1:100">
      <c r="A684" s="3" t="s">
        <v>1140</v>
      </c>
      <c r="B684" s="4" t="s">
        <v>1141</v>
      </c>
      <c r="C684">
        <v>1062.11876450779</v>
      </c>
      <c r="D684">
        <v>122.783687059513</v>
      </c>
      <c r="E684">
        <v>3.1121628011655802</v>
      </c>
      <c r="F684" s="5">
        <v>1.15041474438715E-29</v>
      </c>
      <c r="G684" t="s">
        <v>4</v>
      </c>
      <c r="H684">
        <v>1062.11876450779</v>
      </c>
      <c r="I684">
        <v>58.727112902997703</v>
      </c>
      <c r="J684">
        <v>4.1568960195941997</v>
      </c>
      <c r="K684" s="5">
        <v>2.6960065052646201E-46</v>
      </c>
      <c r="L684" t="s">
        <v>4</v>
      </c>
      <c r="M684">
        <v>122.783687059513</v>
      </c>
      <c r="N684">
        <v>58.727112902997703</v>
      </c>
      <c r="O684">
        <v>1.04473321842862</v>
      </c>
      <c r="P684">
        <v>8.9365480991845795E-4</v>
      </c>
      <c r="Q684" t="s">
        <v>4</v>
      </c>
      <c r="R684" s="4" t="s">
        <v>87</v>
      </c>
      <c r="S684" t="s">
        <v>4</v>
      </c>
      <c r="T684" t="s">
        <v>1142</v>
      </c>
      <c r="U684" t="s">
        <v>1143</v>
      </c>
      <c r="V684" t="s">
        <v>1144</v>
      </c>
      <c r="W684" t="s">
        <v>203</v>
      </c>
      <c r="X684" t="s">
        <v>4</v>
      </c>
      <c r="Y684" t="s">
        <v>1145</v>
      </c>
      <c r="Z684" t="s">
        <v>1146</v>
      </c>
      <c r="AA684" t="s">
        <v>1147</v>
      </c>
      <c r="AB684" t="s">
        <v>4</v>
      </c>
      <c r="AC684" s="3" t="s">
        <v>1148</v>
      </c>
      <c r="AD684" t="s">
        <v>4</v>
      </c>
      <c r="AE684" t="s">
        <v>1149</v>
      </c>
      <c r="AF684" t="s">
        <v>834</v>
      </c>
      <c r="AG684" t="s">
        <v>1150</v>
      </c>
      <c r="AH684" t="s">
        <v>112</v>
      </c>
      <c r="AI684" t="s">
        <v>1151</v>
      </c>
      <c r="AJ684" t="s">
        <v>1152</v>
      </c>
      <c r="AL684" t="s">
        <v>1153</v>
      </c>
      <c r="AQ684" t="s">
        <v>1154</v>
      </c>
      <c r="AU684" t="s">
        <v>112</v>
      </c>
      <c r="AV684" t="s">
        <v>1155</v>
      </c>
      <c r="AW684" t="s">
        <v>114</v>
      </c>
      <c r="AX684" t="s">
        <v>733</v>
      </c>
      <c r="AY684" t="s">
        <v>1156</v>
      </c>
      <c r="AZ684" t="s">
        <v>4</v>
      </c>
      <c r="BA684" s="3" t="s">
        <v>115</v>
      </c>
      <c r="BB684" s="6" t="s">
        <v>95</v>
      </c>
      <c r="BC684" s="3" t="s">
        <v>95</v>
      </c>
      <c r="BD684" t="s">
        <v>4</v>
      </c>
      <c r="BE684">
        <v>8933</v>
      </c>
      <c r="BF684" t="s">
        <v>169</v>
      </c>
      <c r="BG684">
        <v>96.536799999999999</v>
      </c>
      <c r="BH684">
        <v>73.160200000000003</v>
      </c>
      <c r="BI684">
        <v>82.792199999999994</v>
      </c>
      <c r="BJ684">
        <v>66.017300000000006</v>
      </c>
      <c r="BK684">
        <v>71.861500000000007</v>
      </c>
      <c r="BL684" t="s">
        <v>1157</v>
      </c>
      <c r="BM684">
        <v>71.861500000000007</v>
      </c>
      <c r="BN684">
        <v>63.095199999999998</v>
      </c>
      <c r="BO684">
        <v>68.290000000000006</v>
      </c>
      <c r="BP684">
        <v>29.004300000000001</v>
      </c>
      <c r="BQ684">
        <v>32.683999999999997</v>
      </c>
      <c r="BR684" t="s">
        <v>1158</v>
      </c>
      <c r="BS684">
        <v>28.0303</v>
      </c>
      <c r="BU684">
        <v>31.926400000000001</v>
      </c>
      <c r="BV684" t="s">
        <v>1159</v>
      </c>
      <c r="BX684">
        <v>36.688299999999998</v>
      </c>
      <c r="BY684">
        <v>9.4155800000000003</v>
      </c>
      <c r="BZ684" t="s">
        <v>1160</v>
      </c>
      <c r="CA684">
        <v>29.653700000000001</v>
      </c>
      <c r="CB684" t="s">
        <v>1161</v>
      </c>
      <c r="CC684">
        <v>15.4762</v>
      </c>
      <c r="CD684">
        <v>28.7879</v>
      </c>
      <c r="CG684" t="s">
        <v>1162</v>
      </c>
      <c r="CH684">
        <v>28.896100000000001</v>
      </c>
      <c r="CI684">
        <v>27.8139</v>
      </c>
      <c r="CJ684">
        <v>18.831199999999999</v>
      </c>
      <c r="CK684">
        <v>9</v>
      </c>
      <c r="CL684" t="s">
        <v>4</v>
      </c>
      <c r="CM684" t="s">
        <v>1163</v>
      </c>
      <c r="CN684" t="s">
        <v>1164</v>
      </c>
      <c r="CO684" t="s">
        <v>219</v>
      </c>
      <c r="CP684">
        <v>125</v>
      </c>
      <c r="CQ684" t="s">
        <v>100</v>
      </c>
      <c r="CR684" t="s">
        <v>100</v>
      </c>
      <c r="CS684" t="s">
        <v>101</v>
      </c>
      <c r="CT684" s="7" t="s">
        <v>152</v>
      </c>
      <c r="CU684" t="s">
        <v>102</v>
      </c>
      <c r="CV684" t="s">
        <v>1165</v>
      </c>
    </row>
    <row r="685" spans="1:100">
      <c r="A685" s="3" t="s">
        <v>1166</v>
      </c>
      <c r="B685" s="4" t="s">
        <v>1167</v>
      </c>
      <c r="C685">
        <v>236.596928234275</v>
      </c>
      <c r="D685">
        <v>36.623300798922401</v>
      </c>
      <c r="E685">
        <v>2.6960838605995199</v>
      </c>
      <c r="F685">
        <v>1.2294498475495401E-4</v>
      </c>
      <c r="G685" t="s">
        <v>4</v>
      </c>
      <c r="H685">
        <v>236.596928234275</v>
      </c>
      <c r="I685">
        <v>22.668424796765699</v>
      </c>
      <c r="J685">
        <v>3.37559909011074</v>
      </c>
      <c r="K685" s="5">
        <v>1.30566410315799E-6</v>
      </c>
      <c r="L685" t="s">
        <v>4</v>
      </c>
      <c r="M685">
        <v>36.623300798922401</v>
      </c>
      <c r="N685">
        <v>22.668424796765699</v>
      </c>
      <c r="O685">
        <v>0.67951522951122101</v>
      </c>
      <c r="P685">
        <v>0.400557641370338</v>
      </c>
      <c r="Q685" t="s">
        <v>4</v>
      </c>
      <c r="R685" s="4" t="s">
        <v>87</v>
      </c>
      <c r="S685" t="s">
        <v>4</v>
      </c>
      <c r="T685" t="s">
        <v>1168</v>
      </c>
      <c r="U685" t="s">
        <v>1169</v>
      </c>
      <c r="V685" t="s">
        <v>1170</v>
      </c>
      <c r="W685" t="s">
        <v>328</v>
      </c>
      <c r="X685" t="s">
        <v>4</v>
      </c>
      <c r="Y685" t="s">
        <v>1171</v>
      </c>
      <c r="Z685" t="s">
        <v>1172</v>
      </c>
      <c r="AA685" t="s">
        <v>1173</v>
      </c>
      <c r="AB685" t="s">
        <v>4</v>
      </c>
      <c r="AC685" s="3" t="s">
        <v>1174</v>
      </c>
      <c r="AD685" t="s">
        <v>4</v>
      </c>
      <c r="AE685" t="s">
        <v>1175</v>
      </c>
      <c r="AF685" t="s">
        <v>834</v>
      </c>
      <c r="AG685" t="s">
        <v>1176</v>
      </c>
      <c r="AH685" t="s">
        <v>112</v>
      </c>
      <c r="AJ685" t="s">
        <v>1177</v>
      </c>
      <c r="AL685" t="s">
        <v>1178</v>
      </c>
      <c r="AQ685" t="s">
        <v>641</v>
      </c>
      <c r="AR685" t="s">
        <v>1179</v>
      </c>
      <c r="AU685" t="s">
        <v>112</v>
      </c>
      <c r="AV685" t="s">
        <v>1180</v>
      </c>
      <c r="AW685" t="s">
        <v>114</v>
      </c>
      <c r="AX685" t="s">
        <v>909</v>
      </c>
      <c r="AY685" t="s">
        <v>1181</v>
      </c>
      <c r="AZ685" t="s">
        <v>4</v>
      </c>
      <c r="BA685" s="3" t="s">
        <v>95</v>
      </c>
      <c r="BB685" t="s">
        <v>96</v>
      </c>
      <c r="BC685" s="3" t="s">
        <v>95</v>
      </c>
      <c r="BD685" t="s">
        <v>4</v>
      </c>
      <c r="BE685">
        <v>6438</v>
      </c>
      <c r="BF685" t="s">
        <v>213</v>
      </c>
      <c r="BG685">
        <v>99.132300000000001</v>
      </c>
      <c r="BH685">
        <v>99.783100000000005</v>
      </c>
      <c r="BI685">
        <v>97.397000000000006</v>
      </c>
      <c r="BJ685">
        <v>72.4512</v>
      </c>
      <c r="BK685">
        <v>82.754900000000006</v>
      </c>
      <c r="BL685">
        <v>68.655100000000004</v>
      </c>
      <c r="BM685">
        <v>90.563999999999993</v>
      </c>
      <c r="BN685">
        <v>90.672499999999999</v>
      </c>
      <c r="BO685">
        <v>89.913200000000003</v>
      </c>
      <c r="BP685">
        <v>71.691999999999993</v>
      </c>
      <c r="BQ685">
        <v>63.232100000000003</v>
      </c>
      <c r="BS685">
        <v>64.316699999999997</v>
      </c>
      <c r="BT685">
        <v>49.2408</v>
      </c>
      <c r="BU685">
        <v>49.2408</v>
      </c>
      <c r="BV685" t="s">
        <v>1182</v>
      </c>
      <c r="BW685">
        <v>60.737499999999997</v>
      </c>
      <c r="BX685">
        <v>68.980500000000006</v>
      </c>
      <c r="BZ685">
        <v>35.900199999999998</v>
      </c>
      <c r="CA685">
        <v>67.895899999999997</v>
      </c>
      <c r="CB685" t="s">
        <v>1183</v>
      </c>
      <c r="CE685">
        <v>44.793900000000001</v>
      </c>
      <c r="CG685">
        <v>46.4208</v>
      </c>
      <c r="CH685">
        <v>46.4208</v>
      </c>
      <c r="CI685" t="s">
        <v>1184</v>
      </c>
      <c r="CK685">
        <v>8</v>
      </c>
      <c r="CL685" t="s">
        <v>4</v>
      </c>
      <c r="CM685" t="s">
        <v>1185</v>
      </c>
      <c r="CN685" t="s">
        <v>1186</v>
      </c>
      <c r="CO685" t="s">
        <v>99</v>
      </c>
      <c r="CP685">
        <v>126</v>
      </c>
      <c r="CQ685" t="s">
        <v>100</v>
      </c>
      <c r="CR685" t="s">
        <v>100</v>
      </c>
      <c r="CS685" t="s">
        <v>101</v>
      </c>
      <c r="CT685" t="s">
        <v>100</v>
      </c>
      <c r="CU685" t="s">
        <v>102</v>
      </c>
      <c r="CV685" t="s">
        <v>100</v>
      </c>
    </row>
    <row r="686" spans="1:100">
      <c r="A686" s="3" t="s">
        <v>1187</v>
      </c>
      <c r="B686" s="4" t="s">
        <v>1188</v>
      </c>
      <c r="C686">
        <v>129.79003969136201</v>
      </c>
      <c r="D686">
        <v>19.861619962563999</v>
      </c>
      <c r="E686">
        <v>2.69942992075678</v>
      </c>
      <c r="F686" s="5">
        <v>4.0793348462623998E-9</v>
      </c>
      <c r="G686" t="s">
        <v>4</v>
      </c>
      <c r="H686">
        <v>129.79003969136201</v>
      </c>
      <c r="I686">
        <v>23.668856120044399</v>
      </c>
      <c r="J686">
        <v>2.4105053581215099</v>
      </c>
      <c r="K686" s="5">
        <v>1.9058419852983201E-7</v>
      </c>
      <c r="L686" t="s">
        <v>4</v>
      </c>
      <c r="M686">
        <v>19.861619962563999</v>
      </c>
      <c r="N686">
        <v>23.668856120044399</v>
      </c>
      <c r="O686">
        <f>0.288924562635264</f>
        <v>0.288924562635264</v>
      </c>
      <c r="P686">
        <v>0.62970996718563799</v>
      </c>
      <c r="Q686" t="s">
        <v>4</v>
      </c>
      <c r="R686" s="4" t="s">
        <v>87</v>
      </c>
      <c r="S686" t="s">
        <v>4</v>
      </c>
      <c r="T686" t="s">
        <v>270</v>
      </c>
      <c r="U686" t="s">
        <v>271</v>
      </c>
      <c r="V686" t="s">
        <v>272</v>
      </c>
      <c r="W686" t="s">
        <v>203</v>
      </c>
      <c r="X686" t="s">
        <v>4</v>
      </c>
      <c r="Y686" t="s">
        <v>1189</v>
      </c>
      <c r="Z686" t="s">
        <v>1190</v>
      </c>
      <c r="AA686" t="s">
        <v>1191</v>
      </c>
      <c r="AB686" t="s">
        <v>4</v>
      </c>
      <c r="AC686" s="3" t="s">
        <v>1192</v>
      </c>
      <c r="AD686" t="s">
        <v>4</v>
      </c>
      <c r="AE686" t="s">
        <v>1193</v>
      </c>
      <c r="AF686" t="s">
        <v>1194</v>
      </c>
      <c r="AG686" t="s">
        <v>1195</v>
      </c>
      <c r="AH686" t="s">
        <v>112</v>
      </c>
      <c r="AU686" t="s">
        <v>112</v>
      </c>
      <c r="AV686" t="s">
        <v>1196</v>
      </c>
      <c r="AW686" t="s">
        <v>114</v>
      </c>
      <c r="AX686" t="s">
        <v>132</v>
      </c>
      <c r="AY686" t="s">
        <v>1197</v>
      </c>
      <c r="AZ686" t="s">
        <v>4</v>
      </c>
      <c r="BA686" s="3" t="s">
        <v>95</v>
      </c>
      <c r="BB686" s="6" t="s">
        <v>95</v>
      </c>
      <c r="BC686" s="3" t="s">
        <v>95</v>
      </c>
      <c r="BD686" t="s">
        <v>4</v>
      </c>
      <c r="BE686">
        <v>3491</v>
      </c>
      <c r="BF686" t="s">
        <v>112</v>
      </c>
      <c r="BG686">
        <v>86.176500000000004</v>
      </c>
      <c r="BH686">
        <v>52.941200000000002</v>
      </c>
      <c r="BI686">
        <v>30</v>
      </c>
      <c r="BJ686">
        <v>88.823499999999996</v>
      </c>
      <c r="BK686">
        <v>79.7059</v>
      </c>
      <c r="BP686">
        <v>67.058800000000005</v>
      </c>
      <c r="BR686">
        <v>59.7059</v>
      </c>
      <c r="BS686">
        <v>55.882399999999997</v>
      </c>
      <c r="BV686" t="s">
        <v>1198</v>
      </c>
      <c r="BX686">
        <v>36.470599999999997</v>
      </c>
      <c r="BZ686">
        <v>37.941200000000002</v>
      </c>
      <c r="CK686">
        <v>5</v>
      </c>
      <c r="CL686" t="s">
        <v>4</v>
      </c>
      <c r="CM686" t="s">
        <v>98</v>
      </c>
      <c r="CN686" t="s">
        <v>98</v>
      </c>
      <c r="CO686" t="s">
        <v>99</v>
      </c>
      <c r="CP686">
        <v>127</v>
      </c>
      <c r="CQ686" t="s">
        <v>100</v>
      </c>
      <c r="CR686" t="s">
        <v>100</v>
      </c>
      <c r="CS686" t="s">
        <v>101</v>
      </c>
      <c r="CT686" t="s">
        <v>100</v>
      </c>
      <c r="CU686" t="s">
        <v>102</v>
      </c>
      <c r="CV686" t="s">
        <v>100</v>
      </c>
    </row>
    <row r="687" spans="1:100">
      <c r="A687" s="3" t="s">
        <v>1199</v>
      </c>
      <c r="B687" s="4" t="s">
        <v>1200</v>
      </c>
      <c r="C687">
        <v>2463.99103318469</v>
      </c>
      <c r="D687">
        <v>228.73806268492601</v>
      </c>
      <c r="E687">
        <v>3.4279688581424401</v>
      </c>
      <c r="F687" s="5">
        <v>2.7083727554202802E-40</v>
      </c>
      <c r="G687" t="s">
        <v>4</v>
      </c>
      <c r="H687">
        <v>2463.99103318469</v>
      </c>
      <c r="I687">
        <v>241.866841929586</v>
      </c>
      <c r="J687">
        <v>3.3385104136643302</v>
      </c>
      <c r="K687" s="5">
        <v>1.4712360370215299E-38</v>
      </c>
      <c r="L687" t="s">
        <v>4</v>
      </c>
      <c r="M687">
        <v>228.73806268492601</v>
      </c>
      <c r="N687">
        <v>241.866841929586</v>
      </c>
      <c r="O687">
        <f>0.0894584444781095</f>
        <v>8.9458444478109495E-2</v>
      </c>
      <c r="P687">
        <v>0.79505004960984005</v>
      </c>
      <c r="Q687" t="s">
        <v>4</v>
      </c>
      <c r="R687" s="4" t="s">
        <v>87</v>
      </c>
      <c r="S687" t="s">
        <v>4</v>
      </c>
      <c r="T687" t="s">
        <v>1201</v>
      </c>
      <c r="U687" t="s">
        <v>1202</v>
      </c>
      <c r="V687" t="s">
        <v>1203</v>
      </c>
      <c r="W687" t="s">
        <v>123</v>
      </c>
      <c r="X687" t="s">
        <v>4</v>
      </c>
      <c r="Y687" t="s">
        <v>1204</v>
      </c>
      <c r="Z687" t="s">
        <v>1205</v>
      </c>
      <c r="AA687" t="s">
        <v>1206</v>
      </c>
      <c r="AB687" t="s">
        <v>4</v>
      </c>
      <c r="AC687" s="3" t="s">
        <v>1207</v>
      </c>
      <c r="AD687" t="s">
        <v>4</v>
      </c>
      <c r="AE687" t="s">
        <v>1208</v>
      </c>
      <c r="AF687" t="s">
        <v>1209</v>
      </c>
      <c r="AG687" t="s">
        <v>1210</v>
      </c>
      <c r="AH687" t="s">
        <v>112</v>
      </c>
      <c r="AJ687" t="s">
        <v>1211</v>
      </c>
      <c r="AU687" t="s">
        <v>112</v>
      </c>
      <c r="AV687" t="s">
        <v>1212</v>
      </c>
      <c r="AW687" t="s">
        <v>114</v>
      </c>
      <c r="AX687" t="s">
        <v>371</v>
      </c>
      <c r="AY687" t="s">
        <v>1213</v>
      </c>
      <c r="AZ687" t="s">
        <v>4</v>
      </c>
      <c r="BA687" s="3" t="s">
        <v>115</v>
      </c>
      <c r="BB687" s="6" t="s">
        <v>95</v>
      </c>
      <c r="BC687" s="3" t="s">
        <v>95</v>
      </c>
      <c r="BD687" t="s">
        <v>4</v>
      </c>
      <c r="BE687">
        <v>3505</v>
      </c>
      <c r="BF687" t="s">
        <v>112</v>
      </c>
      <c r="BG687">
        <v>96.428600000000003</v>
      </c>
      <c r="BI687">
        <v>92.857100000000003</v>
      </c>
      <c r="BJ687">
        <v>85.044600000000003</v>
      </c>
      <c r="BK687">
        <v>81.25</v>
      </c>
      <c r="BM687">
        <v>82.142899999999997</v>
      </c>
      <c r="BN687">
        <v>82.142899999999997</v>
      </c>
      <c r="BO687">
        <v>81.919600000000003</v>
      </c>
      <c r="BP687">
        <v>46.875</v>
      </c>
      <c r="BX687">
        <v>27.232099999999999</v>
      </c>
      <c r="BY687">
        <v>25.446400000000001</v>
      </c>
      <c r="BZ687">
        <v>16.294599999999999</v>
      </c>
      <c r="CA687">
        <v>26.339300000000001</v>
      </c>
      <c r="CG687" t="s">
        <v>1214</v>
      </c>
      <c r="CH687" t="s">
        <v>1215</v>
      </c>
      <c r="CI687">
        <v>9.5982099999999999</v>
      </c>
      <c r="CK687">
        <v>5</v>
      </c>
      <c r="CL687" t="s">
        <v>4</v>
      </c>
      <c r="CM687" t="s">
        <v>1216</v>
      </c>
      <c r="CN687" t="s">
        <v>1217</v>
      </c>
      <c r="CO687" t="s">
        <v>1218</v>
      </c>
      <c r="CP687">
        <v>128</v>
      </c>
      <c r="CQ687" t="s">
        <v>100</v>
      </c>
      <c r="CR687" t="s">
        <v>100</v>
      </c>
      <c r="CS687" t="s">
        <v>101</v>
      </c>
      <c r="CT687" t="s">
        <v>100</v>
      </c>
      <c r="CU687" t="s">
        <v>102</v>
      </c>
      <c r="CV687" t="s">
        <v>100</v>
      </c>
    </row>
    <row r="688" spans="1:100">
      <c r="A688" s="3" t="s">
        <v>1219</v>
      </c>
      <c r="B688" s="4" t="s">
        <v>1220</v>
      </c>
      <c r="C688">
        <v>50.112206093066</v>
      </c>
      <c r="D688">
        <v>9.6357059576390292</v>
      </c>
      <c r="E688">
        <v>2.37130455487062</v>
      </c>
      <c r="F688">
        <v>3.4049436046830199E-3</v>
      </c>
      <c r="G688" t="s">
        <v>4</v>
      </c>
      <c r="H688">
        <v>50.112206093066</v>
      </c>
      <c r="I688">
        <v>10.5590369070053</v>
      </c>
      <c r="J688">
        <v>2.24191231709997</v>
      </c>
      <c r="K688">
        <v>5.5056919843727197E-3</v>
      </c>
      <c r="L688" t="s">
        <v>4</v>
      </c>
      <c r="M688">
        <v>9.6357059576390292</v>
      </c>
      <c r="N688">
        <v>10.5590369070053</v>
      </c>
      <c r="O688">
        <f>0.129392237770647</f>
        <v>0.12939223777064701</v>
      </c>
      <c r="P688">
        <v>0.90659060720460505</v>
      </c>
      <c r="Q688" t="s">
        <v>4</v>
      </c>
      <c r="R688" s="4" t="s">
        <v>87</v>
      </c>
      <c r="S688" t="s">
        <v>4</v>
      </c>
      <c r="T688" t="s">
        <v>92</v>
      </c>
      <c r="U688" t="s">
        <v>92</v>
      </c>
      <c r="V688" t="s">
        <v>92</v>
      </c>
      <c r="W688" t="s">
        <v>92</v>
      </c>
      <c r="X688" t="s">
        <v>4</v>
      </c>
      <c r="Y688" t="s">
        <v>92</v>
      </c>
      <c r="Z688" t="s">
        <v>92</v>
      </c>
      <c r="AA688" t="s">
        <v>92</v>
      </c>
      <c r="AB688" t="s">
        <v>4</v>
      </c>
      <c r="AC688" s="3" t="s">
        <v>93</v>
      </c>
      <c r="AD688" t="s">
        <v>4</v>
      </c>
      <c r="AE688" s="4" t="s">
        <v>94</v>
      </c>
      <c r="AZ688" t="s">
        <v>4</v>
      </c>
      <c r="BA688" s="3" t="s">
        <v>95</v>
      </c>
      <c r="BB688" s="6" t="s">
        <v>95</v>
      </c>
      <c r="BC688" s="3" t="s">
        <v>95</v>
      </c>
      <c r="BD688" t="s">
        <v>4</v>
      </c>
      <c r="BE688">
        <v>5296</v>
      </c>
      <c r="BF688" t="s">
        <v>386</v>
      </c>
      <c r="CK688">
        <v>7</v>
      </c>
      <c r="CL688" t="s">
        <v>4</v>
      </c>
      <c r="CM688" t="s">
        <v>98</v>
      </c>
      <c r="CN688" t="s">
        <v>98</v>
      </c>
      <c r="CO688" t="s">
        <v>99</v>
      </c>
      <c r="CP688">
        <v>129</v>
      </c>
      <c r="CQ688" t="s">
        <v>100</v>
      </c>
      <c r="CR688" t="s">
        <v>100</v>
      </c>
      <c r="CS688" t="s">
        <v>101</v>
      </c>
      <c r="CT688" t="s">
        <v>100</v>
      </c>
      <c r="CU688" t="s">
        <v>102</v>
      </c>
      <c r="CV688" t="s">
        <v>100</v>
      </c>
    </row>
    <row r="689" spans="1:100">
      <c r="A689" s="3" t="s">
        <v>1221</v>
      </c>
      <c r="B689" s="4" t="s">
        <v>1222</v>
      </c>
      <c r="C689">
        <v>286.44647045076999</v>
      </c>
      <c r="D689">
        <v>68.529309110444203</v>
      </c>
      <c r="E689">
        <v>2.06392558575762</v>
      </c>
      <c r="F689" s="5">
        <v>6.5549003866001102E-7</v>
      </c>
      <c r="G689" t="s">
        <v>4</v>
      </c>
      <c r="H689">
        <v>286.44647045076999</v>
      </c>
      <c r="I689">
        <v>40.4864299489521</v>
      </c>
      <c r="J689">
        <v>2.80772675602935</v>
      </c>
      <c r="K689" s="5">
        <v>2.30255058866054E-11</v>
      </c>
      <c r="L689" t="s">
        <v>4</v>
      </c>
      <c r="M689">
        <v>68.529309110444203</v>
      </c>
      <c r="N689">
        <v>40.4864299489521</v>
      </c>
      <c r="O689">
        <v>0.74380117027173398</v>
      </c>
      <c r="P689">
        <v>0.11171132043199899</v>
      </c>
      <c r="Q689" t="s">
        <v>4</v>
      </c>
      <c r="R689" s="4" t="s">
        <v>87</v>
      </c>
      <c r="S689" t="s">
        <v>4</v>
      </c>
      <c r="T689" t="s">
        <v>1223</v>
      </c>
      <c r="U689" t="s">
        <v>1224</v>
      </c>
      <c r="V689" t="s">
        <v>1225</v>
      </c>
      <c r="W689" t="s">
        <v>123</v>
      </c>
      <c r="X689" t="s">
        <v>4</v>
      </c>
      <c r="Y689" t="s">
        <v>1226</v>
      </c>
      <c r="Z689" t="s">
        <v>1227</v>
      </c>
      <c r="AA689" t="s">
        <v>1228</v>
      </c>
      <c r="AB689" t="s">
        <v>4</v>
      </c>
      <c r="AC689" s="3" t="s">
        <v>1229</v>
      </c>
      <c r="AD689" t="s">
        <v>4</v>
      </c>
      <c r="AE689" t="s">
        <v>1230</v>
      </c>
      <c r="AF689" t="s">
        <v>1231</v>
      </c>
      <c r="AG689" t="s">
        <v>1232</v>
      </c>
      <c r="AH689" t="s">
        <v>112</v>
      </c>
      <c r="AU689" t="s">
        <v>112</v>
      </c>
      <c r="AV689" t="s">
        <v>1233</v>
      </c>
      <c r="AW689" t="s">
        <v>114</v>
      </c>
      <c r="AX689" t="s">
        <v>536</v>
      </c>
      <c r="AY689" t="s">
        <v>145</v>
      </c>
      <c r="AZ689" t="s">
        <v>4</v>
      </c>
      <c r="BA689" s="3" t="s">
        <v>95</v>
      </c>
      <c r="BB689" s="6" t="s">
        <v>95</v>
      </c>
      <c r="BC689" s="3" t="s">
        <v>197</v>
      </c>
      <c r="BD689" t="s">
        <v>4</v>
      </c>
      <c r="BE689">
        <v>3519</v>
      </c>
      <c r="BF689" t="s">
        <v>112</v>
      </c>
      <c r="BG689">
        <v>79.049700000000001</v>
      </c>
      <c r="BH689">
        <v>99.784000000000006</v>
      </c>
      <c r="BI689">
        <v>92.872600000000006</v>
      </c>
      <c r="BJ689">
        <v>75.162000000000006</v>
      </c>
      <c r="BK689">
        <v>66.090699999999998</v>
      </c>
      <c r="BL689">
        <v>13.3909</v>
      </c>
      <c r="BN689" t="s">
        <v>1234</v>
      </c>
      <c r="BO689">
        <v>66.306700000000006</v>
      </c>
      <c r="BP689">
        <v>31.5335</v>
      </c>
      <c r="BQ689">
        <v>31.5335</v>
      </c>
      <c r="BR689">
        <v>33.261299999999999</v>
      </c>
      <c r="BS689">
        <v>36.2851</v>
      </c>
      <c r="BT689">
        <v>23.542100000000001</v>
      </c>
      <c r="BU689">
        <v>30.2376</v>
      </c>
      <c r="BV689" t="s">
        <v>1235</v>
      </c>
      <c r="BW689">
        <v>36.501100000000001</v>
      </c>
      <c r="BY689">
        <v>30.453600000000002</v>
      </c>
      <c r="BZ689">
        <v>34.125300000000003</v>
      </c>
      <c r="CA689">
        <v>35.637099999999997</v>
      </c>
      <c r="CG689" t="s">
        <v>1236</v>
      </c>
      <c r="CH689" t="s">
        <v>1237</v>
      </c>
      <c r="CI689" t="s">
        <v>1236</v>
      </c>
      <c r="CK689">
        <v>5</v>
      </c>
      <c r="CL689" t="s">
        <v>4</v>
      </c>
      <c r="CM689" t="s">
        <v>1238</v>
      </c>
      <c r="CN689" t="s">
        <v>1239</v>
      </c>
      <c r="CO689" t="s">
        <v>99</v>
      </c>
      <c r="CP689">
        <v>130</v>
      </c>
      <c r="CQ689" t="s">
        <v>100</v>
      </c>
      <c r="CR689" t="s">
        <v>100</v>
      </c>
      <c r="CS689" t="s">
        <v>101</v>
      </c>
      <c r="CT689" t="s">
        <v>100</v>
      </c>
      <c r="CU689" t="s">
        <v>102</v>
      </c>
      <c r="CV689" t="s">
        <v>100</v>
      </c>
    </row>
    <row r="690" spans="1:100">
      <c r="A690" s="3" t="s">
        <v>1240</v>
      </c>
      <c r="B690" s="4" t="s">
        <v>1241</v>
      </c>
      <c r="C690">
        <v>90.374216489829806</v>
      </c>
      <c r="D690">
        <v>20.515190219688201</v>
      </c>
      <c r="E690">
        <v>2.1454132609385299</v>
      </c>
      <c r="F690">
        <v>6.6941137539015304E-3</v>
      </c>
      <c r="G690" t="s">
        <v>4</v>
      </c>
      <c r="H690">
        <v>90.374216489829806</v>
      </c>
      <c r="I690">
        <v>10.106509271240901</v>
      </c>
      <c r="J690">
        <v>3.1371619286732799</v>
      </c>
      <c r="K690" s="5">
        <v>8.8744937751715204E-5</v>
      </c>
      <c r="L690" t="s">
        <v>4</v>
      </c>
      <c r="M690">
        <v>20.515190219688201</v>
      </c>
      <c r="N690">
        <v>10.106509271240901</v>
      </c>
      <c r="O690">
        <v>0.99174866773474302</v>
      </c>
      <c r="P690">
        <v>0.268325655198214</v>
      </c>
      <c r="Q690" t="s">
        <v>4</v>
      </c>
      <c r="R690" s="4" t="s">
        <v>87</v>
      </c>
      <c r="S690" t="s">
        <v>4</v>
      </c>
      <c r="T690" t="s">
        <v>1242</v>
      </c>
      <c r="U690" t="s">
        <v>1243</v>
      </c>
      <c r="V690" t="s">
        <v>1244</v>
      </c>
      <c r="W690" t="s">
        <v>203</v>
      </c>
      <c r="X690" t="s">
        <v>4</v>
      </c>
      <c r="Y690" t="s">
        <v>1245</v>
      </c>
      <c r="Z690" t="s">
        <v>1246</v>
      </c>
      <c r="AA690" t="s">
        <v>1247</v>
      </c>
      <c r="AB690" t="s">
        <v>4</v>
      </c>
      <c r="AC690" s="3" t="s">
        <v>1248</v>
      </c>
      <c r="AD690" t="s">
        <v>4</v>
      </c>
      <c r="AE690" t="s">
        <v>1249</v>
      </c>
      <c r="AF690" t="s">
        <v>834</v>
      </c>
      <c r="AG690" t="s">
        <v>1250</v>
      </c>
      <c r="AH690" t="s">
        <v>638</v>
      </c>
      <c r="AU690" t="s">
        <v>112</v>
      </c>
      <c r="AV690" t="s">
        <v>1251</v>
      </c>
      <c r="AW690" t="s">
        <v>114</v>
      </c>
      <c r="AX690" t="s">
        <v>536</v>
      </c>
      <c r="AY690" t="s">
        <v>1252</v>
      </c>
      <c r="AZ690" t="s">
        <v>4</v>
      </c>
      <c r="BA690" s="3" t="s">
        <v>95</v>
      </c>
      <c r="BB690" t="s">
        <v>96</v>
      </c>
      <c r="BC690" s="3" t="s">
        <v>95</v>
      </c>
      <c r="BD690" t="s">
        <v>4</v>
      </c>
      <c r="BE690">
        <v>4875</v>
      </c>
      <c r="BF690" t="s">
        <v>282</v>
      </c>
      <c r="BG690">
        <v>94.625200000000007</v>
      </c>
      <c r="BH690">
        <v>35.29</v>
      </c>
      <c r="BI690">
        <v>88.472399999999993</v>
      </c>
      <c r="BJ690" t="s">
        <v>1253</v>
      </c>
      <c r="BK690">
        <v>53.6068</v>
      </c>
      <c r="BP690">
        <v>58.769399999999997</v>
      </c>
      <c r="BQ690">
        <v>52.8996</v>
      </c>
      <c r="BR690">
        <v>56.435600000000001</v>
      </c>
      <c r="BS690">
        <v>7.9915099999999999</v>
      </c>
      <c r="BT690">
        <v>35.643599999999999</v>
      </c>
      <c r="BW690">
        <v>53.6068</v>
      </c>
      <c r="BX690">
        <v>57.001399999999997</v>
      </c>
      <c r="BY690">
        <v>55.162700000000001</v>
      </c>
      <c r="BZ690">
        <v>51.555900000000001</v>
      </c>
      <c r="CA690">
        <v>56.577100000000002</v>
      </c>
      <c r="CD690">
        <v>24.4696</v>
      </c>
      <c r="CG690" t="s">
        <v>1254</v>
      </c>
      <c r="CH690" t="s">
        <v>1255</v>
      </c>
      <c r="CI690" t="s">
        <v>1256</v>
      </c>
      <c r="CK690">
        <v>6</v>
      </c>
      <c r="CL690" t="s">
        <v>4</v>
      </c>
      <c r="CM690" t="s">
        <v>1257</v>
      </c>
      <c r="CN690" t="s">
        <v>1258</v>
      </c>
      <c r="CO690" t="s">
        <v>99</v>
      </c>
      <c r="CP690">
        <v>131</v>
      </c>
      <c r="CQ690" t="s">
        <v>100</v>
      </c>
      <c r="CR690" t="s">
        <v>100</v>
      </c>
      <c r="CS690" t="s">
        <v>101</v>
      </c>
      <c r="CT690" t="s">
        <v>100</v>
      </c>
      <c r="CU690" t="s">
        <v>102</v>
      </c>
      <c r="CV690" t="s">
        <v>100</v>
      </c>
    </row>
    <row r="691" spans="1:100">
      <c r="A691" s="3" t="s">
        <v>1259</v>
      </c>
      <c r="B691" s="4" t="s">
        <v>1260</v>
      </c>
      <c r="C691">
        <v>43.048400093175502</v>
      </c>
      <c r="D691">
        <v>8.7877812482139905</v>
      </c>
      <c r="E691">
        <v>2.3011926532982301</v>
      </c>
      <c r="F691">
        <v>8.5268514865931306E-3</v>
      </c>
      <c r="G691" t="s">
        <v>4</v>
      </c>
      <c r="H691">
        <v>43.048400093175502</v>
      </c>
      <c r="I691">
        <v>8.1338270847156604</v>
      </c>
      <c r="J691">
        <v>2.3921937445466401</v>
      </c>
      <c r="K691">
        <v>6.4540054995824003E-3</v>
      </c>
      <c r="L691" t="s">
        <v>4</v>
      </c>
      <c r="M691">
        <v>8.7877812482139905</v>
      </c>
      <c r="N691">
        <v>8.1338270847156604</v>
      </c>
      <c r="O691">
        <v>9.1001091248407301E-2</v>
      </c>
      <c r="P691">
        <v>0.94091698502700705</v>
      </c>
      <c r="Q691" t="s">
        <v>4</v>
      </c>
      <c r="R691" s="4" t="s">
        <v>87</v>
      </c>
      <c r="S691" t="s">
        <v>4</v>
      </c>
      <c r="T691" t="s">
        <v>1261</v>
      </c>
      <c r="U691" t="s">
        <v>1262</v>
      </c>
      <c r="V691" t="s">
        <v>1263</v>
      </c>
      <c r="W691" t="s">
        <v>328</v>
      </c>
      <c r="X691" t="s">
        <v>4</v>
      </c>
      <c r="Y691" t="s">
        <v>1264</v>
      </c>
      <c r="Z691" t="s">
        <v>1265</v>
      </c>
      <c r="AA691" t="s">
        <v>1266</v>
      </c>
      <c r="AB691" t="s">
        <v>4</v>
      </c>
      <c r="AC691" s="3" t="s">
        <v>1267</v>
      </c>
      <c r="AD691" t="s">
        <v>4</v>
      </c>
      <c r="AE691" t="s">
        <v>1268</v>
      </c>
      <c r="AF691" t="s">
        <v>1269</v>
      </c>
      <c r="AG691" t="s">
        <v>1270</v>
      </c>
      <c r="AH691" t="s">
        <v>112</v>
      </c>
      <c r="AJ691" t="s">
        <v>1271</v>
      </c>
      <c r="AL691" t="s">
        <v>1272</v>
      </c>
      <c r="AQ691" t="s">
        <v>1273</v>
      </c>
      <c r="AU691" t="s">
        <v>112</v>
      </c>
      <c r="AV691" t="s">
        <v>1274</v>
      </c>
      <c r="AW691" t="s">
        <v>114</v>
      </c>
      <c r="AX691" t="s">
        <v>371</v>
      </c>
      <c r="AY691" t="s">
        <v>1275</v>
      </c>
      <c r="AZ691" t="s">
        <v>4</v>
      </c>
      <c r="BA691" s="3" t="s">
        <v>95</v>
      </c>
      <c r="BB691" s="6" t="s">
        <v>95</v>
      </c>
      <c r="BC691" s="3" t="s">
        <v>95</v>
      </c>
      <c r="BD691" t="s">
        <v>4</v>
      </c>
      <c r="BE691">
        <v>3524</v>
      </c>
      <c r="BF691" t="s">
        <v>112</v>
      </c>
      <c r="BI691">
        <v>71.535600000000002</v>
      </c>
      <c r="BJ691">
        <v>63.295900000000003</v>
      </c>
      <c r="BM691">
        <v>60.299599999999998</v>
      </c>
      <c r="BN691">
        <v>64.793999999999997</v>
      </c>
      <c r="BO691">
        <v>74.157300000000006</v>
      </c>
      <c r="BP691">
        <v>35.206000000000003</v>
      </c>
      <c r="BQ691">
        <v>25.842700000000001</v>
      </c>
      <c r="BR691">
        <v>28.838999999999999</v>
      </c>
      <c r="BS691">
        <v>25.093599999999999</v>
      </c>
      <c r="BV691" t="s">
        <v>1276</v>
      </c>
      <c r="CA691">
        <v>26.217199999999998</v>
      </c>
      <c r="CK691">
        <v>5</v>
      </c>
      <c r="CL691" t="s">
        <v>4</v>
      </c>
      <c r="CM691" t="s">
        <v>1277</v>
      </c>
      <c r="CN691" t="s">
        <v>1278</v>
      </c>
      <c r="CO691" t="s">
        <v>99</v>
      </c>
      <c r="CP691">
        <v>132</v>
      </c>
      <c r="CQ691" t="s">
        <v>100</v>
      </c>
      <c r="CR691" t="s">
        <v>100</v>
      </c>
      <c r="CS691" t="s">
        <v>101</v>
      </c>
      <c r="CT691" t="s">
        <v>100</v>
      </c>
      <c r="CU691" t="s">
        <v>102</v>
      </c>
      <c r="CV691" t="s">
        <v>100</v>
      </c>
    </row>
    <row r="692" spans="1:100">
      <c r="A692" s="3" t="s">
        <v>1279</v>
      </c>
      <c r="B692" s="4" t="s">
        <v>1280</v>
      </c>
      <c r="C692">
        <v>133.22661910504701</v>
      </c>
      <c r="D692">
        <v>15.736409835820901</v>
      </c>
      <c r="E692">
        <v>3.08132756749146</v>
      </c>
      <c r="F692">
        <v>1.30688154027581E-3</v>
      </c>
      <c r="G692" t="s">
        <v>4</v>
      </c>
      <c r="H692">
        <v>133.22661910504701</v>
      </c>
      <c r="I692">
        <v>12.8661701694583</v>
      </c>
      <c r="J692">
        <v>3.3962943284898</v>
      </c>
      <c r="K692">
        <v>3.5474595044699601E-4</v>
      </c>
      <c r="L692" t="s">
        <v>4</v>
      </c>
      <c r="M692">
        <v>15.736409835820901</v>
      </c>
      <c r="N692">
        <v>12.8661701694583</v>
      </c>
      <c r="O692">
        <v>0.31496676099833498</v>
      </c>
      <c r="P692">
        <v>0.79458999731999902</v>
      </c>
      <c r="Q692" t="s">
        <v>4</v>
      </c>
      <c r="R692" s="4" t="s">
        <v>87</v>
      </c>
      <c r="S692" t="s">
        <v>4</v>
      </c>
      <c r="T692" t="s">
        <v>1281</v>
      </c>
      <c r="U692" t="s">
        <v>1282</v>
      </c>
      <c r="V692" t="s">
        <v>1283</v>
      </c>
      <c r="W692" t="s">
        <v>976</v>
      </c>
      <c r="X692" t="s">
        <v>4</v>
      </c>
      <c r="Y692" t="s">
        <v>977</v>
      </c>
      <c r="Z692" t="s">
        <v>978</v>
      </c>
      <c r="AA692" t="s">
        <v>979</v>
      </c>
      <c r="AB692" t="s">
        <v>4</v>
      </c>
      <c r="AC692" s="3" t="s">
        <v>1284</v>
      </c>
      <c r="AD692" t="s">
        <v>4</v>
      </c>
      <c r="AE692" t="s">
        <v>1285</v>
      </c>
      <c r="AF692" t="s">
        <v>834</v>
      </c>
      <c r="AG692" t="s">
        <v>1286</v>
      </c>
      <c r="AH692" t="s">
        <v>112</v>
      </c>
      <c r="AI692" t="s">
        <v>1287</v>
      </c>
      <c r="AJ692" t="s">
        <v>1288</v>
      </c>
      <c r="AU692" t="s">
        <v>112</v>
      </c>
      <c r="AV692" t="s">
        <v>1289</v>
      </c>
      <c r="AW692" t="s">
        <v>114</v>
      </c>
      <c r="AX692" t="s">
        <v>144</v>
      </c>
      <c r="AY692" t="s">
        <v>1290</v>
      </c>
      <c r="AZ692" t="s">
        <v>4</v>
      </c>
      <c r="BA692" s="3" t="s">
        <v>95</v>
      </c>
      <c r="BB692" t="s">
        <v>96</v>
      </c>
      <c r="BC692" s="3" t="s">
        <v>95</v>
      </c>
      <c r="BD692" t="s">
        <v>4</v>
      </c>
      <c r="BE692">
        <v>4879</v>
      </c>
      <c r="BF692" t="s">
        <v>282</v>
      </c>
      <c r="BG692">
        <v>95.838200000000001</v>
      </c>
      <c r="BH692">
        <v>96.763000000000005</v>
      </c>
      <c r="BI692">
        <v>91.676299999999998</v>
      </c>
      <c r="BJ692">
        <v>86.589600000000004</v>
      </c>
      <c r="BK692">
        <v>78.843900000000005</v>
      </c>
      <c r="BL692" t="s">
        <v>1291</v>
      </c>
      <c r="BM692">
        <v>5.5491299999999999</v>
      </c>
      <c r="BN692">
        <v>7.1676299999999999</v>
      </c>
      <c r="BP692" t="s">
        <v>1292</v>
      </c>
      <c r="BQ692">
        <v>52.601199999999999</v>
      </c>
      <c r="BR692">
        <v>57.341000000000001</v>
      </c>
      <c r="BS692">
        <v>58.034700000000001</v>
      </c>
      <c r="BT692">
        <v>52.601199999999999</v>
      </c>
      <c r="BU692">
        <v>46.705199999999998</v>
      </c>
      <c r="BV692" t="s">
        <v>1293</v>
      </c>
      <c r="BW692">
        <v>58.381500000000003</v>
      </c>
      <c r="BY692" t="s">
        <v>1294</v>
      </c>
      <c r="BZ692">
        <v>56.185000000000002</v>
      </c>
      <c r="CA692">
        <v>56.878599999999999</v>
      </c>
      <c r="CD692">
        <v>33.757199999999997</v>
      </c>
      <c r="CK692">
        <v>6</v>
      </c>
      <c r="CL692" t="s">
        <v>4</v>
      </c>
      <c r="CM692" t="s">
        <v>1295</v>
      </c>
      <c r="CN692" t="s">
        <v>1296</v>
      </c>
      <c r="CO692" t="s">
        <v>99</v>
      </c>
      <c r="CP692">
        <v>133</v>
      </c>
      <c r="CQ692" t="s">
        <v>100</v>
      </c>
      <c r="CR692" t="s">
        <v>100</v>
      </c>
      <c r="CS692" t="s">
        <v>101</v>
      </c>
      <c r="CT692" t="s">
        <v>100</v>
      </c>
      <c r="CU692" t="s">
        <v>102</v>
      </c>
      <c r="CV692" t="s">
        <v>100</v>
      </c>
    </row>
    <row r="693" spans="1:100">
      <c r="A693" s="3" t="s">
        <v>1297</v>
      </c>
      <c r="B693" s="4" t="s">
        <v>1298</v>
      </c>
      <c r="C693">
        <v>109.46840353206601</v>
      </c>
      <c r="D693">
        <v>20.187513710584199</v>
      </c>
      <c r="E693">
        <v>2.4421084254805101</v>
      </c>
      <c r="F693">
        <v>1.10362516289988E-3</v>
      </c>
      <c r="G693" t="s">
        <v>4</v>
      </c>
      <c r="H693">
        <v>109.46840353206601</v>
      </c>
      <c r="I693">
        <v>8.6383457280185194</v>
      </c>
      <c r="J693">
        <v>3.5686892158753398</v>
      </c>
      <c r="K693" s="5">
        <v>3.68927929278047E-6</v>
      </c>
      <c r="L693" t="s">
        <v>4</v>
      </c>
      <c r="M693">
        <v>20.187513710584199</v>
      </c>
      <c r="N693">
        <v>8.6383457280185194</v>
      </c>
      <c r="O693">
        <v>1.1265807903948299</v>
      </c>
      <c r="P693">
        <v>0.19055982645761299</v>
      </c>
      <c r="Q693" t="s">
        <v>4</v>
      </c>
      <c r="R693" s="4" t="s">
        <v>87</v>
      </c>
      <c r="S693" t="s">
        <v>4</v>
      </c>
      <c r="T693" t="s">
        <v>92</v>
      </c>
      <c r="U693" t="s">
        <v>92</v>
      </c>
      <c r="V693" t="s">
        <v>92</v>
      </c>
      <c r="W693" t="s">
        <v>92</v>
      </c>
      <c r="X693" t="s">
        <v>4</v>
      </c>
      <c r="Y693" t="s">
        <v>1299</v>
      </c>
      <c r="Z693" t="s">
        <v>1300</v>
      </c>
      <c r="AA693" t="s">
        <v>1301</v>
      </c>
      <c r="AB693" t="s">
        <v>4</v>
      </c>
      <c r="AC693" s="3" t="s">
        <v>1302</v>
      </c>
      <c r="AD693" t="s">
        <v>4</v>
      </c>
      <c r="AE693" t="s">
        <v>1303</v>
      </c>
      <c r="AF693" t="s">
        <v>1304</v>
      </c>
      <c r="AG693" t="s">
        <v>1305</v>
      </c>
      <c r="AH693" t="s">
        <v>638</v>
      </c>
      <c r="AJ693" t="s">
        <v>1306</v>
      </c>
      <c r="AU693" t="s">
        <v>112</v>
      </c>
      <c r="AV693" t="s">
        <v>1307</v>
      </c>
      <c r="AW693" t="s">
        <v>114</v>
      </c>
      <c r="AX693" t="s">
        <v>1308</v>
      </c>
      <c r="AY693" t="s">
        <v>1309</v>
      </c>
      <c r="AZ693" t="s">
        <v>4</v>
      </c>
      <c r="BA693" s="3" t="s">
        <v>95</v>
      </c>
      <c r="BB693" s="6" t="s">
        <v>95</v>
      </c>
      <c r="BC693" s="3" t="s">
        <v>95</v>
      </c>
      <c r="BD693" t="s">
        <v>4</v>
      </c>
      <c r="BE693">
        <v>1139</v>
      </c>
      <c r="BF693" t="s">
        <v>151</v>
      </c>
      <c r="CK693">
        <v>2</v>
      </c>
      <c r="CL693" t="s">
        <v>4</v>
      </c>
      <c r="CM693" t="s">
        <v>98</v>
      </c>
      <c r="CN693" t="s">
        <v>98</v>
      </c>
      <c r="CO693" t="s">
        <v>99</v>
      </c>
      <c r="CP693">
        <v>134</v>
      </c>
      <c r="CQ693" t="s">
        <v>100</v>
      </c>
      <c r="CR693" t="s">
        <v>100</v>
      </c>
      <c r="CS693" t="s">
        <v>101</v>
      </c>
      <c r="CT693" t="s">
        <v>100</v>
      </c>
      <c r="CU693" t="s">
        <v>102</v>
      </c>
      <c r="CV693" t="s">
        <v>100</v>
      </c>
    </row>
    <row r="694" spans="1:100">
      <c r="A694" s="3" t="s">
        <v>1310</v>
      </c>
      <c r="B694" s="4" t="s">
        <v>1311</v>
      </c>
      <c r="C694">
        <v>47.925812675695198</v>
      </c>
      <c r="D694">
        <v>7.1761412491865402</v>
      </c>
      <c r="E694">
        <v>2.7505414478275201</v>
      </c>
      <c r="F694">
        <v>3.9983102951514299E-3</v>
      </c>
      <c r="G694" t="s">
        <v>4</v>
      </c>
      <c r="H694">
        <v>47.925812675695198</v>
      </c>
      <c r="I694">
        <v>6.8038739324884903</v>
      </c>
      <c r="J694">
        <v>2.84836419947078</v>
      </c>
      <c r="K694">
        <v>3.05627681879953E-3</v>
      </c>
      <c r="L694" t="s">
        <v>4</v>
      </c>
      <c r="M694">
        <v>7.1761412491865402</v>
      </c>
      <c r="N694">
        <v>6.8038739324884903</v>
      </c>
      <c r="O694">
        <v>9.7822751643262998E-2</v>
      </c>
      <c r="P694">
        <v>0.94226566721194205</v>
      </c>
      <c r="Q694" t="s">
        <v>4</v>
      </c>
      <c r="R694" s="4" t="s">
        <v>87</v>
      </c>
      <c r="S694" t="s">
        <v>4</v>
      </c>
      <c r="T694" t="s">
        <v>1312</v>
      </c>
      <c r="U694" t="s">
        <v>1313</v>
      </c>
      <c r="V694" t="s">
        <v>1314</v>
      </c>
      <c r="W694" t="s">
        <v>203</v>
      </c>
      <c r="X694" t="s">
        <v>4</v>
      </c>
      <c r="Y694" t="s">
        <v>1315</v>
      </c>
      <c r="Z694" t="s">
        <v>1316</v>
      </c>
      <c r="AA694" t="s">
        <v>1317</v>
      </c>
      <c r="AB694" t="s">
        <v>4</v>
      </c>
      <c r="AC694" s="3" t="s">
        <v>1318</v>
      </c>
      <c r="AD694" t="s">
        <v>4</v>
      </c>
      <c r="AE694" t="s">
        <v>1319</v>
      </c>
      <c r="AF694" t="s">
        <v>1320</v>
      </c>
      <c r="AG694" t="s">
        <v>1321</v>
      </c>
      <c r="AH694" t="s">
        <v>112</v>
      </c>
      <c r="AK694" t="s">
        <v>1322</v>
      </c>
      <c r="AL694" t="s">
        <v>1323</v>
      </c>
      <c r="AM694" t="s">
        <v>1324</v>
      </c>
      <c r="AQ694" t="s">
        <v>1325</v>
      </c>
      <c r="AU694" t="s">
        <v>112</v>
      </c>
      <c r="AV694" t="s">
        <v>1326</v>
      </c>
      <c r="AW694" t="s">
        <v>114</v>
      </c>
      <c r="AX694" t="s">
        <v>132</v>
      </c>
      <c r="AY694" t="s">
        <v>1327</v>
      </c>
      <c r="AZ694" t="s">
        <v>4</v>
      </c>
      <c r="BA694" s="3" t="s">
        <v>95</v>
      </c>
      <c r="BB694" s="6" t="s">
        <v>95</v>
      </c>
      <c r="BC694" s="3" t="s">
        <v>95</v>
      </c>
      <c r="BD694" t="s">
        <v>4</v>
      </c>
      <c r="BE694">
        <v>4896</v>
      </c>
      <c r="BF694" t="s">
        <v>282</v>
      </c>
      <c r="BG694">
        <v>99.466700000000003</v>
      </c>
      <c r="BJ694">
        <v>89.333299999999994</v>
      </c>
      <c r="BK694">
        <v>82.933300000000003</v>
      </c>
      <c r="BP694">
        <v>49.866700000000002</v>
      </c>
      <c r="BR694" t="s">
        <v>1328</v>
      </c>
      <c r="CB694">
        <v>18.666699999999999</v>
      </c>
      <c r="CD694" t="s">
        <v>1329</v>
      </c>
      <c r="CK694">
        <v>6</v>
      </c>
      <c r="CL694" t="s">
        <v>4</v>
      </c>
      <c r="CM694" t="s">
        <v>98</v>
      </c>
      <c r="CN694" t="s">
        <v>98</v>
      </c>
      <c r="CO694" t="s">
        <v>99</v>
      </c>
      <c r="CP694">
        <v>135</v>
      </c>
      <c r="CQ694" t="s">
        <v>100</v>
      </c>
      <c r="CR694" t="s">
        <v>100</v>
      </c>
      <c r="CS694" t="s">
        <v>101</v>
      </c>
      <c r="CT694" t="s">
        <v>100</v>
      </c>
      <c r="CU694" t="s">
        <v>102</v>
      </c>
      <c r="CV694" t="s">
        <v>100</v>
      </c>
    </row>
    <row r="695" spans="1:100">
      <c r="A695" s="3" t="s">
        <v>1330</v>
      </c>
      <c r="B695" s="4" t="s">
        <v>1331</v>
      </c>
      <c r="C695">
        <v>156.55184538617399</v>
      </c>
      <c r="D695">
        <v>15.5395566757696</v>
      </c>
      <c r="E695">
        <v>3.3347760925227901</v>
      </c>
      <c r="F695" s="5">
        <v>6.5435610581746997E-9</v>
      </c>
      <c r="G695" t="s">
        <v>4</v>
      </c>
      <c r="H695">
        <v>156.55184538617399</v>
      </c>
      <c r="I695">
        <v>24.485684665641699</v>
      </c>
      <c r="J695">
        <v>2.68456109540262</v>
      </c>
      <c r="K695" s="5">
        <v>2.4011317967986198E-6</v>
      </c>
      <c r="L695" t="s">
        <v>4</v>
      </c>
      <c r="M695">
        <v>15.5395566757696</v>
      </c>
      <c r="N695">
        <v>24.485684665641699</v>
      </c>
      <c r="O695">
        <f>0.650214997120167</f>
        <v>0.65021499712016695</v>
      </c>
      <c r="P695">
        <v>0.339509693241698</v>
      </c>
      <c r="Q695" t="s">
        <v>4</v>
      </c>
      <c r="R695" s="4" t="s">
        <v>87</v>
      </c>
      <c r="S695" t="s">
        <v>4</v>
      </c>
      <c r="T695" t="s">
        <v>1332</v>
      </c>
      <c r="U695" t="s">
        <v>1333</v>
      </c>
      <c r="V695" t="s">
        <v>1334</v>
      </c>
      <c r="W695" t="s">
        <v>328</v>
      </c>
      <c r="X695" t="s">
        <v>4</v>
      </c>
      <c r="Y695" t="s">
        <v>1335</v>
      </c>
      <c r="Z695" t="s">
        <v>1336</v>
      </c>
      <c r="AA695" t="s">
        <v>1337</v>
      </c>
      <c r="AB695" t="s">
        <v>4</v>
      </c>
      <c r="AC695" s="3" t="s">
        <v>1338</v>
      </c>
      <c r="AD695" t="s">
        <v>4</v>
      </c>
      <c r="AE695" t="s">
        <v>1339</v>
      </c>
      <c r="AF695" t="s">
        <v>834</v>
      </c>
      <c r="AG695" t="s">
        <v>1340</v>
      </c>
      <c r="AH695" t="s">
        <v>112</v>
      </c>
      <c r="AL695" t="s">
        <v>1341</v>
      </c>
      <c r="AM695" t="s">
        <v>1342</v>
      </c>
      <c r="AQ695" t="s">
        <v>1343</v>
      </c>
      <c r="AU695" t="s">
        <v>112</v>
      </c>
      <c r="AV695" t="s">
        <v>1344</v>
      </c>
      <c r="AW695" t="s">
        <v>114</v>
      </c>
      <c r="AX695" t="s">
        <v>1345</v>
      </c>
      <c r="AY695" t="s">
        <v>1346</v>
      </c>
      <c r="AZ695" t="s">
        <v>4</v>
      </c>
      <c r="BA695" s="3" t="s">
        <v>115</v>
      </c>
      <c r="BB695" t="s">
        <v>96</v>
      </c>
      <c r="BC695" s="3" t="s">
        <v>95</v>
      </c>
      <c r="BD695" t="s">
        <v>4</v>
      </c>
      <c r="BE695">
        <v>6672</v>
      </c>
      <c r="BF695" t="s">
        <v>213</v>
      </c>
      <c r="BG695">
        <v>97.441400000000002</v>
      </c>
      <c r="BH695">
        <v>49.466900000000003</v>
      </c>
      <c r="BI695">
        <v>70.788899999999998</v>
      </c>
      <c r="BJ695">
        <v>91.8977</v>
      </c>
      <c r="BK695">
        <v>72.281400000000005</v>
      </c>
      <c r="BL695" t="s">
        <v>1347</v>
      </c>
      <c r="BM695">
        <v>75.373099999999994</v>
      </c>
      <c r="BN695">
        <v>85.287800000000004</v>
      </c>
      <c r="BO695">
        <v>86.460599999999999</v>
      </c>
      <c r="BP695">
        <v>72.601299999999995</v>
      </c>
      <c r="BQ695">
        <v>54.690800000000003</v>
      </c>
      <c r="BR695">
        <v>58.848599999999998</v>
      </c>
      <c r="BS695">
        <v>56.183399999999999</v>
      </c>
      <c r="BT695" t="s">
        <v>1348</v>
      </c>
      <c r="BV695" t="s">
        <v>1349</v>
      </c>
      <c r="BX695">
        <v>55.1173</v>
      </c>
      <c r="BZ695">
        <v>33.368899999999996</v>
      </c>
      <c r="CA695">
        <v>59.275100000000002</v>
      </c>
      <c r="CB695" t="s">
        <v>1350</v>
      </c>
      <c r="CD695">
        <v>35.714300000000001</v>
      </c>
      <c r="CK695">
        <v>8</v>
      </c>
      <c r="CL695" t="s">
        <v>4</v>
      </c>
      <c r="CM695" t="s">
        <v>1351</v>
      </c>
      <c r="CN695" t="s">
        <v>1352</v>
      </c>
      <c r="CO695" t="s">
        <v>99</v>
      </c>
      <c r="CP695">
        <v>136</v>
      </c>
      <c r="CQ695" t="s">
        <v>100</v>
      </c>
      <c r="CR695" t="s">
        <v>100</v>
      </c>
      <c r="CS695" t="s">
        <v>101</v>
      </c>
      <c r="CT695" t="s">
        <v>100</v>
      </c>
      <c r="CU695" t="s">
        <v>102</v>
      </c>
      <c r="CV695" t="s">
        <v>100</v>
      </c>
    </row>
    <row r="696" spans="1:100">
      <c r="A696" s="3" t="s">
        <v>1353</v>
      </c>
      <c r="B696" s="4" t="s">
        <v>1354</v>
      </c>
      <c r="C696">
        <v>1531.0746339715099</v>
      </c>
      <c r="D696">
        <v>351.77134532383099</v>
      </c>
      <c r="E696">
        <v>2.1207495333025501</v>
      </c>
      <c r="F696" s="5">
        <v>2.0228156781715202E-9</v>
      </c>
      <c r="G696" t="s">
        <v>4</v>
      </c>
      <c r="H696">
        <v>1531.0746339715099</v>
      </c>
      <c r="I696">
        <v>83.338370052383496</v>
      </c>
      <c r="J696">
        <v>4.1877954194313096</v>
      </c>
      <c r="K696" s="5">
        <v>3.0671541029916902E-32</v>
      </c>
      <c r="L696" t="s">
        <v>4</v>
      </c>
      <c r="M696">
        <v>351.77134532383099</v>
      </c>
      <c r="N696">
        <v>83.338370052383496</v>
      </c>
      <c r="O696">
        <v>2.0670458861287599</v>
      </c>
      <c r="P696" s="5">
        <v>1.2577540099782399E-8</v>
      </c>
      <c r="Q696" t="s">
        <v>4</v>
      </c>
      <c r="R696" s="4" t="s">
        <v>87</v>
      </c>
      <c r="S696" t="s">
        <v>4</v>
      </c>
      <c r="T696" t="s">
        <v>92</v>
      </c>
      <c r="U696" t="s">
        <v>92</v>
      </c>
      <c r="V696" t="s">
        <v>92</v>
      </c>
      <c r="W696" t="s">
        <v>92</v>
      </c>
      <c r="X696" t="s">
        <v>4</v>
      </c>
      <c r="Y696" t="s">
        <v>1355</v>
      </c>
      <c r="Z696" t="s">
        <v>1356</v>
      </c>
      <c r="AA696" t="s">
        <v>1357</v>
      </c>
      <c r="AB696" t="s">
        <v>4</v>
      </c>
      <c r="AC696" s="3" t="s">
        <v>1358</v>
      </c>
      <c r="AD696" t="s">
        <v>4</v>
      </c>
      <c r="AE696" t="s">
        <v>1359</v>
      </c>
      <c r="AF696" t="s">
        <v>1360</v>
      </c>
      <c r="AG696" t="s">
        <v>1361</v>
      </c>
      <c r="AH696" t="s">
        <v>112</v>
      </c>
      <c r="AU696" t="s">
        <v>112</v>
      </c>
      <c r="AV696" t="s">
        <v>1362</v>
      </c>
      <c r="AW696" t="s">
        <v>114</v>
      </c>
      <c r="AX696" t="s">
        <v>144</v>
      </c>
      <c r="AY696" t="s">
        <v>1363</v>
      </c>
      <c r="AZ696" t="s">
        <v>4</v>
      </c>
      <c r="BA696" s="3" t="s">
        <v>95</v>
      </c>
      <c r="BB696" s="6" t="s">
        <v>95</v>
      </c>
      <c r="BC696" s="3" t="s">
        <v>197</v>
      </c>
      <c r="BD696" t="s">
        <v>4</v>
      </c>
      <c r="BE696">
        <v>4917</v>
      </c>
      <c r="BF696" t="s">
        <v>282</v>
      </c>
      <c r="BG696">
        <v>97.995000000000005</v>
      </c>
      <c r="BH696">
        <v>53.132800000000003</v>
      </c>
      <c r="BI696">
        <v>91.729299999999995</v>
      </c>
      <c r="BJ696">
        <v>72.431100000000001</v>
      </c>
      <c r="BK696">
        <v>61.6541</v>
      </c>
      <c r="BL696">
        <v>54.8872</v>
      </c>
      <c r="BM696">
        <v>54.8872</v>
      </c>
      <c r="BN696">
        <v>55.137799999999999</v>
      </c>
      <c r="BO696">
        <v>61.403500000000001</v>
      </c>
      <c r="BP696">
        <v>24.3108</v>
      </c>
      <c r="BQ696">
        <v>30.325800000000001</v>
      </c>
      <c r="BR696">
        <v>34.586500000000001</v>
      </c>
      <c r="BS696">
        <v>37.343400000000003</v>
      </c>
      <c r="BT696">
        <v>32.832099999999997</v>
      </c>
      <c r="BU696">
        <v>29.573899999999998</v>
      </c>
      <c r="BV696" t="s">
        <v>1364</v>
      </c>
      <c r="BW696" t="s">
        <v>1365</v>
      </c>
      <c r="BX696">
        <v>20.551400000000001</v>
      </c>
      <c r="BZ696">
        <v>28.320799999999998</v>
      </c>
      <c r="CA696">
        <v>35.588999999999999</v>
      </c>
      <c r="CB696">
        <v>23.8095</v>
      </c>
      <c r="CD696">
        <v>24.3108</v>
      </c>
      <c r="CF696" t="s">
        <v>1366</v>
      </c>
      <c r="CK696">
        <v>6</v>
      </c>
      <c r="CL696" t="s">
        <v>4</v>
      </c>
      <c r="CM696" t="s">
        <v>1367</v>
      </c>
      <c r="CN696" t="s">
        <v>1368</v>
      </c>
      <c r="CO696" t="s">
        <v>99</v>
      </c>
      <c r="CP696">
        <v>137</v>
      </c>
      <c r="CQ696" t="s">
        <v>100</v>
      </c>
      <c r="CR696" t="s">
        <v>100</v>
      </c>
      <c r="CS696" t="s">
        <v>101</v>
      </c>
      <c r="CT696" t="s">
        <v>152</v>
      </c>
      <c r="CU696" t="s">
        <v>102</v>
      </c>
      <c r="CV696" t="s">
        <v>100</v>
      </c>
    </row>
    <row r="697" spans="1:100">
      <c r="A697" s="3" t="s">
        <v>1369</v>
      </c>
      <c r="B697" s="4" t="s">
        <v>1370</v>
      </c>
      <c r="C697">
        <v>967.29750795135999</v>
      </c>
      <c r="D697">
        <v>108.78056632065601</v>
      </c>
      <c r="E697">
        <v>3.1562312442384801</v>
      </c>
      <c r="F697" s="5">
        <v>1.7236980739456999E-28</v>
      </c>
      <c r="G697" t="s">
        <v>4</v>
      </c>
      <c r="H697">
        <v>967.29750795135999</v>
      </c>
      <c r="I697">
        <v>71.101748934493301</v>
      </c>
      <c r="J697">
        <v>3.79021512211889</v>
      </c>
      <c r="K697" s="5">
        <v>8.9555010824806604E-38</v>
      </c>
      <c r="L697" t="s">
        <v>4</v>
      </c>
      <c r="M697">
        <v>108.78056632065601</v>
      </c>
      <c r="N697">
        <v>71.101748934493301</v>
      </c>
      <c r="O697">
        <v>0.633983877880409</v>
      </c>
      <c r="P697">
        <v>5.6957181730318801E-2</v>
      </c>
      <c r="Q697" t="s">
        <v>4</v>
      </c>
      <c r="R697" s="4" t="s">
        <v>87</v>
      </c>
      <c r="S697" t="s">
        <v>4</v>
      </c>
      <c r="T697" t="s">
        <v>1371</v>
      </c>
      <c r="U697" t="s">
        <v>1372</v>
      </c>
      <c r="V697" t="s">
        <v>1373</v>
      </c>
      <c r="W697" t="s">
        <v>328</v>
      </c>
      <c r="X697" t="s">
        <v>4</v>
      </c>
      <c r="Y697" t="s">
        <v>1374</v>
      </c>
      <c r="Z697" t="s">
        <v>1375</v>
      </c>
      <c r="AA697" t="s">
        <v>1376</v>
      </c>
      <c r="AB697" t="s">
        <v>4</v>
      </c>
      <c r="AC697" s="3" t="s">
        <v>1377</v>
      </c>
      <c r="AD697" t="s">
        <v>4</v>
      </c>
      <c r="AE697" t="s">
        <v>1378</v>
      </c>
      <c r="AF697" t="s">
        <v>1379</v>
      </c>
      <c r="AG697" t="s">
        <v>1380</v>
      </c>
      <c r="AH697" t="s">
        <v>638</v>
      </c>
      <c r="AJ697" t="s">
        <v>1381</v>
      </c>
      <c r="AU697" t="s">
        <v>112</v>
      </c>
      <c r="AV697" t="s">
        <v>1382</v>
      </c>
      <c r="AW697" t="s">
        <v>114</v>
      </c>
      <c r="AX697" t="s">
        <v>371</v>
      </c>
      <c r="AY697" t="s">
        <v>1383</v>
      </c>
      <c r="AZ697" t="s">
        <v>4</v>
      </c>
      <c r="BA697" s="3" t="s">
        <v>95</v>
      </c>
      <c r="BB697" s="6" t="s">
        <v>95</v>
      </c>
      <c r="BC697" s="3" t="s">
        <v>95</v>
      </c>
      <c r="BD697" t="s">
        <v>4</v>
      </c>
      <c r="BE697">
        <v>6721</v>
      </c>
      <c r="BF697" t="s">
        <v>213</v>
      </c>
      <c r="BG697">
        <v>86.8827</v>
      </c>
      <c r="BK697">
        <v>27.6235</v>
      </c>
      <c r="BN697">
        <v>38.580199999999998</v>
      </c>
      <c r="BO697">
        <v>33.642000000000003</v>
      </c>
      <c r="BP697">
        <v>22.839500000000001</v>
      </c>
      <c r="BQ697">
        <v>19.444400000000002</v>
      </c>
      <c r="BR697">
        <v>18.827200000000001</v>
      </c>
      <c r="BS697">
        <v>17.7469</v>
      </c>
      <c r="BV697" t="s">
        <v>1384</v>
      </c>
      <c r="BZ697">
        <v>16.666699999999999</v>
      </c>
      <c r="CA697">
        <v>19.598800000000001</v>
      </c>
      <c r="CB697">
        <v>12.037000000000001</v>
      </c>
      <c r="CC697">
        <v>19.598800000000001</v>
      </c>
      <c r="CD697">
        <v>15.1235</v>
      </c>
      <c r="CG697" t="s">
        <v>1385</v>
      </c>
      <c r="CH697" t="s">
        <v>1386</v>
      </c>
      <c r="CI697" t="s">
        <v>1387</v>
      </c>
      <c r="CK697">
        <v>8</v>
      </c>
      <c r="CL697" t="s">
        <v>4</v>
      </c>
      <c r="CM697" t="s">
        <v>1388</v>
      </c>
      <c r="CN697" t="s">
        <v>1389</v>
      </c>
      <c r="CO697" t="s">
        <v>1218</v>
      </c>
      <c r="CP697">
        <v>138</v>
      </c>
      <c r="CQ697" t="s">
        <v>100</v>
      </c>
      <c r="CR697" t="s">
        <v>100</v>
      </c>
      <c r="CS697" t="s">
        <v>101</v>
      </c>
      <c r="CT697" t="s">
        <v>100</v>
      </c>
      <c r="CU697" t="s">
        <v>102</v>
      </c>
      <c r="CV697" t="s">
        <v>100</v>
      </c>
    </row>
    <row r="698" spans="1:100">
      <c r="A698" s="3" t="s">
        <v>1390</v>
      </c>
      <c r="B698" s="4" t="s">
        <v>1391</v>
      </c>
      <c r="C698">
        <v>54.644673579761097</v>
      </c>
      <c r="D698">
        <v>8.6876174006896196</v>
      </c>
      <c r="E698">
        <v>2.6689608208224</v>
      </c>
      <c r="F698">
        <v>5.7626971719200596E-3</v>
      </c>
      <c r="G698" t="s">
        <v>4</v>
      </c>
      <c r="H698">
        <v>54.644673579761097</v>
      </c>
      <c r="I698">
        <v>8.38296470972913</v>
      </c>
      <c r="J698">
        <v>2.7636322206433501</v>
      </c>
      <c r="K698">
        <v>4.2230289713193004E-3</v>
      </c>
      <c r="L698" t="s">
        <v>4</v>
      </c>
      <c r="M698">
        <v>8.6876174006896196</v>
      </c>
      <c r="N698">
        <v>8.38296470972913</v>
      </c>
      <c r="O698">
        <v>9.4671399820952795E-2</v>
      </c>
      <c r="P698">
        <v>0.94342959551274197</v>
      </c>
      <c r="Q698" t="s">
        <v>4</v>
      </c>
      <c r="R698" s="4" t="s">
        <v>87</v>
      </c>
      <c r="S698" t="s">
        <v>4</v>
      </c>
      <c r="T698" t="s">
        <v>1392</v>
      </c>
      <c r="U698" t="s">
        <v>1393</v>
      </c>
      <c r="V698" t="s">
        <v>1394</v>
      </c>
      <c r="W698" t="s">
        <v>91</v>
      </c>
      <c r="X698" t="s">
        <v>4</v>
      </c>
      <c r="Y698" t="s">
        <v>448</v>
      </c>
      <c r="Z698" t="s">
        <v>449</v>
      </c>
      <c r="AA698" t="s">
        <v>450</v>
      </c>
      <c r="AB698" t="s">
        <v>4</v>
      </c>
      <c r="AC698" s="3" t="s">
        <v>93</v>
      </c>
      <c r="AD698" t="s">
        <v>4</v>
      </c>
      <c r="AE698" t="s">
        <v>1395</v>
      </c>
      <c r="AF698" t="s">
        <v>1396</v>
      </c>
      <c r="AG698" t="s">
        <v>1397</v>
      </c>
      <c r="AH698" t="s">
        <v>112</v>
      </c>
      <c r="AU698" t="s">
        <v>112</v>
      </c>
      <c r="AV698" t="s">
        <v>1398</v>
      </c>
      <c r="AW698" t="s">
        <v>114</v>
      </c>
      <c r="AX698" t="s">
        <v>596</v>
      </c>
      <c r="AY698" t="s">
        <v>456</v>
      </c>
      <c r="AZ698" t="s">
        <v>4</v>
      </c>
      <c r="BA698" s="3" t="s">
        <v>95</v>
      </c>
      <c r="BB698" s="6" t="s">
        <v>95</v>
      </c>
      <c r="BC698" s="3" t="s">
        <v>95</v>
      </c>
      <c r="BD698" t="s">
        <v>4</v>
      </c>
      <c r="BE698">
        <v>3612</v>
      </c>
      <c r="BF698" t="s">
        <v>112</v>
      </c>
      <c r="BH698">
        <v>79.2453</v>
      </c>
      <c r="BI698">
        <v>78.616399999999999</v>
      </c>
      <c r="BJ698">
        <v>86.163499999999999</v>
      </c>
      <c r="BK698">
        <v>73.584900000000005</v>
      </c>
      <c r="BO698">
        <v>71.698099999999997</v>
      </c>
      <c r="BP698">
        <v>52.201300000000003</v>
      </c>
      <c r="BS698">
        <v>50.943399999999997</v>
      </c>
      <c r="BX698">
        <v>49.685499999999998</v>
      </c>
      <c r="CA698" t="s">
        <v>1399</v>
      </c>
      <c r="CK698">
        <v>5</v>
      </c>
      <c r="CL698" t="s">
        <v>4</v>
      </c>
      <c r="CM698" t="s">
        <v>1400</v>
      </c>
      <c r="CN698" t="s">
        <v>1401</v>
      </c>
      <c r="CO698" t="s">
        <v>1402</v>
      </c>
      <c r="CP698">
        <v>139</v>
      </c>
      <c r="CQ698" t="s">
        <v>100</v>
      </c>
      <c r="CR698" t="s">
        <v>100</v>
      </c>
      <c r="CS698" t="s">
        <v>101</v>
      </c>
      <c r="CT698" t="s">
        <v>100</v>
      </c>
      <c r="CU698" t="s">
        <v>102</v>
      </c>
      <c r="CV698" t="s">
        <v>100</v>
      </c>
    </row>
    <row r="699" spans="1:100">
      <c r="A699" s="3" t="s">
        <v>1403</v>
      </c>
      <c r="B699" s="4" t="s">
        <v>1404</v>
      </c>
      <c r="C699">
        <v>93.680469876932307</v>
      </c>
      <c r="D699">
        <v>20.628718799993599</v>
      </c>
      <c r="E699">
        <v>2.1839174285588898</v>
      </c>
      <c r="F699">
        <v>7.4073496732453602E-3</v>
      </c>
      <c r="G699" t="s">
        <v>4</v>
      </c>
      <c r="H699">
        <v>93.680469876932307</v>
      </c>
      <c r="I699">
        <v>16.475973427161499</v>
      </c>
      <c r="J699">
        <v>2.5007383523075899</v>
      </c>
      <c r="K699">
        <v>1.9207460861591899E-3</v>
      </c>
      <c r="L699" t="s">
        <v>4</v>
      </c>
      <c r="M699">
        <v>20.628718799993599</v>
      </c>
      <c r="N699">
        <v>16.475973427161499</v>
      </c>
      <c r="O699">
        <v>0.31682092374870002</v>
      </c>
      <c r="P699">
        <v>0.75151457968764401</v>
      </c>
      <c r="Q699" t="s">
        <v>4</v>
      </c>
      <c r="R699" s="4" t="s">
        <v>87</v>
      </c>
      <c r="S699" t="s">
        <v>4</v>
      </c>
      <c r="T699" t="s">
        <v>270</v>
      </c>
      <c r="U699" t="s">
        <v>271</v>
      </c>
      <c r="V699" t="s">
        <v>272</v>
      </c>
      <c r="W699" t="s">
        <v>203</v>
      </c>
      <c r="X699" t="s">
        <v>4</v>
      </c>
      <c r="Y699" t="s">
        <v>273</v>
      </c>
      <c r="Z699" t="s">
        <v>274</v>
      </c>
      <c r="AA699" t="s">
        <v>275</v>
      </c>
      <c r="AB699" t="s">
        <v>4</v>
      </c>
      <c r="AC699" s="3" t="s">
        <v>1405</v>
      </c>
      <c r="AD699" t="s">
        <v>4</v>
      </c>
      <c r="AE699" t="s">
        <v>1406</v>
      </c>
      <c r="AF699" t="s">
        <v>1407</v>
      </c>
      <c r="AG699" t="s">
        <v>1408</v>
      </c>
      <c r="AH699" t="s">
        <v>112</v>
      </c>
      <c r="AI699" t="s">
        <v>1409</v>
      </c>
      <c r="AJ699" t="s">
        <v>1410</v>
      </c>
      <c r="AU699" t="s">
        <v>112</v>
      </c>
      <c r="AV699" t="s">
        <v>1411</v>
      </c>
      <c r="AW699" t="s">
        <v>114</v>
      </c>
      <c r="AX699" t="s">
        <v>132</v>
      </c>
      <c r="AY699" t="s">
        <v>1412</v>
      </c>
      <c r="AZ699" t="s">
        <v>4</v>
      </c>
      <c r="BA699" s="3" t="s">
        <v>95</v>
      </c>
      <c r="BB699" s="6" t="s">
        <v>95</v>
      </c>
      <c r="BC699" s="3" t="s">
        <v>95</v>
      </c>
      <c r="BD699" t="s">
        <v>4</v>
      </c>
      <c r="BE699">
        <v>3621</v>
      </c>
      <c r="BF699" t="s">
        <v>112</v>
      </c>
      <c r="BG699">
        <v>73.540899999999993</v>
      </c>
      <c r="BI699">
        <v>88.132300000000001</v>
      </c>
      <c r="BJ699">
        <v>70.038899999999998</v>
      </c>
      <c r="BK699">
        <v>9.3385200000000008</v>
      </c>
      <c r="BL699">
        <v>71.789900000000003</v>
      </c>
      <c r="BM699">
        <v>72.373500000000007</v>
      </c>
      <c r="BN699">
        <v>72.568100000000001</v>
      </c>
      <c r="BO699">
        <v>72.9572</v>
      </c>
      <c r="BP699" t="s">
        <v>1413</v>
      </c>
      <c r="BQ699" t="s">
        <v>1414</v>
      </c>
      <c r="BR699">
        <v>44.357999999999997</v>
      </c>
      <c r="BU699">
        <v>17.898800000000001</v>
      </c>
      <c r="BV699">
        <v>30.1556</v>
      </c>
      <c r="BW699">
        <v>21.011700000000001</v>
      </c>
      <c r="BX699">
        <v>36.381300000000003</v>
      </c>
      <c r="BZ699">
        <v>16.7315</v>
      </c>
      <c r="CA699">
        <v>32.295699999999997</v>
      </c>
      <c r="CK699">
        <v>5</v>
      </c>
      <c r="CL699" t="s">
        <v>4</v>
      </c>
      <c r="CM699" t="s">
        <v>1415</v>
      </c>
      <c r="CN699" t="s">
        <v>1416</v>
      </c>
      <c r="CO699" t="s">
        <v>99</v>
      </c>
      <c r="CP699">
        <v>140</v>
      </c>
      <c r="CQ699" t="s">
        <v>100</v>
      </c>
      <c r="CR699" t="s">
        <v>100</v>
      </c>
      <c r="CS699" t="s">
        <v>101</v>
      </c>
      <c r="CT699" t="s">
        <v>100</v>
      </c>
      <c r="CU699" t="s">
        <v>102</v>
      </c>
      <c r="CV699" t="s">
        <v>100</v>
      </c>
    </row>
    <row r="700" spans="1:100">
      <c r="A700" s="3" t="s">
        <v>1417</v>
      </c>
      <c r="B700" s="4" t="s">
        <v>1418</v>
      </c>
      <c r="C700">
        <v>96.935922437498505</v>
      </c>
      <c r="D700">
        <v>23.391364745939899</v>
      </c>
      <c r="E700">
        <v>2.0506580920184101</v>
      </c>
      <c r="F700">
        <v>2.2784268282865399E-4</v>
      </c>
      <c r="G700" t="s">
        <v>4</v>
      </c>
      <c r="H700">
        <v>96.935922437498505</v>
      </c>
      <c r="I700">
        <v>21.894430590413702</v>
      </c>
      <c r="J700">
        <v>2.1637912203809702</v>
      </c>
      <c r="K700">
        <v>1.11525621480631E-4</v>
      </c>
      <c r="L700" t="s">
        <v>4</v>
      </c>
      <c r="M700">
        <v>23.391364745939899</v>
      </c>
      <c r="N700">
        <v>21.894430590413702</v>
      </c>
      <c r="O700">
        <v>0.113133128362558</v>
      </c>
      <c r="P700">
        <v>0.88151515404301695</v>
      </c>
      <c r="Q700" t="s">
        <v>4</v>
      </c>
      <c r="R700" s="4" t="s">
        <v>87</v>
      </c>
      <c r="S700" t="s">
        <v>4</v>
      </c>
      <c r="T700" t="s">
        <v>827</v>
      </c>
      <c r="U700" t="s">
        <v>828</v>
      </c>
      <c r="V700" t="s">
        <v>829</v>
      </c>
      <c r="W700" t="s">
        <v>203</v>
      </c>
      <c r="X700" t="s">
        <v>4</v>
      </c>
      <c r="Y700" t="s">
        <v>1419</v>
      </c>
      <c r="Z700" t="s">
        <v>1420</v>
      </c>
      <c r="AA700" t="s">
        <v>1421</v>
      </c>
      <c r="AB700" t="s">
        <v>4</v>
      </c>
      <c r="AC700" s="3" t="s">
        <v>1422</v>
      </c>
      <c r="AD700" t="s">
        <v>4</v>
      </c>
      <c r="AE700" t="s">
        <v>1423</v>
      </c>
      <c r="AF700" t="s">
        <v>1424</v>
      </c>
      <c r="AG700" t="s">
        <v>1425</v>
      </c>
      <c r="AH700" t="s">
        <v>112</v>
      </c>
      <c r="AJ700" t="s">
        <v>1426</v>
      </c>
      <c r="AU700" t="s">
        <v>112</v>
      </c>
      <c r="AV700" t="s">
        <v>1427</v>
      </c>
      <c r="AW700" t="s">
        <v>114</v>
      </c>
      <c r="AX700" t="s">
        <v>536</v>
      </c>
      <c r="AY700" t="s">
        <v>1428</v>
      </c>
      <c r="AZ700" t="s">
        <v>4</v>
      </c>
      <c r="BA700" s="3" t="s">
        <v>95</v>
      </c>
      <c r="BB700" s="6" t="s">
        <v>95</v>
      </c>
      <c r="BC700" s="3" t="s">
        <v>197</v>
      </c>
      <c r="BD700" t="s">
        <v>4</v>
      </c>
      <c r="BE700">
        <v>6800</v>
      </c>
      <c r="BF700" t="s">
        <v>213</v>
      </c>
      <c r="BG700">
        <v>95.056200000000004</v>
      </c>
      <c r="BH700">
        <v>89.662899999999993</v>
      </c>
      <c r="BI700">
        <v>87.191000000000003</v>
      </c>
      <c r="BJ700">
        <v>73.707899999999995</v>
      </c>
      <c r="BK700">
        <v>48.988799999999998</v>
      </c>
      <c r="BL700">
        <v>64.719099999999997</v>
      </c>
      <c r="BM700">
        <v>69.662899999999993</v>
      </c>
      <c r="BN700">
        <v>81.797799999999995</v>
      </c>
      <c r="BO700">
        <v>81.797799999999995</v>
      </c>
      <c r="BP700">
        <v>19.550599999999999</v>
      </c>
      <c r="BQ700">
        <v>30.3371</v>
      </c>
      <c r="BS700">
        <v>32.134799999999998</v>
      </c>
      <c r="BV700" t="s">
        <v>1429</v>
      </c>
      <c r="BW700">
        <v>24.494399999999999</v>
      </c>
      <c r="BX700">
        <v>35.505600000000001</v>
      </c>
      <c r="BZ700">
        <v>28.539300000000001</v>
      </c>
      <c r="CA700">
        <v>29.887599999999999</v>
      </c>
      <c r="CB700" t="s">
        <v>1430</v>
      </c>
      <c r="CE700">
        <v>8.9887599999999992</v>
      </c>
      <c r="CF700">
        <v>14.382</v>
      </c>
      <c r="CG700" t="s">
        <v>1431</v>
      </c>
      <c r="CH700" t="s">
        <v>1432</v>
      </c>
      <c r="CI700" t="s">
        <v>1433</v>
      </c>
      <c r="CK700">
        <v>8</v>
      </c>
      <c r="CL700" t="s">
        <v>4</v>
      </c>
      <c r="CM700" t="s">
        <v>1434</v>
      </c>
      <c r="CN700" t="s">
        <v>1435</v>
      </c>
      <c r="CO700" t="s">
        <v>99</v>
      </c>
      <c r="CP700">
        <v>141</v>
      </c>
      <c r="CQ700" t="s">
        <v>100</v>
      </c>
      <c r="CR700" t="s">
        <v>100</v>
      </c>
      <c r="CS700" t="s">
        <v>101</v>
      </c>
      <c r="CT700" t="s">
        <v>100</v>
      </c>
      <c r="CU700" t="s">
        <v>102</v>
      </c>
      <c r="CV700" t="s">
        <v>100</v>
      </c>
    </row>
    <row r="701" spans="1:100">
      <c r="A701" s="3" t="s">
        <v>1436</v>
      </c>
      <c r="B701" s="4" t="s">
        <v>1437</v>
      </c>
      <c r="C701">
        <v>28.880001778325401</v>
      </c>
      <c r="D701">
        <v>3.2560736935350798</v>
      </c>
      <c r="E701">
        <v>3.1666510959449998</v>
      </c>
      <c r="F701">
        <v>3.8926602742262199E-3</v>
      </c>
      <c r="G701" t="s">
        <v>4</v>
      </c>
      <c r="H701">
        <v>28.880001778325401</v>
      </c>
      <c r="I701">
        <v>1.4948873657459301</v>
      </c>
      <c r="J701">
        <v>4.0959735215240096</v>
      </c>
      <c r="K701">
        <v>1.0100777003950801E-3</v>
      </c>
      <c r="L701" t="s">
        <v>4</v>
      </c>
      <c r="M701">
        <v>3.2560736935350798</v>
      </c>
      <c r="N701">
        <v>1.4948873657459301</v>
      </c>
      <c r="O701">
        <v>0.92932242557901401</v>
      </c>
      <c r="P701">
        <v>0.54228663161971902</v>
      </c>
      <c r="Q701" t="s">
        <v>4</v>
      </c>
      <c r="R701" s="4" t="s">
        <v>87</v>
      </c>
      <c r="S701" t="s">
        <v>4</v>
      </c>
      <c r="T701" t="s">
        <v>1438</v>
      </c>
      <c r="U701" t="s">
        <v>1439</v>
      </c>
      <c r="V701" t="s">
        <v>1440</v>
      </c>
      <c r="W701" t="s">
        <v>203</v>
      </c>
      <c r="X701" t="s">
        <v>4</v>
      </c>
      <c r="Y701" t="s">
        <v>1441</v>
      </c>
      <c r="Z701" t="s">
        <v>1442</v>
      </c>
      <c r="AA701" t="s">
        <v>1443</v>
      </c>
      <c r="AB701" t="s">
        <v>4</v>
      </c>
      <c r="AC701" s="3" t="s">
        <v>1444</v>
      </c>
      <c r="AD701" t="s">
        <v>4</v>
      </c>
      <c r="AE701" t="s">
        <v>1445</v>
      </c>
      <c r="AF701" t="s">
        <v>1446</v>
      </c>
      <c r="AG701" t="s">
        <v>1447</v>
      </c>
      <c r="AH701" t="s">
        <v>112</v>
      </c>
      <c r="AJ701" t="s">
        <v>1448</v>
      </c>
      <c r="AU701" t="s">
        <v>112</v>
      </c>
      <c r="AV701" t="s">
        <v>1449</v>
      </c>
      <c r="AW701" t="s">
        <v>114</v>
      </c>
      <c r="AX701" t="s">
        <v>371</v>
      </c>
      <c r="AY701" t="s">
        <v>1450</v>
      </c>
      <c r="AZ701" t="s">
        <v>4</v>
      </c>
      <c r="BA701" s="3" t="s">
        <v>95</v>
      </c>
      <c r="BB701" s="6" t="s">
        <v>95</v>
      </c>
      <c r="BC701" s="3" t="s">
        <v>95</v>
      </c>
      <c r="BD701" t="s">
        <v>4</v>
      </c>
      <c r="BE701">
        <v>3660</v>
      </c>
      <c r="BF701" t="s">
        <v>112</v>
      </c>
      <c r="BG701">
        <v>97.652600000000007</v>
      </c>
      <c r="BH701">
        <v>99.530500000000004</v>
      </c>
      <c r="BJ701">
        <v>27.6995</v>
      </c>
      <c r="BK701">
        <v>55.868499999999997</v>
      </c>
      <c r="BL701">
        <v>37.089199999999998</v>
      </c>
      <c r="BM701">
        <v>25.8216</v>
      </c>
      <c r="BN701">
        <v>66.197199999999995</v>
      </c>
      <c r="BO701">
        <v>44.131500000000003</v>
      </c>
      <c r="CK701">
        <v>5</v>
      </c>
      <c r="CL701" t="s">
        <v>4</v>
      </c>
      <c r="CM701" t="s">
        <v>98</v>
      </c>
      <c r="CN701" t="s">
        <v>98</v>
      </c>
      <c r="CO701" t="s">
        <v>99</v>
      </c>
      <c r="CP701">
        <v>142</v>
      </c>
      <c r="CQ701" t="s">
        <v>100</v>
      </c>
      <c r="CR701" t="s">
        <v>100</v>
      </c>
      <c r="CS701" t="s">
        <v>101</v>
      </c>
      <c r="CT701" t="s">
        <v>100</v>
      </c>
      <c r="CU701" t="s">
        <v>102</v>
      </c>
      <c r="CV701" t="s">
        <v>100</v>
      </c>
    </row>
    <row r="702" spans="1:100">
      <c r="A702" s="3" t="s">
        <v>1451</v>
      </c>
      <c r="B702" s="4" t="s">
        <v>1452</v>
      </c>
      <c r="C702">
        <v>173.414327733211</v>
      </c>
      <c r="D702">
        <v>24.8687068609173</v>
      </c>
      <c r="E702">
        <v>2.8009112207408098</v>
      </c>
      <c r="F702">
        <v>1.19629161564577E-4</v>
      </c>
      <c r="G702" t="s">
        <v>4</v>
      </c>
      <c r="H702">
        <v>173.414327733211</v>
      </c>
      <c r="I702">
        <v>24.8166631320988</v>
      </c>
      <c r="J702">
        <v>2.8071635751535302</v>
      </c>
      <c r="K702">
        <v>1.00533396207381E-4</v>
      </c>
      <c r="L702" t="s">
        <v>4</v>
      </c>
      <c r="M702">
        <v>24.8687068609173</v>
      </c>
      <c r="N702">
        <v>24.8166631320988</v>
      </c>
      <c r="O702">
        <v>6.2523544127163801E-3</v>
      </c>
      <c r="P702">
        <v>0.99969425981973703</v>
      </c>
      <c r="Q702" t="s">
        <v>4</v>
      </c>
      <c r="R702" s="4" t="s">
        <v>87</v>
      </c>
      <c r="S702" t="s">
        <v>4</v>
      </c>
      <c r="T702" t="s">
        <v>1312</v>
      </c>
      <c r="U702" t="s">
        <v>1313</v>
      </c>
      <c r="V702" t="s">
        <v>1314</v>
      </c>
      <c r="W702" t="s">
        <v>203</v>
      </c>
      <c r="X702" t="s">
        <v>4</v>
      </c>
      <c r="Y702" t="s">
        <v>1315</v>
      </c>
      <c r="Z702" t="s">
        <v>1316</v>
      </c>
      <c r="AA702" t="s">
        <v>1317</v>
      </c>
      <c r="AB702" t="s">
        <v>4</v>
      </c>
      <c r="AC702" s="3" t="s">
        <v>1453</v>
      </c>
      <c r="AD702" t="s">
        <v>4</v>
      </c>
      <c r="AE702" t="s">
        <v>1454</v>
      </c>
      <c r="AF702" t="s">
        <v>1455</v>
      </c>
      <c r="AG702" t="s">
        <v>1456</v>
      </c>
      <c r="AH702" t="s">
        <v>112</v>
      </c>
      <c r="AK702" t="s">
        <v>1322</v>
      </c>
      <c r="AL702" t="s">
        <v>1457</v>
      </c>
      <c r="AQ702" t="s">
        <v>1458</v>
      </c>
      <c r="AU702" t="s">
        <v>112</v>
      </c>
      <c r="AV702" t="s">
        <v>1459</v>
      </c>
      <c r="AW702" t="s">
        <v>114</v>
      </c>
      <c r="AX702" t="s">
        <v>132</v>
      </c>
      <c r="AY702" t="s">
        <v>1460</v>
      </c>
      <c r="AZ702" t="s">
        <v>4</v>
      </c>
      <c r="BA702" s="3" t="s">
        <v>115</v>
      </c>
      <c r="BB702" s="6" t="s">
        <v>95</v>
      </c>
      <c r="BC702" s="3" t="s">
        <v>95</v>
      </c>
      <c r="BD702" t="s">
        <v>4</v>
      </c>
      <c r="BE702">
        <v>3662</v>
      </c>
      <c r="BF702" t="s">
        <v>112</v>
      </c>
      <c r="BG702">
        <v>98.740600000000001</v>
      </c>
      <c r="BH702">
        <v>28.715399999999999</v>
      </c>
      <c r="BI702">
        <v>89.672499999999999</v>
      </c>
      <c r="BJ702">
        <v>85.894199999999998</v>
      </c>
      <c r="BK702">
        <v>61.209099999999999</v>
      </c>
      <c r="BL702" t="s">
        <v>1461</v>
      </c>
      <c r="BM702">
        <v>48.614600000000003</v>
      </c>
      <c r="BN702" t="s">
        <v>1462</v>
      </c>
      <c r="BO702">
        <v>77.833799999999997</v>
      </c>
      <c r="BP702" t="s">
        <v>1463</v>
      </c>
      <c r="BQ702">
        <v>44.836300000000001</v>
      </c>
      <c r="BR702">
        <v>53.6524</v>
      </c>
      <c r="BS702">
        <v>54.66</v>
      </c>
      <c r="BW702">
        <v>35.516399999999997</v>
      </c>
      <c r="BX702">
        <v>49.622199999999999</v>
      </c>
      <c r="BZ702">
        <v>35.768300000000004</v>
      </c>
      <c r="CA702" t="s">
        <v>1464</v>
      </c>
      <c r="CK702">
        <v>5</v>
      </c>
      <c r="CL702" t="s">
        <v>4</v>
      </c>
      <c r="CM702" t="s">
        <v>1465</v>
      </c>
      <c r="CN702" t="s">
        <v>1466</v>
      </c>
      <c r="CO702" t="s">
        <v>1467</v>
      </c>
      <c r="CP702">
        <v>143</v>
      </c>
      <c r="CQ702" t="s">
        <v>100</v>
      </c>
      <c r="CR702" t="s">
        <v>100</v>
      </c>
      <c r="CS702" t="s">
        <v>101</v>
      </c>
      <c r="CT702" t="s">
        <v>100</v>
      </c>
      <c r="CU702" t="s">
        <v>102</v>
      </c>
      <c r="CV702" t="s">
        <v>100</v>
      </c>
    </row>
    <row r="703" spans="1:100">
      <c r="A703" s="3" t="s">
        <v>1468</v>
      </c>
      <c r="B703" s="4" t="s">
        <v>1469</v>
      </c>
      <c r="C703">
        <v>68.842780908002695</v>
      </c>
      <c r="D703">
        <v>9.9910098533122493</v>
      </c>
      <c r="E703">
        <v>2.7975263347093402</v>
      </c>
      <c r="F703">
        <v>4.5452680854355301E-3</v>
      </c>
      <c r="G703" t="s">
        <v>4</v>
      </c>
      <c r="H703">
        <v>68.842780908002695</v>
      </c>
      <c r="I703">
        <v>6.4800447918498101</v>
      </c>
      <c r="J703">
        <v>3.4008176392015699</v>
      </c>
      <c r="K703">
        <v>6.7135626148293103E-4</v>
      </c>
      <c r="L703" t="s">
        <v>4</v>
      </c>
      <c r="M703">
        <v>9.9910098533122493</v>
      </c>
      <c r="N703">
        <v>6.4800447918498101</v>
      </c>
      <c r="O703">
        <v>0.603291304492233</v>
      </c>
      <c r="P703">
        <v>0.61894485869321003</v>
      </c>
      <c r="Q703" t="s">
        <v>4</v>
      </c>
      <c r="R703" s="4" t="s">
        <v>87</v>
      </c>
      <c r="S703" t="s">
        <v>4</v>
      </c>
      <c r="T703" t="s">
        <v>1470</v>
      </c>
      <c r="U703" t="s">
        <v>1471</v>
      </c>
      <c r="V703" t="s">
        <v>1472</v>
      </c>
      <c r="W703" t="s">
        <v>507</v>
      </c>
      <c r="X703" t="s">
        <v>4</v>
      </c>
      <c r="Y703" t="s">
        <v>1473</v>
      </c>
      <c r="Z703" t="s">
        <v>1474</v>
      </c>
      <c r="AA703" t="s">
        <v>1475</v>
      </c>
      <c r="AB703" t="s">
        <v>4</v>
      </c>
      <c r="AC703" s="3" t="s">
        <v>1476</v>
      </c>
      <c r="AD703" t="s">
        <v>4</v>
      </c>
      <c r="AE703" t="s">
        <v>1477</v>
      </c>
      <c r="AF703" t="s">
        <v>1478</v>
      </c>
      <c r="AG703" t="s">
        <v>1479</v>
      </c>
      <c r="AH703" t="s">
        <v>638</v>
      </c>
      <c r="AK703" t="s">
        <v>1480</v>
      </c>
      <c r="AL703" t="s">
        <v>1481</v>
      </c>
      <c r="AM703" t="s">
        <v>1482</v>
      </c>
      <c r="AO703" t="s">
        <v>1483</v>
      </c>
      <c r="AP703" t="s">
        <v>1484</v>
      </c>
      <c r="AQ703" t="s">
        <v>1485</v>
      </c>
      <c r="AR703" t="s">
        <v>1486</v>
      </c>
      <c r="AU703" t="s">
        <v>112</v>
      </c>
      <c r="AV703" t="s">
        <v>1487</v>
      </c>
      <c r="AW703" t="s">
        <v>114</v>
      </c>
      <c r="AX703" t="s">
        <v>536</v>
      </c>
      <c r="AY703" t="s">
        <v>1488</v>
      </c>
      <c r="AZ703" t="s">
        <v>4</v>
      </c>
      <c r="BA703" s="3" t="s">
        <v>95</v>
      </c>
      <c r="BB703" s="6" t="s">
        <v>95</v>
      </c>
      <c r="BC703" s="3" t="s">
        <v>197</v>
      </c>
      <c r="BD703" t="s">
        <v>4</v>
      </c>
      <c r="BE703">
        <v>3733</v>
      </c>
      <c r="BF703" t="s">
        <v>112</v>
      </c>
      <c r="BG703">
        <v>98.795199999999994</v>
      </c>
      <c r="BH703">
        <v>100</v>
      </c>
      <c r="BI703" t="s">
        <v>1489</v>
      </c>
      <c r="BJ703">
        <v>44.277099999999997</v>
      </c>
      <c r="BK703">
        <v>65.361400000000003</v>
      </c>
      <c r="BL703">
        <v>69.277100000000004</v>
      </c>
      <c r="BM703">
        <v>71.385499999999993</v>
      </c>
      <c r="BN703">
        <v>75.903599999999997</v>
      </c>
      <c r="BP703">
        <v>44.8795</v>
      </c>
      <c r="BQ703">
        <v>42.168700000000001</v>
      </c>
      <c r="BR703">
        <v>44.277099999999997</v>
      </c>
      <c r="BW703">
        <v>43.072299999999998</v>
      </c>
      <c r="BX703">
        <v>44.578299999999999</v>
      </c>
      <c r="BZ703">
        <v>24.096399999999999</v>
      </c>
      <c r="CA703">
        <v>39.759</v>
      </c>
      <c r="CF703" t="s">
        <v>1490</v>
      </c>
      <c r="CG703" t="s">
        <v>1491</v>
      </c>
      <c r="CH703" t="s">
        <v>1492</v>
      </c>
      <c r="CI703" t="s">
        <v>1493</v>
      </c>
      <c r="CK703">
        <v>5</v>
      </c>
      <c r="CL703" t="s">
        <v>4</v>
      </c>
      <c r="CM703" t="s">
        <v>1494</v>
      </c>
      <c r="CN703" t="s">
        <v>1495</v>
      </c>
      <c r="CO703" t="s">
        <v>219</v>
      </c>
      <c r="CP703">
        <v>144</v>
      </c>
      <c r="CQ703" t="s">
        <v>100</v>
      </c>
      <c r="CR703" t="s">
        <v>100</v>
      </c>
      <c r="CS703" t="s">
        <v>101</v>
      </c>
      <c r="CT703" t="s">
        <v>100</v>
      </c>
      <c r="CU703" t="s">
        <v>102</v>
      </c>
      <c r="CV703" t="s">
        <v>100</v>
      </c>
    </row>
    <row r="704" spans="1:100">
      <c r="A704" s="3" t="s">
        <v>1496</v>
      </c>
      <c r="B704" s="4" t="s">
        <v>1497</v>
      </c>
      <c r="C704">
        <v>171.292634057387</v>
      </c>
      <c r="D704">
        <v>14.983040244971001</v>
      </c>
      <c r="E704">
        <v>3.53068614839479</v>
      </c>
      <c r="F704" s="5">
        <v>2.49114837862841E-5</v>
      </c>
      <c r="G704" t="s">
        <v>4</v>
      </c>
      <c r="H704">
        <v>171.292634057387</v>
      </c>
      <c r="I704">
        <v>18.355846238865102</v>
      </c>
      <c r="J704">
        <v>3.2190699803627298</v>
      </c>
      <c r="K704">
        <v>1.05089623547348E-4</v>
      </c>
      <c r="L704" t="s">
        <v>4</v>
      </c>
      <c r="M704">
        <v>14.983040244971001</v>
      </c>
      <c r="N704">
        <v>18.355846238865102</v>
      </c>
      <c r="O704">
        <f>0.311616168032054</f>
        <v>0.311616168032054</v>
      </c>
      <c r="P704">
        <v>0.76958489557995602</v>
      </c>
      <c r="Q704" t="s">
        <v>4</v>
      </c>
      <c r="R704" s="4" t="s">
        <v>87</v>
      </c>
      <c r="S704" t="s">
        <v>4</v>
      </c>
      <c r="T704" t="s">
        <v>360</v>
      </c>
      <c r="U704" t="s">
        <v>361</v>
      </c>
      <c r="V704" t="s">
        <v>362</v>
      </c>
      <c r="W704" t="s">
        <v>328</v>
      </c>
      <c r="X704" t="s">
        <v>4</v>
      </c>
      <c r="Y704" t="s">
        <v>994</v>
      </c>
      <c r="Z704" t="s">
        <v>995</v>
      </c>
      <c r="AA704" t="s">
        <v>996</v>
      </c>
      <c r="AB704" t="s">
        <v>4</v>
      </c>
      <c r="AC704" s="3" t="s">
        <v>1498</v>
      </c>
      <c r="AD704" t="s">
        <v>4</v>
      </c>
      <c r="AE704" t="s">
        <v>1499</v>
      </c>
      <c r="AF704" t="s">
        <v>1500</v>
      </c>
      <c r="AG704" t="s">
        <v>1501</v>
      </c>
      <c r="AH704" t="s">
        <v>112</v>
      </c>
      <c r="AJ704" t="s">
        <v>1502</v>
      </c>
      <c r="AU704" t="s">
        <v>112</v>
      </c>
      <c r="AV704" t="s">
        <v>1503</v>
      </c>
      <c r="AW704" t="s">
        <v>114</v>
      </c>
      <c r="AX704" t="s">
        <v>371</v>
      </c>
      <c r="AY704" t="s">
        <v>573</v>
      </c>
      <c r="AZ704" t="s">
        <v>4</v>
      </c>
      <c r="BA704" s="3" t="s">
        <v>95</v>
      </c>
      <c r="BB704" s="6" t="s">
        <v>95</v>
      </c>
      <c r="BC704" s="3" t="s">
        <v>95</v>
      </c>
      <c r="BD704" t="s">
        <v>4</v>
      </c>
      <c r="BE704">
        <v>7000</v>
      </c>
      <c r="BF704" t="s">
        <v>213</v>
      </c>
      <c r="BG704">
        <v>37.940399999999997</v>
      </c>
      <c r="BJ704">
        <v>23.848199999999999</v>
      </c>
      <c r="BL704">
        <v>22.764199999999999</v>
      </c>
      <c r="BN704">
        <v>80.216800000000006</v>
      </c>
      <c r="BO704">
        <v>35.230400000000003</v>
      </c>
      <c r="BP704">
        <v>23.0352</v>
      </c>
      <c r="BQ704">
        <v>23.848199999999999</v>
      </c>
      <c r="BR704">
        <v>25.474299999999999</v>
      </c>
      <c r="BS704">
        <v>23.848199999999999</v>
      </c>
      <c r="BU704">
        <v>21.138200000000001</v>
      </c>
      <c r="BV704" t="s">
        <v>1504</v>
      </c>
      <c r="BW704">
        <v>27.371300000000002</v>
      </c>
      <c r="BX704">
        <v>28.1843</v>
      </c>
      <c r="BY704">
        <v>30.6233</v>
      </c>
      <c r="BZ704">
        <v>23.0352</v>
      </c>
      <c r="CA704">
        <v>25.7453</v>
      </c>
      <c r="CC704" t="s">
        <v>1505</v>
      </c>
      <c r="CD704">
        <v>19.5122</v>
      </c>
      <c r="CE704">
        <v>20.054200000000002</v>
      </c>
      <c r="CF704">
        <v>19.5122</v>
      </c>
      <c r="CG704" t="s">
        <v>1506</v>
      </c>
      <c r="CH704" t="s">
        <v>1507</v>
      </c>
      <c r="CI704" t="s">
        <v>1508</v>
      </c>
      <c r="CK704">
        <v>8</v>
      </c>
      <c r="CL704" t="s">
        <v>4</v>
      </c>
      <c r="CM704" t="s">
        <v>1509</v>
      </c>
      <c r="CN704" t="s">
        <v>1510</v>
      </c>
      <c r="CO704" t="s">
        <v>99</v>
      </c>
      <c r="CP704">
        <v>145</v>
      </c>
      <c r="CQ704" t="s">
        <v>100</v>
      </c>
      <c r="CR704" t="s">
        <v>100</v>
      </c>
      <c r="CS704" t="s">
        <v>101</v>
      </c>
      <c r="CT704" t="s">
        <v>100</v>
      </c>
      <c r="CU704" t="s">
        <v>102</v>
      </c>
      <c r="CV704" t="s">
        <v>100</v>
      </c>
    </row>
    <row r="705" spans="1:100">
      <c r="A705" s="3" t="s">
        <v>1511</v>
      </c>
      <c r="B705" s="4" t="s">
        <v>1512</v>
      </c>
      <c r="C705">
        <v>65.875059521077105</v>
      </c>
      <c r="D705">
        <v>10.7750389456905</v>
      </c>
      <c r="E705">
        <v>2.6141973575212001</v>
      </c>
      <c r="F705" s="5">
        <v>5.9321157650705001E-6</v>
      </c>
      <c r="G705" t="s">
        <v>4</v>
      </c>
      <c r="H705">
        <v>65.875059521077105</v>
      </c>
      <c r="I705">
        <v>14.0013392742616</v>
      </c>
      <c r="J705">
        <v>2.2259901281027101</v>
      </c>
      <c r="K705">
        <v>1.2109381603703801E-4</v>
      </c>
      <c r="L705" t="s">
        <v>4</v>
      </c>
      <c r="M705">
        <v>10.7750389456905</v>
      </c>
      <c r="N705">
        <v>14.0013392742616</v>
      </c>
      <c r="O705">
        <f>0.388207229418488</f>
        <v>0.38820722941848801</v>
      </c>
      <c r="P705">
        <v>0.60063820815651603</v>
      </c>
      <c r="Q705" t="s">
        <v>4</v>
      </c>
      <c r="R705" s="4" t="s">
        <v>87</v>
      </c>
      <c r="S705" t="s">
        <v>4</v>
      </c>
      <c r="T705" t="s">
        <v>88</v>
      </c>
      <c r="U705" t="s">
        <v>89</v>
      </c>
      <c r="V705" t="s">
        <v>90</v>
      </c>
      <c r="W705" t="s">
        <v>91</v>
      </c>
      <c r="X705" t="s">
        <v>4</v>
      </c>
      <c r="Y705" t="s">
        <v>1513</v>
      </c>
      <c r="Z705" t="s">
        <v>1514</v>
      </c>
      <c r="AA705" t="s">
        <v>1515</v>
      </c>
      <c r="AB705" t="s">
        <v>4</v>
      </c>
      <c r="AC705" s="3" t="s">
        <v>93</v>
      </c>
      <c r="AD705" t="s">
        <v>4</v>
      </c>
      <c r="AE705" t="s">
        <v>1516</v>
      </c>
      <c r="AF705" t="s">
        <v>1517</v>
      </c>
      <c r="AG705" t="s">
        <v>1518</v>
      </c>
      <c r="AH705" t="s">
        <v>638</v>
      </c>
      <c r="AU705" t="s">
        <v>112</v>
      </c>
      <c r="AV705" t="s">
        <v>1519</v>
      </c>
      <c r="AW705" t="s">
        <v>114</v>
      </c>
      <c r="AZ705" t="s">
        <v>4</v>
      </c>
      <c r="BA705" s="3" t="s">
        <v>95</v>
      </c>
      <c r="BB705" t="s">
        <v>96</v>
      </c>
      <c r="BC705" s="3" t="s">
        <v>197</v>
      </c>
      <c r="BD705" t="s">
        <v>4</v>
      </c>
      <c r="BE705">
        <v>3789</v>
      </c>
      <c r="BF705" t="s">
        <v>112</v>
      </c>
      <c r="BG705">
        <v>85.793899999999994</v>
      </c>
      <c r="BH705">
        <v>89.136499999999998</v>
      </c>
      <c r="BK705">
        <v>50.139299999999999</v>
      </c>
      <c r="BM705">
        <v>61.281300000000002</v>
      </c>
      <c r="BN705">
        <v>58.7744</v>
      </c>
      <c r="BO705">
        <v>56.267400000000002</v>
      </c>
      <c r="BQ705">
        <v>24.7911</v>
      </c>
      <c r="BW705">
        <v>20.891400000000001</v>
      </c>
      <c r="BX705">
        <v>24.234000000000002</v>
      </c>
      <c r="BZ705">
        <v>26.183800000000002</v>
      </c>
      <c r="CA705" t="s">
        <v>1520</v>
      </c>
      <c r="CK705">
        <v>5</v>
      </c>
      <c r="CL705" t="s">
        <v>4</v>
      </c>
      <c r="CM705" t="s">
        <v>1521</v>
      </c>
      <c r="CN705" t="s">
        <v>1522</v>
      </c>
      <c r="CO705" t="s">
        <v>1523</v>
      </c>
      <c r="CP705">
        <v>146</v>
      </c>
      <c r="CQ705" t="s">
        <v>100</v>
      </c>
      <c r="CR705" t="s">
        <v>100</v>
      </c>
      <c r="CS705" t="s">
        <v>101</v>
      </c>
      <c r="CT705" t="s">
        <v>100</v>
      </c>
      <c r="CU705" t="s">
        <v>102</v>
      </c>
      <c r="CV705" t="s">
        <v>100</v>
      </c>
    </row>
    <row r="706" spans="1:100">
      <c r="A706" s="3" t="s">
        <v>1524</v>
      </c>
      <c r="B706" s="4" t="s">
        <v>1525</v>
      </c>
      <c r="C706">
        <v>36.054712357092697</v>
      </c>
      <c r="D706">
        <v>7.7792716092152103</v>
      </c>
      <c r="E706">
        <v>2.2410280674773602</v>
      </c>
      <c r="F706">
        <v>7.9767523072487995E-3</v>
      </c>
      <c r="G706" t="s">
        <v>4</v>
      </c>
      <c r="H706">
        <v>36.054712357092697</v>
      </c>
      <c r="I706">
        <v>6.9506902868107296</v>
      </c>
      <c r="J706">
        <v>2.4232105352144599</v>
      </c>
      <c r="K706">
        <v>4.8106662607121601E-3</v>
      </c>
      <c r="L706" t="s">
        <v>4</v>
      </c>
      <c r="M706">
        <v>7.7792716092152103</v>
      </c>
      <c r="N706">
        <v>6.9506902868107296</v>
      </c>
      <c r="O706">
        <v>0.18218246773709401</v>
      </c>
      <c r="P706">
        <v>0.87450859341988196</v>
      </c>
      <c r="Q706" t="s">
        <v>4</v>
      </c>
      <c r="R706" s="4" t="s">
        <v>87</v>
      </c>
      <c r="S706" t="s">
        <v>4</v>
      </c>
      <c r="T706" t="s">
        <v>1526</v>
      </c>
      <c r="U706" t="s">
        <v>1527</v>
      </c>
      <c r="V706" t="s">
        <v>1528</v>
      </c>
      <c r="W706" t="s">
        <v>328</v>
      </c>
      <c r="X706" t="s">
        <v>4</v>
      </c>
      <c r="Y706" t="s">
        <v>1529</v>
      </c>
      <c r="Z706" t="s">
        <v>1530</v>
      </c>
      <c r="AA706" t="s">
        <v>1531</v>
      </c>
      <c r="AB706" t="s">
        <v>4</v>
      </c>
      <c r="AC706" s="3" t="s">
        <v>1532</v>
      </c>
      <c r="AD706" t="s">
        <v>4</v>
      </c>
      <c r="AE706" t="s">
        <v>1533</v>
      </c>
      <c r="AF706" t="s">
        <v>1534</v>
      </c>
      <c r="AG706" t="s">
        <v>1535</v>
      </c>
      <c r="AH706" t="s">
        <v>112</v>
      </c>
      <c r="AJ706" t="s">
        <v>1536</v>
      </c>
      <c r="AU706" t="s">
        <v>112</v>
      </c>
      <c r="AV706" t="s">
        <v>1537</v>
      </c>
      <c r="AW706" t="s">
        <v>114</v>
      </c>
      <c r="AX706" t="s">
        <v>536</v>
      </c>
      <c r="AY706" t="s">
        <v>1538</v>
      </c>
      <c r="AZ706" t="s">
        <v>4</v>
      </c>
      <c r="BA706" s="3" t="s">
        <v>95</v>
      </c>
      <c r="BB706" s="6" t="s">
        <v>95</v>
      </c>
      <c r="BC706" s="3" t="s">
        <v>95</v>
      </c>
      <c r="BD706" t="s">
        <v>4</v>
      </c>
      <c r="BE706">
        <v>3790</v>
      </c>
      <c r="BF706" t="s">
        <v>112</v>
      </c>
      <c r="BG706" t="s">
        <v>1539</v>
      </c>
      <c r="BH706">
        <v>19.724799999999998</v>
      </c>
      <c r="BI706">
        <v>75.688100000000006</v>
      </c>
      <c r="BJ706">
        <v>62.538200000000003</v>
      </c>
      <c r="BK706">
        <v>60.856299999999997</v>
      </c>
      <c r="BM706">
        <v>8.7156000000000002</v>
      </c>
      <c r="BN706">
        <v>54.893000000000001</v>
      </c>
      <c r="BP706">
        <v>46.636099999999999</v>
      </c>
      <c r="BQ706">
        <v>39.755400000000002</v>
      </c>
      <c r="BR706">
        <v>40.5199</v>
      </c>
      <c r="BS706" t="s">
        <v>1540</v>
      </c>
      <c r="BT706" t="s">
        <v>1541</v>
      </c>
      <c r="BV706" t="s">
        <v>1542</v>
      </c>
      <c r="BW706">
        <v>39.755400000000002</v>
      </c>
      <c r="BX706">
        <v>45.259900000000002</v>
      </c>
      <c r="BY706">
        <v>9.0214099999999995</v>
      </c>
      <c r="BZ706" t="s">
        <v>1543</v>
      </c>
      <c r="CA706">
        <v>42.813499999999998</v>
      </c>
      <c r="CF706" t="s">
        <v>1544</v>
      </c>
      <c r="CG706" t="s">
        <v>1545</v>
      </c>
      <c r="CH706" t="s">
        <v>1546</v>
      </c>
      <c r="CI706" t="s">
        <v>1547</v>
      </c>
      <c r="CK706">
        <v>5</v>
      </c>
      <c r="CL706" t="s">
        <v>4</v>
      </c>
      <c r="CM706" t="s">
        <v>1548</v>
      </c>
      <c r="CN706" t="s">
        <v>1549</v>
      </c>
      <c r="CO706" t="s">
        <v>1218</v>
      </c>
      <c r="CP706">
        <v>147</v>
      </c>
      <c r="CQ706" t="s">
        <v>100</v>
      </c>
      <c r="CR706" t="s">
        <v>100</v>
      </c>
      <c r="CS706" t="s">
        <v>101</v>
      </c>
      <c r="CT706" t="s">
        <v>100</v>
      </c>
      <c r="CU706" t="s">
        <v>102</v>
      </c>
      <c r="CV706" t="s">
        <v>100</v>
      </c>
    </row>
    <row r="707" spans="1:100">
      <c r="A707" s="3" t="s">
        <v>1550</v>
      </c>
      <c r="B707" s="4" t="s">
        <v>1551</v>
      </c>
      <c r="C707">
        <v>87.834956622375103</v>
      </c>
      <c r="D707">
        <v>14.5111756540333</v>
      </c>
      <c r="E707">
        <v>2.6091008093965402</v>
      </c>
      <c r="F707">
        <v>1.11176181415761E-3</v>
      </c>
      <c r="G707" t="s">
        <v>4</v>
      </c>
      <c r="H707">
        <v>87.834956622375103</v>
      </c>
      <c r="I707">
        <v>10.3688355084716</v>
      </c>
      <c r="J707">
        <v>3.0891581250551798</v>
      </c>
      <c r="K707">
        <v>1.34117768165606E-4</v>
      </c>
      <c r="L707" t="s">
        <v>4</v>
      </c>
      <c r="M707">
        <v>14.5111756540333</v>
      </c>
      <c r="N707">
        <v>10.3688355084716</v>
      </c>
      <c r="O707">
        <v>0.48005731565864901</v>
      </c>
      <c r="P707">
        <v>0.62862922711973801</v>
      </c>
      <c r="Q707" t="s">
        <v>4</v>
      </c>
      <c r="R707" s="4" t="s">
        <v>87</v>
      </c>
      <c r="S707" t="s">
        <v>4</v>
      </c>
      <c r="T707" t="s">
        <v>1552</v>
      </c>
      <c r="U707" t="s">
        <v>1553</v>
      </c>
      <c r="V707" t="s">
        <v>1554</v>
      </c>
      <c r="W707" t="s">
        <v>328</v>
      </c>
      <c r="X707" t="s">
        <v>4</v>
      </c>
      <c r="Y707" t="s">
        <v>1555</v>
      </c>
      <c r="Z707" t="s">
        <v>1556</v>
      </c>
      <c r="AA707" t="s">
        <v>1557</v>
      </c>
      <c r="AB707" t="s">
        <v>4</v>
      </c>
      <c r="AC707" s="3" t="s">
        <v>1558</v>
      </c>
      <c r="AD707" t="s">
        <v>4</v>
      </c>
      <c r="AE707" t="s">
        <v>1559</v>
      </c>
      <c r="AF707" t="s">
        <v>1560</v>
      </c>
      <c r="AG707" t="s">
        <v>1561</v>
      </c>
      <c r="AH707" t="s">
        <v>112</v>
      </c>
      <c r="AU707" t="s">
        <v>112</v>
      </c>
      <c r="AV707" t="s">
        <v>1562</v>
      </c>
      <c r="AW707" t="s">
        <v>114</v>
      </c>
      <c r="AX707" t="s">
        <v>144</v>
      </c>
      <c r="AY707" t="s">
        <v>1563</v>
      </c>
      <c r="AZ707" t="s">
        <v>4</v>
      </c>
      <c r="BA707" s="3" t="s">
        <v>95</v>
      </c>
      <c r="BB707" t="s">
        <v>96</v>
      </c>
      <c r="BC707" s="3" t="s">
        <v>782</v>
      </c>
      <c r="BD707" t="s">
        <v>4</v>
      </c>
      <c r="BE707">
        <v>4986</v>
      </c>
      <c r="BF707" t="s">
        <v>282</v>
      </c>
      <c r="BH707">
        <v>99.430199999999999</v>
      </c>
      <c r="BI707">
        <v>90.598299999999995</v>
      </c>
      <c r="BJ707">
        <v>93.162400000000005</v>
      </c>
      <c r="BK707">
        <v>85.754999999999995</v>
      </c>
      <c r="BM707">
        <v>86.039900000000003</v>
      </c>
      <c r="BN707">
        <v>90.028499999999994</v>
      </c>
      <c r="BP707">
        <v>60.398899999999998</v>
      </c>
      <c r="BQ707">
        <v>31.623899999999999</v>
      </c>
      <c r="BR707">
        <v>15.384600000000001</v>
      </c>
      <c r="BS707">
        <v>25.640999999999998</v>
      </c>
      <c r="BT707">
        <v>10.5413</v>
      </c>
      <c r="BU707">
        <v>30.769200000000001</v>
      </c>
      <c r="BV707" t="s">
        <v>1564</v>
      </c>
      <c r="BW707">
        <v>27.0655</v>
      </c>
      <c r="BX707">
        <v>29.9145</v>
      </c>
      <c r="BY707">
        <v>6.2678099999999999</v>
      </c>
      <c r="BZ707">
        <v>23.9316</v>
      </c>
      <c r="CA707">
        <v>29.3447</v>
      </c>
      <c r="CD707" t="s">
        <v>1565</v>
      </c>
      <c r="CK707">
        <v>6</v>
      </c>
      <c r="CL707" t="s">
        <v>4</v>
      </c>
      <c r="CM707" t="s">
        <v>1566</v>
      </c>
      <c r="CN707" t="s">
        <v>1567</v>
      </c>
      <c r="CO707" t="s">
        <v>99</v>
      </c>
      <c r="CP707">
        <v>148</v>
      </c>
      <c r="CQ707" t="s">
        <v>100</v>
      </c>
      <c r="CR707" t="s">
        <v>100</v>
      </c>
      <c r="CS707" t="s">
        <v>101</v>
      </c>
      <c r="CT707" t="s">
        <v>100</v>
      </c>
      <c r="CU707" t="s">
        <v>102</v>
      </c>
      <c r="CV707" t="s">
        <v>100</v>
      </c>
    </row>
    <row r="708" spans="1:100">
      <c r="A708" s="3" t="s">
        <v>1568</v>
      </c>
      <c r="B708" s="4" t="s">
        <v>1569</v>
      </c>
      <c r="C708">
        <v>54.214281196835003</v>
      </c>
      <c r="D708">
        <v>6.0040145656549102</v>
      </c>
      <c r="E708">
        <v>3.1738458984551601</v>
      </c>
      <c r="F708">
        <v>3.0952995765091003E-4</v>
      </c>
      <c r="G708" t="s">
        <v>4</v>
      </c>
      <c r="H708">
        <v>54.214281196835003</v>
      </c>
      <c r="I708">
        <v>8.5490089626674592</v>
      </c>
      <c r="J708">
        <v>2.70262769659089</v>
      </c>
      <c r="K708">
        <v>1.9207460861591899E-3</v>
      </c>
      <c r="L708" t="s">
        <v>4</v>
      </c>
      <c r="M708">
        <v>6.0040145656549102</v>
      </c>
      <c r="N708">
        <v>8.5490089626674592</v>
      </c>
      <c r="O708">
        <f>0.471218201864269</f>
        <v>0.47121820186426899</v>
      </c>
      <c r="P708">
        <v>0.67060367997718096</v>
      </c>
      <c r="Q708" t="s">
        <v>4</v>
      </c>
      <c r="R708" s="4" t="s">
        <v>87</v>
      </c>
      <c r="S708" t="s">
        <v>4</v>
      </c>
      <c r="T708" t="s">
        <v>1570</v>
      </c>
      <c r="U708" t="s">
        <v>1571</v>
      </c>
      <c r="V708" t="s">
        <v>1572</v>
      </c>
      <c r="W708" t="s">
        <v>328</v>
      </c>
      <c r="X708" t="s">
        <v>4</v>
      </c>
      <c r="Y708" t="s">
        <v>1573</v>
      </c>
      <c r="Z708" t="s">
        <v>1574</v>
      </c>
      <c r="AA708" t="s">
        <v>1575</v>
      </c>
      <c r="AB708" t="s">
        <v>4</v>
      </c>
      <c r="AC708" s="3" t="s">
        <v>1576</v>
      </c>
      <c r="AD708" t="s">
        <v>4</v>
      </c>
      <c r="AE708" t="s">
        <v>1577</v>
      </c>
      <c r="AF708" t="s">
        <v>1578</v>
      </c>
      <c r="AG708" t="s">
        <v>1579</v>
      </c>
      <c r="AH708" t="s">
        <v>112</v>
      </c>
      <c r="AI708" t="s">
        <v>1580</v>
      </c>
      <c r="AJ708" t="s">
        <v>1581</v>
      </c>
      <c r="AL708" t="s">
        <v>1582</v>
      </c>
      <c r="AM708" t="s">
        <v>1583</v>
      </c>
      <c r="AQ708" t="s">
        <v>1584</v>
      </c>
      <c r="AU708" t="s">
        <v>112</v>
      </c>
      <c r="AV708" t="s">
        <v>1585</v>
      </c>
      <c r="AW708" t="s">
        <v>114</v>
      </c>
      <c r="AX708" t="s">
        <v>371</v>
      </c>
      <c r="AY708" t="s">
        <v>1586</v>
      </c>
      <c r="AZ708" t="s">
        <v>4</v>
      </c>
      <c r="BA708" s="3" t="s">
        <v>95</v>
      </c>
      <c r="BB708" s="6" t="s">
        <v>95</v>
      </c>
      <c r="BC708" s="3" t="s">
        <v>95</v>
      </c>
      <c r="BD708" t="s">
        <v>4</v>
      </c>
      <c r="BE708">
        <v>7139</v>
      </c>
      <c r="BF708" t="s">
        <v>213</v>
      </c>
      <c r="BG708">
        <v>50.427300000000002</v>
      </c>
      <c r="BH708">
        <v>50.712200000000003</v>
      </c>
      <c r="BI708">
        <v>96.296300000000002</v>
      </c>
      <c r="BJ708">
        <v>50.427300000000002</v>
      </c>
      <c r="BK708">
        <v>76.068399999999997</v>
      </c>
      <c r="BL708">
        <v>48.7179</v>
      </c>
      <c r="BM708">
        <v>49.002800000000001</v>
      </c>
      <c r="BN708">
        <v>51.851900000000001</v>
      </c>
      <c r="BO708">
        <v>85.185199999999995</v>
      </c>
      <c r="BP708">
        <v>46.723599999999998</v>
      </c>
      <c r="BQ708">
        <v>41.595399999999998</v>
      </c>
      <c r="BR708">
        <v>38.746400000000001</v>
      </c>
      <c r="BS708">
        <v>32.1937</v>
      </c>
      <c r="BY708">
        <v>29.3447</v>
      </c>
      <c r="CC708">
        <v>25.356100000000001</v>
      </c>
      <c r="CD708">
        <v>28.774899999999999</v>
      </c>
      <c r="CG708" t="s">
        <v>1587</v>
      </c>
      <c r="CH708" t="s">
        <v>1588</v>
      </c>
      <c r="CI708" t="s">
        <v>1589</v>
      </c>
      <c r="CK708">
        <v>8</v>
      </c>
      <c r="CL708" t="s">
        <v>4</v>
      </c>
      <c r="CM708" t="s">
        <v>98</v>
      </c>
      <c r="CN708" t="s">
        <v>98</v>
      </c>
      <c r="CO708" t="s">
        <v>99</v>
      </c>
      <c r="CP708">
        <v>149</v>
      </c>
      <c r="CQ708" t="s">
        <v>100</v>
      </c>
      <c r="CR708" t="s">
        <v>100</v>
      </c>
      <c r="CS708" t="s">
        <v>101</v>
      </c>
      <c r="CT708" t="s">
        <v>100</v>
      </c>
      <c r="CU708" t="s">
        <v>102</v>
      </c>
      <c r="CV708" t="s">
        <v>100</v>
      </c>
    </row>
    <row r="709" spans="1:100">
      <c r="A709" s="3" t="s">
        <v>1590</v>
      </c>
      <c r="B709" s="4" t="s">
        <v>1591</v>
      </c>
      <c r="C709">
        <v>349.18385648080698</v>
      </c>
      <c r="D709">
        <v>31.2574354698985</v>
      </c>
      <c r="E709">
        <v>3.4840920449341199</v>
      </c>
      <c r="F709" s="5">
        <v>2.6427249449446501E-5</v>
      </c>
      <c r="G709" t="s">
        <v>4</v>
      </c>
      <c r="H709">
        <v>349.18385648080698</v>
      </c>
      <c r="I709">
        <v>33.554763453880398</v>
      </c>
      <c r="J709">
        <v>3.3865008923937001</v>
      </c>
      <c r="K709" s="5">
        <v>3.4730670713124703E-5</v>
      </c>
      <c r="L709" t="s">
        <v>4</v>
      </c>
      <c r="M709">
        <v>31.2574354698985</v>
      </c>
      <c r="N709">
        <v>33.554763453880398</v>
      </c>
      <c r="O709">
        <f>0.0975911525404225</f>
        <v>9.7591152540422499E-2</v>
      </c>
      <c r="P709">
        <v>0.93128017484501802</v>
      </c>
      <c r="Q709" t="s">
        <v>4</v>
      </c>
      <c r="R709" s="4" t="s">
        <v>87</v>
      </c>
      <c r="S709" t="s">
        <v>4</v>
      </c>
      <c r="T709" t="s">
        <v>92</v>
      </c>
      <c r="U709" t="s">
        <v>92</v>
      </c>
      <c r="V709" t="s">
        <v>92</v>
      </c>
      <c r="W709" t="s">
        <v>92</v>
      </c>
      <c r="X709" t="s">
        <v>4</v>
      </c>
      <c r="Y709" t="s">
        <v>1592</v>
      </c>
      <c r="Z709" t="s">
        <v>1593</v>
      </c>
      <c r="AA709" t="s">
        <v>1594</v>
      </c>
      <c r="AB709" t="s">
        <v>4</v>
      </c>
      <c r="AC709" s="3" t="s">
        <v>1595</v>
      </c>
      <c r="AD709" t="s">
        <v>4</v>
      </c>
      <c r="AE709" t="s">
        <v>1596</v>
      </c>
      <c r="AF709" t="s">
        <v>1597</v>
      </c>
      <c r="AG709" t="s">
        <v>1598</v>
      </c>
      <c r="AH709" t="s">
        <v>1599</v>
      </c>
      <c r="AU709" t="s">
        <v>112</v>
      </c>
      <c r="AV709" t="s">
        <v>1600</v>
      </c>
      <c r="AW709" t="s">
        <v>114</v>
      </c>
      <c r="AX709" t="s">
        <v>132</v>
      </c>
      <c r="AY709" t="s">
        <v>1601</v>
      </c>
      <c r="AZ709" t="s">
        <v>4</v>
      </c>
      <c r="BA709" s="3" t="s">
        <v>95</v>
      </c>
      <c r="BB709" s="6" t="s">
        <v>95</v>
      </c>
      <c r="BC709" s="3" t="s">
        <v>197</v>
      </c>
      <c r="BD709" t="s">
        <v>4</v>
      </c>
      <c r="BE709">
        <v>1910</v>
      </c>
      <c r="BF709" t="s">
        <v>148</v>
      </c>
      <c r="BG709">
        <v>73.887200000000007</v>
      </c>
      <c r="BH709" t="s">
        <v>1602</v>
      </c>
      <c r="BI709">
        <v>16.320499999999999</v>
      </c>
      <c r="BJ709">
        <v>8.4569700000000001</v>
      </c>
      <c r="CK709">
        <v>3</v>
      </c>
      <c r="CL709" t="s">
        <v>4</v>
      </c>
      <c r="CM709" t="s">
        <v>98</v>
      </c>
      <c r="CN709" t="s">
        <v>98</v>
      </c>
      <c r="CO709" t="s">
        <v>99</v>
      </c>
      <c r="CP709">
        <v>150</v>
      </c>
      <c r="CQ709" t="s">
        <v>100</v>
      </c>
      <c r="CR709" t="s">
        <v>100</v>
      </c>
      <c r="CS709" t="s">
        <v>101</v>
      </c>
      <c r="CT709" t="s">
        <v>100</v>
      </c>
      <c r="CU709" t="s">
        <v>102</v>
      </c>
      <c r="CV709" t="s">
        <v>100</v>
      </c>
    </row>
    <row r="710" spans="1:100">
      <c r="A710" s="3" t="s">
        <v>1603</v>
      </c>
      <c r="B710" s="4" t="s">
        <v>1604</v>
      </c>
      <c r="C710">
        <v>74.660961481024898</v>
      </c>
      <c r="D710">
        <v>12.3258154426302</v>
      </c>
      <c r="E710">
        <v>2.6137197967817798</v>
      </c>
      <c r="F710" s="5">
        <v>2.8071154297023201E-6</v>
      </c>
      <c r="G710" t="s">
        <v>4</v>
      </c>
      <c r="H710">
        <v>74.660961481024898</v>
      </c>
      <c r="I710">
        <v>12.952940257881201</v>
      </c>
      <c r="J710">
        <v>2.55439340635332</v>
      </c>
      <c r="K710" s="5">
        <v>7.7794424981424093E-6</v>
      </c>
      <c r="L710" t="s">
        <v>4</v>
      </c>
      <c r="M710">
        <v>12.3258154426302</v>
      </c>
      <c r="N710">
        <v>12.952940257881201</v>
      </c>
      <c r="O710">
        <f>0.0593263904284628</f>
        <v>5.93263904284628E-2</v>
      </c>
      <c r="P710">
        <v>0.943435595286919</v>
      </c>
      <c r="Q710" t="s">
        <v>4</v>
      </c>
      <c r="R710" s="4" t="s">
        <v>87</v>
      </c>
      <c r="S710" t="s">
        <v>4</v>
      </c>
      <c r="T710" t="s">
        <v>88</v>
      </c>
      <c r="U710" t="s">
        <v>89</v>
      </c>
      <c r="V710" t="s">
        <v>90</v>
      </c>
      <c r="W710" t="s">
        <v>91</v>
      </c>
      <c r="X710" t="s">
        <v>4</v>
      </c>
      <c r="Y710" t="s">
        <v>1605</v>
      </c>
      <c r="Z710" t="s">
        <v>1606</v>
      </c>
      <c r="AA710" t="s">
        <v>1607</v>
      </c>
      <c r="AB710" t="s">
        <v>4</v>
      </c>
      <c r="AC710" s="3" t="s">
        <v>1608</v>
      </c>
      <c r="AD710" t="s">
        <v>4</v>
      </c>
      <c r="AE710" t="s">
        <v>1609</v>
      </c>
      <c r="AF710" t="s">
        <v>1610</v>
      </c>
      <c r="AG710" t="s">
        <v>1611</v>
      </c>
      <c r="AH710" t="s">
        <v>112</v>
      </c>
      <c r="AU710" t="s">
        <v>112</v>
      </c>
      <c r="AV710" t="s">
        <v>1612</v>
      </c>
      <c r="AW710" t="s">
        <v>114</v>
      </c>
      <c r="AX710" t="s">
        <v>144</v>
      </c>
      <c r="AY710" t="s">
        <v>1613</v>
      </c>
      <c r="AZ710" t="s">
        <v>4</v>
      </c>
      <c r="BA710" s="3" t="s">
        <v>95</v>
      </c>
      <c r="BB710" t="s">
        <v>96</v>
      </c>
      <c r="BC710" s="3" t="s">
        <v>95</v>
      </c>
      <c r="BD710" t="s">
        <v>4</v>
      </c>
      <c r="BE710">
        <v>1157</v>
      </c>
      <c r="BF710" t="s">
        <v>151</v>
      </c>
      <c r="BG710">
        <v>84.282899999999998</v>
      </c>
      <c r="BH710">
        <v>68.369399999999999</v>
      </c>
      <c r="BI710">
        <v>77.2102</v>
      </c>
      <c r="BJ710">
        <v>27.111999999999998</v>
      </c>
      <c r="BK710">
        <v>48.330100000000002</v>
      </c>
      <c r="BL710">
        <v>16.5029</v>
      </c>
      <c r="BM710">
        <v>20.825099999999999</v>
      </c>
      <c r="BN710">
        <v>42.043199999999999</v>
      </c>
      <c r="BO710">
        <v>49.705300000000001</v>
      </c>
      <c r="CK710">
        <v>2</v>
      </c>
      <c r="CL710" t="s">
        <v>4</v>
      </c>
      <c r="CM710" t="s">
        <v>98</v>
      </c>
      <c r="CN710" t="s">
        <v>98</v>
      </c>
      <c r="CO710" t="s">
        <v>99</v>
      </c>
      <c r="CP710">
        <v>151</v>
      </c>
      <c r="CQ710" t="s">
        <v>100</v>
      </c>
      <c r="CR710" t="s">
        <v>100</v>
      </c>
      <c r="CS710" t="s">
        <v>101</v>
      </c>
      <c r="CT710" t="s">
        <v>100</v>
      </c>
      <c r="CU710" t="s">
        <v>102</v>
      </c>
      <c r="CV710" t="s">
        <v>100</v>
      </c>
    </row>
    <row r="711" spans="1:100">
      <c r="A711" s="3" t="s">
        <v>1614</v>
      </c>
      <c r="B711" s="4" t="s">
        <v>1615</v>
      </c>
      <c r="C711">
        <v>373.70226642349201</v>
      </c>
      <c r="D711">
        <v>83.472775483350205</v>
      </c>
      <c r="E711">
        <v>2.1601712280863001</v>
      </c>
      <c r="F711" s="5">
        <v>2.62008292384333E-12</v>
      </c>
      <c r="G711" t="s">
        <v>4</v>
      </c>
      <c r="H711">
        <v>373.70226642349201</v>
      </c>
      <c r="I711">
        <v>88.875463109925803</v>
      </c>
      <c r="J711">
        <v>2.0718822467512998</v>
      </c>
      <c r="K711" s="5">
        <v>2.30768809625942E-11</v>
      </c>
      <c r="L711" t="s">
        <v>4</v>
      </c>
      <c r="M711">
        <v>83.472775483350205</v>
      </c>
      <c r="N711">
        <v>88.875463109925803</v>
      </c>
      <c r="O711">
        <f>0.0882889813350019</f>
        <v>8.8288981335001904E-2</v>
      </c>
      <c r="P711">
        <v>0.83417405315915005</v>
      </c>
      <c r="Q711" t="s">
        <v>4</v>
      </c>
      <c r="R711" s="4" t="s">
        <v>87</v>
      </c>
      <c r="S711" t="s">
        <v>4</v>
      </c>
      <c r="T711" t="s">
        <v>1616</v>
      </c>
      <c r="U711" t="s">
        <v>1617</v>
      </c>
      <c r="V711" t="s">
        <v>1618</v>
      </c>
      <c r="W711" t="s">
        <v>123</v>
      </c>
      <c r="X711" t="s">
        <v>4</v>
      </c>
      <c r="Y711" t="s">
        <v>1619</v>
      </c>
      <c r="Z711" t="s">
        <v>1620</v>
      </c>
      <c r="AA711" t="s">
        <v>1621</v>
      </c>
      <c r="AB711" t="s">
        <v>4</v>
      </c>
      <c r="AC711" s="3" t="s">
        <v>1622</v>
      </c>
      <c r="AD711" t="s">
        <v>4</v>
      </c>
      <c r="AE711" t="s">
        <v>1623</v>
      </c>
      <c r="AF711" t="s">
        <v>1624</v>
      </c>
      <c r="AG711" t="s">
        <v>1625</v>
      </c>
      <c r="AH711" t="s">
        <v>112</v>
      </c>
      <c r="AK711" t="s">
        <v>1626</v>
      </c>
      <c r="AL711" t="s">
        <v>1627</v>
      </c>
      <c r="AM711" t="s">
        <v>1628</v>
      </c>
      <c r="AO711" t="s">
        <v>1629</v>
      </c>
      <c r="AP711" t="s">
        <v>1630</v>
      </c>
      <c r="AQ711" t="s">
        <v>342</v>
      </c>
      <c r="AU711" t="s">
        <v>112</v>
      </c>
      <c r="AV711" t="s">
        <v>1631</v>
      </c>
      <c r="AW711" t="s">
        <v>114</v>
      </c>
      <c r="AX711" t="s">
        <v>909</v>
      </c>
      <c r="AY711" t="s">
        <v>1632</v>
      </c>
      <c r="AZ711" t="s">
        <v>4</v>
      </c>
      <c r="BA711" s="3" t="s">
        <v>95</v>
      </c>
      <c r="BB711" s="6" t="s">
        <v>95</v>
      </c>
      <c r="BC711" s="3" t="s">
        <v>95</v>
      </c>
      <c r="BD711" t="s">
        <v>4</v>
      </c>
      <c r="BE711">
        <v>7268</v>
      </c>
      <c r="BF711" t="s">
        <v>213</v>
      </c>
      <c r="BG711">
        <v>99.679500000000004</v>
      </c>
      <c r="BH711">
        <v>55.769199999999998</v>
      </c>
      <c r="BI711">
        <v>98.7179</v>
      </c>
      <c r="BK711">
        <v>89.743600000000001</v>
      </c>
      <c r="BL711">
        <v>63.7821</v>
      </c>
      <c r="BM711">
        <v>89.423100000000005</v>
      </c>
      <c r="BN711">
        <v>89.423100000000005</v>
      </c>
      <c r="BO711">
        <v>91.025599999999997</v>
      </c>
      <c r="BP711">
        <v>47.115400000000001</v>
      </c>
      <c r="BQ711">
        <v>45.833300000000001</v>
      </c>
      <c r="BR711">
        <v>50.320500000000003</v>
      </c>
      <c r="BU711" t="s">
        <v>1633</v>
      </c>
      <c r="BV711" t="s">
        <v>1634</v>
      </c>
      <c r="BW711">
        <v>44.551299999999998</v>
      </c>
      <c r="BX711">
        <v>46.794899999999998</v>
      </c>
      <c r="BY711">
        <v>33.653799999999997</v>
      </c>
      <c r="BZ711">
        <v>46.153799999999997</v>
      </c>
      <c r="CA711">
        <v>47.115400000000001</v>
      </c>
      <c r="CF711">
        <v>9.2948699999999995</v>
      </c>
      <c r="CG711" t="s">
        <v>1635</v>
      </c>
      <c r="CH711" t="s">
        <v>1636</v>
      </c>
      <c r="CI711" t="s">
        <v>1637</v>
      </c>
      <c r="CK711">
        <v>8</v>
      </c>
      <c r="CL711" t="s">
        <v>4</v>
      </c>
      <c r="CM711" t="s">
        <v>1638</v>
      </c>
      <c r="CN711" t="s">
        <v>1639</v>
      </c>
      <c r="CO711" t="s">
        <v>99</v>
      </c>
      <c r="CP711">
        <v>152</v>
      </c>
      <c r="CQ711" t="s">
        <v>100</v>
      </c>
      <c r="CR711" t="s">
        <v>100</v>
      </c>
      <c r="CS711" t="s">
        <v>101</v>
      </c>
      <c r="CT711" t="s">
        <v>100</v>
      </c>
      <c r="CU711" t="s">
        <v>102</v>
      </c>
      <c r="CV711" t="s">
        <v>100</v>
      </c>
    </row>
    <row r="712" spans="1:100">
      <c r="A712" s="3" t="s">
        <v>1640</v>
      </c>
      <c r="B712" s="4" t="s">
        <v>1641</v>
      </c>
      <c r="C712">
        <v>38.991603470172997</v>
      </c>
      <c r="D712">
        <v>6.4957505393300803</v>
      </c>
      <c r="E712">
        <v>2.59835003818083</v>
      </c>
      <c r="F712">
        <v>1.0012658911265401E-3</v>
      </c>
      <c r="G712" t="s">
        <v>4</v>
      </c>
      <c r="H712">
        <v>38.991603470172997</v>
      </c>
      <c r="I712">
        <v>3.0992453280015</v>
      </c>
      <c r="J712">
        <v>3.6243612210032401</v>
      </c>
      <c r="K712" s="5">
        <v>5.8753585370543797E-5</v>
      </c>
      <c r="L712" t="s">
        <v>4</v>
      </c>
      <c r="M712">
        <v>6.4957505393300803</v>
      </c>
      <c r="N712">
        <v>3.0992453280015</v>
      </c>
      <c r="O712">
        <v>1.0260111828224101</v>
      </c>
      <c r="P712">
        <v>0.334298479872909</v>
      </c>
      <c r="Q712" t="s">
        <v>4</v>
      </c>
      <c r="R712" s="4" t="s">
        <v>87</v>
      </c>
      <c r="S712" t="s">
        <v>4</v>
      </c>
      <c r="T712" t="s">
        <v>200</v>
      </c>
      <c r="U712" t="s">
        <v>201</v>
      </c>
      <c r="V712" t="s">
        <v>202</v>
      </c>
      <c r="W712" t="s">
        <v>203</v>
      </c>
      <c r="X712" t="s">
        <v>4</v>
      </c>
      <c r="Y712" t="s">
        <v>204</v>
      </c>
      <c r="Z712" t="s">
        <v>205</v>
      </c>
      <c r="AA712" t="s">
        <v>206</v>
      </c>
      <c r="AB712" t="s">
        <v>4</v>
      </c>
      <c r="AC712" s="3" t="s">
        <v>207</v>
      </c>
      <c r="AD712" t="s">
        <v>4</v>
      </c>
      <c r="AE712" t="s">
        <v>1642</v>
      </c>
      <c r="AF712" t="s">
        <v>1643</v>
      </c>
      <c r="AG712" t="s">
        <v>1644</v>
      </c>
      <c r="AH712" t="s">
        <v>112</v>
      </c>
      <c r="AK712" t="s">
        <v>163</v>
      </c>
      <c r="AL712" t="s">
        <v>1645</v>
      </c>
      <c r="AQ712" t="s">
        <v>165</v>
      </c>
      <c r="AU712" t="s">
        <v>112</v>
      </c>
      <c r="AV712" t="s">
        <v>1646</v>
      </c>
      <c r="AW712" t="s">
        <v>114</v>
      </c>
      <c r="AX712" t="s">
        <v>132</v>
      </c>
      <c r="AY712" t="s">
        <v>212</v>
      </c>
      <c r="AZ712" t="s">
        <v>4</v>
      </c>
      <c r="BA712" s="3" t="s">
        <v>95</v>
      </c>
      <c r="BB712" s="6" t="s">
        <v>95</v>
      </c>
      <c r="BC712" s="3" t="s">
        <v>95</v>
      </c>
      <c r="BD712" t="s">
        <v>4</v>
      </c>
      <c r="BE712">
        <v>7288</v>
      </c>
      <c r="BF712" t="s">
        <v>213</v>
      </c>
      <c r="BG712">
        <v>96.296300000000002</v>
      </c>
      <c r="BH712">
        <v>49.002800000000001</v>
      </c>
      <c r="BJ712">
        <v>54.131100000000004</v>
      </c>
      <c r="BK712">
        <v>71.225099999999998</v>
      </c>
      <c r="BL712">
        <v>40.740699999999997</v>
      </c>
      <c r="BM712">
        <v>83.190899999999999</v>
      </c>
      <c r="BN712">
        <v>84.045599999999993</v>
      </c>
      <c r="BO712">
        <v>82.051299999999998</v>
      </c>
      <c r="BP712">
        <v>55.270699999999998</v>
      </c>
      <c r="BQ712">
        <v>21.6524</v>
      </c>
      <c r="BR712">
        <v>28.774899999999999</v>
      </c>
      <c r="BT712">
        <v>33.048400000000001</v>
      </c>
      <c r="BV712">
        <v>35.612499999999997</v>
      </c>
      <c r="BX712">
        <v>42.165199999999999</v>
      </c>
      <c r="BY712">
        <v>34.757800000000003</v>
      </c>
      <c r="BZ712">
        <v>21.6524</v>
      </c>
      <c r="CA712">
        <v>37.321899999999999</v>
      </c>
      <c r="CG712" t="s">
        <v>1647</v>
      </c>
      <c r="CH712" t="s">
        <v>1648</v>
      </c>
      <c r="CI712" t="s">
        <v>1649</v>
      </c>
      <c r="CJ712" t="s">
        <v>1650</v>
      </c>
      <c r="CK712">
        <v>8</v>
      </c>
      <c r="CL712" t="s">
        <v>4</v>
      </c>
      <c r="CM712" t="s">
        <v>1651</v>
      </c>
      <c r="CN712" t="s">
        <v>1652</v>
      </c>
      <c r="CO712" t="s">
        <v>663</v>
      </c>
      <c r="CP712">
        <v>153</v>
      </c>
      <c r="CQ712" t="s">
        <v>100</v>
      </c>
      <c r="CR712" t="s">
        <v>100</v>
      </c>
      <c r="CS712" t="s">
        <v>101</v>
      </c>
      <c r="CT712" t="s">
        <v>100</v>
      </c>
      <c r="CU712" t="s">
        <v>102</v>
      </c>
      <c r="CV712" t="s">
        <v>100</v>
      </c>
    </row>
    <row r="713" spans="1:100">
      <c r="A713" s="3" t="s">
        <v>1653</v>
      </c>
      <c r="B713" s="4" t="s">
        <v>1654</v>
      </c>
      <c r="C713">
        <v>327.952000187142</v>
      </c>
      <c r="D713">
        <v>40.311131804121601</v>
      </c>
      <c r="E713">
        <v>3.0263571722779599</v>
      </c>
      <c r="F713" s="5">
        <v>8.7425111170649897E-9</v>
      </c>
      <c r="G713" t="s">
        <v>4</v>
      </c>
      <c r="H713">
        <v>327.952000187142</v>
      </c>
      <c r="I713">
        <v>55.1052310724968</v>
      </c>
      <c r="J713">
        <v>2.5692686182335902</v>
      </c>
      <c r="K713" s="5">
        <v>8.9497268299219704E-7</v>
      </c>
      <c r="L713" t="s">
        <v>4</v>
      </c>
      <c r="M713">
        <v>40.311131804121601</v>
      </c>
      <c r="N713">
        <v>55.1052310724968</v>
      </c>
      <c r="O713">
        <f>0.457088554044365</f>
        <v>0.45708855404436499</v>
      </c>
      <c r="P713">
        <v>0.459519321017758</v>
      </c>
      <c r="Q713" t="s">
        <v>4</v>
      </c>
      <c r="R713" s="4" t="s">
        <v>87</v>
      </c>
      <c r="S713" t="s">
        <v>4</v>
      </c>
      <c r="T713" t="s">
        <v>1655</v>
      </c>
      <c r="U713" t="s">
        <v>1656</v>
      </c>
      <c r="V713" t="s">
        <v>1657</v>
      </c>
      <c r="W713" t="s">
        <v>328</v>
      </c>
      <c r="X713" t="s">
        <v>4</v>
      </c>
      <c r="Y713" t="s">
        <v>1658</v>
      </c>
      <c r="Z713" t="s">
        <v>1659</v>
      </c>
      <c r="AA713" t="s">
        <v>1660</v>
      </c>
      <c r="AB713" t="s">
        <v>4</v>
      </c>
      <c r="AC713" s="3" t="s">
        <v>1661</v>
      </c>
      <c r="AD713" t="s">
        <v>4</v>
      </c>
      <c r="AE713" t="s">
        <v>1662</v>
      </c>
      <c r="AF713" t="s">
        <v>834</v>
      </c>
      <c r="AG713" t="s">
        <v>1663</v>
      </c>
      <c r="AH713" t="s">
        <v>112</v>
      </c>
      <c r="AL713" t="s">
        <v>1664</v>
      </c>
      <c r="AM713" t="s">
        <v>1665</v>
      </c>
      <c r="AQ713" t="s">
        <v>1666</v>
      </c>
      <c r="AU713" t="s">
        <v>112</v>
      </c>
      <c r="AV713" t="s">
        <v>1667</v>
      </c>
      <c r="AW713" t="s">
        <v>114</v>
      </c>
      <c r="AX713" t="s">
        <v>1345</v>
      </c>
      <c r="AY713" t="s">
        <v>1668</v>
      </c>
      <c r="AZ713" t="s">
        <v>4</v>
      </c>
      <c r="BA713" s="3" t="s">
        <v>95</v>
      </c>
      <c r="BB713" t="s">
        <v>96</v>
      </c>
      <c r="BC713" s="3" t="s">
        <v>197</v>
      </c>
      <c r="BD713" t="s">
        <v>4</v>
      </c>
      <c r="BE713">
        <v>7333</v>
      </c>
      <c r="BF713" t="s">
        <v>213</v>
      </c>
      <c r="BG713">
        <v>94.221800000000002</v>
      </c>
      <c r="BH713" t="s">
        <v>1669</v>
      </c>
      <c r="BI713">
        <v>88.723200000000006</v>
      </c>
      <c r="BJ713">
        <v>12.302</v>
      </c>
      <c r="BL713" t="s">
        <v>1670</v>
      </c>
      <c r="BM713">
        <v>47.437100000000001</v>
      </c>
      <c r="BN713">
        <v>45.759599999999999</v>
      </c>
      <c r="BO713" t="s">
        <v>1671</v>
      </c>
      <c r="BP713">
        <v>53.122100000000003</v>
      </c>
      <c r="BQ713">
        <v>43.429600000000001</v>
      </c>
      <c r="BR713">
        <v>39.981400000000001</v>
      </c>
      <c r="BS713">
        <v>7.2693399999999997</v>
      </c>
      <c r="BT713">
        <v>39.795000000000002</v>
      </c>
      <c r="BU713" t="s">
        <v>1672</v>
      </c>
      <c r="BV713" t="s">
        <v>1673</v>
      </c>
      <c r="BW713">
        <v>41.192900000000002</v>
      </c>
      <c r="BX713">
        <v>44.9208</v>
      </c>
      <c r="BY713">
        <v>10.438000000000001</v>
      </c>
      <c r="BZ713">
        <v>37.651400000000002</v>
      </c>
      <c r="CA713">
        <v>43.709200000000003</v>
      </c>
      <c r="CB713">
        <v>10.8108</v>
      </c>
      <c r="CE713">
        <v>27.399799999999999</v>
      </c>
      <c r="CF713" t="s">
        <v>1674</v>
      </c>
      <c r="CG713" t="s">
        <v>1675</v>
      </c>
      <c r="CH713" t="s">
        <v>1676</v>
      </c>
      <c r="CI713" t="s">
        <v>1677</v>
      </c>
      <c r="CK713">
        <v>8</v>
      </c>
      <c r="CL713" t="s">
        <v>4</v>
      </c>
      <c r="CM713" t="s">
        <v>1678</v>
      </c>
      <c r="CN713" t="s">
        <v>1679</v>
      </c>
      <c r="CO713" t="s">
        <v>99</v>
      </c>
      <c r="CP713">
        <v>154</v>
      </c>
      <c r="CQ713" t="s">
        <v>100</v>
      </c>
      <c r="CR713" t="s">
        <v>100</v>
      </c>
      <c r="CS713" t="s">
        <v>101</v>
      </c>
      <c r="CT713" t="s">
        <v>100</v>
      </c>
      <c r="CU713" t="s">
        <v>102</v>
      </c>
      <c r="CV713" t="s">
        <v>100</v>
      </c>
    </row>
    <row r="714" spans="1:100">
      <c r="A714" s="3" t="s">
        <v>1680</v>
      </c>
      <c r="B714" s="4" t="s">
        <v>1681</v>
      </c>
      <c r="C714">
        <v>136.852382972832</v>
      </c>
      <c r="D714">
        <v>30.923252310837999</v>
      </c>
      <c r="E714">
        <v>2.1469948272311998</v>
      </c>
      <c r="F714">
        <v>4.5804040291460802E-3</v>
      </c>
      <c r="G714" t="s">
        <v>4</v>
      </c>
      <c r="H714">
        <v>136.852382972832</v>
      </c>
      <c r="I714">
        <v>21.9363589971165</v>
      </c>
      <c r="J714">
        <v>2.6576952430913598</v>
      </c>
      <c r="K714">
        <v>3.7060572626432898E-4</v>
      </c>
      <c r="L714" t="s">
        <v>4</v>
      </c>
      <c r="M714">
        <v>30.923252310837999</v>
      </c>
      <c r="N714">
        <v>21.9363589971165</v>
      </c>
      <c r="O714">
        <v>0.51070041586016801</v>
      </c>
      <c r="P714">
        <v>0.56182774527324297</v>
      </c>
      <c r="Q714" t="s">
        <v>4</v>
      </c>
      <c r="R714" s="4" t="s">
        <v>87</v>
      </c>
      <c r="S714" t="s">
        <v>4</v>
      </c>
      <c r="T714" t="s">
        <v>1682</v>
      </c>
      <c r="U714" t="s">
        <v>1683</v>
      </c>
      <c r="V714" t="s">
        <v>1684</v>
      </c>
      <c r="W714" t="s">
        <v>976</v>
      </c>
      <c r="X714" t="s">
        <v>4</v>
      </c>
      <c r="Y714" t="s">
        <v>1685</v>
      </c>
      <c r="Z714" t="s">
        <v>1686</v>
      </c>
      <c r="AA714" t="s">
        <v>1687</v>
      </c>
      <c r="AB714" t="s">
        <v>4</v>
      </c>
      <c r="AC714" s="3" t="s">
        <v>1688</v>
      </c>
      <c r="AD714" t="s">
        <v>4</v>
      </c>
      <c r="AE714" t="s">
        <v>1689</v>
      </c>
      <c r="AF714" t="s">
        <v>1690</v>
      </c>
      <c r="AG714" t="s">
        <v>1691</v>
      </c>
      <c r="AH714" t="s">
        <v>112</v>
      </c>
      <c r="AL714" t="s">
        <v>1692</v>
      </c>
      <c r="AQ714" t="s">
        <v>1693</v>
      </c>
      <c r="AR714" t="s">
        <v>1694</v>
      </c>
      <c r="AU714" t="s">
        <v>112</v>
      </c>
      <c r="AV714" t="s">
        <v>1695</v>
      </c>
      <c r="AW714" t="s">
        <v>114</v>
      </c>
      <c r="AX714" t="s">
        <v>1345</v>
      </c>
      <c r="AY714" t="s">
        <v>1696</v>
      </c>
      <c r="AZ714" t="s">
        <v>4</v>
      </c>
      <c r="BA714" s="3" t="s">
        <v>95</v>
      </c>
      <c r="BB714" t="s">
        <v>96</v>
      </c>
      <c r="BC714" s="3" t="s">
        <v>95</v>
      </c>
      <c r="BD714" t="s">
        <v>4</v>
      </c>
      <c r="BE714">
        <v>7351</v>
      </c>
      <c r="BF714" t="s">
        <v>213</v>
      </c>
      <c r="BG714">
        <v>49.099800000000002</v>
      </c>
      <c r="BH714">
        <v>22.749600000000001</v>
      </c>
      <c r="BI714" t="s">
        <v>1697</v>
      </c>
      <c r="BJ714">
        <v>70.049099999999996</v>
      </c>
      <c r="BK714">
        <v>66.121099999999998</v>
      </c>
      <c r="BL714">
        <v>63.993499999999997</v>
      </c>
      <c r="BM714" t="s">
        <v>1698</v>
      </c>
      <c r="BN714">
        <v>63.011499999999998</v>
      </c>
      <c r="BP714" t="s">
        <v>1699</v>
      </c>
      <c r="BQ714">
        <v>45.008200000000002</v>
      </c>
      <c r="BR714">
        <v>43.044199999999996</v>
      </c>
      <c r="BS714">
        <v>42.880499999999998</v>
      </c>
      <c r="BT714">
        <v>42.716900000000003</v>
      </c>
      <c r="BV714" t="s">
        <v>1700</v>
      </c>
      <c r="BW714">
        <v>45.826500000000003</v>
      </c>
      <c r="BX714">
        <v>43.044199999999996</v>
      </c>
      <c r="BZ714">
        <v>11.9476</v>
      </c>
      <c r="CA714">
        <v>43.698900000000002</v>
      </c>
      <c r="CE714">
        <v>27.986899999999999</v>
      </c>
      <c r="CF714">
        <v>36.170200000000001</v>
      </c>
      <c r="CG714" t="s">
        <v>1701</v>
      </c>
      <c r="CH714" t="s">
        <v>1702</v>
      </c>
      <c r="CI714" t="s">
        <v>1703</v>
      </c>
      <c r="CK714">
        <v>8</v>
      </c>
      <c r="CL714" t="s">
        <v>4</v>
      </c>
      <c r="CM714" t="s">
        <v>1704</v>
      </c>
      <c r="CN714" t="s">
        <v>1705</v>
      </c>
      <c r="CO714" t="s">
        <v>99</v>
      </c>
      <c r="CP714">
        <v>155</v>
      </c>
      <c r="CQ714" t="s">
        <v>100</v>
      </c>
      <c r="CR714" t="s">
        <v>100</v>
      </c>
      <c r="CS714" t="s">
        <v>101</v>
      </c>
      <c r="CT714" t="s">
        <v>100</v>
      </c>
      <c r="CU714" t="s">
        <v>102</v>
      </c>
      <c r="CV714" t="s">
        <v>100</v>
      </c>
    </row>
    <row r="715" spans="1:100">
      <c r="A715" s="3" t="s">
        <v>1706</v>
      </c>
      <c r="B715" s="4" t="s">
        <v>1707</v>
      </c>
      <c r="C715">
        <v>157.802866471746</v>
      </c>
      <c r="D715">
        <v>26.818004554002702</v>
      </c>
      <c r="E715">
        <v>2.5567360020815801</v>
      </c>
      <c r="F715" s="5">
        <v>7.9532029991283203E-7</v>
      </c>
      <c r="G715" t="s">
        <v>4</v>
      </c>
      <c r="H715">
        <v>157.802866471746</v>
      </c>
      <c r="I715">
        <v>23.828861086583899</v>
      </c>
      <c r="J715">
        <v>2.68262765541022</v>
      </c>
      <c r="K715" s="5">
        <v>2.9698849896810902E-7</v>
      </c>
      <c r="L715" t="s">
        <v>4</v>
      </c>
      <c r="M715">
        <v>26.818004554002702</v>
      </c>
      <c r="N715">
        <v>23.828861086583899</v>
      </c>
      <c r="O715">
        <v>0.12589165332864</v>
      </c>
      <c r="P715">
        <v>0.859699861609863</v>
      </c>
      <c r="Q715" t="s">
        <v>4</v>
      </c>
      <c r="R715" s="4" t="s">
        <v>87</v>
      </c>
      <c r="S715" t="s">
        <v>4</v>
      </c>
      <c r="T715" t="s">
        <v>92</v>
      </c>
      <c r="U715" t="s">
        <v>92</v>
      </c>
      <c r="V715" t="s">
        <v>92</v>
      </c>
      <c r="W715" t="s">
        <v>92</v>
      </c>
      <c r="X715" t="s">
        <v>4</v>
      </c>
      <c r="Y715" t="s">
        <v>1708</v>
      </c>
      <c r="Z715" t="s">
        <v>1709</v>
      </c>
      <c r="AA715" t="s">
        <v>1710</v>
      </c>
      <c r="AB715" t="s">
        <v>4</v>
      </c>
      <c r="AC715" s="3" t="s">
        <v>1711</v>
      </c>
      <c r="AD715" t="s">
        <v>4</v>
      </c>
      <c r="AE715" t="s">
        <v>1712</v>
      </c>
      <c r="AF715" t="s">
        <v>1713</v>
      </c>
      <c r="AG715" t="s">
        <v>1714</v>
      </c>
      <c r="AH715" t="s">
        <v>112</v>
      </c>
      <c r="AU715" t="s">
        <v>112</v>
      </c>
      <c r="AV715" t="s">
        <v>1715</v>
      </c>
      <c r="AW715" t="s">
        <v>114</v>
      </c>
      <c r="AX715" t="s">
        <v>144</v>
      </c>
      <c r="AY715" t="s">
        <v>1716</v>
      </c>
      <c r="AZ715" t="s">
        <v>4</v>
      </c>
      <c r="BA715" s="3" t="s">
        <v>95</v>
      </c>
      <c r="BB715" s="6" t="s">
        <v>95</v>
      </c>
      <c r="BC715" s="3" t="s">
        <v>95</v>
      </c>
      <c r="BD715" t="s">
        <v>4</v>
      </c>
      <c r="BE715">
        <v>7463</v>
      </c>
      <c r="BF715" t="s">
        <v>213</v>
      </c>
      <c r="BG715">
        <v>96.2667</v>
      </c>
      <c r="BH715">
        <v>68.2667</v>
      </c>
      <c r="BI715">
        <v>87.466700000000003</v>
      </c>
      <c r="BJ715">
        <v>71.2</v>
      </c>
      <c r="BM715">
        <v>75.466700000000003</v>
      </c>
      <c r="BN715">
        <v>75.2</v>
      </c>
      <c r="BO715">
        <v>73.866699999999994</v>
      </c>
      <c r="BP715">
        <v>46.133299999999998</v>
      </c>
      <c r="BQ715">
        <v>30.133299999999998</v>
      </c>
      <c r="BR715">
        <v>34.933300000000003</v>
      </c>
      <c r="BS715">
        <v>32</v>
      </c>
      <c r="BW715">
        <v>32.799999999999997</v>
      </c>
      <c r="CA715">
        <v>36</v>
      </c>
      <c r="CE715" t="s">
        <v>1717</v>
      </c>
      <c r="CF715" t="s">
        <v>1718</v>
      </c>
      <c r="CG715" t="s">
        <v>1719</v>
      </c>
      <c r="CH715" t="s">
        <v>1720</v>
      </c>
      <c r="CI715" t="s">
        <v>1721</v>
      </c>
      <c r="CK715">
        <v>8</v>
      </c>
      <c r="CL715" t="s">
        <v>4</v>
      </c>
      <c r="CM715" t="s">
        <v>1722</v>
      </c>
      <c r="CN715">
        <v>36</v>
      </c>
      <c r="CO715" t="s">
        <v>99</v>
      </c>
      <c r="CP715">
        <v>156</v>
      </c>
      <c r="CQ715" t="s">
        <v>100</v>
      </c>
      <c r="CR715" t="s">
        <v>100</v>
      </c>
      <c r="CS715" t="s">
        <v>101</v>
      </c>
      <c r="CT715" t="s">
        <v>100</v>
      </c>
      <c r="CU715" t="s">
        <v>102</v>
      </c>
      <c r="CV715" t="s">
        <v>100</v>
      </c>
    </row>
    <row r="716" spans="1:100">
      <c r="A716" s="3" t="s">
        <v>1723</v>
      </c>
      <c r="B716" s="4" t="s">
        <v>1724</v>
      </c>
      <c r="C716">
        <v>129.019925830982</v>
      </c>
      <c r="D716">
        <v>14.288829301364601</v>
      </c>
      <c r="E716">
        <v>3.1710375255864398</v>
      </c>
      <c r="F716">
        <v>1.3096144093978099E-4</v>
      </c>
      <c r="G716" t="s">
        <v>4</v>
      </c>
      <c r="H716">
        <v>129.019925830982</v>
      </c>
      <c r="I716">
        <v>8.1711728425282608</v>
      </c>
      <c r="J716">
        <v>3.9488447680380401</v>
      </c>
      <c r="K716" s="5">
        <v>3.4057064166965298E-6</v>
      </c>
      <c r="L716" t="s">
        <v>4</v>
      </c>
      <c r="M716">
        <v>14.288829301364601</v>
      </c>
      <c r="N716">
        <v>8.1711728425282608</v>
      </c>
      <c r="O716">
        <v>0.77780724245160004</v>
      </c>
      <c r="P716">
        <v>0.43706905682951902</v>
      </c>
      <c r="Q716" t="s">
        <v>4</v>
      </c>
      <c r="R716" s="4" t="s">
        <v>87</v>
      </c>
      <c r="S716" t="s">
        <v>4</v>
      </c>
      <c r="T716" t="s">
        <v>1725</v>
      </c>
      <c r="U716" t="s">
        <v>1726</v>
      </c>
      <c r="V716" t="s">
        <v>1727</v>
      </c>
      <c r="W716" t="s">
        <v>507</v>
      </c>
      <c r="X716" t="s">
        <v>4</v>
      </c>
      <c r="Y716" t="s">
        <v>1728</v>
      </c>
      <c r="Z716" t="s">
        <v>1729</v>
      </c>
      <c r="AA716" t="s">
        <v>1730</v>
      </c>
      <c r="AB716" t="s">
        <v>4</v>
      </c>
      <c r="AC716" s="3" t="s">
        <v>1731</v>
      </c>
      <c r="AD716" t="s">
        <v>4</v>
      </c>
      <c r="AE716" t="s">
        <v>1732</v>
      </c>
      <c r="AF716" t="s">
        <v>1733</v>
      </c>
      <c r="AG716" t="s">
        <v>1397</v>
      </c>
      <c r="AH716" t="s">
        <v>638</v>
      </c>
      <c r="AU716" t="s">
        <v>112</v>
      </c>
      <c r="AV716" t="s">
        <v>1734</v>
      </c>
      <c r="AW716" t="s">
        <v>114</v>
      </c>
      <c r="AX716" t="s">
        <v>144</v>
      </c>
      <c r="AY716" t="s">
        <v>1735</v>
      </c>
      <c r="AZ716" t="s">
        <v>4</v>
      </c>
      <c r="BA716" s="3" t="s">
        <v>95</v>
      </c>
      <c r="BB716" t="s">
        <v>96</v>
      </c>
      <c r="BC716" s="3" t="s">
        <v>95</v>
      </c>
      <c r="BD716" t="s">
        <v>4</v>
      </c>
      <c r="BE716">
        <v>7472</v>
      </c>
      <c r="BF716" t="s">
        <v>213</v>
      </c>
      <c r="BG716">
        <v>64.453999999999994</v>
      </c>
      <c r="BH716">
        <v>63.811599999999999</v>
      </c>
      <c r="BI716">
        <v>63.383299999999998</v>
      </c>
      <c r="BL716">
        <v>38.758000000000003</v>
      </c>
      <c r="BM716">
        <v>26.980699999999999</v>
      </c>
      <c r="BN716">
        <v>21.4133</v>
      </c>
      <c r="BP716">
        <v>37.259099999999997</v>
      </c>
      <c r="BR716">
        <v>34.0471</v>
      </c>
      <c r="BS716">
        <v>35.117800000000003</v>
      </c>
      <c r="BT716">
        <v>17.130600000000001</v>
      </c>
      <c r="BU716">
        <v>35.974299999999999</v>
      </c>
      <c r="BV716" t="s">
        <v>1736</v>
      </c>
      <c r="BW716">
        <v>30.835100000000001</v>
      </c>
      <c r="BY716">
        <v>22.2698</v>
      </c>
      <c r="BZ716">
        <v>35.760199999999998</v>
      </c>
      <c r="CA716" t="s">
        <v>1737</v>
      </c>
      <c r="CB716">
        <v>29.9786</v>
      </c>
      <c r="CC716">
        <v>32.976399999999998</v>
      </c>
      <c r="CD716" t="s">
        <v>1738</v>
      </c>
      <c r="CE716">
        <v>19.914300000000001</v>
      </c>
      <c r="CF716" t="s">
        <v>1739</v>
      </c>
      <c r="CG716" t="s">
        <v>1740</v>
      </c>
      <c r="CH716" t="s">
        <v>1741</v>
      </c>
      <c r="CI716" t="s">
        <v>1742</v>
      </c>
      <c r="CK716">
        <v>8</v>
      </c>
      <c r="CL716" t="s">
        <v>4</v>
      </c>
      <c r="CM716" t="s">
        <v>1743</v>
      </c>
      <c r="CN716" t="s">
        <v>1744</v>
      </c>
      <c r="CO716" t="s">
        <v>1745</v>
      </c>
      <c r="CP716">
        <v>157</v>
      </c>
      <c r="CQ716" t="s">
        <v>100</v>
      </c>
      <c r="CR716" t="s">
        <v>100</v>
      </c>
      <c r="CS716" t="s">
        <v>101</v>
      </c>
      <c r="CT716" t="s">
        <v>100</v>
      </c>
      <c r="CU716" t="s">
        <v>102</v>
      </c>
      <c r="CV716" t="s">
        <v>100</v>
      </c>
    </row>
    <row r="717" spans="1:100">
      <c r="A717" s="3" t="s">
        <v>1746</v>
      </c>
      <c r="B717" s="4" t="s">
        <v>1747</v>
      </c>
      <c r="C717">
        <v>168.484720009482</v>
      </c>
      <c r="D717">
        <v>23.0110231586183</v>
      </c>
      <c r="E717">
        <v>2.8720779136257399</v>
      </c>
      <c r="F717" s="5">
        <v>1.1088525239139201E-9</v>
      </c>
      <c r="G717" t="s">
        <v>4</v>
      </c>
      <c r="H717">
        <v>168.484720009482</v>
      </c>
      <c r="I717">
        <v>21.332432358139702</v>
      </c>
      <c r="J717">
        <v>2.98001940271305</v>
      </c>
      <c r="K717" s="5">
        <v>6.9145488513261698E-10</v>
      </c>
      <c r="L717" t="s">
        <v>4</v>
      </c>
      <c r="M717">
        <v>23.0110231586183</v>
      </c>
      <c r="N717">
        <v>21.332432358139702</v>
      </c>
      <c r="O717">
        <v>0.107941489087306</v>
      </c>
      <c r="P717">
        <v>0.87384358174436705</v>
      </c>
      <c r="Q717" t="s">
        <v>4</v>
      </c>
      <c r="R717" s="4" t="s">
        <v>87</v>
      </c>
      <c r="S717" t="s">
        <v>4</v>
      </c>
      <c r="T717" t="s">
        <v>1682</v>
      </c>
      <c r="U717" t="s">
        <v>1683</v>
      </c>
      <c r="V717" t="s">
        <v>1684</v>
      </c>
      <c r="W717" t="s">
        <v>976</v>
      </c>
      <c r="X717" t="s">
        <v>4</v>
      </c>
      <c r="Y717" t="s">
        <v>1748</v>
      </c>
      <c r="Z717" t="s">
        <v>1749</v>
      </c>
      <c r="AA717" t="s">
        <v>1750</v>
      </c>
      <c r="AB717" t="s">
        <v>4</v>
      </c>
      <c r="AC717" s="3" t="s">
        <v>1751</v>
      </c>
      <c r="AD717" t="s">
        <v>4</v>
      </c>
      <c r="AE717" t="s">
        <v>1752</v>
      </c>
      <c r="AF717" t="s">
        <v>1753</v>
      </c>
      <c r="AG717" t="s">
        <v>1754</v>
      </c>
      <c r="AH717" t="s">
        <v>112</v>
      </c>
      <c r="AU717" t="s">
        <v>112</v>
      </c>
      <c r="AV717" t="s">
        <v>1755</v>
      </c>
      <c r="AW717" t="s">
        <v>114</v>
      </c>
      <c r="AX717" t="s">
        <v>1756</v>
      </c>
      <c r="AY717" t="s">
        <v>1757</v>
      </c>
      <c r="AZ717" t="s">
        <v>4</v>
      </c>
      <c r="BA717" s="3" t="s">
        <v>95</v>
      </c>
      <c r="BB717" t="s">
        <v>96</v>
      </c>
      <c r="BC717" s="3" t="s">
        <v>95</v>
      </c>
      <c r="BD717" t="s">
        <v>4</v>
      </c>
      <c r="BE717">
        <v>7487</v>
      </c>
      <c r="BF717" t="s">
        <v>213</v>
      </c>
      <c r="BG717">
        <v>97.545199999999994</v>
      </c>
      <c r="BH717">
        <v>66.537499999999994</v>
      </c>
      <c r="BI717" t="s">
        <v>1758</v>
      </c>
      <c r="BJ717">
        <v>54.005200000000002</v>
      </c>
      <c r="BL717">
        <v>24.547799999999999</v>
      </c>
      <c r="BM717">
        <v>66.666700000000006</v>
      </c>
      <c r="BN717">
        <v>70.671800000000005</v>
      </c>
      <c r="BO717">
        <v>35.012900000000002</v>
      </c>
      <c r="BP717">
        <v>41.343699999999998</v>
      </c>
      <c r="BW717">
        <v>20.800999999999998</v>
      </c>
      <c r="BX717">
        <v>24.030999999999999</v>
      </c>
      <c r="BY717">
        <v>22.480599999999999</v>
      </c>
      <c r="CA717">
        <v>26.614999999999998</v>
      </c>
      <c r="CF717" t="s">
        <v>1759</v>
      </c>
      <c r="CG717">
        <v>16.7959</v>
      </c>
      <c r="CH717">
        <v>16.149899999999999</v>
      </c>
      <c r="CI717">
        <v>15.374700000000001</v>
      </c>
      <c r="CJ717" t="s">
        <v>1760</v>
      </c>
      <c r="CK717">
        <v>8</v>
      </c>
      <c r="CL717" t="s">
        <v>4</v>
      </c>
      <c r="CM717" t="s">
        <v>1761</v>
      </c>
      <c r="CN717" t="s">
        <v>1762</v>
      </c>
      <c r="CO717" t="s">
        <v>99</v>
      </c>
      <c r="CP717">
        <v>158</v>
      </c>
      <c r="CQ717" t="s">
        <v>100</v>
      </c>
      <c r="CR717" t="s">
        <v>100</v>
      </c>
      <c r="CS717" t="s">
        <v>101</v>
      </c>
      <c r="CT717" t="s">
        <v>100</v>
      </c>
      <c r="CU717" t="s">
        <v>102</v>
      </c>
      <c r="CV717" t="s">
        <v>100</v>
      </c>
    </row>
    <row r="718" spans="1:100">
      <c r="A718" s="3" t="s">
        <v>1763</v>
      </c>
      <c r="B718" s="4" t="s">
        <v>1764</v>
      </c>
      <c r="C718">
        <v>1170.5208294961101</v>
      </c>
      <c r="D718">
        <v>153.66576471154301</v>
      </c>
      <c r="E718">
        <v>2.9268765294764001</v>
      </c>
      <c r="F718" s="5">
        <v>2.0875401480614201E-21</v>
      </c>
      <c r="G718" t="s">
        <v>4</v>
      </c>
      <c r="H718">
        <v>1170.5208294961101</v>
      </c>
      <c r="I718">
        <v>46.779186617285397</v>
      </c>
      <c r="J718">
        <v>4.6114541329256502</v>
      </c>
      <c r="K718" s="5">
        <v>6.0613604099831596E-45</v>
      </c>
      <c r="L718" t="s">
        <v>4</v>
      </c>
      <c r="M718">
        <v>153.66576471154301</v>
      </c>
      <c r="N718">
        <v>46.779186617285397</v>
      </c>
      <c r="O718">
        <v>1.6845776034492601</v>
      </c>
      <c r="P718" s="5">
        <v>9.2019422686203095E-7</v>
      </c>
      <c r="Q718" t="s">
        <v>4</v>
      </c>
      <c r="R718" s="4" t="s">
        <v>87</v>
      </c>
      <c r="S718" t="s">
        <v>4</v>
      </c>
      <c r="T718" t="s">
        <v>1765</v>
      </c>
      <c r="U718" t="s">
        <v>1766</v>
      </c>
      <c r="V718" t="s">
        <v>1767</v>
      </c>
      <c r="W718" t="s">
        <v>123</v>
      </c>
      <c r="X718" t="s">
        <v>4</v>
      </c>
      <c r="Y718" t="s">
        <v>1768</v>
      </c>
      <c r="Z718" t="s">
        <v>1769</v>
      </c>
      <c r="AA718" t="s">
        <v>1770</v>
      </c>
      <c r="AB718" t="s">
        <v>4</v>
      </c>
      <c r="AC718" s="3" t="s">
        <v>1771</v>
      </c>
      <c r="AD718" t="s">
        <v>4</v>
      </c>
      <c r="AE718" t="s">
        <v>1772</v>
      </c>
      <c r="AF718" t="s">
        <v>1773</v>
      </c>
      <c r="AG718" t="s">
        <v>1774</v>
      </c>
      <c r="AH718" t="s">
        <v>112</v>
      </c>
      <c r="AU718" t="s">
        <v>112</v>
      </c>
      <c r="AV718" t="s">
        <v>1775</v>
      </c>
      <c r="AW718" t="s">
        <v>114</v>
      </c>
      <c r="AX718" t="s">
        <v>1756</v>
      </c>
      <c r="AY718" t="s">
        <v>1776</v>
      </c>
      <c r="AZ718" t="s">
        <v>4</v>
      </c>
      <c r="BA718" s="3" t="s">
        <v>95</v>
      </c>
      <c r="BB718" s="6" t="s">
        <v>95</v>
      </c>
      <c r="BC718" s="3" t="s">
        <v>95</v>
      </c>
      <c r="BD718" t="s">
        <v>4</v>
      </c>
      <c r="BE718">
        <v>7507</v>
      </c>
      <c r="BF718" t="s">
        <v>213</v>
      </c>
      <c r="BG718">
        <v>86.159199999999998</v>
      </c>
      <c r="BI718">
        <v>80.968900000000005</v>
      </c>
      <c r="BJ718">
        <v>76.470600000000005</v>
      </c>
      <c r="BK718">
        <v>61.245699999999999</v>
      </c>
      <c r="BL718">
        <v>74.048400000000001</v>
      </c>
      <c r="BM718">
        <v>70.242199999999997</v>
      </c>
      <c r="BN718">
        <v>69.550200000000004</v>
      </c>
      <c r="BP718">
        <v>17.300999999999998</v>
      </c>
      <c r="BX718">
        <v>21.107299999999999</v>
      </c>
      <c r="CB718">
        <v>15.917</v>
      </c>
      <c r="CC718">
        <v>16.954999999999998</v>
      </c>
      <c r="CD718" t="s">
        <v>1777</v>
      </c>
      <c r="CF718" t="s">
        <v>1778</v>
      </c>
      <c r="CG718" t="s">
        <v>1779</v>
      </c>
      <c r="CH718" t="s">
        <v>1780</v>
      </c>
      <c r="CI718" t="s">
        <v>1781</v>
      </c>
      <c r="CK718">
        <v>8</v>
      </c>
      <c r="CL718" t="s">
        <v>4</v>
      </c>
      <c r="CM718" t="s">
        <v>98</v>
      </c>
      <c r="CN718" t="s">
        <v>98</v>
      </c>
      <c r="CO718" t="s">
        <v>99</v>
      </c>
      <c r="CP718">
        <v>159</v>
      </c>
      <c r="CQ718" t="s">
        <v>100</v>
      </c>
      <c r="CR718" t="s">
        <v>100</v>
      </c>
      <c r="CS718" t="s">
        <v>101</v>
      </c>
      <c r="CT718" s="7" t="s">
        <v>152</v>
      </c>
      <c r="CU718" t="s">
        <v>102</v>
      </c>
      <c r="CV718" t="s">
        <v>100</v>
      </c>
    </row>
    <row r="719" spans="1:100">
      <c r="A719" s="3" t="s">
        <v>1782</v>
      </c>
      <c r="B719" s="4" t="s">
        <v>1783</v>
      </c>
      <c r="C719">
        <v>70.394118914428702</v>
      </c>
      <c r="D719">
        <v>9.1875517982348391</v>
      </c>
      <c r="E719">
        <v>2.9585635932011698</v>
      </c>
      <c r="F719">
        <v>1.7385671174160199E-3</v>
      </c>
      <c r="G719" t="s">
        <v>4</v>
      </c>
      <c r="H719">
        <v>70.394118914428702</v>
      </c>
      <c r="I719">
        <v>7.4405636803877302</v>
      </c>
      <c r="J719">
        <v>3.28094915999475</v>
      </c>
      <c r="K719">
        <v>5.8988584863697E-4</v>
      </c>
      <c r="L719" t="s">
        <v>4</v>
      </c>
      <c r="M719">
        <v>9.1875517982348391</v>
      </c>
      <c r="N719">
        <v>7.4405636803877302</v>
      </c>
      <c r="O719">
        <v>0.32238556679358799</v>
      </c>
      <c r="P719">
        <v>0.793469804346839</v>
      </c>
      <c r="Q719" t="s">
        <v>4</v>
      </c>
      <c r="R719" s="4" t="s">
        <v>87</v>
      </c>
      <c r="S719" t="s">
        <v>4</v>
      </c>
      <c r="T719" t="s">
        <v>1784</v>
      </c>
      <c r="U719" t="s">
        <v>1785</v>
      </c>
      <c r="V719" t="s">
        <v>1786</v>
      </c>
      <c r="W719" t="s">
        <v>507</v>
      </c>
      <c r="X719" t="s">
        <v>4</v>
      </c>
      <c r="Y719" t="s">
        <v>1787</v>
      </c>
      <c r="Z719" t="s">
        <v>1788</v>
      </c>
      <c r="AA719" t="s">
        <v>1789</v>
      </c>
      <c r="AB719" t="s">
        <v>4</v>
      </c>
      <c r="AC719" s="3" t="s">
        <v>1790</v>
      </c>
      <c r="AD719" t="s">
        <v>4</v>
      </c>
      <c r="AE719" t="s">
        <v>1791</v>
      </c>
      <c r="AF719" t="s">
        <v>1792</v>
      </c>
      <c r="AG719" t="s">
        <v>1793</v>
      </c>
      <c r="AH719" t="s">
        <v>112</v>
      </c>
      <c r="AU719" t="s">
        <v>112</v>
      </c>
      <c r="AV719" t="s">
        <v>1794</v>
      </c>
      <c r="AW719" t="s">
        <v>114</v>
      </c>
      <c r="AX719" t="s">
        <v>144</v>
      </c>
      <c r="AY719" t="s">
        <v>1795</v>
      </c>
      <c r="AZ719" t="s">
        <v>4</v>
      </c>
      <c r="BA719" s="3" t="s">
        <v>95</v>
      </c>
      <c r="BB719" t="s">
        <v>96</v>
      </c>
      <c r="BC719" s="3" t="s">
        <v>95</v>
      </c>
      <c r="BD719" t="s">
        <v>4</v>
      </c>
      <c r="BE719">
        <v>5081</v>
      </c>
      <c r="BF719" t="s">
        <v>282</v>
      </c>
      <c r="BG719">
        <v>95.604399999999998</v>
      </c>
      <c r="BH719">
        <v>91.208799999999997</v>
      </c>
      <c r="BI719">
        <v>80.219800000000006</v>
      </c>
      <c r="BM719">
        <v>64.010999999999996</v>
      </c>
      <c r="BN719">
        <v>60.439599999999999</v>
      </c>
      <c r="BQ719">
        <v>41.483499999999999</v>
      </c>
      <c r="BR719">
        <v>42.307699999999997</v>
      </c>
      <c r="BS719">
        <v>43.6813</v>
      </c>
      <c r="BX719" t="s">
        <v>1796</v>
      </c>
      <c r="BY719">
        <v>18.956</v>
      </c>
      <c r="BZ719">
        <v>23.6264</v>
      </c>
      <c r="CA719">
        <v>43.406599999999997</v>
      </c>
      <c r="CC719">
        <v>13.1868</v>
      </c>
      <c r="CD719">
        <v>12.087899999999999</v>
      </c>
      <c r="CK719">
        <v>6</v>
      </c>
      <c r="CL719" t="s">
        <v>4</v>
      </c>
      <c r="CM719" t="s">
        <v>1797</v>
      </c>
      <c r="CN719" t="s">
        <v>1798</v>
      </c>
      <c r="CO719" t="s">
        <v>99</v>
      </c>
      <c r="CP719">
        <v>160</v>
      </c>
      <c r="CQ719" t="s">
        <v>100</v>
      </c>
      <c r="CR719" t="s">
        <v>100</v>
      </c>
      <c r="CS719" t="s">
        <v>101</v>
      </c>
      <c r="CT719" t="s">
        <v>100</v>
      </c>
      <c r="CU719" t="s">
        <v>102</v>
      </c>
      <c r="CV719" t="s">
        <v>100</v>
      </c>
    </row>
    <row r="720" spans="1:100">
      <c r="A720" s="3" t="s">
        <v>1799</v>
      </c>
      <c r="B720" s="4" t="s">
        <v>1800</v>
      </c>
      <c r="C720">
        <v>62.381873947362401</v>
      </c>
      <c r="D720">
        <v>8.6552661252477794</v>
      </c>
      <c r="E720">
        <v>2.8363047584982799</v>
      </c>
      <c r="F720" s="5">
        <v>2.2055922496703002E-6</v>
      </c>
      <c r="G720" t="s">
        <v>4</v>
      </c>
      <c r="H720">
        <v>62.381873947362401</v>
      </c>
      <c r="I720">
        <v>9.8718127890762304</v>
      </c>
      <c r="J720">
        <v>2.7188446059851898</v>
      </c>
      <c r="K720" s="5">
        <v>9.9866298161076502E-6</v>
      </c>
      <c r="L720" t="s">
        <v>4</v>
      </c>
      <c r="M720">
        <v>8.6552661252477794</v>
      </c>
      <c r="N720">
        <v>9.8718127890762304</v>
      </c>
      <c r="O720">
        <f>0.117460152513096</f>
        <v>0.11746015251309599</v>
      </c>
      <c r="P720">
        <v>0.89515994340648097</v>
      </c>
      <c r="Q720" t="s">
        <v>4</v>
      </c>
      <c r="R720" s="4" t="s">
        <v>87</v>
      </c>
      <c r="S720" t="s">
        <v>4</v>
      </c>
      <c r="T720" t="s">
        <v>88</v>
      </c>
      <c r="U720" t="s">
        <v>89</v>
      </c>
      <c r="V720" t="s">
        <v>90</v>
      </c>
      <c r="W720" t="s">
        <v>91</v>
      </c>
      <c r="X720" t="s">
        <v>4</v>
      </c>
      <c r="Y720" t="s">
        <v>1801</v>
      </c>
      <c r="Z720" t="s">
        <v>1802</v>
      </c>
      <c r="AA720" t="s">
        <v>1803</v>
      </c>
      <c r="AB720" t="s">
        <v>4</v>
      </c>
      <c r="AC720" s="3" t="s">
        <v>1804</v>
      </c>
      <c r="AD720" t="s">
        <v>4</v>
      </c>
      <c r="AE720" t="s">
        <v>1805</v>
      </c>
      <c r="AF720" t="s">
        <v>1806</v>
      </c>
      <c r="AG720" t="s">
        <v>1807</v>
      </c>
      <c r="AH720" t="s">
        <v>112</v>
      </c>
      <c r="AU720" t="s">
        <v>112</v>
      </c>
      <c r="AV720" t="s">
        <v>1808</v>
      </c>
      <c r="AW720" t="s">
        <v>114</v>
      </c>
      <c r="AX720" t="s">
        <v>144</v>
      </c>
      <c r="AY720" t="s">
        <v>1809</v>
      </c>
      <c r="AZ720" t="s">
        <v>4</v>
      </c>
      <c r="BA720" s="3" t="s">
        <v>95</v>
      </c>
      <c r="BB720" t="s">
        <v>96</v>
      </c>
      <c r="BC720" s="3" t="s">
        <v>197</v>
      </c>
      <c r="BD720" t="s">
        <v>4</v>
      </c>
      <c r="BE720">
        <v>218</v>
      </c>
      <c r="BF720" t="s">
        <v>322</v>
      </c>
      <c r="CK720">
        <v>1</v>
      </c>
      <c r="CL720" t="s">
        <v>4</v>
      </c>
      <c r="CM720" t="s">
        <v>98</v>
      </c>
      <c r="CN720" t="s">
        <v>98</v>
      </c>
      <c r="CO720" t="s">
        <v>99</v>
      </c>
      <c r="CP720">
        <v>161</v>
      </c>
      <c r="CQ720" t="s">
        <v>100</v>
      </c>
      <c r="CR720" t="s">
        <v>100</v>
      </c>
      <c r="CS720" t="s">
        <v>101</v>
      </c>
      <c r="CT720" t="s">
        <v>100</v>
      </c>
      <c r="CU720" t="s">
        <v>102</v>
      </c>
      <c r="CV720" t="s">
        <v>100</v>
      </c>
    </row>
    <row r="721" spans="1:100">
      <c r="A721" s="3" t="s">
        <v>1810</v>
      </c>
      <c r="B721" s="4" t="s">
        <v>1811</v>
      </c>
      <c r="C721">
        <v>67.553408122537306</v>
      </c>
      <c r="D721">
        <v>11.8504763166952</v>
      </c>
      <c r="E721">
        <v>2.5202684173791101</v>
      </c>
      <c r="F721">
        <v>2.6189081823492402E-4</v>
      </c>
      <c r="G721" t="s">
        <v>4</v>
      </c>
      <c r="H721">
        <v>67.553408122537306</v>
      </c>
      <c r="I721">
        <v>5.5678401945026001</v>
      </c>
      <c r="J721">
        <v>3.5603216913473998</v>
      </c>
      <c r="K721" s="5">
        <v>2.3708425688406502E-6</v>
      </c>
      <c r="L721" t="s">
        <v>4</v>
      </c>
      <c r="M721">
        <v>11.8504763166952</v>
      </c>
      <c r="N721">
        <v>5.5678401945026001</v>
      </c>
      <c r="O721">
        <v>1.0400532739682899</v>
      </c>
      <c r="P721">
        <v>0.23034788784740101</v>
      </c>
      <c r="Q721" t="s">
        <v>4</v>
      </c>
      <c r="R721" s="4" t="s">
        <v>87</v>
      </c>
      <c r="S721" t="s">
        <v>4</v>
      </c>
      <c r="T721" t="s">
        <v>189</v>
      </c>
      <c r="U721" t="s">
        <v>190</v>
      </c>
      <c r="V721" t="s">
        <v>191</v>
      </c>
      <c r="W721" t="s">
        <v>192</v>
      </c>
      <c r="X721" t="s">
        <v>4</v>
      </c>
      <c r="Y721" t="s">
        <v>92</v>
      </c>
      <c r="Z721" t="s">
        <v>92</v>
      </c>
      <c r="AA721" t="s">
        <v>92</v>
      </c>
      <c r="AB721" t="s">
        <v>4</v>
      </c>
      <c r="AC721" s="3" t="s">
        <v>1812</v>
      </c>
      <c r="AD721" t="s">
        <v>4</v>
      </c>
      <c r="AE721" t="s">
        <v>1813</v>
      </c>
      <c r="AF721" t="s">
        <v>1814</v>
      </c>
      <c r="AG721" t="s">
        <v>1815</v>
      </c>
      <c r="AH721" t="s">
        <v>112</v>
      </c>
      <c r="AU721" t="s">
        <v>112</v>
      </c>
      <c r="AV721" t="s">
        <v>1816</v>
      </c>
      <c r="AW721" t="s">
        <v>114</v>
      </c>
      <c r="AZ721" t="s">
        <v>4</v>
      </c>
      <c r="BA721" s="3" t="s">
        <v>115</v>
      </c>
      <c r="BB721" t="s">
        <v>96</v>
      </c>
      <c r="BC721" s="3" t="s">
        <v>197</v>
      </c>
      <c r="BD721" t="s">
        <v>4</v>
      </c>
      <c r="BE721">
        <v>4045</v>
      </c>
      <c r="BF721" t="s">
        <v>112</v>
      </c>
      <c r="BG721">
        <v>38.281199999999998</v>
      </c>
      <c r="BH721">
        <v>94.531199999999998</v>
      </c>
      <c r="BI721">
        <v>60.156199999999998</v>
      </c>
      <c r="BJ721">
        <v>46.614600000000003</v>
      </c>
      <c r="BM721">
        <v>50.260399999999997</v>
      </c>
      <c r="BN721">
        <v>59.375</v>
      </c>
      <c r="BO721">
        <v>45.052100000000003</v>
      </c>
      <c r="BQ721">
        <v>26.041699999999999</v>
      </c>
      <c r="BR721">
        <v>32.291699999999999</v>
      </c>
      <c r="BS721">
        <v>29.6875</v>
      </c>
      <c r="BT721">
        <v>24.218800000000002</v>
      </c>
      <c r="BV721">
        <v>23.177099999999999</v>
      </c>
      <c r="BW721">
        <v>31.770800000000001</v>
      </c>
      <c r="BX721">
        <v>28.645800000000001</v>
      </c>
      <c r="BZ721">
        <v>27.864599999999999</v>
      </c>
      <c r="CA721">
        <v>27.343800000000002</v>
      </c>
      <c r="CK721">
        <v>5</v>
      </c>
      <c r="CL721" t="s">
        <v>4</v>
      </c>
      <c r="CM721" t="s">
        <v>1817</v>
      </c>
      <c r="CN721" t="s">
        <v>1818</v>
      </c>
      <c r="CO721" t="s">
        <v>99</v>
      </c>
      <c r="CP721">
        <v>162</v>
      </c>
      <c r="CQ721" t="s">
        <v>100</v>
      </c>
      <c r="CR721" t="s">
        <v>100</v>
      </c>
      <c r="CS721" t="s">
        <v>101</v>
      </c>
      <c r="CT721" t="s">
        <v>100</v>
      </c>
      <c r="CU721" t="s">
        <v>102</v>
      </c>
      <c r="CV721" t="s">
        <v>100</v>
      </c>
    </row>
    <row r="722" spans="1:100">
      <c r="A722" s="3" t="s">
        <v>1819</v>
      </c>
      <c r="B722" s="4" t="s">
        <v>1820</v>
      </c>
      <c r="C722">
        <v>32.9493157447939</v>
      </c>
      <c r="D722">
        <v>3.54792439219983</v>
      </c>
      <c r="E722">
        <v>3.22631910802779</v>
      </c>
      <c r="F722">
        <v>1.5826489264190199E-3</v>
      </c>
      <c r="G722" t="s">
        <v>4</v>
      </c>
      <c r="H722">
        <v>32.9493157447939</v>
      </c>
      <c r="I722">
        <v>3.0618995701889</v>
      </c>
      <c r="J722">
        <v>3.5055148974296699</v>
      </c>
      <c r="K722">
        <v>1.13027541671414E-3</v>
      </c>
      <c r="L722" t="s">
        <v>4</v>
      </c>
      <c r="M722">
        <v>3.54792439219983</v>
      </c>
      <c r="N722">
        <v>3.0618995701889</v>
      </c>
      <c r="O722">
        <v>0.279195789401879</v>
      </c>
      <c r="P722">
        <v>0.85059504990597301</v>
      </c>
      <c r="Q722" t="s">
        <v>4</v>
      </c>
      <c r="R722" s="4" t="s">
        <v>87</v>
      </c>
      <c r="S722" t="s">
        <v>4</v>
      </c>
      <c r="T722" t="s">
        <v>88</v>
      </c>
      <c r="U722" t="s">
        <v>89</v>
      </c>
      <c r="V722" t="s">
        <v>90</v>
      </c>
      <c r="W722" t="s">
        <v>91</v>
      </c>
      <c r="X722" t="s">
        <v>4</v>
      </c>
      <c r="Y722" t="s">
        <v>92</v>
      </c>
      <c r="Z722" t="s">
        <v>92</v>
      </c>
      <c r="AA722" t="s">
        <v>92</v>
      </c>
      <c r="AB722" t="s">
        <v>4</v>
      </c>
      <c r="AC722" s="3" t="s">
        <v>93</v>
      </c>
      <c r="AD722" t="s">
        <v>4</v>
      </c>
      <c r="AE722" t="s">
        <v>1821</v>
      </c>
      <c r="AF722" t="s">
        <v>1822</v>
      </c>
      <c r="AG722" t="s">
        <v>1823</v>
      </c>
      <c r="AH722" t="s">
        <v>112</v>
      </c>
      <c r="AU722" t="s">
        <v>112</v>
      </c>
      <c r="AV722" t="s">
        <v>1824</v>
      </c>
      <c r="AW722" t="s">
        <v>114</v>
      </c>
      <c r="AZ722" t="s">
        <v>4</v>
      </c>
      <c r="BA722" s="3" t="s">
        <v>95</v>
      </c>
      <c r="BB722" t="s">
        <v>96</v>
      </c>
      <c r="BC722" s="3" t="s">
        <v>197</v>
      </c>
      <c r="BD722" t="s">
        <v>4</v>
      </c>
      <c r="BE722">
        <v>4061</v>
      </c>
      <c r="BF722" t="s">
        <v>112</v>
      </c>
      <c r="BG722">
        <v>82.352900000000005</v>
      </c>
      <c r="BH722">
        <v>83.333299999999994</v>
      </c>
      <c r="BI722">
        <v>82.352900000000005</v>
      </c>
      <c r="BJ722">
        <v>67.647099999999995</v>
      </c>
      <c r="BK722">
        <v>72.549000000000007</v>
      </c>
      <c r="BL722">
        <v>70.588200000000001</v>
      </c>
      <c r="BM722">
        <v>68.627399999999994</v>
      </c>
      <c r="BN722">
        <v>72.549000000000007</v>
      </c>
      <c r="BO722">
        <v>75.490200000000002</v>
      </c>
      <c r="BR722">
        <v>50.980400000000003</v>
      </c>
      <c r="BS722">
        <v>53.921599999999998</v>
      </c>
      <c r="BU722">
        <v>46.078400000000002</v>
      </c>
      <c r="BV722" t="s">
        <v>1825</v>
      </c>
      <c r="BW722">
        <v>37.254899999999999</v>
      </c>
      <c r="BX722">
        <v>38.235300000000002</v>
      </c>
      <c r="BY722">
        <v>39.215699999999998</v>
      </c>
      <c r="CA722">
        <v>34.313699999999997</v>
      </c>
      <c r="CK722">
        <v>5</v>
      </c>
      <c r="CL722" t="s">
        <v>4</v>
      </c>
      <c r="CM722" t="s">
        <v>1826</v>
      </c>
      <c r="CN722" t="s">
        <v>1827</v>
      </c>
      <c r="CO722" t="s">
        <v>99</v>
      </c>
      <c r="CP722">
        <v>163</v>
      </c>
      <c r="CQ722" t="s">
        <v>100</v>
      </c>
      <c r="CR722" t="s">
        <v>100</v>
      </c>
      <c r="CS722" t="s">
        <v>101</v>
      </c>
      <c r="CT722" t="s">
        <v>100</v>
      </c>
      <c r="CU722" t="s">
        <v>102</v>
      </c>
      <c r="CV722" t="s">
        <v>100</v>
      </c>
    </row>
    <row r="723" spans="1:100">
      <c r="A723" s="3" t="s">
        <v>1828</v>
      </c>
      <c r="B723" s="4" t="s">
        <v>1829</v>
      </c>
      <c r="C723">
        <v>283.11790016655999</v>
      </c>
      <c r="D723">
        <v>47.168419362453101</v>
      </c>
      <c r="E723">
        <v>2.5824838793486</v>
      </c>
      <c r="F723" s="5">
        <v>1.3936976407998199E-7</v>
      </c>
      <c r="G723" t="s">
        <v>4</v>
      </c>
      <c r="H723">
        <v>283.11790016655999</v>
      </c>
      <c r="I723">
        <v>64.227961612659598</v>
      </c>
      <c r="J723">
        <v>2.11873117557885</v>
      </c>
      <c r="K723" s="5">
        <v>1.41289386910842E-5</v>
      </c>
      <c r="L723" t="s">
        <v>4</v>
      </c>
      <c r="M723">
        <v>47.168419362453101</v>
      </c>
      <c r="N723">
        <v>64.227961612659598</v>
      </c>
      <c r="O723">
        <f>0.463752703769743</f>
        <v>0.46375270376974298</v>
      </c>
      <c r="P723">
        <v>0.41489986394054401</v>
      </c>
      <c r="Q723" t="s">
        <v>4</v>
      </c>
      <c r="R723" s="4" t="s">
        <v>87</v>
      </c>
      <c r="S723" t="s">
        <v>4</v>
      </c>
      <c r="T723" t="s">
        <v>1830</v>
      </c>
      <c r="U723" t="s">
        <v>1831</v>
      </c>
      <c r="V723" t="s">
        <v>1832</v>
      </c>
      <c r="W723" t="s">
        <v>1833</v>
      </c>
      <c r="X723" t="s">
        <v>4</v>
      </c>
      <c r="Y723" t="s">
        <v>1834</v>
      </c>
      <c r="Z723" t="s">
        <v>1835</v>
      </c>
      <c r="AA723" t="s">
        <v>1836</v>
      </c>
      <c r="AB723" t="s">
        <v>4</v>
      </c>
      <c r="AC723" s="3" t="s">
        <v>1837</v>
      </c>
      <c r="AD723" t="s">
        <v>4</v>
      </c>
      <c r="AE723" s="4" t="s">
        <v>94</v>
      </c>
      <c r="AZ723" t="s">
        <v>4</v>
      </c>
      <c r="BA723" s="3" t="s">
        <v>95</v>
      </c>
      <c r="BB723" s="6" t="s">
        <v>95</v>
      </c>
      <c r="BC723" s="3" t="s">
        <v>95</v>
      </c>
      <c r="BD723" t="s">
        <v>4</v>
      </c>
      <c r="BE723">
        <v>4736</v>
      </c>
      <c r="BF723" t="s">
        <v>282</v>
      </c>
      <c r="BG723">
        <v>86.642600000000002</v>
      </c>
      <c r="BH723">
        <v>100</v>
      </c>
      <c r="BI723">
        <v>77.6173</v>
      </c>
      <c r="BJ723">
        <v>38.989199999999997</v>
      </c>
      <c r="BL723">
        <v>38.6282</v>
      </c>
      <c r="BM723">
        <v>55.956699999999998</v>
      </c>
      <c r="BN723">
        <v>55.595700000000001</v>
      </c>
      <c r="CA723">
        <v>17.328499999999998</v>
      </c>
      <c r="CC723">
        <v>11.552300000000001</v>
      </c>
      <c r="CK723">
        <v>6</v>
      </c>
      <c r="CL723" t="s">
        <v>4</v>
      </c>
      <c r="CM723" t="s">
        <v>1838</v>
      </c>
      <c r="CN723" t="s">
        <v>1839</v>
      </c>
      <c r="CO723" t="s">
        <v>99</v>
      </c>
      <c r="CP723">
        <v>164</v>
      </c>
      <c r="CQ723" t="s">
        <v>100</v>
      </c>
      <c r="CR723" t="s">
        <v>100</v>
      </c>
      <c r="CS723" t="s">
        <v>101</v>
      </c>
      <c r="CT723" t="s">
        <v>100</v>
      </c>
      <c r="CU723" t="s">
        <v>102</v>
      </c>
      <c r="CV723" t="s">
        <v>100</v>
      </c>
    </row>
    <row r="724" spans="1:100">
      <c r="A724" s="3" t="s">
        <v>1840</v>
      </c>
      <c r="B724" s="4" t="s">
        <v>1841</v>
      </c>
      <c r="C724">
        <v>216.56295503179601</v>
      </c>
      <c r="D724">
        <v>47.634584237271199</v>
      </c>
      <c r="E724">
        <v>2.1902549293896798</v>
      </c>
      <c r="F724" s="5">
        <v>3.8924586114379601E-7</v>
      </c>
      <c r="G724" t="s">
        <v>4</v>
      </c>
      <c r="H724">
        <v>216.56295503179601</v>
      </c>
      <c r="I724">
        <v>28.9042612105813</v>
      </c>
      <c r="J724">
        <v>2.8858654238543702</v>
      </c>
      <c r="K724" s="5">
        <v>7.1885020218243104E-11</v>
      </c>
      <c r="L724" t="s">
        <v>4</v>
      </c>
      <c r="M724">
        <v>47.634584237271199</v>
      </c>
      <c r="N724">
        <v>28.9042612105813</v>
      </c>
      <c r="O724">
        <v>0.69561049446469303</v>
      </c>
      <c r="P724">
        <v>0.166877256645142</v>
      </c>
      <c r="Q724" t="s">
        <v>4</v>
      </c>
      <c r="R724" s="4" t="s">
        <v>87</v>
      </c>
      <c r="S724" t="s">
        <v>4</v>
      </c>
      <c r="T724" t="s">
        <v>1842</v>
      </c>
      <c r="U724" t="s">
        <v>1843</v>
      </c>
      <c r="V724" t="s">
        <v>1844</v>
      </c>
      <c r="W724" t="s">
        <v>1845</v>
      </c>
      <c r="X724" t="s">
        <v>4</v>
      </c>
      <c r="Y724" t="s">
        <v>1846</v>
      </c>
      <c r="Z724" t="s">
        <v>1847</v>
      </c>
      <c r="AA724" t="s">
        <v>1848</v>
      </c>
      <c r="AB724" t="s">
        <v>4</v>
      </c>
      <c r="AC724" s="3" t="s">
        <v>1849</v>
      </c>
      <c r="AD724" t="s">
        <v>4</v>
      </c>
      <c r="AE724" t="s">
        <v>1850</v>
      </c>
      <c r="AF724" t="s">
        <v>1851</v>
      </c>
      <c r="AG724" t="s">
        <v>1852</v>
      </c>
      <c r="AH724" t="s">
        <v>112</v>
      </c>
      <c r="AL724" t="s">
        <v>1853</v>
      </c>
      <c r="AM724" t="s">
        <v>1854</v>
      </c>
      <c r="AQ724" t="s">
        <v>879</v>
      </c>
      <c r="AU724" t="s">
        <v>112</v>
      </c>
      <c r="AV724" t="s">
        <v>1855</v>
      </c>
      <c r="AW724" t="s">
        <v>114</v>
      </c>
      <c r="AX724" t="s">
        <v>132</v>
      </c>
      <c r="AY724" t="s">
        <v>1856</v>
      </c>
      <c r="AZ724" t="s">
        <v>4</v>
      </c>
      <c r="BA724" s="3" t="s">
        <v>95</v>
      </c>
      <c r="BB724" s="6" t="s">
        <v>95</v>
      </c>
      <c r="BC724" s="3" t="s">
        <v>197</v>
      </c>
      <c r="BD724" t="s">
        <v>4</v>
      </c>
      <c r="BE724">
        <v>7605</v>
      </c>
      <c r="BF724" t="s">
        <v>213</v>
      </c>
      <c r="BG724">
        <v>61.129600000000003</v>
      </c>
      <c r="BI724">
        <v>83.7209</v>
      </c>
      <c r="BJ724">
        <v>96.677700000000002</v>
      </c>
      <c r="BK724">
        <v>96.345500000000001</v>
      </c>
      <c r="BL724">
        <v>79.069800000000001</v>
      </c>
      <c r="BM724">
        <v>97.01</v>
      </c>
      <c r="BN724">
        <v>97.342200000000005</v>
      </c>
      <c r="BO724">
        <v>95.348799999999997</v>
      </c>
      <c r="BP724">
        <v>57.807299999999998</v>
      </c>
      <c r="BQ724">
        <v>47.508299999999998</v>
      </c>
      <c r="BR724">
        <v>47.840499999999999</v>
      </c>
      <c r="BS724">
        <v>5.9800700000000004</v>
      </c>
      <c r="BT724">
        <v>39.5349</v>
      </c>
      <c r="BU724">
        <v>43.8538</v>
      </c>
      <c r="BV724" t="s">
        <v>1857</v>
      </c>
      <c r="BW724">
        <v>47.176099999999998</v>
      </c>
      <c r="BX724">
        <v>56.1462</v>
      </c>
      <c r="BY724">
        <v>35.548200000000001</v>
      </c>
      <c r="BZ724">
        <v>56.1462</v>
      </c>
      <c r="CA724">
        <v>51.494999999999997</v>
      </c>
      <c r="CB724">
        <v>27.5748</v>
      </c>
      <c r="CC724">
        <v>42.524900000000002</v>
      </c>
      <c r="CD724">
        <v>48.837200000000003</v>
      </c>
      <c r="CE724" t="s">
        <v>1858</v>
      </c>
      <c r="CG724" t="s">
        <v>1859</v>
      </c>
      <c r="CH724" t="s">
        <v>1860</v>
      </c>
      <c r="CI724" t="s">
        <v>1861</v>
      </c>
      <c r="CK724">
        <v>8</v>
      </c>
      <c r="CL724" t="s">
        <v>4</v>
      </c>
      <c r="CM724" t="s">
        <v>1862</v>
      </c>
      <c r="CN724" t="s">
        <v>1863</v>
      </c>
      <c r="CO724" t="s">
        <v>99</v>
      </c>
      <c r="CP724">
        <v>165</v>
      </c>
      <c r="CQ724" t="s">
        <v>100</v>
      </c>
      <c r="CR724" t="s">
        <v>100</v>
      </c>
      <c r="CS724" t="s">
        <v>101</v>
      </c>
      <c r="CT724" t="s">
        <v>100</v>
      </c>
      <c r="CU724" t="s">
        <v>102</v>
      </c>
      <c r="CV724" t="s">
        <v>100</v>
      </c>
    </row>
    <row r="725" spans="1:100">
      <c r="A725" s="3" t="s">
        <v>1864</v>
      </c>
      <c r="B725" s="4" t="s">
        <v>1865</v>
      </c>
      <c r="C725">
        <v>1526.68130986093</v>
      </c>
      <c r="D725">
        <v>293.80260308950699</v>
      </c>
      <c r="E725">
        <v>2.3779557028443898</v>
      </c>
      <c r="F725" s="5">
        <v>1.7191956665263601E-15</v>
      </c>
      <c r="G725" t="s">
        <v>4</v>
      </c>
      <c r="H725">
        <v>1526.68130986093</v>
      </c>
      <c r="I725">
        <v>80.121252271422406</v>
      </c>
      <c r="J725">
        <v>4.2224408999473804</v>
      </c>
      <c r="K725" s="5">
        <v>4.2831147948757902E-43</v>
      </c>
      <c r="L725" t="s">
        <v>4</v>
      </c>
      <c r="M725">
        <v>293.80260308950699</v>
      </c>
      <c r="N725">
        <v>80.121252271422406</v>
      </c>
      <c r="O725">
        <v>1.8444851971029901</v>
      </c>
      <c r="P725" s="5">
        <v>5.5741888780496902E-9</v>
      </c>
      <c r="Q725" t="s">
        <v>4</v>
      </c>
      <c r="R725" s="4" t="s">
        <v>87</v>
      </c>
      <c r="S725" t="s">
        <v>4</v>
      </c>
      <c r="T725" t="s">
        <v>1866</v>
      </c>
      <c r="U725" t="s">
        <v>1867</v>
      </c>
      <c r="V725" t="s">
        <v>1868</v>
      </c>
      <c r="W725" t="s">
        <v>123</v>
      </c>
      <c r="X725" t="s">
        <v>4</v>
      </c>
      <c r="Y725" t="s">
        <v>1869</v>
      </c>
      <c r="Z725" t="s">
        <v>1870</v>
      </c>
      <c r="AA725" t="s">
        <v>1871</v>
      </c>
      <c r="AB725" t="s">
        <v>4</v>
      </c>
      <c r="AC725" s="3" t="s">
        <v>1872</v>
      </c>
      <c r="AD725" t="s">
        <v>4</v>
      </c>
      <c r="AE725" t="s">
        <v>1873</v>
      </c>
      <c r="AF725" t="s">
        <v>1874</v>
      </c>
      <c r="AG725" t="s">
        <v>1875</v>
      </c>
      <c r="AH725" t="s">
        <v>112</v>
      </c>
      <c r="AI725" t="s">
        <v>1876</v>
      </c>
      <c r="AJ725" t="s">
        <v>1877</v>
      </c>
      <c r="AU725" t="s">
        <v>112</v>
      </c>
      <c r="AV725" t="s">
        <v>1878</v>
      </c>
      <c r="AW725" t="s">
        <v>114</v>
      </c>
      <c r="AX725" t="s">
        <v>1879</v>
      </c>
      <c r="AY725" t="s">
        <v>1880</v>
      </c>
      <c r="AZ725" t="s">
        <v>4</v>
      </c>
      <c r="BA725" s="3" t="s">
        <v>95</v>
      </c>
      <c r="BB725" s="6" t="s">
        <v>95</v>
      </c>
      <c r="BC725" s="3" t="s">
        <v>95</v>
      </c>
      <c r="BD725" t="s">
        <v>4</v>
      </c>
      <c r="BE725">
        <v>4083</v>
      </c>
      <c r="BF725" t="s">
        <v>112</v>
      </c>
      <c r="BG725">
        <v>95.546599999999998</v>
      </c>
      <c r="BH725">
        <v>85.020200000000003</v>
      </c>
      <c r="BI725">
        <v>94.331999999999994</v>
      </c>
      <c r="BJ725">
        <v>84.210499999999996</v>
      </c>
      <c r="BK725">
        <v>63.967599999999997</v>
      </c>
      <c r="BL725">
        <v>54.655900000000003</v>
      </c>
      <c r="BM725">
        <v>63.967599999999997</v>
      </c>
      <c r="BN725">
        <v>69.838099999999997</v>
      </c>
      <c r="BO725">
        <v>52.024299999999997</v>
      </c>
      <c r="BP725">
        <v>25.5061</v>
      </c>
      <c r="BQ725">
        <v>22.874500000000001</v>
      </c>
      <c r="BR725" t="s">
        <v>1881</v>
      </c>
      <c r="BS725">
        <v>23.886600000000001</v>
      </c>
      <c r="BT725">
        <v>20.850200000000001</v>
      </c>
      <c r="BU725">
        <v>22.6721</v>
      </c>
      <c r="BV725" t="s">
        <v>1882</v>
      </c>
      <c r="BW725" t="s">
        <v>1883</v>
      </c>
      <c r="BX725">
        <v>32.3887</v>
      </c>
      <c r="BY725">
        <v>15.7895</v>
      </c>
      <c r="BZ725">
        <v>25.5061</v>
      </c>
      <c r="CA725" t="s">
        <v>1884</v>
      </c>
      <c r="CG725">
        <v>21.6599</v>
      </c>
      <c r="CH725">
        <v>21.6599</v>
      </c>
      <c r="CI725">
        <v>20.6478</v>
      </c>
      <c r="CJ725" t="s">
        <v>1885</v>
      </c>
      <c r="CK725">
        <v>5</v>
      </c>
      <c r="CL725" t="s">
        <v>4</v>
      </c>
      <c r="CM725" t="s">
        <v>1886</v>
      </c>
      <c r="CN725" t="s">
        <v>1887</v>
      </c>
      <c r="CO725" t="s">
        <v>1888</v>
      </c>
      <c r="CP725">
        <v>166</v>
      </c>
      <c r="CQ725" t="s">
        <v>100</v>
      </c>
      <c r="CR725" t="s">
        <v>100</v>
      </c>
      <c r="CS725" t="s">
        <v>101</v>
      </c>
      <c r="CT725" s="7" t="s">
        <v>152</v>
      </c>
      <c r="CU725" t="s">
        <v>102</v>
      </c>
      <c r="CV725" t="s">
        <v>1889</v>
      </c>
    </row>
    <row r="726" spans="1:100">
      <c r="A726" s="3" t="s">
        <v>1890</v>
      </c>
      <c r="B726" s="4" t="s">
        <v>1891</v>
      </c>
      <c r="C726">
        <v>79.024832388120203</v>
      </c>
      <c r="D726">
        <v>18.541830662201299</v>
      </c>
      <c r="E726">
        <v>2.0821469178265701</v>
      </c>
      <c r="F726">
        <v>1.29372237934854E-4</v>
      </c>
      <c r="G726" t="s">
        <v>4</v>
      </c>
      <c r="H726">
        <v>79.024832388120203</v>
      </c>
      <c r="I726">
        <v>17.046577622762602</v>
      </c>
      <c r="J726">
        <v>2.1801022636576999</v>
      </c>
      <c r="K726" s="5">
        <v>8.0624391058453597E-5</v>
      </c>
      <c r="L726" t="s">
        <v>4</v>
      </c>
      <c r="M726">
        <v>18.541830662201299</v>
      </c>
      <c r="N726">
        <v>17.046577622762602</v>
      </c>
      <c r="O726">
        <v>9.7955345831123405E-2</v>
      </c>
      <c r="P726">
        <v>0.89862507764734001</v>
      </c>
      <c r="Q726" t="s">
        <v>4</v>
      </c>
      <c r="R726" s="4" t="s">
        <v>87</v>
      </c>
      <c r="S726" t="s">
        <v>4</v>
      </c>
      <c r="T726" t="s">
        <v>1312</v>
      </c>
      <c r="U726" t="s">
        <v>1313</v>
      </c>
      <c r="V726" t="s">
        <v>1314</v>
      </c>
      <c r="W726" t="s">
        <v>203</v>
      </c>
      <c r="X726" t="s">
        <v>4</v>
      </c>
      <c r="Y726" t="s">
        <v>1315</v>
      </c>
      <c r="Z726" t="s">
        <v>1316</v>
      </c>
      <c r="AA726" t="s">
        <v>1317</v>
      </c>
      <c r="AB726" t="s">
        <v>4</v>
      </c>
      <c r="AC726" s="3" t="s">
        <v>1318</v>
      </c>
      <c r="AD726" t="s">
        <v>4</v>
      </c>
      <c r="AE726" t="s">
        <v>1892</v>
      </c>
      <c r="AF726" t="s">
        <v>1893</v>
      </c>
      <c r="AG726" t="s">
        <v>1894</v>
      </c>
      <c r="AH726" t="s">
        <v>314</v>
      </c>
      <c r="AU726" t="s">
        <v>112</v>
      </c>
      <c r="AV726" t="s">
        <v>1895</v>
      </c>
      <c r="AW726" t="s">
        <v>114</v>
      </c>
      <c r="AX726" t="s">
        <v>132</v>
      </c>
      <c r="AY726" t="s">
        <v>1896</v>
      </c>
      <c r="AZ726" t="s">
        <v>4</v>
      </c>
      <c r="BA726" s="3" t="s">
        <v>95</v>
      </c>
      <c r="BB726" s="6" t="s">
        <v>95</v>
      </c>
      <c r="BC726" s="3" t="s">
        <v>95</v>
      </c>
      <c r="BD726" t="s">
        <v>4</v>
      </c>
      <c r="BE726">
        <v>5122</v>
      </c>
      <c r="BF726" t="s">
        <v>282</v>
      </c>
      <c r="BG726">
        <v>100</v>
      </c>
      <c r="BK726">
        <v>91.940299999999993</v>
      </c>
      <c r="CB726">
        <v>19.701499999999999</v>
      </c>
      <c r="CD726" t="s">
        <v>1897</v>
      </c>
      <c r="CK726">
        <v>6</v>
      </c>
      <c r="CL726" t="s">
        <v>4</v>
      </c>
      <c r="CM726" t="s">
        <v>98</v>
      </c>
      <c r="CN726" t="s">
        <v>98</v>
      </c>
      <c r="CO726" t="s">
        <v>99</v>
      </c>
      <c r="CP726">
        <v>167</v>
      </c>
      <c r="CQ726" t="s">
        <v>100</v>
      </c>
      <c r="CR726" t="s">
        <v>100</v>
      </c>
      <c r="CS726" t="s">
        <v>101</v>
      </c>
      <c r="CT726" t="s">
        <v>100</v>
      </c>
      <c r="CU726" t="s">
        <v>102</v>
      </c>
      <c r="CV726" t="s">
        <v>100</v>
      </c>
    </row>
    <row r="727" spans="1:100">
      <c r="A727" s="3" t="s">
        <v>1898</v>
      </c>
      <c r="B727" s="4" t="s">
        <v>1899</v>
      </c>
      <c r="C727">
        <v>57.1022697366963</v>
      </c>
      <c r="D727">
        <v>12.8227177252164</v>
      </c>
      <c r="E727">
        <v>2.16040355431916</v>
      </c>
      <c r="F727">
        <v>3.1301177781890501E-3</v>
      </c>
      <c r="G727" t="s">
        <v>4</v>
      </c>
      <c r="H727">
        <v>57.1022697366963</v>
      </c>
      <c r="I727">
        <v>6.3019219661137997</v>
      </c>
      <c r="J727">
        <v>3.2100720241467502</v>
      </c>
      <c r="K727" s="5">
        <v>3.9222100203269E-5</v>
      </c>
      <c r="L727" t="s">
        <v>4</v>
      </c>
      <c r="M727">
        <v>12.8227177252164</v>
      </c>
      <c r="N727">
        <v>6.3019219661137997</v>
      </c>
      <c r="O727">
        <v>1.04966846982759</v>
      </c>
      <c r="P727">
        <v>0.23544392972344999</v>
      </c>
      <c r="Q727" t="s">
        <v>4</v>
      </c>
      <c r="R727" s="4" t="s">
        <v>87</v>
      </c>
      <c r="S727" t="s">
        <v>4</v>
      </c>
      <c r="T727" t="s">
        <v>504</v>
      </c>
      <c r="U727" t="s">
        <v>505</v>
      </c>
      <c r="V727" t="s">
        <v>506</v>
      </c>
      <c r="W727" t="s">
        <v>507</v>
      </c>
      <c r="X727" t="s">
        <v>4</v>
      </c>
      <c r="Y727" t="s">
        <v>508</v>
      </c>
      <c r="Z727" t="s">
        <v>509</v>
      </c>
      <c r="AA727" t="s">
        <v>510</v>
      </c>
      <c r="AB727" t="s">
        <v>4</v>
      </c>
      <c r="AC727" s="3" t="s">
        <v>1900</v>
      </c>
      <c r="AD727" t="s">
        <v>4</v>
      </c>
      <c r="AE727" t="s">
        <v>1901</v>
      </c>
      <c r="AF727" t="s">
        <v>1902</v>
      </c>
      <c r="AG727" t="s">
        <v>1903</v>
      </c>
      <c r="AH727" t="s">
        <v>112</v>
      </c>
      <c r="AI727" t="s">
        <v>1904</v>
      </c>
      <c r="AJ727" t="s">
        <v>1905</v>
      </c>
      <c r="AU727" t="s">
        <v>112</v>
      </c>
      <c r="AV727" t="s">
        <v>1906</v>
      </c>
      <c r="AW727" t="s">
        <v>114</v>
      </c>
      <c r="AX727" t="s">
        <v>1907</v>
      </c>
      <c r="AY727" t="s">
        <v>1908</v>
      </c>
      <c r="AZ727" t="s">
        <v>4</v>
      </c>
      <c r="BA727" s="3" t="s">
        <v>95</v>
      </c>
      <c r="BB727" t="s">
        <v>96</v>
      </c>
      <c r="BC727" s="3" t="s">
        <v>95</v>
      </c>
      <c r="BD727" t="s">
        <v>4</v>
      </c>
      <c r="BE727">
        <v>5123</v>
      </c>
      <c r="BF727" t="s">
        <v>282</v>
      </c>
      <c r="BG727">
        <v>98.032799999999995</v>
      </c>
      <c r="BI727">
        <v>91.803299999999993</v>
      </c>
      <c r="BJ727">
        <v>80.983599999999996</v>
      </c>
      <c r="BK727">
        <v>56.3934</v>
      </c>
      <c r="BL727">
        <v>58.032800000000002</v>
      </c>
      <c r="BM727">
        <v>59.6721</v>
      </c>
      <c r="BN727">
        <v>76.065600000000003</v>
      </c>
      <c r="BQ727" t="s">
        <v>1909</v>
      </c>
      <c r="CK727">
        <v>6</v>
      </c>
      <c r="CL727" t="s">
        <v>4</v>
      </c>
      <c r="CM727" t="s">
        <v>98</v>
      </c>
      <c r="CN727" t="s">
        <v>98</v>
      </c>
      <c r="CO727" t="s">
        <v>99</v>
      </c>
      <c r="CP727">
        <v>168</v>
      </c>
      <c r="CQ727" t="s">
        <v>100</v>
      </c>
      <c r="CR727" t="s">
        <v>100</v>
      </c>
      <c r="CS727" t="s">
        <v>101</v>
      </c>
      <c r="CT727" t="s">
        <v>100</v>
      </c>
      <c r="CU727" t="s">
        <v>102</v>
      </c>
      <c r="CV727" t="s">
        <v>100</v>
      </c>
    </row>
    <row r="728" spans="1:100">
      <c r="A728" s="3" t="s">
        <v>1910</v>
      </c>
      <c r="B728" s="4" t="s">
        <v>1911</v>
      </c>
      <c r="C728">
        <v>279.075850664803</v>
      </c>
      <c r="D728">
        <v>50.827295720968102</v>
      </c>
      <c r="E728">
        <v>2.4573308334933301</v>
      </c>
      <c r="F728" s="5">
        <v>4.8608470905481797E-5</v>
      </c>
      <c r="G728" t="s">
        <v>4</v>
      </c>
      <c r="H728">
        <v>279.075850664803</v>
      </c>
      <c r="I728">
        <v>63.082721277533402</v>
      </c>
      <c r="J728">
        <v>2.1214099115116398</v>
      </c>
      <c r="K728">
        <v>3.9316771749305898E-4</v>
      </c>
      <c r="L728" t="s">
        <v>4</v>
      </c>
      <c r="M728">
        <v>50.827295720968102</v>
      </c>
      <c r="N728">
        <v>63.082721277533402</v>
      </c>
      <c r="O728">
        <f>0.335920921981686</f>
        <v>0.33592092198168599</v>
      </c>
      <c r="P728">
        <v>0.64074687656284801</v>
      </c>
      <c r="Q728" t="s">
        <v>4</v>
      </c>
      <c r="R728" s="4" t="s">
        <v>87</v>
      </c>
      <c r="S728" t="s">
        <v>4</v>
      </c>
      <c r="T728" t="s">
        <v>1912</v>
      </c>
      <c r="U728" t="s">
        <v>1913</v>
      </c>
      <c r="V728" t="s">
        <v>1914</v>
      </c>
      <c r="W728" t="s">
        <v>1915</v>
      </c>
      <c r="X728" t="s">
        <v>4</v>
      </c>
      <c r="Y728" t="s">
        <v>204</v>
      </c>
      <c r="Z728" t="s">
        <v>205</v>
      </c>
      <c r="AA728" t="s">
        <v>206</v>
      </c>
      <c r="AB728" t="s">
        <v>4</v>
      </c>
      <c r="AC728" s="3" t="s">
        <v>1916</v>
      </c>
      <c r="AD728" t="s">
        <v>4</v>
      </c>
      <c r="AE728" t="s">
        <v>1917</v>
      </c>
      <c r="AF728" t="s">
        <v>1918</v>
      </c>
      <c r="AG728" t="s">
        <v>1919</v>
      </c>
      <c r="AH728" t="s">
        <v>112</v>
      </c>
      <c r="AU728" t="s">
        <v>112</v>
      </c>
      <c r="AV728" t="s">
        <v>1920</v>
      </c>
      <c r="AW728" t="s">
        <v>114</v>
      </c>
      <c r="AX728" t="s">
        <v>132</v>
      </c>
      <c r="AY728" t="s">
        <v>212</v>
      </c>
      <c r="AZ728" t="s">
        <v>4</v>
      </c>
      <c r="BA728" s="3" t="s">
        <v>95</v>
      </c>
      <c r="BB728" s="6" t="s">
        <v>95</v>
      </c>
      <c r="BC728" s="3" t="s">
        <v>95</v>
      </c>
      <c r="BD728" t="s">
        <v>4</v>
      </c>
      <c r="BE728">
        <v>4129</v>
      </c>
      <c r="BF728" t="s">
        <v>112</v>
      </c>
      <c r="BG728">
        <v>98.309899999999999</v>
      </c>
      <c r="BH728">
        <v>98.309899999999999</v>
      </c>
      <c r="BI728">
        <v>95.492999999999995</v>
      </c>
      <c r="BJ728">
        <v>90.985900000000001</v>
      </c>
      <c r="BK728">
        <v>84.225300000000004</v>
      </c>
      <c r="BL728">
        <v>85.070400000000006</v>
      </c>
      <c r="BM728">
        <v>84.507000000000005</v>
      </c>
      <c r="BN728">
        <v>84.225300000000004</v>
      </c>
      <c r="BP728">
        <v>60</v>
      </c>
      <c r="BR728">
        <v>53.239400000000003</v>
      </c>
      <c r="BS728">
        <v>56.338000000000001</v>
      </c>
      <c r="BY728">
        <v>22.253499999999999</v>
      </c>
      <c r="BZ728">
        <v>34.084499999999998</v>
      </c>
      <c r="CA728" t="s">
        <v>1921</v>
      </c>
      <c r="CK728">
        <v>5</v>
      </c>
      <c r="CL728" t="s">
        <v>4</v>
      </c>
      <c r="CM728" t="s">
        <v>1922</v>
      </c>
      <c r="CN728" t="s">
        <v>1923</v>
      </c>
      <c r="CO728" t="s">
        <v>1467</v>
      </c>
      <c r="CP728">
        <v>169</v>
      </c>
      <c r="CQ728" t="s">
        <v>100</v>
      </c>
      <c r="CR728" t="s">
        <v>100</v>
      </c>
      <c r="CS728" t="s">
        <v>101</v>
      </c>
      <c r="CT728" t="s">
        <v>100</v>
      </c>
      <c r="CU728" t="s">
        <v>102</v>
      </c>
      <c r="CV728" t="s">
        <v>100</v>
      </c>
    </row>
    <row r="729" spans="1:100">
      <c r="A729" s="3" t="s">
        <v>1924</v>
      </c>
      <c r="B729" s="4" t="s">
        <v>1925</v>
      </c>
      <c r="C729">
        <v>48.345699725487002</v>
      </c>
      <c r="D729">
        <v>5.8874538703904502</v>
      </c>
      <c r="E729">
        <v>3.0594263668531401</v>
      </c>
      <c r="F729">
        <v>1.3519862547248799E-4</v>
      </c>
      <c r="G729" t="s">
        <v>4</v>
      </c>
      <c r="H729">
        <v>48.345699725487002</v>
      </c>
      <c r="I729">
        <v>5.6712715046133999</v>
      </c>
      <c r="J729">
        <v>3.1111652389984399</v>
      </c>
      <c r="K729">
        <v>1.7075803409487199E-4</v>
      </c>
      <c r="L729" t="s">
        <v>4</v>
      </c>
      <c r="M729">
        <v>5.8874538703904502</v>
      </c>
      <c r="N729">
        <v>5.6712715046133999</v>
      </c>
      <c r="O729">
        <v>5.1738872145299201E-2</v>
      </c>
      <c r="P729">
        <v>0.96573756450663695</v>
      </c>
      <c r="Q729" t="s">
        <v>4</v>
      </c>
      <c r="R729" s="4" t="s">
        <v>87</v>
      </c>
      <c r="S729" t="s">
        <v>4</v>
      </c>
      <c r="T729" t="s">
        <v>1926</v>
      </c>
      <c r="U729" t="s">
        <v>1927</v>
      </c>
      <c r="V729" t="s">
        <v>1928</v>
      </c>
      <c r="W729" t="s">
        <v>328</v>
      </c>
      <c r="X729" t="s">
        <v>4</v>
      </c>
      <c r="Y729" t="s">
        <v>1929</v>
      </c>
      <c r="Z729" t="s">
        <v>1930</v>
      </c>
      <c r="AA729" t="s">
        <v>1931</v>
      </c>
      <c r="AB729" t="s">
        <v>4</v>
      </c>
      <c r="AC729" s="3" t="s">
        <v>1932</v>
      </c>
      <c r="AD729" t="s">
        <v>4</v>
      </c>
      <c r="AE729" t="s">
        <v>1933</v>
      </c>
      <c r="AF729" t="s">
        <v>1934</v>
      </c>
      <c r="AG729" t="s">
        <v>1935</v>
      </c>
      <c r="AH729" t="s">
        <v>1936</v>
      </c>
      <c r="AU729" t="s">
        <v>112</v>
      </c>
      <c r="AV729" t="s">
        <v>1937</v>
      </c>
      <c r="AW729" t="s">
        <v>114</v>
      </c>
      <c r="AX729" t="s">
        <v>1938</v>
      </c>
      <c r="AY729" t="s">
        <v>1939</v>
      </c>
      <c r="AZ729" t="s">
        <v>4</v>
      </c>
      <c r="BA729" s="3" t="s">
        <v>115</v>
      </c>
      <c r="BB729" s="6" t="s">
        <v>95</v>
      </c>
      <c r="BC729" s="3" t="s">
        <v>95</v>
      </c>
      <c r="BD729" t="s">
        <v>4</v>
      </c>
      <c r="BE729">
        <v>10096</v>
      </c>
      <c r="BF729" t="s">
        <v>169</v>
      </c>
      <c r="BG729">
        <v>95.238100000000003</v>
      </c>
      <c r="BI729">
        <v>98.484800000000007</v>
      </c>
      <c r="BJ729">
        <v>84.415599999999998</v>
      </c>
      <c r="BK729">
        <v>96.536799999999999</v>
      </c>
      <c r="BM729">
        <v>17.965399999999999</v>
      </c>
      <c r="BN729">
        <v>88.744600000000005</v>
      </c>
      <c r="BP729">
        <v>88.528099999999995</v>
      </c>
      <c r="BQ729">
        <v>77.705600000000004</v>
      </c>
      <c r="BR729">
        <v>82.900400000000005</v>
      </c>
      <c r="BT729">
        <v>82.251099999999994</v>
      </c>
      <c r="BU729">
        <v>80.735900000000001</v>
      </c>
      <c r="BV729" t="s">
        <v>1940</v>
      </c>
      <c r="CB729">
        <v>14.7186</v>
      </c>
      <c r="CF729">
        <v>64.718599999999995</v>
      </c>
      <c r="CG729" t="s">
        <v>1941</v>
      </c>
      <c r="CH729">
        <v>40.259700000000002</v>
      </c>
      <c r="CJ729" t="s">
        <v>1942</v>
      </c>
      <c r="CK729">
        <v>9</v>
      </c>
      <c r="CL729" t="s">
        <v>4</v>
      </c>
      <c r="CM729" t="s">
        <v>98</v>
      </c>
      <c r="CN729" t="s">
        <v>98</v>
      </c>
      <c r="CO729" t="s">
        <v>99</v>
      </c>
      <c r="CP729">
        <v>170</v>
      </c>
      <c r="CQ729" t="s">
        <v>100</v>
      </c>
      <c r="CR729" t="s">
        <v>100</v>
      </c>
      <c r="CS729" t="s">
        <v>101</v>
      </c>
      <c r="CT729" t="s">
        <v>100</v>
      </c>
      <c r="CU729" t="s">
        <v>102</v>
      </c>
      <c r="CV729" t="s">
        <v>100</v>
      </c>
    </row>
    <row r="730" spans="1:100">
      <c r="A730" s="3" t="s">
        <v>1943</v>
      </c>
      <c r="B730" s="4" t="s">
        <v>1944</v>
      </c>
      <c r="C730">
        <v>55.090394985981099</v>
      </c>
      <c r="D730">
        <v>10.3156542474572</v>
      </c>
      <c r="E730">
        <v>2.4314694109484098</v>
      </c>
      <c r="F730">
        <v>8.1248395263527895E-3</v>
      </c>
      <c r="G730" t="s">
        <v>4</v>
      </c>
      <c r="H730">
        <v>55.090394985981099</v>
      </c>
      <c r="I730">
        <v>2.8056126193570199</v>
      </c>
      <c r="J730">
        <v>4.2038137630611798</v>
      </c>
      <c r="K730" s="5">
        <v>4.39217266313483E-5</v>
      </c>
      <c r="L730" t="s">
        <v>4</v>
      </c>
      <c r="M730">
        <v>10.3156542474572</v>
      </c>
      <c r="N730">
        <v>2.8056126193570199</v>
      </c>
      <c r="O730">
        <v>1.77234435211277</v>
      </c>
      <c r="P730">
        <v>0.11443269695121799</v>
      </c>
      <c r="Q730" t="s">
        <v>4</v>
      </c>
      <c r="R730" s="4" t="s">
        <v>87</v>
      </c>
      <c r="S730" t="s">
        <v>4</v>
      </c>
      <c r="T730" t="s">
        <v>1945</v>
      </c>
      <c r="U730" t="s">
        <v>1946</v>
      </c>
      <c r="V730" t="s">
        <v>1947</v>
      </c>
      <c r="W730" t="s">
        <v>203</v>
      </c>
      <c r="X730" t="s">
        <v>4</v>
      </c>
      <c r="Y730" t="s">
        <v>1948</v>
      </c>
      <c r="Z730" t="s">
        <v>1949</v>
      </c>
      <c r="AA730" t="s">
        <v>1950</v>
      </c>
      <c r="AB730" t="s">
        <v>4</v>
      </c>
      <c r="AC730" s="3" t="s">
        <v>1951</v>
      </c>
      <c r="AD730" t="s">
        <v>4</v>
      </c>
      <c r="AE730" t="s">
        <v>1952</v>
      </c>
      <c r="AF730" t="s">
        <v>1953</v>
      </c>
      <c r="AG730" t="s">
        <v>1954</v>
      </c>
      <c r="AH730" t="s">
        <v>112</v>
      </c>
      <c r="AI730" t="s">
        <v>1955</v>
      </c>
      <c r="AJ730" t="s">
        <v>1956</v>
      </c>
      <c r="AU730" t="s">
        <v>112</v>
      </c>
      <c r="AV730" t="s">
        <v>1957</v>
      </c>
      <c r="AW730" t="s">
        <v>114</v>
      </c>
      <c r="AX730" t="s">
        <v>733</v>
      </c>
      <c r="AY730" t="s">
        <v>1958</v>
      </c>
      <c r="AZ730" t="s">
        <v>4</v>
      </c>
      <c r="BA730" s="3" t="s">
        <v>95</v>
      </c>
      <c r="BB730" s="6" t="s">
        <v>95</v>
      </c>
      <c r="BC730" s="3" t="s">
        <v>95</v>
      </c>
      <c r="BD730" t="s">
        <v>4</v>
      </c>
      <c r="BE730">
        <v>10116</v>
      </c>
      <c r="BF730" t="s">
        <v>169</v>
      </c>
      <c r="BH730">
        <v>99.236599999999996</v>
      </c>
      <c r="BI730">
        <v>93.129800000000003</v>
      </c>
      <c r="BJ730">
        <v>1.1450400000000001</v>
      </c>
      <c r="BK730">
        <v>70.992400000000004</v>
      </c>
      <c r="BM730">
        <v>69.084000000000003</v>
      </c>
      <c r="BN730">
        <v>70.228999999999999</v>
      </c>
      <c r="BO730">
        <v>74.809200000000004</v>
      </c>
      <c r="BP730">
        <v>50.381700000000002</v>
      </c>
      <c r="BQ730">
        <v>31.679400000000001</v>
      </c>
      <c r="BS730">
        <v>37.786299999999997</v>
      </c>
      <c r="BW730" t="s">
        <v>1959</v>
      </c>
      <c r="BX730">
        <v>45.801499999999997</v>
      </c>
      <c r="BZ730">
        <v>33.206099999999999</v>
      </c>
      <c r="CB730">
        <v>17.175599999999999</v>
      </c>
      <c r="CC730">
        <v>15.648899999999999</v>
      </c>
      <c r="CD730">
        <v>19.465599999999998</v>
      </c>
      <c r="CF730">
        <v>17.557300000000001</v>
      </c>
      <c r="CG730">
        <v>18.702300000000001</v>
      </c>
      <c r="CH730">
        <v>19.084</v>
      </c>
      <c r="CI730">
        <v>16.412199999999999</v>
      </c>
      <c r="CJ730">
        <v>15.648899999999999</v>
      </c>
      <c r="CK730">
        <v>9</v>
      </c>
      <c r="CL730" t="s">
        <v>4</v>
      </c>
      <c r="CM730" t="s">
        <v>98</v>
      </c>
      <c r="CN730" t="s">
        <v>98</v>
      </c>
      <c r="CO730" t="s">
        <v>99</v>
      </c>
      <c r="CP730">
        <v>171</v>
      </c>
      <c r="CQ730" t="s">
        <v>100</v>
      </c>
      <c r="CR730" t="s">
        <v>100</v>
      </c>
      <c r="CS730" t="s">
        <v>101</v>
      </c>
      <c r="CT730" t="s">
        <v>100</v>
      </c>
      <c r="CU730" t="s">
        <v>102</v>
      </c>
      <c r="CV730" t="s">
        <v>100</v>
      </c>
    </row>
    <row r="731" spans="1:100">
      <c r="A731" s="3" t="s">
        <v>1960</v>
      </c>
      <c r="B731" s="4" t="s">
        <v>1961</v>
      </c>
      <c r="C731">
        <v>45.666203330416998</v>
      </c>
      <c r="D731">
        <v>9.9551840428729896</v>
      </c>
      <c r="E731">
        <v>2.2049383111922398</v>
      </c>
      <c r="F731">
        <v>4.8911943562887699E-3</v>
      </c>
      <c r="G731" t="s">
        <v>4</v>
      </c>
      <c r="H731">
        <v>45.666203330416998</v>
      </c>
      <c r="I731">
        <v>8.4021926083452207</v>
      </c>
      <c r="J731">
        <v>2.4826731208231201</v>
      </c>
      <c r="K731">
        <v>1.8624312515353801E-3</v>
      </c>
      <c r="L731" t="s">
        <v>4</v>
      </c>
      <c r="M731">
        <v>9.9551840428729896</v>
      </c>
      <c r="N731">
        <v>8.4021926083452207</v>
      </c>
      <c r="O731">
        <v>0.27773480963088198</v>
      </c>
      <c r="P731">
        <v>0.78776061350582904</v>
      </c>
      <c r="Q731" t="s">
        <v>4</v>
      </c>
      <c r="R731" s="4" t="s">
        <v>87</v>
      </c>
      <c r="S731" t="s">
        <v>4</v>
      </c>
      <c r="T731" t="s">
        <v>92</v>
      </c>
      <c r="U731" t="s">
        <v>92</v>
      </c>
      <c r="V731" t="s">
        <v>92</v>
      </c>
      <c r="W731" t="s">
        <v>92</v>
      </c>
      <c r="X731" t="s">
        <v>4</v>
      </c>
      <c r="Y731" t="s">
        <v>155</v>
      </c>
      <c r="Z731" t="s">
        <v>156</v>
      </c>
      <c r="AA731" t="s">
        <v>157</v>
      </c>
      <c r="AB731" t="s">
        <v>4</v>
      </c>
      <c r="AC731" s="3" t="s">
        <v>1962</v>
      </c>
      <c r="AD731" t="s">
        <v>4</v>
      </c>
      <c r="AE731" t="s">
        <v>1963</v>
      </c>
      <c r="AF731" t="s">
        <v>1964</v>
      </c>
      <c r="AG731" t="s">
        <v>1965</v>
      </c>
      <c r="AH731" t="s">
        <v>112</v>
      </c>
      <c r="AU731" t="s">
        <v>112</v>
      </c>
      <c r="AV731" t="s">
        <v>1966</v>
      </c>
      <c r="AW731" t="s">
        <v>114</v>
      </c>
      <c r="AX731" t="s">
        <v>132</v>
      </c>
      <c r="AY731" t="s">
        <v>1967</v>
      </c>
      <c r="AZ731" t="s">
        <v>4</v>
      </c>
      <c r="BA731" s="3" t="s">
        <v>95</v>
      </c>
      <c r="BB731" s="6" t="s">
        <v>95</v>
      </c>
      <c r="BC731" s="3" t="s">
        <v>95</v>
      </c>
      <c r="BD731" t="s">
        <v>4</v>
      </c>
      <c r="BE731">
        <v>7775</v>
      </c>
      <c r="BF731" t="s">
        <v>213</v>
      </c>
      <c r="BG731">
        <v>99.697000000000003</v>
      </c>
      <c r="BI731">
        <v>95.757599999999996</v>
      </c>
      <c r="BK731">
        <v>46.666699999999999</v>
      </c>
      <c r="BM731">
        <v>82.7273</v>
      </c>
      <c r="BN731">
        <v>83.333299999999994</v>
      </c>
      <c r="BO731">
        <v>86.060599999999994</v>
      </c>
      <c r="BP731" t="s">
        <v>1968</v>
      </c>
      <c r="BR731">
        <v>42.424199999999999</v>
      </c>
      <c r="CB731">
        <v>10.6061</v>
      </c>
      <c r="CC731">
        <v>16.9697</v>
      </c>
      <c r="CD731" t="s">
        <v>1969</v>
      </c>
      <c r="CE731">
        <v>20.606100000000001</v>
      </c>
      <c r="CK731">
        <v>8</v>
      </c>
      <c r="CL731" t="s">
        <v>4</v>
      </c>
      <c r="CM731" t="s">
        <v>98</v>
      </c>
      <c r="CN731" t="s">
        <v>98</v>
      </c>
      <c r="CO731" t="s">
        <v>99</v>
      </c>
      <c r="CP731">
        <v>172</v>
      </c>
      <c r="CQ731" t="s">
        <v>100</v>
      </c>
      <c r="CR731" t="s">
        <v>100</v>
      </c>
      <c r="CS731" t="s">
        <v>101</v>
      </c>
      <c r="CT731" t="s">
        <v>100</v>
      </c>
      <c r="CU731" t="s">
        <v>102</v>
      </c>
      <c r="CV731" t="s">
        <v>100</v>
      </c>
    </row>
    <row r="732" spans="1:100">
      <c r="A732" s="3" t="s">
        <v>1970</v>
      </c>
      <c r="B732" s="4" t="s">
        <v>1971</v>
      </c>
      <c r="C732">
        <v>373.45806502792499</v>
      </c>
      <c r="D732">
        <v>53.504391906046301</v>
      </c>
      <c r="E732">
        <v>2.8054490070333098</v>
      </c>
      <c r="F732" s="5">
        <v>1.24265656874656E-10</v>
      </c>
      <c r="G732" t="s">
        <v>4</v>
      </c>
      <c r="H732">
        <v>373.45806502792499</v>
      </c>
      <c r="I732">
        <v>25.796960624218901</v>
      </c>
      <c r="J732">
        <v>3.7858079200571</v>
      </c>
      <c r="K732" s="5">
        <v>6.8422328270797505E-17</v>
      </c>
      <c r="L732" t="s">
        <v>4</v>
      </c>
      <c r="M732">
        <v>53.504391906046301</v>
      </c>
      <c r="N732">
        <v>25.796960624218901</v>
      </c>
      <c r="O732">
        <v>0.98035891302378797</v>
      </c>
      <c r="P732">
        <v>5.0935124292833603E-2</v>
      </c>
      <c r="Q732" t="s">
        <v>4</v>
      </c>
      <c r="R732" s="4" t="s">
        <v>87</v>
      </c>
      <c r="S732" t="s">
        <v>4</v>
      </c>
      <c r="T732" t="s">
        <v>92</v>
      </c>
      <c r="U732" t="s">
        <v>92</v>
      </c>
      <c r="V732" t="s">
        <v>92</v>
      </c>
      <c r="W732" t="s">
        <v>92</v>
      </c>
      <c r="X732" t="s">
        <v>4</v>
      </c>
      <c r="Y732" t="s">
        <v>92</v>
      </c>
      <c r="Z732" t="s">
        <v>92</v>
      </c>
      <c r="AA732" t="s">
        <v>92</v>
      </c>
      <c r="AB732" t="s">
        <v>4</v>
      </c>
      <c r="AC732" s="3" t="s">
        <v>93</v>
      </c>
      <c r="AD732" t="s">
        <v>4</v>
      </c>
      <c r="AE732" s="4" t="s">
        <v>94</v>
      </c>
      <c r="AZ732" t="s">
        <v>4</v>
      </c>
      <c r="BA732" s="3" t="s">
        <v>95</v>
      </c>
      <c r="BB732" s="6" t="s">
        <v>95</v>
      </c>
      <c r="BC732" s="3" t="s">
        <v>95</v>
      </c>
      <c r="BD732" t="s">
        <v>4</v>
      </c>
      <c r="BE732">
        <v>4179</v>
      </c>
      <c r="BF732" t="s">
        <v>112</v>
      </c>
      <c r="BG732">
        <v>97.189700000000002</v>
      </c>
      <c r="BH732">
        <v>100</v>
      </c>
      <c r="BI732">
        <v>89.227199999999996</v>
      </c>
      <c r="BJ732">
        <v>75.175600000000003</v>
      </c>
      <c r="BK732">
        <v>56.908700000000003</v>
      </c>
      <c r="BL732">
        <v>66.510499999999993</v>
      </c>
      <c r="BM732">
        <v>58.079599999999999</v>
      </c>
      <c r="BN732">
        <v>58.079599999999999</v>
      </c>
      <c r="BO732">
        <v>67.213099999999997</v>
      </c>
      <c r="CK732">
        <v>5</v>
      </c>
      <c r="CL732" t="s">
        <v>4</v>
      </c>
      <c r="CM732" t="s">
        <v>98</v>
      </c>
      <c r="CN732" t="s">
        <v>98</v>
      </c>
      <c r="CO732" t="s">
        <v>99</v>
      </c>
      <c r="CP732">
        <v>173</v>
      </c>
      <c r="CQ732" t="s">
        <v>100</v>
      </c>
      <c r="CR732" t="s">
        <v>100</v>
      </c>
      <c r="CS732" t="s">
        <v>101</v>
      </c>
      <c r="CT732" t="s">
        <v>100</v>
      </c>
      <c r="CU732" t="s">
        <v>102</v>
      </c>
      <c r="CV732" t="s">
        <v>100</v>
      </c>
    </row>
    <row r="733" spans="1:100">
      <c r="A733" s="3" t="s">
        <v>1972</v>
      </c>
      <c r="B733" s="4" t="s">
        <v>1973</v>
      </c>
      <c r="C733">
        <v>94.075117215472403</v>
      </c>
      <c r="D733">
        <v>17.487071607771099</v>
      </c>
      <c r="E733">
        <v>2.4346375016941799</v>
      </c>
      <c r="F733" s="5">
        <v>7.4253687570849196E-5</v>
      </c>
      <c r="G733" t="s">
        <v>4</v>
      </c>
      <c r="H733">
        <v>94.075117215472403</v>
      </c>
      <c r="I733">
        <v>19.120124442470502</v>
      </c>
      <c r="J733">
        <v>2.3139818581615699</v>
      </c>
      <c r="K733">
        <v>1.72282514857029E-4</v>
      </c>
      <c r="L733" t="s">
        <v>4</v>
      </c>
      <c r="M733">
        <v>17.487071607771099</v>
      </c>
      <c r="N733">
        <v>19.120124442470502</v>
      </c>
      <c r="O733">
        <f>0.120655643532609</f>
        <v>0.12065564353260901</v>
      </c>
      <c r="P733">
        <v>0.88570111079971203</v>
      </c>
      <c r="Q733" t="s">
        <v>4</v>
      </c>
      <c r="R733" s="4" t="s">
        <v>87</v>
      </c>
      <c r="S733" t="s">
        <v>4</v>
      </c>
      <c r="T733" t="s">
        <v>1974</v>
      </c>
      <c r="U733" t="s">
        <v>1975</v>
      </c>
      <c r="V733" t="s">
        <v>1976</v>
      </c>
      <c r="W733" t="s">
        <v>123</v>
      </c>
      <c r="X733" t="s">
        <v>4</v>
      </c>
      <c r="Y733" t="s">
        <v>1315</v>
      </c>
      <c r="Z733" t="s">
        <v>1316</v>
      </c>
      <c r="AA733" t="s">
        <v>1317</v>
      </c>
      <c r="AB733" t="s">
        <v>4</v>
      </c>
      <c r="AC733" s="3" t="s">
        <v>1977</v>
      </c>
      <c r="AD733" t="s">
        <v>4</v>
      </c>
      <c r="AE733" t="s">
        <v>1978</v>
      </c>
      <c r="AF733" t="s">
        <v>1979</v>
      </c>
      <c r="AG733" t="s">
        <v>1980</v>
      </c>
      <c r="AH733" t="s">
        <v>1981</v>
      </c>
      <c r="AU733" t="s">
        <v>112</v>
      </c>
      <c r="AV733" t="s">
        <v>1982</v>
      </c>
      <c r="AW733" t="s">
        <v>114</v>
      </c>
      <c r="AX733" t="s">
        <v>132</v>
      </c>
      <c r="AY733" t="s">
        <v>1460</v>
      </c>
      <c r="AZ733" t="s">
        <v>4</v>
      </c>
      <c r="BA733" s="3" t="s">
        <v>115</v>
      </c>
      <c r="BB733" s="6" t="s">
        <v>95</v>
      </c>
      <c r="BC733" s="3" t="s">
        <v>95</v>
      </c>
      <c r="BD733" t="s">
        <v>4</v>
      </c>
      <c r="BE733">
        <v>4182</v>
      </c>
      <c r="BF733" t="s">
        <v>112</v>
      </c>
      <c r="BG733">
        <v>19.339600000000001</v>
      </c>
      <c r="BP733">
        <v>46.226399999999998</v>
      </c>
      <c r="BQ733" t="s">
        <v>1983</v>
      </c>
      <c r="BW733">
        <v>29.2453</v>
      </c>
      <c r="BX733">
        <v>39.858499999999999</v>
      </c>
      <c r="CA733" t="s">
        <v>1984</v>
      </c>
      <c r="CK733">
        <v>5</v>
      </c>
      <c r="CL733" t="s">
        <v>4</v>
      </c>
      <c r="CM733" t="s">
        <v>1985</v>
      </c>
      <c r="CN733" t="s">
        <v>1986</v>
      </c>
      <c r="CO733" t="s">
        <v>1987</v>
      </c>
      <c r="CP733">
        <v>174</v>
      </c>
      <c r="CQ733" t="s">
        <v>100</v>
      </c>
      <c r="CR733" t="s">
        <v>100</v>
      </c>
      <c r="CS733" t="s">
        <v>101</v>
      </c>
      <c r="CT733" t="s">
        <v>100</v>
      </c>
      <c r="CU733" t="s">
        <v>102</v>
      </c>
      <c r="CV733" t="s">
        <v>100</v>
      </c>
    </row>
    <row r="734" spans="1:100">
      <c r="A734" s="3" t="s">
        <v>1988</v>
      </c>
      <c r="B734" s="4" t="s">
        <v>1989</v>
      </c>
      <c r="C734">
        <v>1355.2147658429001</v>
      </c>
      <c r="D734">
        <v>218.24363081814101</v>
      </c>
      <c r="E734">
        <v>2.63387326025321</v>
      </c>
      <c r="F734" s="5">
        <v>9.0986078405258593E-6</v>
      </c>
      <c r="G734" t="s">
        <v>4</v>
      </c>
      <c r="H734">
        <v>1355.2147658429001</v>
      </c>
      <c r="I734">
        <v>34.7470569200784</v>
      </c>
      <c r="J734">
        <v>5.2513766043363601</v>
      </c>
      <c r="K734" s="5">
        <v>2.7935401375992002E-19</v>
      </c>
      <c r="L734" t="s">
        <v>4</v>
      </c>
      <c r="M734">
        <v>218.24363081814101</v>
      </c>
      <c r="N734">
        <v>34.7470569200784</v>
      </c>
      <c r="O734">
        <v>2.6175033440831501</v>
      </c>
      <c r="P734" s="5">
        <v>1.30582214142293E-5</v>
      </c>
      <c r="Q734" t="s">
        <v>4</v>
      </c>
      <c r="R734" s="4" t="s">
        <v>87</v>
      </c>
      <c r="S734" t="s">
        <v>4</v>
      </c>
      <c r="T734" t="s">
        <v>92</v>
      </c>
      <c r="U734" t="s">
        <v>92</v>
      </c>
      <c r="V734" t="s">
        <v>92</v>
      </c>
      <c r="W734" t="s">
        <v>92</v>
      </c>
      <c r="X734" t="s">
        <v>4</v>
      </c>
      <c r="Y734" t="s">
        <v>92</v>
      </c>
      <c r="Z734" t="s">
        <v>92</v>
      </c>
      <c r="AA734" t="s">
        <v>92</v>
      </c>
      <c r="AB734" t="s">
        <v>4</v>
      </c>
      <c r="AC734" s="3" t="s">
        <v>93</v>
      </c>
      <c r="AD734" t="s">
        <v>4</v>
      </c>
      <c r="AE734" s="4" t="s">
        <v>94</v>
      </c>
      <c r="AZ734" t="s">
        <v>4</v>
      </c>
      <c r="BA734" s="3" t="s">
        <v>95</v>
      </c>
      <c r="BB734" s="6" t="s">
        <v>95</v>
      </c>
      <c r="BC734" s="3" t="s">
        <v>95</v>
      </c>
      <c r="BD734" t="s">
        <v>4</v>
      </c>
      <c r="BE734">
        <v>1171</v>
      </c>
      <c r="BF734" t="s">
        <v>151</v>
      </c>
      <c r="BG734">
        <v>65.217399999999998</v>
      </c>
      <c r="BI734" t="s">
        <v>1990</v>
      </c>
      <c r="BJ734">
        <v>45.652200000000001</v>
      </c>
      <c r="CK734">
        <v>2</v>
      </c>
      <c r="CL734" t="s">
        <v>4</v>
      </c>
      <c r="CM734" t="s">
        <v>98</v>
      </c>
      <c r="CN734" t="s">
        <v>98</v>
      </c>
      <c r="CO734" t="s">
        <v>99</v>
      </c>
      <c r="CP734">
        <v>175</v>
      </c>
      <c r="CQ734" t="s">
        <v>100</v>
      </c>
      <c r="CR734" t="s">
        <v>100</v>
      </c>
      <c r="CS734" t="s">
        <v>101</v>
      </c>
      <c r="CT734" t="s">
        <v>152</v>
      </c>
      <c r="CU734" t="s">
        <v>102</v>
      </c>
      <c r="CV734" t="s">
        <v>100</v>
      </c>
    </row>
    <row r="735" spans="1:100">
      <c r="A735" s="3" t="s">
        <v>1991</v>
      </c>
      <c r="B735" s="4" t="s">
        <v>1992</v>
      </c>
      <c r="C735">
        <v>26.299932732243999</v>
      </c>
      <c r="D735">
        <v>1.6116399990274599</v>
      </c>
      <c r="E735">
        <v>4.0417738434529902</v>
      </c>
      <c r="F735">
        <v>8.6451770352090405E-4</v>
      </c>
      <c r="G735" t="s">
        <v>4</v>
      </c>
      <c r="H735">
        <v>26.299932732243999</v>
      </c>
      <c r="I735">
        <v>1.4948873657459301</v>
      </c>
      <c r="J735">
        <v>3.95839038157933</v>
      </c>
      <c r="K735">
        <v>1.72006085743818E-3</v>
      </c>
      <c r="L735" t="s">
        <v>4</v>
      </c>
      <c r="M735">
        <v>1.6116399990274599</v>
      </c>
      <c r="N735">
        <v>1.4948873657459301</v>
      </c>
      <c r="O735">
        <f>0.0833834618736609</f>
        <v>8.33834618736609E-2</v>
      </c>
      <c r="P735">
        <v>0.965178034242411</v>
      </c>
      <c r="Q735" t="s">
        <v>4</v>
      </c>
      <c r="R735" s="4" t="s">
        <v>87</v>
      </c>
      <c r="S735" t="s">
        <v>4</v>
      </c>
      <c r="T735" t="s">
        <v>88</v>
      </c>
      <c r="U735" t="s">
        <v>89</v>
      </c>
      <c r="V735" t="s">
        <v>90</v>
      </c>
      <c r="W735" t="s">
        <v>91</v>
      </c>
      <c r="X735" t="s">
        <v>4</v>
      </c>
      <c r="Y735" t="s">
        <v>92</v>
      </c>
      <c r="Z735" t="s">
        <v>92</v>
      </c>
      <c r="AA735" t="s">
        <v>92</v>
      </c>
      <c r="AB735" t="s">
        <v>4</v>
      </c>
      <c r="AC735" s="3" t="s">
        <v>93</v>
      </c>
      <c r="AD735" t="s">
        <v>4</v>
      </c>
      <c r="AE735" s="4" t="s">
        <v>94</v>
      </c>
      <c r="AZ735" t="s">
        <v>4</v>
      </c>
      <c r="BA735" s="3" t="s">
        <v>95</v>
      </c>
      <c r="BB735" t="s">
        <v>96</v>
      </c>
      <c r="BC735" s="3" t="s">
        <v>95</v>
      </c>
      <c r="BD735" t="s">
        <v>4</v>
      </c>
      <c r="BE735">
        <v>2604</v>
      </c>
      <c r="BF735" t="s">
        <v>97</v>
      </c>
      <c r="CK735">
        <v>4</v>
      </c>
      <c r="CL735" t="s">
        <v>4</v>
      </c>
      <c r="CM735" t="s">
        <v>98</v>
      </c>
      <c r="CN735" t="s">
        <v>98</v>
      </c>
      <c r="CO735" t="s">
        <v>99</v>
      </c>
      <c r="CP735">
        <v>176</v>
      </c>
      <c r="CQ735" t="s">
        <v>100</v>
      </c>
      <c r="CR735" t="s">
        <v>100</v>
      </c>
      <c r="CS735" t="s">
        <v>101</v>
      </c>
      <c r="CT735" t="s">
        <v>100</v>
      </c>
      <c r="CU735" t="s">
        <v>102</v>
      </c>
      <c r="CV735" t="s">
        <v>100</v>
      </c>
    </row>
    <row r="736" spans="1:100">
      <c r="A736" s="3" t="s">
        <v>1993</v>
      </c>
      <c r="B736" s="4" t="s">
        <v>1994</v>
      </c>
      <c r="C736">
        <v>70.422478966413195</v>
      </c>
      <c r="D736">
        <v>14.4624275308514</v>
      </c>
      <c r="E736">
        <v>2.2833282861858701</v>
      </c>
      <c r="F736" s="5">
        <v>5.14422619424193E-5</v>
      </c>
      <c r="G736" t="s">
        <v>4</v>
      </c>
      <c r="H736">
        <v>70.422478966413195</v>
      </c>
      <c r="I736">
        <v>9.2916966976056692</v>
      </c>
      <c r="J736">
        <v>2.8965846779317701</v>
      </c>
      <c r="K736" s="5">
        <v>1.5070392708445E-6</v>
      </c>
      <c r="L736" t="s">
        <v>4</v>
      </c>
      <c r="M736">
        <v>14.4624275308514</v>
      </c>
      <c r="N736">
        <v>9.2916966976056692</v>
      </c>
      <c r="O736">
        <v>0.61325639174589597</v>
      </c>
      <c r="P736">
        <v>0.39683767468445402</v>
      </c>
      <c r="Q736" t="s">
        <v>4</v>
      </c>
      <c r="R736" s="4" t="s">
        <v>87</v>
      </c>
      <c r="S736" t="s">
        <v>4</v>
      </c>
      <c r="T736" t="s">
        <v>1995</v>
      </c>
      <c r="U736" t="s">
        <v>1996</v>
      </c>
      <c r="V736" t="s">
        <v>1997</v>
      </c>
      <c r="W736" t="s">
        <v>203</v>
      </c>
      <c r="X736" t="s">
        <v>4</v>
      </c>
      <c r="Y736" t="s">
        <v>1998</v>
      </c>
      <c r="Z736" t="s">
        <v>1999</v>
      </c>
      <c r="AA736" t="s">
        <v>2000</v>
      </c>
      <c r="AB736" t="s">
        <v>4</v>
      </c>
      <c r="AC736" s="3" t="s">
        <v>2001</v>
      </c>
      <c r="AD736" t="s">
        <v>4</v>
      </c>
      <c r="AE736" t="s">
        <v>2002</v>
      </c>
      <c r="AF736" t="s">
        <v>2003</v>
      </c>
      <c r="AG736" t="s">
        <v>2004</v>
      </c>
      <c r="AH736" t="s">
        <v>112</v>
      </c>
      <c r="AK736" t="s">
        <v>2005</v>
      </c>
      <c r="AL736" t="s">
        <v>2006</v>
      </c>
      <c r="AM736" t="s">
        <v>2007</v>
      </c>
      <c r="AO736" t="s">
        <v>2008</v>
      </c>
      <c r="AP736" t="s">
        <v>2009</v>
      </c>
      <c r="AQ736" t="s">
        <v>2010</v>
      </c>
      <c r="AS736" t="s">
        <v>2011</v>
      </c>
      <c r="AU736" t="s">
        <v>112</v>
      </c>
      <c r="AV736" t="s">
        <v>2012</v>
      </c>
      <c r="AW736" t="s">
        <v>114</v>
      </c>
      <c r="AX736" t="s">
        <v>345</v>
      </c>
      <c r="AY736" t="s">
        <v>2013</v>
      </c>
      <c r="AZ736" t="s">
        <v>4</v>
      </c>
      <c r="BA736" s="3" t="s">
        <v>95</v>
      </c>
      <c r="BB736" s="6" t="s">
        <v>95</v>
      </c>
      <c r="BC736" s="3" t="s">
        <v>95</v>
      </c>
      <c r="BD736" t="s">
        <v>4</v>
      </c>
      <c r="BE736">
        <v>10136</v>
      </c>
      <c r="BF736" t="s">
        <v>169</v>
      </c>
      <c r="BG736">
        <v>59.162300000000002</v>
      </c>
      <c r="BH736">
        <v>0</v>
      </c>
      <c r="BI736">
        <v>96.335099999999997</v>
      </c>
      <c r="BJ736">
        <v>90.575900000000004</v>
      </c>
      <c r="BK736">
        <v>87.434600000000003</v>
      </c>
      <c r="BM736">
        <v>87.434600000000003</v>
      </c>
      <c r="BN736">
        <v>87.434600000000003</v>
      </c>
      <c r="BO736" t="s">
        <v>2014</v>
      </c>
      <c r="BP736">
        <v>63.874299999999998</v>
      </c>
      <c r="CB736" t="s">
        <v>2015</v>
      </c>
      <c r="CF736" t="s">
        <v>2016</v>
      </c>
      <c r="CG736">
        <v>28.272300000000001</v>
      </c>
      <c r="CH736">
        <v>27.225100000000001</v>
      </c>
      <c r="CI736">
        <v>29.319400000000002</v>
      </c>
      <c r="CJ736" t="s">
        <v>2017</v>
      </c>
      <c r="CK736">
        <v>9</v>
      </c>
      <c r="CL736" t="s">
        <v>4</v>
      </c>
      <c r="CM736" t="s">
        <v>98</v>
      </c>
      <c r="CN736" t="s">
        <v>98</v>
      </c>
      <c r="CO736" t="s">
        <v>99</v>
      </c>
      <c r="CP736">
        <v>177</v>
      </c>
      <c r="CQ736" t="s">
        <v>100</v>
      </c>
      <c r="CR736" t="s">
        <v>100</v>
      </c>
      <c r="CS736" t="s">
        <v>101</v>
      </c>
      <c r="CT736" t="s">
        <v>100</v>
      </c>
      <c r="CU736" t="s">
        <v>102</v>
      </c>
      <c r="CV736" t="s">
        <v>100</v>
      </c>
    </row>
    <row r="737" spans="1:100">
      <c r="A737" s="3" t="s">
        <v>2018</v>
      </c>
      <c r="B737" s="4" t="s">
        <v>2019</v>
      </c>
      <c r="C737">
        <v>117.510848334191</v>
      </c>
      <c r="D737">
        <v>28.178434540847601</v>
      </c>
      <c r="E737">
        <v>2.0667546548335198</v>
      </c>
      <c r="F737" s="5">
        <v>1.59771839217352E-6</v>
      </c>
      <c r="G737" t="s">
        <v>4</v>
      </c>
      <c r="H737">
        <v>117.510848334191</v>
      </c>
      <c r="I737">
        <v>27.603047852839701</v>
      </c>
      <c r="J737">
        <v>2.1026424009919298</v>
      </c>
      <c r="K737" s="5">
        <v>1.5999072054077499E-6</v>
      </c>
      <c r="L737" t="s">
        <v>4</v>
      </c>
      <c r="M737">
        <v>28.178434540847601</v>
      </c>
      <c r="N737">
        <v>27.603047852839701</v>
      </c>
      <c r="O737">
        <v>3.58877461584051E-2</v>
      </c>
      <c r="P737">
        <v>0.95427868691015205</v>
      </c>
      <c r="Q737" t="s">
        <v>4</v>
      </c>
      <c r="R737" s="4" t="s">
        <v>87</v>
      </c>
      <c r="S737" t="s">
        <v>4</v>
      </c>
      <c r="T737" t="s">
        <v>827</v>
      </c>
      <c r="U737" t="s">
        <v>828</v>
      </c>
      <c r="V737" t="s">
        <v>829</v>
      </c>
      <c r="W737" t="s">
        <v>203</v>
      </c>
      <c r="X737" t="s">
        <v>4</v>
      </c>
      <c r="Y737" t="s">
        <v>2020</v>
      </c>
      <c r="Z737" t="s">
        <v>2021</v>
      </c>
      <c r="AA737" t="s">
        <v>2022</v>
      </c>
      <c r="AB737" t="s">
        <v>4</v>
      </c>
      <c r="AC737" s="3" t="s">
        <v>2023</v>
      </c>
      <c r="AD737" t="s">
        <v>4</v>
      </c>
      <c r="AE737" t="s">
        <v>2024</v>
      </c>
      <c r="AF737" t="s">
        <v>834</v>
      </c>
      <c r="AG737" t="s">
        <v>2025</v>
      </c>
      <c r="AH737" t="s">
        <v>112</v>
      </c>
      <c r="AK737" t="s">
        <v>2026</v>
      </c>
      <c r="AL737" t="s">
        <v>2027</v>
      </c>
      <c r="AQ737" t="s">
        <v>2028</v>
      </c>
      <c r="AU737" t="s">
        <v>112</v>
      </c>
      <c r="AV737" t="s">
        <v>2029</v>
      </c>
      <c r="AW737" t="s">
        <v>114</v>
      </c>
      <c r="AX737" t="s">
        <v>1756</v>
      </c>
      <c r="AY737" t="s">
        <v>2030</v>
      </c>
      <c r="AZ737" t="s">
        <v>4</v>
      </c>
      <c r="BA737" s="3" t="s">
        <v>95</v>
      </c>
      <c r="BB737" s="6" t="s">
        <v>95</v>
      </c>
      <c r="BC737" s="3" t="s">
        <v>95</v>
      </c>
      <c r="BD737" t="s">
        <v>4</v>
      </c>
      <c r="BE737">
        <v>5681</v>
      </c>
      <c r="BF737" t="s">
        <v>386</v>
      </c>
      <c r="BG737">
        <v>60.750399999999999</v>
      </c>
      <c r="BJ737">
        <v>83.838399999999993</v>
      </c>
      <c r="BK737">
        <v>71.572900000000004</v>
      </c>
      <c r="BN737">
        <v>75.468999999999994</v>
      </c>
      <c r="BO737">
        <v>77.344899999999996</v>
      </c>
      <c r="BQ737">
        <v>27.128399999999999</v>
      </c>
      <c r="BR737">
        <v>29.148599999999998</v>
      </c>
      <c r="BS737">
        <v>24.6753</v>
      </c>
      <c r="BV737">
        <v>6.9264099999999997</v>
      </c>
      <c r="CB737">
        <v>12.698399999999999</v>
      </c>
      <c r="CG737" t="s">
        <v>2031</v>
      </c>
      <c r="CH737" t="s">
        <v>2032</v>
      </c>
      <c r="CI737" t="s">
        <v>2033</v>
      </c>
      <c r="CK737">
        <v>7</v>
      </c>
      <c r="CL737" t="s">
        <v>4</v>
      </c>
      <c r="CM737" t="s">
        <v>98</v>
      </c>
      <c r="CN737" t="s">
        <v>98</v>
      </c>
      <c r="CO737" t="s">
        <v>99</v>
      </c>
      <c r="CP737">
        <v>178</v>
      </c>
      <c r="CQ737" t="s">
        <v>100</v>
      </c>
      <c r="CR737" t="s">
        <v>100</v>
      </c>
      <c r="CS737" t="s">
        <v>101</v>
      </c>
      <c r="CT737" t="s">
        <v>100</v>
      </c>
      <c r="CU737" t="s">
        <v>102</v>
      </c>
      <c r="CV737" t="s">
        <v>100</v>
      </c>
    </row>
    <row r="738" spans="1:100">
      <c r="A738" s="3" t="s">
        <v>2034</v>
      </c>
      <c r="B738" s="4" t="s">
        <v>2035</v>
      </c>
      <c r="C738">
        <v>602.72737907480303</v>
      </c>
      <c r="D738">
        <v>121.762710608741</v>
      </c>
      <c r="E738">
        <v>2.3096807619808701</v>
      </c>
      <c r="F738" s="5">
        <v>3.7215755890478099E-21</v>
      </c>
      <c r="G738" t="s">
        <v>4</v>
      </c>
      <c r="H738">
        <v>602.72737907480303</v>
      </c>
      <c r="I738">
        <v>48.613107707849302</v>
      </c>
      <c r="J738">
        <v>3.61879506508896</v>
      </c>
      <c r="K738" s="5">
        <v>2.6251231812763801E-41</v>
      </c>
      <c r="L738" t="s">
        <v>4</v>
      </c>
      <c r="M738">
        <v>121.762710608741</v>
      </c>
      <c r="N738">
        <v>48.613107707849302</v>
      </c>
      <c r="O738">
        <v>1.3091143031080901</v>
      </c>
      <c r="P738" s="5">
        <v>4.7015954205847398E-6</v>
      </c>
      <c r="Q738" t="s">
        <v>4</v>
      </c>
      <c r="R738" s="4" t="s">
        <v>87</v>
      </c>
      <c r="S738" t="s">
        <v>4</v>
      </c>
      <c r="T738" t="s">
        <v>2036</v>
      </c>
      <c r="U738" t="s">
        <v>2037</v>
      </c>
      <c r="V738" t="s">
        <v>2038</v>
      </c>
      <c r="W738" t="s">
        <v>1845</v>
      </c>
      <c r="X738" t="s">
        <v>4</v>
      </c>
      <c r="Y738" t="s">
        <v>2039</v>
      </c>
      <c r="Z738" t="s">
        <v>2040</v>
      </c>
      <c r="AA738" t="s">
        <v>2041</v>
      </c>
      <c r="AB738" t="s">
        <v>4</v>
      </c>
      <c r="AC738" s="3" t="s">
        <v>332</v>
      </c>
      <c r="AD738" t="s">
        <v>4</v>
      </c>
      <c r="AE738" t="s">
        <v>333</v>
      </c>
      <c r="AF738" t="s">
        <v>2042</v>
      </c>
      <c r="AG738" t="s">
        <v>2043</v>
      </c>
      <c r="AH738" t="s">
        <v>112</v>
      </c>
      <c r="AJ738" t="s">
        <v>336</v>
      </c>
      <c r="AK738" t="s">
        <v>337</v>
      </c>
      <c r="AL738" t="s">
        <v>338</v>
      </c>
      <c r="AM738" t="s">
        <v>339</v>
      </c>
      <c r="AO738" t="s">
        <v>340</v>
      </c>
      <c r="AP738" t="s">
        <v>341</v>
      </c>
      <c r="AQ738" t="s">
        <v>342</v>
      </c>
      <c r="AS738" t="s">
        <v>343</v>
      </c>
      <c r="AU738" t="s">
        <v>112</v>
      </c>
      <c r="AV738" t="s">
        <v>344</v>
      </c>
      <c r="AW738" t="s">
        <v>114</v>
      </c>
      <c r="AX738" t="s">
        <v>345</v>
      </c>
      <c r="AY738" t="s">
        <v>346</v>
      </c>
      <c r="AZ738" t="s">
        <v>4</v>
      </c>
      <c r="BA738" s="3" t="s">
        <v>95</v>
      </c>
      <c r="BB738" t="s">
        <v>96</v>
      </c>
      <c r="BC738" s="3" t="s">
        <v>197</v>
      </c>
      <c r="BD738" t="s">
        <v>4</v>
      </c>
      <c r="BE738">
        <v>5688</v>
      </c>
      <c r="BF738" t="s">
        <v>386</v>
      </c>
      <c r="BG738">
        <v>32.8063</v>
      </c>
      <c r="BJ738">
        <v>9.2885399999999994</v>
      </c>
      <c r="BK738">
        <v>24.901199999999999</v>
      </c>
      <c r="BL738" t="s">
        <v>2044</v>
      </c>
      <c r="BM738" t="s">
        <v>2045</v>
      </c>
      <c r="BN738" t="s">
        <v>2046</v>
      </c>
      <c r="BO738" t="s">
        <v>2047</v>
      </c>
      <c r="BP738">
        <v>22.924900000000001</v>
      </c>
      <c r="BQ738">
        <v>35.770800000000001</v>
      </c>
      <c r="BR738" t="s">
        <v>2048</v>
      </c>
      <c r="BS738">
        <v>35.770800000000001</v>
      </c>
      <c r="BT738">
        <v>35.177900000000001</v>
      </c>
      <c r="BV738" t="s">
        <v>2049</v>
      </c>
      <c r="BW738" t="s">
        <v>2050</v>
      </c>
      <c r="BX738">
        <v>36.165999999999997</v>
      </c>
      <c r="CA738">
        <v>37.154200000000003</v>
      </c>
      <c r="CB738" t="s">
        <v>2051</v>
      </c>
      <c r="CC738" t="s">
        <v>2052</v>
      </c>
      <c r="CD738" t="s">
        <v>2053</v>
      </c>
      <c r="CF738">
        <v>32.608699999999999</v>
      </c>
      <c r="CG738" t="s">
        <v>2054</v>
      </c>
      <c r="CH738" t="s">
        <v>2055</v>
      </c>
      <c r="CK738">
        <v>7</v>
      </c>
      <c r="CL738" t="s">
        <v>4</v>
      </c>
      <c r="CM738" t="s">
        <v>2056</v>
      </c>
      <c r="CN738" t="s">
        <v>2057</v>
      </c>
      <c r="CO738" t="s">
        <v>1218</v>
      </c>
      <c r="CP738">
        <v>179</v>
      </c>
      <c r="CQ738" t="s">
        <v>100</v>
      </c>
      <c r="CR738" t="s">
        <v>100</v>
      </c>
      <c r="CS738" t="s">
        <v>101</v>
      </c>
      <c r="CT738" s="7" t="s">
        <v>152</v>
      </c>
      <c r="CU738" t="s">
        <v>102</v>
      </c>
      <c r="CV738" t="s">
        <v>100</v>
      </c>
    </row>
    <row r="739" spans="1:100">
      <c r="A739" s="3" t="s">
        <v>2058</v>
      </c>
      <c r="B739" s="4" t="s">
        <v>2059</v>
      </c>
      <c r="C739">
        <v>41.099144856852298</v>
      </c>
      <c r="D739">
        <v>5.6875685953800303</v>
      </c>
      <c r="E739">
        <v>2.85359266670805</v>
      </c>
      <c r="F739" s="5">
        <v>7.5909889910415697E-5</v>
      </c>
      <c r="G739" t="s">
        <v>4</v>
      </c>
      <c r="H739">
        <v>41.099144856852298</v>
      </c>
      <c r="I739">
        <v>7.42848510759005</v>
      </c>
      <c r="J739">
        <v>2.5183840716273602</v>
      </c>
      <c r="K739">
        <v>5.2643747793787096E-4</v>
      </c>
      <c r="L739" t="s">
        <v>4</v>
      </c>
      <c r="M739">
        <v>5.6875685953800303</v>
      </c>
      <c r="N739">
        <v>7.42848510759005</v>
      </c>
      <c r="O739">
        <f>0.335208595080683</f>
        <v>0.33520859508068301</v>
      </c>
      <c r="P739">
        <v>0.73105337459716302</v>
      </c>
      <c r="Q739" t="s">
        <v>4</v>
      </c>
      <c r="R739" s="4" t="s">
        <v>87</v>
      </c>
      <c r="S739" t="s">
        <v>4</v>
      </c>
      <c r="T739" t="s">
        <v>2060</v>
      </c>
      <c r="U739" t="s">
        <v>2061</v>
      </c>
      <c r="V739" t="s">
        <v>2062</v>
      </c>
      <c r="W739" t="s">
        <v>328</v>
      </c>
      <c r="X739" t="s">
        <v>4</v>
      </c>
      <c r="Y739" t="s">
        <v>2063</v>
      </c>
      <c r="Z739" t="s">
        <v>2064</v>
      </c>
      <c r="AA739" t="s">
        <v>2065</v>
      </c>
      <c r="AB739" t="s">
        <v>4</v>
      </c>
      <c r="AC739" s="3" t="s">
        <v>2066</v>
      </c>
      <c r="AD739" t="s">
        <v>4</v>
      </c>
      <c r="AE739" t="s">
        <v>2067</v>
      </c>
      <c r="AF739" t="s">
        <v>2068</v>
      </c>
      <c r="AG739" t="s">
        <v>2069</v>
      </c>
      <c r="AH739" t="s">
        <v>112</v>
      </c>
      <c r="AI739" t="s">
        <v>2070</v>
      </c>
      <c r="AU739" t="s">
        <v>112</v>
      </c>
      <c r="AV739" t="s">
        <v>2071</v>
      </c>
      <c r="AW739" t="s">
        <v>114</v>
      </c>
      <c r="AX739" t="s">
        <v>536</v>
      </c>
      <c r="AY739" t="s">
        <v>2072</v>
      </c>
      <c r="AZ739" t="s">
        <v>4</v>
      </c>
      <c r="BA739" s="3" t="s">
        <v>95</v>
      </c>
      <c r="BB739" t="s">
        <v>96</v>
      </c>
      <c r="BC739" s="3" t="s">
        <v>95</v>
      </c>
      <c r="BD739" t="s">
        <v>4</v>
      </c>
      <c r="BE739">
        <v>7862</v>
      </c>
      <c r="BF739" t="s">
        <v>213</v>
      </c>
      <c r="BG739">
        <v>99.4465</v>
      </c>
      <c r="BH739">
        <v>29.704799999999999</v>
      </c>
      <c r="BI739">
        <v>92.619900000000001</v>
      </c>
      <c r="BJ739">
        <v>54.427999999999997</v>
      </c>
      <c r="BK739">
        <v>81.918800000000005</v>
      </c>
      <c r="BL739">
        <v>57.195599999999999</v>
      </c>
      <c r="BM739">
        <v>85.608900000000006</v>
      </c>
      <c r="BN739">
        <v>83.948300000000003</v>
      </c>
      <c r="BO739">
        <v>84.686300000000003</v>
      </c>
      <c r="BP739">
        <v>14.5756</v>
      </c>
      <c r="BR739">
        <v>48.155000000000001</v>
      </c>
      <c r="BW739">
        <v>58.671599999999998</v>
      </c>
      <c r="BX739">
        <v>51.660499999999999</v>
      </c>
      <c r="BY739">
        <v>17.1587</v>
      </c>
      <c r="BZ739">
        <v>24.723199999999999</v>
      </c>
      <c r="CB739">
        <v>20.110700000000001</v>
      </c>
      <c r="CD739">
        <v>23.0627</v>
      </c>
      <c r="CF739">
        <v>14.5756</v>
      </c>
      <c r="CK739">
        <v>8</v>
      </c>
      <c r="CL739" t="s">
        <v>4</v>
      </c>
      <c r="CM739" t="s">
        <v>98</v>
      </c>
      <c r="CN739" t="s">
        <v>98</v>
      </c>
      <c r="CO739" t="s">
        <v>99</v>
      </c>
      <c r="CP739">
        <v>180</v>
      </c>
      <c r="CQ739" t="s">
        <v>100</v>
      </c>
      <c r="CR739" t="s">
        <v>100</v>
      </c>
      <c r="CS739" t="s">
        <v>101</v>
      </c>
      <c r="CT739" t="s">
        <v>100</v>
      </c>
      <c r="CU739" t="s">
        <v>102</v>
      </c>
      <c r="CV739" t="s">
        <v>100</v>
      </c>
    </row>
    <row r="740" spans="1:100">
      <c r="A740" s="3" t="s">
        <v>2073</v>
      </c>
      <c r="B740" s="4" t="s">
        <v>2074</v>
      </c>
      <c r="C740">
        <v>150.38135758848401</v>
      </c>
      <c r="D740">
        <v>30.8213966894001</v>
      </c>
      <c r="E740">
        <v>2.2927710347641002</v>
      </c>
      <c r="F740" s="5">
        <v>1.8930824921380801E-6</v>
      </c>
      <c r="G740" t="s">
        <v>4</v>
      </c>
      <c r="H740">
        <v>150.38135758848401</v>
      </c>
      <c r="I740">
        <v>8.8920660019222204</v>
      </c>
      <c r="J740">
        <v>4.1469193853511301</v>
      </c>
      <c r="K740" s="5">
        <v>1.20030931788802E-13</v>
      </c>
      <c r="L740" t="s">
        <v>4</v>
      </c>
      <c r="M740">
        <v>30.8213966894001</v>
      </c>
      <c r="N740">
        <v>8.8920660019222204</v>
      </c>
      <c r="O740">
        <v>1.85414835058704</v>
      </c>
      <c r="P740">
        <v>1.86713251520435E-3</v>
      </c>
      <c r="Q740" t="s">
        <v>4</v>
      </c>
      <c r="R740" s="4" t="s">
        <v>87</v>
      </c>
      <c r="S740" t="s">
        <v>4</v>
      </c>
      <c r="T740" t="s">
        <v>92</v>
      </c>
      <c r="U740" t="s">
        <v>92</v>
      </c>
      <c r="V740" t="s">
        <v>92</v>
      </c>
      <c r="W740" t="s">
        <v>92</v>
      </c>
      <c r="X740" t="s">
        <v>4</v>
      </c>
      <c r="Y740" t="s">
        <v>92</v>
      </c>
      <c r="Z740" t="s">
        <v>92</v>
      </c>
      <c r="AA740" t="s">
        <v>92</v>
      </c>
      <c r="AB740" t="s">
        <v>4</v>
      </c>
      <c r="AC740" s="3" t="s">
        <v>93</v>
      </c>
      <c r="AD740" t="s">
        <v>4</v>
      </c>
      <c r="AE740" s="4" t="s">
        <v>94</v>
      </c>
      <c r="AZ740" t="s">
        <v>4</v>
      </c>
      <c r="BA740" s="3" t="s">
        <v>95</v>
      </c>
      <c r="BB740" s="6" t="s">
        <v>95</v>
      </c>
      <c r="BC740" s="3" t="s">
        <v>95</v>
      </c>
      <c r="BD740" t="s">
        <v>4</v>
      </c>
      <c r="BE740">
        <v>1214</v>
      </c>
      <c r="BF740" t="s">
        <v>151</v>
      </c>
      <c r="BG740" t="s">
        <v>2075</v>
      </c>
      <c r="BJ740">
        <v>39.647599999999997</v>
      </c>
      <c r="BK740" t="s">
        <v>2076</v>
      </c>
      <c r="BO740">
        <v>29.9559</v>
      </c>
      <c r="CK740">
        <v>2</v>
      </c>
      <c r="CL740" t="s">
        <v>4</v>
      </c>
      <c r="CM740" t="s">
        <v>98</v>
      </c>
      <c r="CN740" t="s">
        <v>98</v>
      </c>
      <c r="CO740" t="s">
        <v>99</v>
      </c>
      <c r="CP740">
        <v>181</v>
      </c>
      <c r="CQ740" t="s">
        <v>100</v>
      </c>
      <c r="CR740" t="s">
        <v>100</v>
      </c>
      <c r="CS740" t="s">
        <v>101</v>
      </c>
      <c r="CT740" s="7" t="s">
        <v>152</v>
      </c>
      <c r="CU740" t="s">
        <v>102</v>
      </c>
      <c r="CV740" t="s">
        <v>100</v>
      </c>
    </row>
    <row r="741" spans="1:100">
      <c r="A741" s="3" t="s">
        <v>2077</v>
      </c>
      <c r="B741" s="4" t="s">
        <v>2078</v>
      </c>
      <c r="C741">
        <v>293.05511268844202</v>
      </c>
      <c r="D741">
        <v>68.052538091175904</v>
      </c>
      <c r="E741">
        <v>2.1017086612826499</v>
      </c>
      <c r="F741">
        <v>2.17254804450133E-4</v>
      </c>
      <c r="G741" t="s">
        <v>4</v>
      </c>
      <c r="H741">
        <v>293.05511268844202</v>
      </c>
      <c r="I741">
        <v>10.2654041983608</v>
      </c>
      <c r="J741">
        <v>4.81822292815992</v>
      </c>
      <c r="K741" s="5">
        <v>3.7875744867461303E-15</v>
      </c>
      <c r="L741" t="s">
        <v>4</v>
      </c>
      <c r="M741">
        <v>68.052538091175904</v>
      </c>
      <c r="N741">
        <v>10.2654041983608</v>
      </c>
      <c r="O741">
        <v>2.7165142668772702</v>
      </c>
      <c r="P741" s="5">
        <v>1.6585904076649201E-5</v>
      </c>
      <c r="Q741" t="s">
        <v>4</v>
      </c>
      <c r="R741" s="4" t="s">
        <v>87</v>
      </c>
      <c r="S741" t="s">
        <v>4</v>
      </c>
      <c r="T741" t="s">
        <v>92</v>
      </c>
      <c r="U741" t="s">
        <v>92</v>
      </c>
      <c r="V741" t="s">
        <v>92</v>
      </c>
      <c r="W741" t="s">
        <v>92</v>
      </c>
      <c r="X741" t="s">
        <v>4</v>
      </c>
      <c r="Y741" t="s">
        <v>92</v>
      </c>
      <c r="Z741" t="s">
        <v>92</v>
      </c>
      <c r="AA741" t="s">
        <v>92</v>
      </c>
      <c r="AB741" t="s">
        <v>4</v>
      </c>
      <c r="AC741" s="3" t="s">
        <v>93</v>
      </c>
      <c r="AD741" t="s">
        <v>4</v>
      </c>
      <c r="AE741" s="4" t="s">
        <v>94</v>
      </c>
      <c r="AZ741" t="s">
        <v>4</v>
      </c>
      <c r="BA741" s="3" t="s">
        <v>95</v>
      </c>
      <c r="BB741" s="6" t="s">
        <v>95</v>
      </c>
      <c r="BC741" s="3" t="s">
        <v>95</v>
      </c>
      <c r="BD741" t="s">
        <v>4</v>
      </c>
      <c r="BE741">
        <v>258</v>
      </c>
      <c r="BF741" t="s">
        <v>322</v>
      </c>
      <c r="CK741">
        <v>1</v>
      </c>
      <c r="CL741" t="s">
        <v>4</v>
      </c>
      <c r="CM741" t="s">
        <v>98</v>
      </c>
      <c r="CN741" t="s">
        <v>98</v>
      </c>
      <c r="CO741" t="s">
        <v>99</v>
      </c>
      <c r="CP741">
        <v>182</v>
      </c>
      <c r="CQ741" t="s">
        <v>100</v>
      </c>
      <c r="CR741" t="s">
        <v>100</v>
      </c>
      <c r="CS741" t="s">
        <v>101</v>
      </c>
      <c r="CT741" t="s">
        <v>152</v>
      </c>
      <c r="CU741" t="s">
        <v>102</v>
      </c>
      <c r="CV741" t="s">
        <v>100</v>
      </c>
    </row>
    <row r="742" spans="1:100">
      <c r="A742" s="3" t="s">
        <v>2079</v>
      </c>
      <c r="B742" s="4" t="s">
        <v>2080</v>
      </c>
      <c r="C742">
        <v>310.82284287292401</v>
      </c>
      <c r="D742">
        <v>66.784438041783901</v>
      </c>
      <c r="E742">
        <v>2.2133378366214602</v>
      </c>
      <c r="F742" s="5">
        <v>7.1358644465053794E-8</v>
      </c>
      <c r="G742" t="s">
        <v>4</v>
      </c>
      <c r="H742">
        <v>310.82284287292401</v>
      </c>
      <c r="I742">
        <v>23.255690214054699</v>
      </c>
      <c r="J742">
        <v>3.7361906167310299</v>
      </c>
      <c r="K742" s="5">
        <v>1.1247179866290799E-17</v>
      </c>
      <c r="L742" t="s">
        <v>4</v>
      </c>
      <c r="M742">
        <v>66.784438041783901</v>
      </c>
      <c r="N742">
        <v>23.255690214054699</v>
      </c>
      <c r="O742">
        <v>1.5228527801095599</v>
      </c>
      <c r="P742">
        <v>9.9408440524869908E-4</v>
      </c>
      <c r="Q742" t="s">
        <v>4</v>
      </c>
      <c r="R742" s="4" t="s">
        <v>87</v>
      </c>
      <c r="S742" t="s">
        <v>4</v>
      </c>
      <c r="T742" t="s">
        <v>2081</v>
      </c>
      <c r="U742" t="s">
        <v>2082</v>
      </c>
      <c r="V742" t="s">
        <v>2083</v>
      </c>
      <c r="W742" t="s">
        <v>507</v>
      </c>
      <c r="X742" t="s">
        <v>4</v>
      </c>
      <c r="Y742" t="s">
        <v>2084</v>
      </c>
      <c r="Z742" t="s">
        <v>2085</v>
      </c>
      <c r="AA742" t="s">
        <v>2085</v>
      </c>
      <c r="AB742" t="s">
        <v>4</v>
      </c>
      <c r="AC742" s="3" t="s">
        <v>2086</v>
      </c>
      <c r="AD742" t="s">
        <v>4</v>
      </c>
      <c r="AE742" t="s">
        <v>2087</v>
      </c>
      <c r="AF742" t="s">
        <v>2088</v>
      </c>
      <c r="AG742" t="s">
        <v>2089</v>
      </c>
      <c r="AH742" t="s">
        <v>2090</v>
      </c>
      <c r="AU742" t="s">
        <v>112</v>
      </c>
      <c r="AV742" t="s">
        <v>2091</v>
      </c>
      <c r="AW742" t="s">
        <v>114</v>
      </c>
      <c r="AX742" t="s">
        <v>345</v>
      </c>
      <c r="AY742" t="s">
        <v>2092</v>
      </c>
      <c r="AZ742" t="s">
        <v>4</v>
      </c>
      <c r="BA742" s="3" t="s">
        <v>95</v>
      </c>
      <c r="BB742" s="6" t="s">
        <v>95</v>
      </c>
      <c r="BC742" s="3" t="s">
        <v>197</v>
      </c>
      <c r="BD742" t="s">
        <v>4</v>
      </c>
      <c r="BE742">
        <v>7874</v>
      </c>
      <c r="BF742" t="s">
        <v>213</v>
      </c>
      <c r="BG742">
        <v>59.793799999999997</v>
      </c>
      <c r="BH742">
        <v>33.677</v>
      </c>
      <c r="BI742">
        <v>59.793799999999997</v>
      </c>
      <c r="BJ742">
        <v>33.677</v>
      </c>
      <c r="BK742">
        <v>55.326500000000003</v>
      </c>
      <c r="BL742">
        <v>55.670099999999998</v>
      </c>
      <c r="BM742">
        <v>48.453600000000002</v>
      </c>
      <c r="BN742">
        <v>48.453600000000002</v>
      </c>
      <c r="BO742">
        <v>90.034400000000005</v>
      </c>
      <c r="BQ742">
        <v>33.677</v>
      </c>
      <c r="BR742">
        <v>38.144300000000001</v>
      </c>
      <c r="BS742">
        <v>27.835100000000001</v>
      </c>
      <c r="BW742">
        <v>30.584199999999999</v>
      </c>
      <c r="BY742">
        <v>37.457000000000001</v>
      </c>
      <c r="CB742">
        <v>26.4605</v>
      </c>
      <c r="CD742">
        <v>37.800699999999999</v>
      </c>
      <c r="CF742">
        <v>45.017200000000003</v>
      </c>
      <c r="CG742" t="s">
        <v>2093</v>
      </c>
      <c r="CH742" t="s">
        <v>2094</v>
      </c>
      <c r="CI742" t="s">
        <v>2095</v>
      </c>
      <c r="CK742">
        <v>8</v>
      </c>
      <c r="CL742" t="s">
        <v>4</v>
      </c>
      <c r="CM742" t="s">
        <v>98</v>
      </c>
      <c r="CN742" t="s">
        <v>98</v>
      </c>
      <c r="CO742" t="s">
        <v>99</v>
      </c>
      <c r="CP742">
        <v>183</v>
      </c>
      <c r="CQ742" t="s">
        <v>100</v>
      </c>
      <c r="CR742" t="s">
        <v>100</v>
      </c>
      <c r="CS742" t="s">
        <v>101</v>
      </c>
      <c r="CT742" s="7" t="s">
        <v>152</v>
      </c>
      <c r="CU742" t="s">
        <v>102</v>
      </c>
      <c r="CV742" t="s">
        <v>100</v>
      </c>
    </row>
    <row r="743" spans="1:100">
      <c r="A743" s="3" t="s">
        <v>2096</v>
      </c>
      <c r="B743" s="4" t="s">
        <v>2097</v>
      </c>
      <c r="C743">
        <v>168.59581949224901</v>
      </c>
      <c r="D743">
        <v>25.943792799053998</v>
      </c>
      <c r="E743">
        <v>2.7054102833196398</v>
      </c>
      <c r="F743" s="5">
        <v>7.5715049105652397E-9</v>
      </c>
      <c r="G743" t="s">
        <v>4</v>
      </c>
      <c r="H743">
        <v>168.59581949224901</v>
      </c>
      <c r="I743">
        <v>9.4218518302399996</v>
      </c>
      <c r="J743">
        <v>4.0470551870844904</v>
      </c>
      <c r="K743" s="5">
        <v>2.3755819694962201E-14</v>
      </c>
      <c r="L743" t="s">
        <v>4</v>
      </c>
      <c r="M743">
        <v>25.943792799053998</v>
      </c>
      <c r="N743">
        <v>9.4218518302399996</v>
      </c>
      <c r="O743">
        <v>1.3416449037648399</v>
      </c>
      <c r="P743">
        <v>2.1909619052872201E-2</v>
      </c>
      <c r="Q743" t="s">
        <v>4</v>
      </c>
      <c r="R743" s="4" t="s">
        <v>87</v>
      </c>
      <c r="S743" t="s">
        <v>4</v>
      </c>
      <c r="T743" t="s">
        <v>92</v>
      </c>
      <c r="U743" t="s">
        <v>92</v>
      </c>
      <c r="V743" t="s">
        <v>92</v>
      </c>
      <c r="W743" t="s">
        <v>92</v>
      </c>
      <c r="X743" t="s">
        <v>4</v>
      </c>
      <c r="Y743" t="s">
        <v>92</v>
      </c>
      <c r="Z743" t="s">
        <v>92</v>
      </c>
      <c r="AA743" t="s">
        <v>92</v>
      </c>
      <c r="AB743" t="s">
        <v>4</v>
      </c>
      <c r="AC743" s="3" t="s">
        <v>93</v>
      </c>
      <c r="AD743" t="s">
        <v>4</v>
      </c>
      <c r="AE743" s="4" t="s">
        <v>94</v>
      </c>
      <c r="AZ743" t="s">
        <v>4</v>
      </c>
      <c r="BA743" s="3" t="s">
        <v>115</v>
      </c>
      <c r="BB743" s="6" t="s">
        <v>95</v>
      </c>
      <c r="BC743" s="3" t="s">
        <v>95</v>
      </c>
      <c r="BD743" t="s">
        <v>4</v>
      </c>
      <c r="BE743">
        <v>1223</v>
      </c>
      <c r="BF743" t="s">
        <v>151</v>
      </c>
      <c r="BG743" t="s">
        <v>2098</v>
      </c>
      <c r="CK743">
        <v>2</v>
      </c>
      <c r="CL743" t="s">
        <v>4</v>
      </c>
      <c r="CM743" t="s">
        <v>98</v>
      </c>
      <c r="CN743" t="s">
        <v>98</v>
      </c>
      <c r="CO743" t="s">
        <v>99</v>
      </c>
      <c r="CP743">
        <v>184</v>
      </c>
      <c r="CQ743" t="s">
        <v>100</v>
      </c>
      <c r="CR743" t="s">
        <v>100</v>
      </c>
      <c r="CS743" t="s">
        <v>101</v>
      </c>
      <c r="CT743" s="7" t="s">
        <v>152</v>
      </c>
      <c r="CU743" t="s">
        <v>102</v>
      </c>
      <c r="CV743" t="s">
        <v>100</v>
      </c>
    </row>
    <row r="744" spans="1:100">
      <c r="A744" s="3" t="s">
        <v>2099</v>
      </c>
      <c r="B744" s="4" t="s">
        <v>2100</v>
      </c>
      <c r="C744">
        <v>41.773751565398101</v>
      </c>
      <c r="D744">
        <v>4.8677136925625399</v>
      </c>
      <c r="E744">
        <v>3.1195992542689499</v>
      </c>
      <c r="F744" s="5">
        <v>6.9886827189049599E-5</v>
      </c>
      <c r="G744" t="s">
        <v>4</v>
      </c>
      <c r="H744">
        <v>41.773751565398101</v>
      </c>
      <c r="I744">
        <v>3.0618995701889</v>
      </c>
      <c r="J744">
        <v>3.87310171813475</v>
      </c>
      <c r="K744" s="5">
        <v>1.7287780846305E-5</v>
      </c>
      <c r="L744" t="s">
        <v>4</v>
      </c>
      <c r="M744">
        <v>4.8677136925625399</v>
      </c>
      <c r="N744">
        <v>3.0618995701889</v>
      </c>
      <c r="O744">
        <v>0.753502463865796</v>
      </c>
      <c r="P744">
        <v>0.50298027400617895</v>
      </c>
      <c r="Q744" t="s">
        <v>4</v>
      </c>
      <c r="R744" s="4" t="s">
        <v>87</v>
      </c>
      <c r="S744" t="s">
        <v>4</v>
      </c>
      <c r="T744" t="s">
        <v>88</v>
      </c>
      <c r="U744" t="s">
        <v>89</v>
      </c>
      <c r="V744" t="s">
        <v>90</v>
      </c>
      <c r="W744" t="s">
        <v>91</v>
      </c>
      <c r="X744" t="s">
        <v>4</v>
      </c>
      <c r="Y744" t="s">
        <v>92</v>
      </c>
      <c r="Z744" t="s">
        <v>92</v>
      </c>
      <c r="AA744" t="s">
        <v>92</v>
      </c>
      <c r="AB744" t="s">
        <v>4</v>
      </c>
      <c r="AC744" s="3" t="s">
        <v>93</v>
      </c>
      <c r="AD744" t="s">
        <v>4</v>
      </c>
      <c r="AE744" t="s">
        <v>2101</v>
      </c>
      <c r="AF744" t="s">
        <v>2102</v>
      </c>
      <c r="AG744" t="s">
        <v>2103</v>
      </c>
      <c r="AH744" t="s">
        <v>386</v>
      </c>
      <c r="AU744" t="s">
        <v>112</v>
      </c>
      <c r="AV744" t="s">
        <v>2104</v>
      </c>
      <c r="AW744" t="s">
        <v>114</v>
      </c>
      <c r="AZ744" t="s">
        <v>4</v>
      </c>
      <c r="BA744" s="3" t="s">
        <v>95</v>
      </c>
      <c r="BB744" t="s">
        <v>96</v>
      </c>
      <c r="BC744" s="3" t="s">
        <v>95</v>
      </c>
      <c r="BD744" t="s">
        <v>4</v>
      </c>
      <c r="BE744">
        <v>2664</v>
      </c>
      <c r="BF744" t="s">
        <v>97</v>
      </c>
      <c r="BG744">
        <v>44.543399999999998</v>
      </c>
      <c r="BH744">
        <v>34.5212</v>
      </c>
      <c r="BI744">
        <v>95.322900000000004</v>
      </c>
      <c r="BJ744">
        <v>56.124699999999997</v>
      </c>
      <c r="BK744">
        <v>67.4833</v>
      </c>
      <c r="BL744">
        <v>49.443199999999997</v>
      </c>
      <c r="BM744">
        <v>85.746099999999998</v>
      </c>
      <c r="BN744">
        <v>85.300700000000006</v>
      </c>
      <c r="BO744">
        <v>36.970999999999997</v>
      </c>
      <c r="BP744">
        <v>20.712700000000002</v>
      </c>
      <c r="CK744">
        <v>4</v>
      </c>
      <c r="CL744" t="s">
        <v>4</v>
      </c>
      <c r="CM744" t="s">
        <v>98</v>
      </c>
      <c r="CN744" t="s">
        <v>98</v>
      </c>
      <c r="CO744" t="s">
        <v>99</v>
      </c>
      <c r="CP744">
        <v>185</v>
      </c>
      <c r="CQ744" t="s">
        <v>100</v>
      </c>
      <c r="CR744" t="s">
        <v>100</v>
      </c>
      <c r="CS744" t="s">
        <v>101</v>
      </c>
      <c r="CT744" t="s">
        <v>100</v>
      </c>
      <c r="CU744" t="s">
        <v>102</v>
      </c>
      <c r="CV744" t="s">
        <v>100</v>
      </c>
    </row>
    <row r="745" spans="1:100">
      <c r="A745" s="3" t="s">
        <v>2105</v>
      </c>
      <c r="B745" s="4" t="s">
        <v>2106</v>
      </c>
      <c r="C745">
        <v>109.607827460132</v>
      </c>
      <c r="D745">
        <v>9.8683849281296201</v>
      </c>
      <c r="E745">
        <v>3.4748948253579202</v>
      </c>
      <c r="F745">
        <v>6.5957381300079201E-4</v>
      </c>
      <c r="G745" t="s">
        <v>4</v>
      </c>
      <c r="H745">
        <v>109.607827460132</v>
      </c>
      <c r="I745">
        <v>7.3911393497774496</v>
      </c>
      <c r="J745">
        <v>3.9383470844774702</v>
      </c>
      <c r="K745">
        <v>1.29190912963493E-4</v>
      </c>
      <c r="L745" t="s">
        <v>4</v>
      </c>
      <c r="M745">
        <v>9.8683849281296201</v>
      </c>
      <c r="N745">
        <v>7.3911393497774496</v>
      </c>
      <c r="O745">
        <v>0.46345225911955401</v>
      </c>
      <c r="P745">
        <v>0.71932651913456602</v>
      </c>
      <c r="Q745" t="s">
        <v>4</v>
      </c>
      <c r="R745" s="4" t="s">
        <v>87</v>
      </c>
      <c r="S745" t="s">
        <v>4</v>
      </c>
      <c r="T745" t="s">
        <v>92</v>
      </c>
      <c r="U745" t="s">
        <v>92</v>
      </c>
      <c r="V745" t="s">
        <v>92</v>
      </c>
      <c r="W745" t="s">
        <v>92</v>
      </c>
      <c r="X745" t="s">
        <v>4</v>
      </c>
      <c r="Y745" t="s">
        <v>2107</v>
      </c>
      <c r="Z745" t="s">
        <v>2108</v>
      </c>
      <c r="AA745" t="s">
        <v>2109</v>
      </c>
      <c r="AB745" t="s">
        <v>4</v>
      </c>
      <c r="AC745" s="3" t="s">
        <v>1595</v>
      </c>
      <c r="AD745" t="s">
        <v>4</v>
      </c>
      <c r="AE745" t="s">
        <v>2110</v>
      </c>
      <c r="AF745" t="s">
        <v>2111</v>
      </c>
      <c r="AG745" t="s">
        <v>2112</v>
      </c>
      <c r="AH745" t="s">
        <v>2113</v>
      </c>
      <c r="AU745" t="s">
        <v>112</v>
      </c>
      <c r="AV745" t="s">
        <v>2114</v>
      </c>
      <c r="AW745" t="s">
        <v>114</v>
      </c>
      <c r="AX745" t="s">
        <v>2115</v>
      </c>
      <c r="AY745" t="s">
        <v>2116</v>
      </c>
      <c r="AZ745" t="s">
        <v>4</v>
      </c>
      <c r="BA745" s="3" t="s">
        <v>115</v>
      </c>
      <c r="BB745" s="6" t="s">
        <v>95</v>
      </c>
      <c r="BC745" s="3" t="s">
        <v>95</v>
      </c>
      <c r="BD745" t="s">
        <v>4</v>
      </c>
      <c r="BE745">
        <v>1249</v>
      </c>
      <c r="BF745" t="s">
        <v>151</v>
      </c>
      <c r="BG745">
        <v>96.180599999999998</v>
      </c>
      <c r="BH745">
        <v>85.763900000000007</v>
      </c>
      <c r="BI745">
        <v>28.125</v>
      </c>
      <c r="BJ745">
        <v>18.75</v>
      </c>
      <c r="BK745">
        <v>46.875</v>
      </c>
      <c r="CK745">
        <v>2</v>
      </c>
      <c r="CL745" t="s">
        <v>4</v>
      </c>
      <c r="CM745" t="s">
        <v>98</v>
      </c>
      <c r="CN745" t="s">
        <v>98</v>
      </c>
      <c r="CO745" t="s">
        <v>99</v>
      </c>
      <c r="CP745">
        <v>186</v>
      </c>
      <c r="CQ745" t="s">
        <v>100</v>
      </c>
      <c r="CR745" t="s">
        <v>100</v>
      </c>
      <c r="CS745" t="s">
        <v>101</v>
      </c>
      <c r="CT745" t="s">
        <v>100</v>
      </c>
      <c r="CU745" t="s">
        <v>102</v>
      </c>
      <c r="CV745" t="s">
        <v>100</v>
      </c>
    </row>
    <row r="746" spans="1:100">
      <c r="A746" s="3" t="s">
        <v>2117</v>
      </c>
      <c r="B746" s="4" t="s">
        <v>2118</v>
      </c>
      <c r="C746">
        <v>130.939231609833</v>
      </c>
      <c r="D746">
        <v>25.379962784461998</v>
      </c>
      <c r="E746">
        <v>2.37062271069879</v>
      </c>
      <c r="F746" s="5">
        <v>1.7459732238641899E-9</v>
      </c>
      <c r="G746" t="s">
        <v>4</v>
      </c>
      <c r="H746">
        <v>130.939231609833</v>
      </c>
      <c r="I746">
        <v>18.835097697153</v>
      </c>
      <c r="J746">
        <v>2.75623431560826</v>
      </c>
      <c r="K746" s="5">
        <v>4.4215091407354101E-11</v>
      </c>
      <c r="L746" t="s">
        <v>4</v>
      </c>
      <c r="M746">
        <v>25.379962784461998</v>
      </c>
      <c r="N746">
        <v>18.835097697153</v>
      </c>
      <c r="O746">
        <v>0.38561160490947199</v>
      </c>
      <c r="P746">
        <v>0.45787621032779402</v>
      </c>
      <c r="Q746" t="s">
        <v>4</v>
      </c>
      <c r="R746" s="4" t="s">
        <v>87</v>
      </c>
      <c r="S746" t="s">
        <v>4</v>
      </c>
      <c r="T746" t="s">
        <v>88</v>
      </c>
      <c r="U746" t="s">
        <v>89</v>
      </c>
      <c r="V746" t="s">
        <v>90</v>
      </c>
      <c r="W746" t="s">
        <v>91</v>
      </c>
      <c r="X746" t="s">
        <v>4</v>
      </c>
      <c r="Y746" t="s">
        <v>92</v>
      </c>
      <c r="Z746" t="s">
        <v>92</v>
      </c>
      <c r="AA746" t="s">
        <v>92</v>
      </c>
      <c r="AB746" t="s">
        <v>4</v>
      </c>
      <c r="AC746" s="3" t="s">
        <v>93</v>
      </c>
      <c r="AD746" t="s">
        <v>4</v>
      </c>
      <c r="AE746" s="4" t="s">
        <v>94</v>
      </c>
      <c r="AZ746" t="s">
        <v>4</v>
      </c>
      <c r="BA746" s="3" t="s">
        <v>115</v>
      </c>
      <c r="BB746" t="s">
        <v>96</v>
      </c>
      <c r="BC746" s="3" t="s">
        <v>95</v>
      </c>
      <c r="BD746" t="s">
        <v>4</v>
      </c>
      <c r="BE746">
        <v>2026</v>
      </c>
      <c r="BF746" t="s">
        <v>148</v>
      </c>
      <c r="BG746">
        <v>70.112399999999994</v>
      </c>
      <c r="BH746">
        <v>40.449399999999997</v>
      </c>
      <c r="BI746">
        <v>71.9101</v>
      </c>
      <c r="BJ746">
        <v>18.8764</v>
      </c>
      <c r="BK746">
        <v>43.146099999999997</v>
      </c>
      <c r="BL746">
        <v>10.112399999999999</v>
      </c>
      <c r="BM746" t="s">
        <v>2119</v>
      </c>
      <c r="BN746">
        <v>54.831499999999998</v>
      </c>
      <c r="BO746">
        <v>38.427</v>
      </c>
      <c r="CK746">
        <v>3</v>
      </c>
      <c r="CL746" t="s">
        <v>4</v>
      </c>
      <c r="CM746" t="s">
        <v>98</v>
      </c>
      <c r="CN746" t="s">
        <v>98</v>
      </c>
      <c r="CO746" t="s">
        <v>99</v>
      </c>
      <c r="CP746">
        <v>187</v>
      </c>
      <c r="CQ746" t="s">
        <v>100</v>
      </c>
      <c r="CR746" t="s">
        <v>100</v>
      </c>
      <c r="CS746" t="s">
        <v>101</v>
      </c>
      <c r="CT746" t="s">
        <v>100</v>
      </c>
      <c r="CU746" t="s">
        <v>102</v>
      </c>
      <c r="CV746" t="s">
        <v>100</v>
      </c>
    </row>
    <row r="747" spans="1:100">
      <c r="A747" s="3" t="s">
        <v>2120</v>
      </c>
      <c r="B747" s="4" t="s">
        <v>2121</v>
      </c>
      <c r="C747">
        <v>77.181417596432993</v>
      </c>
      <c r="D747">
        <v>12.0520533656191</v>
      </c>
      <c r="E747">
        <v>2.6866864797791101</v>
      </c>
      <c r="F747">
        <v>2.3959382778515502E-3</v>
      </c>
      <c r="G747" t="s">
        <v>4</v>
      </c>
      <c r="H747">
        <v>77.181417596432993</v>
      </c>
      <c r="I747">
        <v>15.2566009108636</v>
      </c>
      <c r="J747">
        <v>2.3372875192343199</v>
      </c>
      <c r="K747">
        <v>7.4351405387545798E-3</v>
      </c>
      <c r="L747" t="s">
        <v>4</v>
      </c>
      <c r="M747">
        <v>12.0520533656191</v>
      </c>
      <c r="N747">
        <v>15.2566009108636</v>
      </c>
      <c r="O747">
        <f>0.349398960544792</f>
        <v>0.34939896054479203</v>
      </c>
      <c r="P747">
        <v>0.74835191777071997</v>
      </c>
      <c r="Q747" t="s">
        <v>4</v>
      </c>
      <c r="R747" s="4" t="s">
        <v>87</v>
      </c>
      <c r="S747" t="s">
        <v>4</v>
      </c>
      <c r="T747" t="s">
        <v>92</v>
      </c>
      <c r="U747" t="s">
        <v>92</v>
      </c>
      <c r="V747" t="s">
        <v>92</v>
      </c>
      <c r="W747" t="s">
        <v>92</v>
      </c>
      <c r="X747" t="s">
        <v>4</v>
      </c>
      <c r="Y747" t="s">
        <v>92</v>
      </c>
      <c r="Z747" t="s">
        <v>92</v>
      </c>
      <c r="AA747" t="s">
        <v>92</v>
      </c>
      <c r="AB747" t="s">
        <v>4</v>
      </c>
      <c r="AC747" s="3" t="s">
        <v>93</v>
      </c>
      <c r="AD747" t="s">
        <v>4</v>
      </c>
      <c r="AE747" s="4" t="s">
        <v>94</v>
      </c>
      <c r="AZ747" t="s">
        <v>4</v>
      </c>
      <c r="BA747" s="3" t="s">
        <v>95</v>
      </c>
      <c r="BB747" s="6" t="s">
        <v>95</v>
      </c>
      <c r="BC747" s="3" t="s">
        <v>197</v>
      </c>
      <c r="BD747" t="s">
        <v>4</v>
      </c>
      <c r="BE747">
        <v>2030</v>
      </c>
      <c r="BF747" t="s">
        <v>148</v>
      </c>
      <c r="BG747">
        <v>97.222200000000001</v>
      </c>
      <c r="BH747">
        <v>58.333300000000001</v>
      </c>
      <c r="BI747">
        <v>87.301599999999993</v>
      </c>
      <c r="BJ747">
        <v>66.269800000000004</v>
      </c>
      <c r="BK747">
        <v>60.714300000000001</v>
      </c>
      <c r="BL747">
        <v>56.349200000000003</v>
      </c>
      <c r="BM747">
        <v>51.1905</v>
      </c>
      <c r="BN747">
        <v>50.396799999999999</v>
      </c>
      <c r="BO747">
        <v>61.1111</v>
      </c>
      <c r="CK747">
        <v>3</v>
      </c>
      <c r="CL747" t="s">
        <v>4</v>
      </c>
      <c r="CM747" t="s">
        <v>98</v>
      </c>
      <c r="CN747" t="s">
        <v>98</v>
      </c>
      <c r="CO747" t="s">
        <v>99</v>
      </c>
      <c r="CP747">
        <v>188</v>
      </c>
      <c r="CQ747" t="s">
        <v>100</v>
      </c>
      <c r="CR747" t="s">
        <v>100</v>
      </c>
      <c r="CS747" t="s">
        <v>101</v>
      </c>
      <c r="CT747" t="s">
        <v>100</v>
      </c>
      <c r="CU747" t="s">
        <v>102</v>
      </c>
      <c r="CV747" t="s">
        <v>100</v>
      </c>
    </row>
    <row r="748" spans="1:100">
      <c r="A748" s="3" t="s">
        <v>2122</v>
      </c>
      <c r="B748" s="4" t="s">
        <v>2123</v>
      </c>
      <c r="C748">
        <v>89.838646711192197</v>
      </c>
      <c r="D748">
        <v>20.479364409248898</v>
      </c>
      <c r="E748">
        <v>2.1360255338807099</v>
      </c>
      <c r="F748">
        <v>8.3504130830831E-4</v>
      </c>
      <c r="G748" t="s">
        <v>4</v>
      </c>
      <c r="H748">
        <v>89.838646711192197</v>
      </c>
      <c r="I748">
        <v>19.940976302504499</v>
      </c>
      <c r="J748">
        <v>2.18328396967655</v>
      </c>
      <c r="K748">
        <v>6.2710757992796796E-4</v>
      </c>
      <c r="L748" t="s">
        <v>4</v>
      </c>
      <c r="M748">
        <v>20.479364409248898</v>
      </c>
      <c r="N748">
        <v>19.940976302504499</v>
      </c>
      <c r="O748">
        <v>4.7258435795842497E-2</v>
      </c>
      <c r="P748">
        <v>0.95710019396540602</v>
      </c>
      <c r="Q748" t="s">
        <v>4</v>
      </c>
      <c r="R748" s="4" t="s">
        <v>87</v>
      </c>
      <c r="S748" t="s">
        <v>4</v>
      </c>
      <c r="T748" t="s">
        <v>88</v>
      </c>
      <c r="U748" t="s">
        <v>89</v>
      </c>
      <c r="V748" t="s">
        <v>90</v>
      </c>
      <c r="W748" t="s">
        <v>91</v>
      </c>
      <c r="X748" t="s">
        <v>4</v>
      </c>
      <c r="Y748" t="s">
        <v>92</v>
      </c>
      <c r="Z748" t="s">
        <v>92</v>
      </c>
      <c r="AA748" t="s">
        <v>92</v>
      </c>
      <c r="AB748" t="s">
        <v>4</v>
      </c>
      <c r="AC748" s="3" t="s">
        <v>93</v>
      </c>
      <c r="AD748" t="s">
        <v>4</v>
      </c>
      <c r="AE748" s="4" t="s">
        <v>94</v>
      </c>
      <c r="AZ748" t="s">
        <v>4</v>
      </c>
      <c r="BA748" s="3" t="s">
        <v>95</v>
      </c>
      <c r="BB748" t="s">
        <v>96</v>
      </c>
      <c r="BC748" s="3" t="s">
        <v>95</v>
      </c>
      <c r="BD748" t="s">
        <v>4</v>
      </c>
      <c r="BE748">
        <v>2032</v>
      </c>
      <c r="BF748" t="s">
        <v>148</v>
      </c>
      <c r="BG748">
        <v>98.360699999999994</v>
      </c>
      <c r="BH748">
        <v>100</v>
      </c>
      <c r="BI748">
        <v>77.049199999999999</v>
      </c>
      <c r="BJ748">
        <v>47.131100000000004</v>
      </c>
      <c r="BK748">
        <v>48.360700000000001</v>
      </c>
      <c r="BM748">
        <v>46.721299999999999</v>
      </c>
      <c r="BN748">
        <v>49.590200000000003</v>
      </c>
      <c r="BO748" t="s">
        <v>2124</v>
      </c>
      <c r="CK748">
        <v>3</v>
      </c>
      <c r="CL748" t="s">
        <v>4</v>
      </c>
      <c r="CM748" t="s">
        <v>98</v>
      </c>
      <c r="CN748" t="s">
        <v>98</v>
      </c>
      <c r="CO748" t="s">
        <v>99</v>
      </c>
      <c r="CP748">
        <v>189</v>
      </c>
      <c r="CQ748" t="s">
        <v>100</v>
      </c>
      <c r="CR748" t="s">
        <v>100</v>
      </c>
      <c r="CS748" t="s">
        <v>101</v>
      </c>
      <c r="CT748" t="s">
        <v>100</v>
      </c>
      <c r="CU748" t="s">
        <v>102</v>
      </c>
      <c r="CV748" t="s">
        <v>100</v>
      </c>
    </row>
    <row r="749" spans="1:100">
      <c r="A749" s="3" t="s">
        <v>2125</v>
      </c>
      <c r="B749" s="4" t="s">
        <v>2126</v>
      </c>
      <c r="C749">
        <v>101.262091950496</v>
      </c>
      <c r="D749">
        <v>10.911028603654101</v>
      </c>
      <c r="E749">
        <v>3.2223377278632901</v>
      </c>
      <c r="F749" s="5">
        <v>8.63988922778873E-7</v>
      </c>
      <c r="G749" t="s">
        <v>4</v>
      </c>
      <c r="H749">
        <v>101.262091950496</v>
      </c>
      <c r="I749">
        <v>3.8767121438241499</v>
      </c>
      <c r="J749">
        <v>4.75233013444885</v>
      </c>
      <c r="K749" s="5">
        <v>1.5184444211411399E-9</v>
      </c>
      <c r="L749" t="s">
        <v>4</v>
      </c>
      <c r="M749">
        <v>10.911028603654101</v>
      </c>
      <c r="N749">
        <v>3.8767121438241499</v>
      </c>
      <c r="O749">
        <v>1.5299924065855599</v>
      </c>
      <c r="P749">
        <v>8.4088268996757004E-2</v>
      </c>
      <c r="Q749" t="s">
        <v>4</v>
      </c>
      <c r="R749" s="4" t="s">
        <v>87</v>
      </c>
      <c r="S749" t="s">
        <v>4</v>
      </c>
      <c r="T749" t="s">
        <v>88</v>
      </c>
      <c r="U749" t="s">
        <v>89</v>
      </c>
      <c r="V749" t="s">
        <v>90</v>
      </c>
      <c r="W749" t="s">
        <v>91</v>
      </c>
      <c r="X749" t="s">
        <v>4</v>
      </c>
      <c r="Y749" t="s">
        <v>92</v>
      </c>
      <c r="Z749" t="s">
        <v>92</v>
      </c>
      <c r="AA749" t="s">
        <v>92</v>
      </c>
      <c r="AB749" t="s">
        <v>4</v>
      </c>
      <c r="AC749" s="3" t="s">
        <v>93</v>
      </c>
      <c r="AD749" t="s">
        <v>4</v>
      </c>
      <c r="AE749" s="4" t="s">
        <v>94</v>
      </c>
      <c r="AZ749" t="s">
        <v>4</v>
      </c>
      <c r="BA749" s="3" t="s">
        <v>95</v>
      </c>
      <c r="BB749" t="s">
        <v>96</v>
      </c>
      <c r="BC749" s="3" t="s">
        <v>95</v>
      </c>
      <c r="BD749" t="s">
        <v>4</v>
      </c>
      <c r="BE749">
        <v>1258</v>
      </c>
      <c r="BF749" t="s">
        <v>151</v>
      </c>
      <c r="BG749">
        <v>96.706599999999995</v>
      </c>
      <c r="BH749">
        <v>99.401200000000003</v>
      </c>
      <c r="BJ749">
        <v>59.880200000000002</v>
      </c>
      <c r="BK749">
        <v>50.898200000000003</v>
      </c>
      <c r="BL749">
        <v>30.8383</v>
      </c>
      <c r="BM749" t="s">
        <v>2127</v>
      </c>
      <c r="BN749" t="s">
        <v>2128</v>
      </c>
      <c r="BO749">
        <v>63.173699999999997</v>
      </c>
      <c r="CK749">
        <v>2</v>
      </c>
      <c r="CL749" t="s">
        <v>4</v>
      </c>
      <c r="CM749" t="s">
        <v>98</v>
      </c>
      <c r="CN749" t="s">
        <v>98</v>
      </c>
      <c r="CO749" t="s">
        <v>99</v>
      </c>
      <c r="CP749">
        <v>190</v>
      </c>
      <c r="CQ749" t="s">
        <v>100</v>
      </c>
      <c r="CR749" t="s">
        <v>100</v>
      </c>
      <c r="CS749" t="s">
        <v>101</v>
      </c>
      <c r="CT749" t="s">
        <v>100</v>
      </c>
      <c r="CU749" t="s">
        <v>102</v>
      </c>
      <c r="CV749" t="s">
        <v>100</v>
      </c>
    </row>
    <row r="750" spans="1:100">
      <c r="A750" s="3" t="s">
        <v>2129</v>
      </c>
      <c r="B750" s="4" t="s">
        <v>2130</v>
      </c>
      <c r="C750">
        <v>1545.4457314669301</v>
      </c>
      <c r="D750">
        <v>324.14871126711603</v>
      </c>
      <c r="E750">
        <v>2.2516833681194801</v>
      </c>
      <c r="F750" s="5">
        <v>5.2888154017125998E-9</v>
      </c>
      <c r="G750" t="s">
        <v>4</v>
      </c>
      <c r="H750">
        <v>1545.4457314669301</v>
      </c>
      <c r="I750">
        <v>123.603292131388</v>
      </c>
      <c r="J750">
        <v>3.6382293058682098</v>
      </c>
      <c r="K750" s="5">
        <v>9.7893414549226395E-22</v>
      </c>
      <c r="L750" t="s">
        <v>4</v>
      </c>
      <c r="M750">
        <v>324.14871126711603</v>
      </c>
      <c r="N750">
        <v>123.603292131388</v>
      </c>
      <c r="O750">
        <v>1.3865459377487299</v>
      </c>
      <c r="P750">
        <v>4.67203563792176E-4</v>
      </c>
      <c r="Q750" t="s">
        <v>4</v>
      </c>
      <c r="R750" s="4" t="s">
        <v>87</v>
      </c>
      <c r="S750" t="s">
        <v>4</v>
      </c>
      <c r="T750" t="s">
        <v>92</v>
      </c>
      <c r="U750" t="s">
        <v>92</v>
      </c>
      <c r="V750" t="s">
        <v>92</v>
      </c>
      <c r="W750" t="s">
        <v>92</v>
      </c>
      <c r="X750" t="s">
        <v>4</v>
      </c>
      <c r="Y750" t="s">
        <v>2131</v>
      </c>
      <c r="Z750" t="s">
        <v>2132</v>
      </c>
      <c r="AA750" t="s">
        <v>2133</v>
      </c>
      <c r="AB750" t="s">
        <v>4</v>
      </c>
      <c r="AC750" s="3" t="s">
        <v>2134</v>
      </c>
      <c r="AD750" t="s">
        <v>4</v>
      </c>
      <c r="AE750" t="s">
        <v>2135</v>
      </c>
      <c r="AF750" t="s">
        <v>2136</v>
      </c>
      <c r="AG750" t="s">
        <v>918</v>
      </c>
      <c r="AH750" t="s">
        <v>112</v>
      </c>
      <c r="AJ750" t="s">
        <v>2137</v>
      </c>
      <c r="AU750" t="s">
        <v>112</v>
      </c>
      <c r="AV750" t="s">
        <v>2138</v>
      </c>
      <c r="AW750" t="s">
        <v>114</v>
      </c>
      <c r="AX750" t="s">
        <v>2139</v>
      </c>
      <c r="AY750" t="s">
        <v>2140</v>
      </c>
      <c r="AZ750" t="s">
        <v>4</v>
      </c>
      <c r="BA750" s="3" t="s">
        <v>95</v>
      </c>
      <c r="BB750" s="6" t="s">
        <v>95</v>
      </c>
      <c r="BC750" s="3" t="s">
        <v>95</v>
      </c>
      <c r="BD750" t="s">
        <v>4</v>
      </c>
      <c r="BE750">
        <v>2708</v>
      </c>
      <c r="BF750" t="s">
        <v>97</v>
      </c>
      <c r="BG750">
        <v>97.486000000000004</v>
      </c>
      <c r="BH750">
        <v>47.485999999999997</v>
      </c>
      <c r="BI750">
        <v>83.798900000000003</v>
      </c>
      <c r="BJ750">
        <v>53.351999999999997</v>
      </c>
      <c r="BL750">
        <v>51.396599999999999</v>
      </c>
      <c r="BM750">
        <v>51.955300000000001</v>
      </c>
      <c r="BO750">
        <v>62.011200000000002</v>
      </c>
      <c r="BP750">
        <v>16.480399999999999</v>
      </c>
      <c r="CK750">
        <v>4</v>
      </c>
      <c r="CL750" t="s">
        <v>4</v>
      </c>
      <c r="CM750" t="s">
        <v>98</v>
      </c>
      <c r="CN750" t="s">
        <v>98</v>
      </c>
      <c r="CO750" t="s">
        <v>99</v>
      </c>
      <c r="CP750">
        <v>191</v>
      </c>
      <c r="CQ750" t="s">
        <v>100</v>
      </c>
      <c r="CR750" t="s">
        <v>100</v>
      </c>
      <c r="CS750" t="s">
        <v>101</v>
      </c>
      <c r="CT750" s="7" t="s">
        <v>152</v>
      </c>
      <c r="CU750" t="s">
        <v>102</v>
      </c>
      <c r="CV750" t="s">
        <v>100</v>
      </c>
    </row>
    <row r="751" spans="1:100">
      <c r="A751" s="3" t="s">
        <v>2141</v>
      </c>
      <c r="B751" s="4" t="s">
        <v>2142</v>
      </c>
      <c r="C751">
        <v>495.814898029066</v>
      </c>
      <c r="D751">
        <v>105.16053424149101</v>
      </c>
      <c r="E751">
        <v>2.2357601563284502</v>
      </c>
      <c r="F751">
        <v>2.0272436961151002E-3</v>
      </c>
      <c r="G751" t="s">
        <v>4</v>
      </c>
      <c r="H751">
        <v>495.814898029066</v>
      </c>
      <c r="I751">
        <v>34.240522304813503</v>
      </c>
      <c r="J751">
        <v>3.8241894262237901</v>
      </c>
      <c r="K751" s="5">
        <v>4.8139512765516703E-8</v>
      </c>
      <c r="L751" t="s">
        <v>4</v>
      </c>
      <c r="M751">
        <v>105.16053424149101</v>
      </c>
      <c r="N751">
        <v>34.240522304813503</v>
      </c>
      <c r="O751">
        <v>1.5884292698953399</v>
      </c>
      <c r="P751">
        <v>3.1517290416463402E-2</v>
      </c>
      <c r="Q751" t="s">
        <v>4</v>
      </c>
      <c r="R751" s="4" t="s">
        <v>87</v>
      </c>
      <c r="S751" t="s">
        <v>4</v>
      </c>
      <c r="T751" t="s">
        <v>92</v>
      </c>
      <c r="U751" t="s">
        <v>92</v>
      </c>
      <c r="V751" t="s">
        <v>92</v>
      </c>
      <c r="W751" t="s">
        <v>92</v>
      </c>
      <c r="X751" t="s">
        <v>4</v>
      </c>
      <c r="Y751" t="s">
        <v>92</v>
      </c>
      <c r="Z751" t="s">
        <v>92</v>
      </c>
      <c r="AA751" t="s">
        <v>92</v>
      </c>
      <c r="AB751" t="s">
        <v>4</v>
      </c>
      <c r="AC751" s="3" t="s">
        <v>93</v>
      </c>
      <c r="AD751" t="s">
        <v>4</v>
      </c>
      <c r="AE751" s="4" t="s">
        <v>94</v>
      </c>
      <c r="AZ751" t="s">
        <v>4</v>
      </c>
      <c r="BA751" s="3" t="s">
        <v>95</v>
      </c>
      <c r="BB751" s="6" t="s">
        <v>95</v>
      </c>
      <c r="BC751" s="3" t="s">
        <v>95</v>
      </c>
      <c r="BD751" t="s">
        <v>4</v>
      </c>
      <c r="BE751">
        <v>1263</v>
      </c>
      <c r="BF751" t="s">
        <v>151</v>
      </c>
      <c r="BG751">
        <v>95.721900000000005</v>
      </c>
      <c r="BH751">
        <v>100</v>
      </c>
      <c r="BI751">
        <v>59.893000000000001</v>
      </c>
      <c r="CK751">
        <v>2</v>
      </c>
      <c r="CL751" t="s">
        <v>4</v>
      </c>
      <c r="CM751" t="s">
        <v>98</v>
      </c>
      <c r="CN751" t="s">
        <v>98</v>
      </c>
      <c r="CO751" t="s">
        <v>99</v>
      </c>
      <c r="CP751">
        <v>192</v>
      </c>
      <c r="CQ751" t="s">
        <v>100</v>
      </c>
      <c r="CR751" t="s">
        <v>100</v>
      </c>
      <c r="CS751" t="s">
        <v>101</v>
      </c>
      <c r="CT751" s="7" t="s">
        <v>152</v>
      </c>
      <c r="CU751" t="s">
        <v>102</v>
      </c>
      <c r="CV751" t="s">
        <v>100</v>
      </c>
    </row>
    <row r="752" spans="1:100">
      <c r="A752" s="3" t="s">
        <v>2143</v>
      </c>
      <c r="B752" s="4" t="s">
        <v>2144</v>
      </c>
      <c r="C752">
        <v>793.53543637254904</v>
      </c>
      <c r="D752">
        <v>170.22890061393699</v>
      </c>
      <c r="E752">
        <v>2.2202477286745799</v>
      </c>
      <c r="F752" s="5">
        <v>1.07836022119686E-11</v>
      </c>
      <c r="G752" t="s">
        <v>4</v>
      </c>
      <c r="H752">
        <v>793.53543637254904</v>
      </c>
      <c r="I752">
        <v>96.672263812298198</v>
      </c>
      <c r="J752">
        <v>3.0150245784346099</v>
      </c>
      <c r="K752" s="5">
        <v>3.5643310784777999E-20</v>
      </c>
      <c r="L752" t="s">
        <v>4</v>
      </c>
      <c r="M752">
        <v>170.22890061393699</v>
      </c>
      <c r="N752">
        <v>96.672263812298198</v>
      </c>
      <c r="O752">
        <v>0.79477684976003105</v>
      </c>
      <c r="P752">
        <v>2.5416905871985699E-2</v>
      </c>
      <c r="Q752" t="s">
        <v>4</v>
      </c>
      <c r="R752" s="4" t="s">
        <v>87</v>
      </c>
      <c r="S752" t="s">
        <v>4</v>
      </c>
      <c r="T752" t="s">
        <v>2145</v>
      </c>
      <c r="U752" t="s">
        <v>2146</v>
      </c>
      <c r="V752" t="s">
        <v>2147</v>
      </c>
      <c r="W752" t="s">
        <v>203</v>
      </c>
      <c r="X752" t="s">
        <v>4</v>
      </c>
      <c r="Y752" t="s">
        <v>2148</v>
      </c>
      <c r="Z752" t="s">
        <v>2149</v>
      </c>
      <c r="AA752" t="s">
        <v>2150</v>
      </c>
      <c r="AB752" t="s">
        <v>4</v>
      </c>
      <c r="AC752" s="3" t="s">
        <v>2151</v>
      </c>
      <c r="AD752" t="s">
        <v>4</v>
      </c>
      <c r="AE752" t="s">
        <v>2152</v>
      </c>
      <c r="AF752" t="s">
        <v>2153</v>
      </c>
      <c r="AG752" t="s">
        <v>161</v>
      </c>
      <c r="AH752" t="s">
        <v>112</v>
      </c>
      <c r="AL752" t="s">
        <v>2154</v>
      </c>
      <c r="AM752" t="s">
        <v>2155</v>
      </c>
      <c r="AQ752" t="s">
        <v>303</v>
      </c>
      <c r="AU752" t="s">
        <v>112</v>
      </c>
      <c r="AV752" t="s">
        <v>2156</v>
      </c>
      <c r="AW752" t="s">
        <v>114</v>
      </c>
      <c r="AX752" t="s">
        <v>2157</v>
      </c>
      <c r="AY752" t="s">
        <v>2158</v>
      </c>
      <c r="AZ752" t="s">
        <v>4</v>
      </c>
      <c r="BA752" s="3" t="s">
        <v>95</v>
      </c>
      <c r="BB752" s="6" t="s">
        <v>95</v>
      </c>
      <c r="BC752" s="3" t="s">
        <v>95</v>
      </c>
      <c r="BD752" t="s">
        <v>4</v>
      </c>
      <c r="BE752">
        <v>7927</v>
      </c>
      <c r="BF752" t="s">
        <v>213</v>
      </c>
      <c r="BG752">
        <v>98.724500000000006</v>
      </c>
      <c r="BH752">
        <v>39.0306</v>
      </c>
      <c r="BI752">
        <v>88.775499999999994</v>
      </c>
      <c r="BJ752">
        <v>82.908199999999994</v>
      </c>
      <c r="BK752">
        <v>71.938800000000001</v>
      </c>
      <c r="BL752" t="s">
        <v>2159</v>
      </c>
      <c r="BM752">
        <v>76.530600000000007</v>
      </c>
      <c r="BN752">
        <v>76.530600000000007</v>
      </c>
      <c r="BO752">
        <v>54.3367</v>
      </c>
      <c r="BR752">
        <v>19.387799999999999</v>
      </c>
      <c r="BS752" t="s">
        <v>2160</v>
      </c>
      <c r="BT752">
        <v>24.2347</v>
      </c>
      <c r="BU752">
        <v>25</v>
      </c>
      <c r="BV752" t="s">
        <v>2161</v>
      </c>
      <c r="BX752">
        <v>26.5306</v>
      </c>
      <c r="BY752">
        <v>29.846900000000002</v>
      </c>
      <c r="BZ752">
        <v>22.193899999999999</v>
      </c>
      <c r="CC752">
        <v>17.091799999999999</v>
      </c>
      <c r="CD752">
        <v>21.173500000000001</v>
      </c>
      <c r="CF752">
        <v>26.5306</v>
      </c>
      <c r="CG752">
        <v>27.550999999999998</v>
      </c>
      <c r="CH752">
        <v>27.550999999999998</v>
      </c>
      <c r="CI752" t="s">
        <v>2162</v>
      </c>
      <c r="CK752">
        <v>8</v>
      </c>
      <c r="CL752" t="s">
        <v>4</v>
      </c>
      <c r="CM752" t="s">
        <v>98</v>
      </c>
      <c r="CN752" t="s">
        <v>98</v>
      </c>
      <c r="CO752" t="s">
        <v>99</v>
      </c>
      <c r="CP752">
        <v>193</v>
      </c>
      <c r="CQ752" t="s">
        <v>100</v>
      </c>
      <c r="CR752" t="s">
        <v>100</v>
      </c>
      <c r="CS752" t="s">
        <v>101</v>
      </c>
      <c r="CT752" t="s">
        <v>100</v>
      </c>
      <c r="CU752" t="s">
        <v>102</v>
      </c>
      <c r="CV752" t="s">
        <v>100</v>
      </c>
    </row>
    <row r="753" spans="1:100">
      <c r="A753" s="3" t="s">
        <v>2163</v>
      </c>
      <c r="B753" s="4" t="s">
        <v>2164</v>
      </c>
      <c r="C753">
        <v>361.30095937481701</v>
      </c>
      <c r="D753">
        <v>48.135494462063399</v>
      </c>
      <c r="E753">
        <v>2.9041022515716199</v>
      </c>
      <c r="F753" s="5">
        <v>1.17018558777901E-21</v>
      </c>
      <c r="G753" t="s">
        <v>4</v>
      </c>
      <c r="H753">
        <v>361.30095937481701</v>
      </c>
      <c r="I753">
        <v>18.3946486341863</v>
      </c>
      <c r="J753">
        <v>4.22652598929281</v>
      </c>
      <c r="K753" s="5">
        <v>1.78942989400755E-32</v>
      </c>
      <c r="L753" t="s">
        <v>4</v>
      </c>
      <c r="M753">
        <v>48.135494462063399</v>
      </c>
      <c r="N753">
        <v>18.3946486341863</v>
      </c>
      <c r="O753">
        <v>1.3224237377212</v>
      </c>
      <c r="P753">
        <v>7.04313326381808E-4</v>
      </c>
      <c r="Q753" t="s">
        <v>4</v>
      </c>
      <c r="R753" s="4" t="s">
        <v>87</v>
      </c>
      <c r="S753" t="s">
        <v>4</v>
      </c>
      <c r="T753" t="s">
        <v>92</v>
      </c>
      <c r="U753" t="s">
        <v>92</v>
      </c>
      <c r="V753" t="s">
        <v>92</v>
      </c>
      <c r="W753" t="s">
        <v>92</v>
      </c>
      <c r="X753" t="s">
        <v>4</v>
      </c>
      <c r="Y753" t="s">
        <v>92</v>
      </c>
      <c r="Z753" t="s">
        <v>92</v>
      </c>
      <c r="AA753" t="s">
        <v>92</v>
      </c>
      <c r="AB753" t="s">
        <v>4</v>
      </c>
      <c r="AC753" s="3" t="s">
        <v>93</v>
      </c>
      <c r="AD753" t="s">
        <v>4</v>
      </c>
      <c r="AE753" s="4" t="s">
        <v>94</v>
      </c>
      <c r="AZ753" t="s">
        <v>4</v>
      </c>
      <c r="BA753" s="3" t="s">
        <v>115</v>
      </c>
      <c r="BB753" s="6" t="s">
        <v>95</v>
      </c>
      <c r="BC753" s="3" t="s">
        <v>95</v>
      </c>
      <c r="BD753" t="s">
        <v>4</v>
      </c>
      <c r="BE753">
        <v>1268</v>
      </c>
      <c r="BF753" t="s">
        <v>151</v>
      </c>
      <c r="BG753" t="s">
        <v>2165</v>
      </c>
      <c r="CK753">
        <v>2</v>
      </c>
      <c r="CL753" t="s">
        <v>4</v>
      </c>
      <c r="CM753" t="s">
        <v>98</v>
      </c>
      <c r="CN753" t="s">
        <v>98</v>
      </c>
      <c r="CO753" t="s">
        <v>99</v>
      </c>
      <c r="CP753">
        <v>194</v>
      </c>
      <c r="CQ753" t="s">
        <v>100</v>
      </c>
      <c r="CR753" t="s">
        <v>100</v>
      </c>
      <c r="CS753" t="s">
        <v>101</v>
      </c>
      <c r="CT753" s="7" t="s">
        <v>152</v>
      </c>
      <c r="CU753" t="s">
        <v>102</v>
      </c>
      <c r="CV753" t="s">
        <v>100</v>
      </c>
    </row>
    <row r="754" spans="1:100">
      <c r="A754" s="3" t="s">
        <v>2166</v>
      </c>
      <c r="B754" s="4" t="s">
        <v>2167</v>
      </c>
      <c r="C754">
        <v>73.388610947850694</v>
      </c>
      <c r="D754">
        <v>15.2701670547631</v>
      </c>
      <c r="E754">
        <v>2.2811371605803998</v>
      </c>
      <c r="F754">
        <v>1.0663144205017201E-3</v>
      </c>
      <c r="G754" t="s">
        <v>4</v>
      </c>
      <c r="H754">
        <v>73.388610947850694</v>
      </c>
      <c r="I754">
        <v>2.0881920694337301</v>
      </c>
      <c r="J754">
        <v>5.2731623825865404</v>
      </c>
      <c r="K754" s="5">
        <v>6.0344034723508497E-8</v>
      </c>
      <c r="L754" t="s">
        <v>4</v>
      </c>
      <c r="M754">
        <v>15.2701670547631</v>
      </c>
      <c r="N754">
        <v>2.0881920694337301</v>
      </c>
      <c r="O754">
        <v>2.9920252220061299</v>
      </c>
      <c r="P754">
        <v>3.2465954146342099E-3</v>
      </c>
      <c r="Q754" t="s">
        <v>4</v>
      </c>
      <c r="R754" s="4" t="s">
        <v>87</v>
      </c>
      <c r="S754" t="s">
        <v>4</v>
      </c>
      <c r="T754" t="s">
        <v>92</v>
      </c>
      <c r="U754" t="s">
        <v>92</v>
      </c>
      <c r="V754" t="s">
        <v>92</v>
      </c>
      <c r="W754" t="s">
        <v>92</v>
      </c>
      <c r="X754" t="s">
        <v>4</v>
      </c>
      <c r="Y754" t="s">
        <v>92</v>
      </c>
      <c r="Z754" t="s">
        <v>92</v>
      </c>
      <c r="AA754" t="s">
        <v>92</v>
      </c>
      <c r="AB754" t="s">
        <v>4</v>
      </c>
      <c r="AC754" s="3" t="s">
        <v>93</v>
      </c>
      <c r="AD754" t="s">
        <v>4</v>
      </c>
      <c r="AE754" s="4" t="s">
        <v>94</v>
      </c>
      <c r="AZ754" t="s">
        <v>4</v>
      </c>
      <c r="BA754" s="3" t="s">
        <v>95</v>
      </c>
      <c r="BB754" t="s">
        <v>96</v>
      </c>
      <c r="BC754" s="3" t="s">
        <v>95</v>
      </c>
      <c r="BD754" t="s">
        <v>4</v>
      </c>
      <c r="BE754">
        <v>2050</v>
      </c>
      <c r="BF754" t="s">
        <v>148</v>
      </c>
      <c r="BG754">
        <v>71.428600000000003</v>
      </c>
      <c r="BH754">
        <v>68.650800000000004</v>
      </c>
      <c r="BI754">
        <v>78.968299999999999</v>
      </c>
      <c r="BJ754">
        <v>34.523800000000001</v>
      </c>
      <c r="BK754">
        <v>25</v>
      </c>
      <c r="BL754">
        <v>23.8095</v>
      </c>
      <c r="BM754">
        <v>27.777799999999999</v>
      </c>
      <c r="BN754">
        <v>21.825399999999998</v>
      </c>
      <c r="BO754">
        <v>5.9523799999999998</v>
      </c>
      <c r="CK754">
        <v>3</v>
      </c>
      <c r="CL754" t="s">
        <v>4</v>
      </c>
      <c r="CM754" t="s">
        <v>98</v>
      </c>
      <c r="CN754" t="s">
        <v>98</v>
      </c>
      <c r="CO754" t="s">
        <v>99</v>
      </c>
      <c r="CP754">
        <v>195</v>
      </c>
      <c r="CQ754" t="s">
        <v>100</v>
      </c>
      <c r="CR754" t="s">
        <v>100</v>
      </c>
      <c r="CS754" t="s">
        <v>101</v>
      </c>
      <c r="CT754" t="s">
        <v>152</v>
      </c>
      <c r="CU754" t="s">
        <v>102</v>
      </c>
      <c r="CV754" t="s">
        <v>100</v>
      </c>
    </row>
    <row r="755" spans="1:100">
      <c r="A755" s="3" t="s">
        <v>2168</v>
      </c>
      <c r="B755" s="4" t="s">
        <v>2169</v>
      </c>
      <c r="C755">
        <v>766.28194225557002</v>
      </c>
      <c r="D755">
        <v>99.386258083655207</v>
      </c>
      <c r="E755">
        <v>2.9440767030066501</v>
      </c>
      <c r="F755" s="5">
        <v>1.85629169087424E-29</v>
      </c>
      <c r="G755" t="s">
        <v>4</v>
      </c>
      <c r="H755">
        <v>766.28194225557002</v>
      </c>
      <c r="I755">
        <v>34.097737894415403</v>
      </c>
      <c r="J755">
        <v>4.4682870089122204</v>
      </c>
      <c r="K755" s="5">
        <v>3.0963724714797801E-51</v>
      </c>
      <c r="L755" t="s">
        <v>4</v>
      </c>
      <c r="M755">
        <v>99.386258083655207</v>
      </c>
      <c r="N755">
        <v>34.097737894415403</v>
      </c>
      <c r="O755">
        <v>1.5242103059055701</v>
      </c>
      <c r="P755" s="5">
        <v>1.4294818454170599E-6</v>
      </c>
      <c r="Q755" t="s">
        <v>4</v>
      </c>
      <c r="R755" s="4" t="s">
        <v>87</v>
      </c>
      <c r="S755" t="s">
        <v>4</v>
      </c>
      <c r="T755" t="s">
        <v>92</v>
      </c>
      <c r="U755" t="s">
        <v>92</v>
      </c>
      <c r="V755" t="s">
        <v>92</v>
      </c>
      <c r="W755" t="s">
        <v>92</v>
      </c>
      <c r="X755" t="s">
        <v>4</v>
      </c>
      <c r="Y755" t="s">
        <v>2170</v>
      </c>
      <c r="Z755" t="s">
        <v>2171</v>
      </c>
      <c r="AA755" t="s">
        <v>2172</v>
      </c>
      <c r="AB755" t="s">
        <v>4</v>
      </c>
      <c r="AC755" s="3" t="s">
        <v>93</v>
      </c>
      <c r="AD755" t="s">
        <v>4</v>
      </c>
      <c r="AE755" t="s">
        <v>2173</v>
      </c>
      <c r="AF755" t="s">
        <v>2174</v>
      </c>
      <c r="AG755" t="s">
        <v>2175</v>
      </c>
      <c r="AH755" t="s">
        <v>112</v>
      </c>
      <c r="AL755" t="s">
        <v>2176</v>
      </c>
      <c r="AQ755" t="s">
        <v>2177</v>
      </c>
      <c r="AU755" t="s">
        <v>112</v>
      </c>
      <c r="AV755" t="s">
        <v>2178</v>
      </c>
      <c r="AW755" t="s">
        <v>114</v>
      </c>
      <c r="AZ755" t="s">
        <v>4</v>
      </c>
      <c r="BA755" s="3" t="s">
        <v>95</v>
      </c>
      <c r="BB755" s="6" t="s">
        <v>95</v>
      </c>
      <c r="BC755" s="3" t="s">
        <v>95</v>
      </c>
      <c r="BD755" t="s">
        <v>4</v>
      </c>
      <c r="BE755">
        <v>4319</v>
      </c>
      <c r="BF755" t="s">
        <v>112</v>
      </c>
      <c r="BG755">
        <v>87.930999999999997</v>
      </c>
      <c r="BH755">
        <v>82.375500000000002</v>
      </c>
      <c r="BI755" t="s">
        <v>2179</v>
      </c>
      <c r="BJ755">
        <v>69.923400000000001</v>
      </c>
      <c r="BK755">
        <v>73.754800000000003</v>
      </c>
      <c r="BL755">
        <v>60.153300000000002</v>
      </c>
      <c r="BM755">
        <v>75.095799999999997</v>
      </c>
      <c r="BN755">
        <v>75.095799999999997</v>
      </c>
      <c r="BO755">
        <v>74.137900000000002</v>
      </c>
      <c r="BP755">
        <v>26.053599999999999</v>
      </c>
      <c r="BW755">
        <v>21.647500000000001</v>
      </c>
      <c r="BX755">
        <v>27.777799999999999</v>
      </c>
      <c r="CA755">
        <v>21.072800000000001</v>
      </c>
      <c r="CK755">
        <v>5</v>
      </c>
      <c r="CL755" t="s">
        <v>4</v>
      </c>
      <c r="CM755" t="s">
        <v>2180</v>
      </c>
      <c r="CN755" t="s">
        <v>2181</v>
      </c>
      <c r="CO755" t="s">
        <v>219</v>
      </c>
      <c r="CP755">
        <v>196</v>
      </c>
      <c r="CQ755" t="s">
        <v>100</v>
      </c>
      <c r="CR755" t="s">
        <v>100</v>
      </c>
      <c r="CS755" t="s">
        <v>101</v>
      </c>
      <c r="CT755" s="7" t="s">
        <v>152</v>
      </c>
      <c r="CU755" t="s">
        <v>102</v>
      </c>
      <c r="CV755" t="s">
        <v>2182</v>
      </c>
    </row>
    <row r="756" spans="1:100">
      <c r="A756" s="3" t="s">
        <v>2183</v>
      </c>
      <c r="B756" s="4" t="s">
        <v>2184</v>
      </c>
      <c r="C756">
        <v>43.173639121959297</v>
      </c>
      <c r="D756">
        <v>5.0481700048737901</v>
      </c>
      <c r="E756">
        <v>3.0963102591140199</v>
      </c>
      <c r="F756">
        <v>1.28788078348325E-3</v>
      </c>
      <c r="G756" t="s">
        <v>4</v>
      </c>
      <c r="H756">
        <v>43.173639121959297</v>
      </c>
      <c r="I756">
        <v>3.8166658779247999</v>
      </c>
      <c r="J756">
        <v>3.39149051517651</v>
      </c>
      <c r="K756">
        <v>6.8680104443065502E-4</v>
      </c>
      <c r="L756" t="s">
        <v>4</v>
      </c>
      <c r="M756">
        <v>5.0481700048737901</v>
      </c>
      <c r="N756">
        <v>3.8166658779247999</v>
      </c>
      <c r="O756">
        <v>0.29518025606249598</v>
      </c>
      <c r="P756">
        <v>0.82697915151188195</v>
      </c>
      <c r="Q756" t="s">
        <v>4</v>
      </c>
      <c r="R756" s="4" t="s">
        <v>87</v>
      </c>
      <c r="S756" t="s">
        <v>4</v>
      </c>
      <c r="T756" t="s">
        <v>92</v>
      </c>
      <c r="U756" t="s">
        <v>92</v>
      </c>
      <c r="V756" t="s">
        <v>92</v>
      </c>
      <c r="W756" t="s">
        <v>92</v>
      </c>
      <c r="X756" t="s">
        <v>4</v>
      </c>
      <c r="Y756" t="s">
        <v>92</v>
      </c>
      <c r="Z756" t="s">
        <v>92</v>
      </c>
      <c r="AA756" t="s">
        <v>92</v>
      </c>
      <c r="AB756" t="s">
        <v>4</v>
      </c>
      <c r="AC756" s="3" t="s">
        <v>93</v>
      </c>
      <c r="AD756" t="s">
        <v>4</v>
      </c>
      <c r="AE756" s="4" t="s">
        <v>94</v>
      </c>
      <c r="AZ756" t="s">
        <v>4</v>
      </c>
      <c r="BA756" s="3" t="s">
        <v>95</v>
      </c>
      <c r="BB756" s="6" t="s">
        <v>95</v>
      </c>
      <c r="BC756" s="3" t="s">
        <v>95</v>
      </c>
      <c r="BD756" t="s">
        <v>4</v>
      </c>
      <c r="BE756">
        <v>4322</v>
      </c>
      <c r="BF756" t="s">
        <v>112</v>
      </c>
      <c r="BG756">
        <v>96.759299999999996</v>
      </c>
      <c r="BH756">
        <v>96.759299999999996</v>
      </c>
      <c r="BI756">
        <v>84.722200000000001</v>
      </c>
      <c r="BJ756">
        <v>71.759299999999996</v>
      </c>
      <c r="BK756">
        <v>68.981499999999997</v>
      </c>
      <c r="BL756">
        <v>61.574100000000001</v>
      </c>
      <c r="BM756">
        <v>62.036999999999999</v>
      </c>
      <c r="BN756">
        <v>64.814800000000005</v>
      </c>
      <c r="BO756">
        <v>71.759299999999996</v>
      </c>
      <c r="BP756">
        <v>32.870399999999997</v>
      </c>
      <c r="CK756">
        <v>5</v>
      </c>
      <c r="CL756" t="s">
        <v>4</v>
      </c>
      <c r="CM756" t="s">
        <v>98</v>
      </c>
      <c r="CN756" t="s">
        <v>98</v>
      </c>
      <c r="CO756" t="s">
        <v>99</v>
      </c>
      <c r="CP756">
        <v>197</v>
      </c>
      <c r="CQ756" t="s">
        <v>100</v>
      </c>
      <c r="CR756" t="s">
        <v>100</v>
      </c>
      <c r="CS756" t="s">
        <v>101</v>
      </c>
      <c r="CT756" t="s">
        <v>100</v>
      </c>
      <c r="CU756" t="s">
        <v>102</v>
      </c>
      <c r="CV756" t="s">
        <v>100</v>
      </c>
    </row>
    <row r="757" spans="1:100">
      <c r="A757" s="3" t="s">
        <v>2185</v>
      </c>
      <c r="B757" s="4" t="s">
        <v>2186</v>
      </c>
      <c r="C757">
        <v>408.73284672668399</v>
      </c>
      <c r="D757">
        <v>81.196256782129694</v>
      </c>
      <c r="E757">
        <v>2.33287430294755</v>
      </c>
      <c r="F757" s="5">
        <v>1.5309778951713501E-11</v>
      </c>
      <c r="G757" t="s">
        <v>4</v>
      </c>
      <c r="H757">
        <v>408.73284672668399</v>
      </c>
      <c r="I757">
        <v>44.550776814381699</v>
      </c>
      <c r="J757">
        <v>3.1990024290741199</v>
      </c>
      <c r="K757" s="5">
        <v>3.8487791596259699E-19</v>
      </c>
      <c r="L757" t="s">
        <v>4</v>
      </c>
      <c r="M757">
        <v>81.196256782129694</v>
      </c>
      <c r="N757">
        <v>44.550776814381699</v>
      </c>
      <c r="O757">
        <v>0.86612812612657097</v>
      </c>
      <c r="P757">
        <v>2.7517828633351001E-2</v>
      </c>
      <c r="Q757" t="s">
        <v>4</v>
      </c>
      <c r="R757" s="4" t="s">
        <v>87</v>
      </c>
      <c r="S757" t="s">
        <v>4</v>
      </c>
      <c r="T757" t="s">
        <v>92</v>
      </c>
      <c r="U757" t="s">
        <v>92</v>
      </c>
      <c r="V757" t="s">
        <v>92</v>
      </c>
      <c r="W757" t="s">
        <v>92</v>
      </c>
      <c r="X757" t="s">
        <v>4</v>
      </c>
      <c r="Y757" t="s">
        <v>92</v>
      </c>
      <c r="Z757" t="s">
        <v>92</v>
      </c>
      <c r="AA757" t="s">
        <v>92</v>
      </c>
      <c r="AB757" t="s">
        <v>4</v>
      </c>
      <c r="AC757" s="3" t="s">
        <v>93</v>
      </c>
      <c r="AD757" t="s">
        <v>4</v>
      </c>
      <c r="AE757" s="4" t="s">
        <v>94</v>
      </c>
      <c r="AZ757" t="s">
        <v>4</v>
      </c>
      <c r="BA757" s="3" t="s">
        <v>95</v>
      </c>
      <c r="BB757" s="6" t="s">
        <v>95</v>
      </c>
      <c r="BC757" s="3" t="s">
        <v>95</v>
      </c>
      <c r="BD757" t="s">
        <v>4</v>
      </c>
      <c r="BE757">
        <v>1281</v>
      </c>
      <c r="BF757" t="s">
        <v>151</v>
      </c>
      <c r="BG757">
        <v>97.356800000000007</v>
      </c>
      <c r="BH757">
        <v>89.427300000000002</v>
      </c>
      <c r="BL757">
        <v>53.744500000000002</v>
      </c>
      <c r="BM757">
        <v>68.722499999999997</v>
      </c>
      <c r="BN757">
        <v>68.281899999999993</v>
      </c>
      <c r="BO757">
        <v>67.400899999999993</v>
      </c>
      <c r="CK757">
        <v>2</v>
      </c>
      <c r="CL757" t="s">
        <v>4</v>
      </c>
      <c r="CM757" t="s">
        <v>98</v>
      </c>
      <c r="CN757" t="s">
        <v>98</v>
      </c>
      <c r="CO757" t="s">
        <v>99</v>
      </c>
      <c r="CP757">
        <v>198</v>
      </c>
      <c r="CQ757" t="s">
        <v>100</v>
      </c>
      <c r="CR757" t="s">
        <v>100</v>
      </c>
      <c r="CS757" t="s">
        <v>101</v>
      </c>
      <c r="CT757" t="s">
        <v>100</v>
      </c>
      <c r="CU757" t="s">
        <v>102</v>
      </c>
      <c r="CV757" t="s">
        <v>100</v>
      </c>
    </row>
    <row r="758" spans="1:100">
      <c r="A758" s="3" t="s">
        <v>2187</v>
      </c>
      <c r="B758" s="4" t="s">
        <v>2188</v>
      </c>
      <c r="C758">
        <v>65.655080212892599</v>
      </c>
      <c r="D758">
        <v>13.298056851151401</v>
      </c>
      <c r="E758">
        <v>2.3133043323501901</v>
      </c>
      <c r="F758">
        <v>2.4947912639142103E-4</v>
      </c>
      <c r="G758" t="s">
        <v>4</v>
      </c>
      <c r="H758">
        <v>65.655080212892599</v>
      </c>
      <c r="I758">
        <v>16.510752508046</v>
      </c>
      <c r="J758">
        <v>2.0166436676914401</v>
      </c>
      <c r="K758">
        <v>1.3896789104153901E-3</v>
      </c>
      <c r="L758" t="s">
        <v>4</v>
      </c>
      <c r="M758">
        <v>13.298056851151401</v>
      </c>
      <c r="N758">
        <v>16.510752508046</v>
      </c>
      <c r="O758">
        <f>0.296660664658753</f>
        <v>0.29666066465875301</v>
      </c>
      <c r="P758">
        <v>0.71157677487401205</v>
      </c>
      <c r="Q758" t="s">
        <v>4</v>
      </c>
      <c r="R758" s="4" t="s">
        <v>87</v>
      </c>
      <c r="S758" t="s">
        <v>4</v>
      </c>
      <c r="T758" t="s">
        <v>88</v>
      </c>
      <c r="U758" t="s">
        <v>89</v>
      </c>
      <c r="V758" t="s">
        <v>90</v>
      </c>
      <c r="W758" t="s">
        <v>91</v>
      </c>
      <c r="X758" t="s">
        <v>4</v>
      </c>
      <c r="Y758" t="s">
        <v>92</v>
      </c>
      <c r="Z758" t="s">
        <v>92</v>
      </c>
      <c r="AA758" t="s">
        <v>92</v>
      </c>
      <c r="AB758" t="s">
        <v>4</v>
      </c>
      <c r="AC758" s="3" t="s">
        <v>93</v>
      </c>
      <c r="AD758" t="s">
        <v>4</v>
      </c>
      <c r="AE758" s="4" t="s">
        <v>94</v>
      </c>
      <c r="AZ758" t="s">
        <v>4</v>
      </c>
      <c r="BA758" s="3" t="s">
        <v>95</v>
      </c>
      <c r="BB758" t="s">
        <v>96</v>
      </c>
      <c r="BC758" s="3" t="s">
        <v>197</v>
      </c>
      <c r="BD758" t="s">
        <v>4</v>
      </c>
      <c r="BE758">
        <v>972</v>
      </c>
      <c r="BF758" t="s">
        <v>151</v>
      </c>
      <c r="BI758">
        <v>68.75</v>
      </c>
      <c r="BN758">
        <v>42.708300000000001</v>
      </c>
      <c r="CK758">
        <v>2</v>
      </c>
      <c r="CL758" t="s">
        <v>4</v>
      </c>
      <c r="CM758" t="s">
        <v>98</v>
      </c>
      <c r="CN758" t="s">
        <v>98</v>
      </c>
      <c r="CO758" t="s">
        <v>99</v>
      </c>
      <c r="CP758">
        <v>199</v>
      </c>
      <c r="CQ758" t="s">
        <v>100</v>
      </c>
      <c r="CR758" t="s">
        <v>100</v>
      </c>
      <c r="CS758" t="s">
        <v>101</v>
      </c>
      <c r="CT758" t="s">
        <v>100</v>
      </c>
      <c r="CU758" t="s">
        <v>102</v>
      </c>
      <c r="CV758" t="s">
        <v>100</v>
      </c>
    </row>
    <row r="759" spans="1:100">
      <c r="A759" s="3" t="s">
        <v>2189</v>
      </c>
      <c r="B759" s="4" t="s">
        <v>2190</v>
      </c>
      <c r="C759">
        <v>54.375001962366099</v>
      </c>
      <c r="D759">
        <v>5.6564666738134104</v>
      </c>
      <c r="E759">
        <v>3.2637491951019202</v>
      </c>
      <c r="F759">
        <v>2.05903181005444E-3</v>
      </c>
      <c r="G759" t="s">
        <v>4</v>
      </c>
      <c r="H759">
        <v>54.375001962366099</v>
      </c>
      <c r="I759">
        <v>5.8180878589356402</v>
      </c>
      <c r="J759">
        <v>3.2431303363320798</v>
      </c>
      <c r="K759">
        <v>2.2700777260235999E-3</v>
      </c>
      <c r="L759" t="s">
        <v>4</v>
      </c>
      <c r="M759">
        <v>5.6564666738134104</v>
      </c>
      <c r="N759">
        <v>5.8180878589356402</v>
      </c>
      <c r="O759">
        <f>0.0206188587698333</f>
        <v>2.0618858769833302E-2</v>
      </c>
      <c r="P759">
        <v>0.99294596274833702</v>
      </c>
      <c r="Q759" t="s">
        <v>4</v>
      </c>
      <c r="R759" s="4" t="s">
        <v>87</v>
      </c>
      <c r="S759" t="s">
        <v>4</v>
      </c>
      <c r="T759" t="s">
        <v>88</v>
      </c>
      <c r="U759" t="s">
        <v>89</v>
      </c>
      <c r="V759" t="s">
        <v>90</v>
      </c>
      <c r="W759" t="s">
        <v>91</v>
      </c>
      <c r="X759" t="s">
        <v>4</v>
      </c>
      <c r="Y759" t="s">
        <v>2191</v>
      </c>
      <c r="Z759" t="s">
        <v>2192</v>
      </c>
      <c r="AA759" t="s">
        <v>2193</v>
      </c>
      <c r="AB759" t="s">
        <v>4</v>
      </c>
      <c r="AC759" s="3" t="s">
        <v>2194</v>
      </c>
      <c r="AD759" t="s">
        <v>4</v>
      </c>
      <c r="AE759" t="s">
        <v>2195</v>
      </c>
      <c r="AF759" t="s">
        <v>2196</v>
      </c>
      <c r="AG759" t="s">
        <v>2197</v>
      </c>
      <c r="AH759" t="s">
        <v>112</v>
      </c>
      <c r="AJ759" t="s">
        <v>2198</v>
      </c>
      <c r="AU759" t="s">
        <v>112</v>
      </c>
      <c r="AV759" t="s">
        <v>2199</v>
      </c>
      <c r="AW759" t="s">
        <v>114</v>
      </c>
      <c r="AX759" t="s">
        <v>144</v>
      </c>
      <c r="AY759" t="s">
        <v>2200</v>
      </c>
      <c r="AZ759" t="s">
        <v>4</v>
      </c>
      <c r="BA759" s="3" t="s">
        <v>95</v>
      </c>
      <c r="BB759" t="s">
        <v>96</v>
      </c>
      <c r="BC759" s="3" t="s">
        <v>95</v>
      </c>
      <c r="BD759" t="s">
        <v>4</v>
      </c>
      <c r="BE759">
        <v>4372</v>
      </c>
      <c r="BF759" t="s">
        <v>112</v>
      </c>
      <c r="BG759">
        <v>96.363600000000005</v>
      </c>
      <c r="BH759">
        <v>100</v>
      </c>
      <c r="BI759">
        <v>85.818200000000004</v>
      </c>
      <c r="BJ759">
        <v>60.363599999999998</v>
      </c>
      <c r="BK759">
        <v>65.454499999999996</v>
      </c>
      <c r="BL759">
        <v>71.2727</v>
      </c>
      <c r="BM759">
        <v>66.545500000000004</v>
      </c>
      <c r="BN759">
        <v>71.2727</v>
      </c>
      <c r="BO759" t="s">
        <v>2201</v>
      </c>
      <c r="BR759">
        <v>26.181799999999999</v>
      </c>
      <c r="BS759">
        <v>21.818200000000001</v>
      </c>
      <c r="BT759">
        <v>26.545500000000001</v>
      </c>
      <c r="CK759">
        <v>5</v>
      </c>
      <c r="CL759" t="s">
        <v>4</v>
      </c>
      <c r="CM759" t="s">
        <v>98</v>
      </c>
      <c r="CN759" t="s">
        <v>98</v>
      </c>
      <c r="CO759" t="s">
        <v>99</v>
      </c>
      <c r="CP759">
        <v>200</v>
      </c>
      <c r="CQ759" t="s">
        <v>100</v>
      </c>
      <c r="CR759" t="s">
        <v>100</v>
      </c>
      <c r="CS759" t="s">
        <v>101</v>
      </c>
      <c r="CT759" t="s">
        <v>100</v>
      </c>
      <c r="CU759" t="s">
        <v>102</v>
      </c>
      <c r="CV759" t="s">
        <v>100</v>
      </c>
    </row>
    <row r="760" spans="1:100">
      <c r="A760" s="3" t="s">
        <v>2202</v>
      </c>
      <c r="B760" s="4" t="s">
        <v>2203</v>
      </c>
      <c r="C760">
        <v>157.094663349717</v>
      </c>
      <c r="D760">
        <v>15.290480857538901</v>
      </c>
      <c r="E760">
        <v>3.3547054575023298</v>
      </c>
      <c r="F760" s="5">
        <v>1.58517222167528E-11</v>
      </c>
      <c r="G760" t="s">
        <v>4</v>
      </c>
      <c r="H760">
        <v>157.094663349717</v>
      </c>
      <c r="I760">
        <v>11.080216771996099</v>
      </c>
      <c r="J760">
        <v>3.7979935922300898</v>
      </c>
      <c r="K760" s="5">
        <v>1.15802969502195E-12</v>
      </c>
      <c r="L760" t="s">
        <v>4</v>
      </c>
      <c r="M760">
        <v>15.290480857538901</v>
      </c>
      <c r="N760">
        <v>11.080216771996099</v>
      </c>
      <c r="O760">
        <v>0.44328813472775902</v>
      </c>
      <c r="P760">
        <v>0.51352371501126304</v>
      </c>
      <c r="Q760" t="s">
        <v>4</v>
      </c>
      <c r="R760" s="4" t="s">
        <v>87</v>
      </c>
      <c r="S760" t="s">
        <v>4</v>
      </c>
      <c r="T760" t="s">
        <v>92</v>
      </c>
      <c r="U760" t="s">
        <v>92</v>
      </c>
      <c r="V760" t="s">
        <v>92</v>
      </c>
      <c r="W760" t="s">
        <v>92</v>
      </c>
      <c r="X760" t="s">
        <v>4</v>
      </c>
      <c r="Y760" t="s">
        <v>92</v>
      </c>
      <c r="Z760" t="s">
        <v>92</v>
      </c>
      <c r="AA760" t="s">
        <v>92</v>
      </c>
      <c r="AB760" t="s">
        <v>4</v>
      </c>
      <c r="AC760" s="3" t="s">
        <v>93</v>
      </c>
      <c r="AD760" t="s">
        <v>4</v>
      </c>
      <c r="AE760" s="4" t="s">
        <v>94</v>
      </c>
      <c r="AZ760" t="s">
        <v>4</v>
      </c>
      <c r="BA760" s="3" t="s">
        <v>95</v>
      </c>
      <c r="BB760" t="s">
        <v>96</v>
      </c>
      <c r="BC760" s="3" t="s">
        <v>197</v>
      </c>
      <c r="BD760" t="s">
        <v>4</v>
      </c>
      <c r="BE760">
        <v>2781</v>
      </c>
      <c r="BF760" t="s">
        <v>97</v>
      </c>
      <c r="BG760">
        <v>78.443100000000001</v>
      </c>
      <c r="BH760">
        <v>79.640699999999995</v>
      </c>
      <c r="BI760">
        <v>68.862300000000005</v>
      </c>
      <c r="BL760">
        <v>57.484999999999999</v>
      </c>
      <c r="BM760">
        <v>32.335299999999997</v>
      </c>
      <c r="BN760">
        <v>55.688600000000001</v>
      </c>
      <c r="BO760">
        <v>34.730499999999999</v>
      </c>
      <c r="BP760" t="s">
        <v>2204</v>
      </c>
      <c r="CK760">
        <v>4</v>
      </c>
      <c r="CL760" t="s">
        <v>4</v>
      </c>
      <c r="CM760" t="s">
        <v>98</v>
      </c>
      <c r="CN760" t="s">
        <v>98</v>
      </c>
      <c r="CO760" t="s">
        <v>99</v>
      </c>
      <c r="CP760">
        <v>201</v>
      </c>
      <c r="CQ760" t="s">
        <v>100</v>
      </c>
      <c r="CR760" t="s">
        <v>100</v>
      </c>
      <c r="CS760" t="s">
        <v>101</v>
      </c>
      <c r="CT760" t="s">
        <v>100</v>
      </c>
      <c r="CU760" t="s">
        <v>102</v>
      </c>
      <c r="CV760" t="s">
        <v>100</v>
      </c>
    </row>
    <row r="761" spans="1:100">
      <c r="A761" s="3" t="s">
        <v>2205</v>
      </c>
      <c r="B761" s="4" t="s">
        <v>2206</v>
      </c>
      <c r="C761">
        <v>61.145050691126201</v>
      </c>
      <c r="D761">
        <v>11.794779123518399</v>
      </c>
      <c r="E761">
        <v>2.3794363067042101</v>
      </c>
      <c r="F761">
        <v>1.11176181415761E-3</v>
      </c>
      <c r="G761" t="s">
        <v>4</v>
      </c>
      <c r="H761">
        <v>61.145050691126201</v>
      </c>
      <c r="I761">
        <v>3.3928780366459801</v>
      </c>
      <c r="J761">
        <v>4.2176398115254301</v>
      </c>
      <c r="K761" s="5">
        <v>1.1186512920117099E-6</v>
      </c>
      <c r="L761" t="s">
        <v>4</v>
      </c>
      <c r="M761">
        <v>11.794779123518399</v>
      </c>
      <c r="N761">
        <v>3.3928780366459801</v>
      </c>
      <c r="O761">
        <v>1.83820350482123</v>
      </c>
      <c r="P761">
        <v>5.0934926577431101E-2</v>
      </c>
      <c r="Q761" t="s">
        <v>4</v>
      </c>
      <c r="R761" s="4" t="s">
        <v>87</v>
      </c>
      <c r="S761" t="s">
        <v>4</v>
      </c>
      <c r="T761" t="s">
        <v>88</v>
      </c>
      <c r="U761" t="s">
        <v>89</v>
      </c>
      <c r="V761" t="s">
        <v>90</v>
      </c>
      <c r="W761" t="s">
        <v>91</v>
      </c>
      <c r="X761" t="s">
        <v>4</v>
      </c>
      <c r="Y761" t="s">
        <v>2207</v>
      </c>
      <c r="Z761" t="s">
        <v>2208</v>
      </c>
      <c r="AA761" t="s">
        <v>2209</v>
      </c>
      <c r="AB761" t="s">
        <v>4</v>
      </c>
      <c r="AC761" s="3" t="s">
        <v>93</v>
      </c>
      <c r="AD761" t="s">
        <v>4</v>
      </c>
      <c r="AE761" s="4" t="s">
        <v>94</v>
      </c>
      <c r="AZ761" t="s">
        <v>4</v>
      </c>
      <c r="BA761" s="3" t="s">
        <v>95</v>
      </c>
      <c r="BB761" t="s">
        <v>96</v>
      </c>
      <c r="BC761" s="3" t="s">
        <v>95</v>
      </c>
      <c r="BD761" t="s">
        <v>4</v>
      </c>
      <c r="BE761">
        <v>1325</v>
      </c>
      <c r="BF761" t="s">
        <v>151</v>
      </c>
      <c r="BG761">
        <v>96.407200000000003</v>
      </c>
      <c r="BH761">
        <v>99.700599999999994</v>
      </c>
      <c r="BJ761">
        <v>59.880200000000002</v>
      </c>
      <c r="BK761">
        <v>50.598799999999997</v>
      </c>
      <c r="BL761">
        <v>30.538900000000002</v>
      </c>
      <c r="BM761" t="s">
        <v>2210</v>
      </c>
      <c r="BN761" t="s">
        <v>2211</v>
      </c>
      <c r="BO761">
        <v>62.874299999999998</v>
      </c>
      <c r="CK761">
        <v>2</v>
      </c>
      <c r="CL761" t="s">
        <v>4</v>
      </c>
      <c r="CM761" t="s">
        <v>98</v>
      </c>
      <c r="CN761" t="s">
        <v>98</v>
      </c>
      <c r="CO761" t="s">
        <v>99</v>
      </c>
      <c r="CP761">
        <v>202</v>
      </c>
      <c r="CQ761" t="s">
        <v>100</v>
      </c>
      <c r="CR761" t="s">
        <v>100</v>
      </c>
      <c r="CS761" t="s">
        <v>101</v>
      </c>
      <c r="CT761" t="s">
        <v>100</v>
      </c>
      <c r="CU761" t="s">
        <v>102</v>
      </c>
      <c r="CV761" t="s">
        <v>100</v>
      </c>
    </row>
    <row r="762" spans="1:100">
      <c r="A762" s="3" t="s">
        <v>2212</v>
      </c>
      <c r="B762" s="4" t="s">
        <v>2213</v>
      </c>
      <c r="C762">
        <v>847.135553261523</v>
      </c>
      <c r="D762">
        <v>97.655116261574605</v>
      </c>
      <c r="E762">
        <v>3.1153804098413498</v>
      </c>
      <c r="F762" s="5">
        <v>4.9936276138771199E-11</v>
      </c>
      <c r="G762" t="s">
        <v>4</v>
      </c>
      <c r="H762">
        <v>847.135553261523</v>
      </c>
      <c r="I762">
        <v>29.802371263168801</v>
      </c>
      <c r="J762">
        <v>4.7815233328425597</v>
      </c>
      <c r="K762" s="5">
        <v>1.01351858729357E-22</v>
      </c>
      <c r="L762" t="s">
        <v>4</v>
      </c>
      <c r="M762">
        <v>97.655116261574605</v>
      </c>
      <c r="N762">
        <v>29.802371263168801</v>
      </c>
      <c r="O762">
        <v>1.6661429230012199</v>
      </c>
      <c r="P762">
        <v>1.2146121865267299E-3</v>
      </c>
      <c r="Q762" t="s">
        <v>4</v>
      </c>
      <c r="R762" s="4" t="s">
        <v>87</v>
      </c>
      <c r="S762" t="s">
        <v>4</v>
      </c>
      <c r="T762" t="s">
        <v>2214</v>
      </c>
      <c r="U762" t="s">
        <v>2215</v>
      </c>
      <c r="V762" t="s">
        <v>2216</v>
      </c>
      <c r="W762" t="s">
        <v>328</v>
      </c>
      <c r="X762" t="s">
        <v>4</v>
      </c>
      <c r="Y762" t="s">
        <v>2217</v>
      </c>
      <c r="Z762" t="s">
        <v>2218</v>
      </c>
      <c r="AA762" t="s">
        <v>2219</v>
      </c>
      <c r="AB762" t="s">
        <v>4</v>
      </c>
      <c r="AC762" s="3" t="s">
        <v>2220</v>
      </c>
      <c r="AD762" t="s">
        <v>4</v>
      </c>
      <c r="AE762" t="s">
        <v>2221</v>
      </c>
      <c r="AF762" t="s">
        <v>2222</v>
      </c>
      <c r="AG762" t="s">
        <v>2223</v>
      </c>
      <c r="AH762" t="s">
        <v>282</v>
      </c>
      <c r="AU762" t="s">
        <v>112</v>
      </c>
      <c r="AV762" t="s">
        <v>2224</v>
      </c>
      <c r="AW762" t="s">
        <v>114</v>
      </c>
      <c r="AX762" t="s">
        <v>371</v>
      </c>
      <c r="AY762" t="s">
        <v>2225</v>
      </c>
      <c r="AZ762" t="s">
        <v>4</v>
      </c>
      <c r="BA762" s="3" t="s">
        <v>95</v>
      </c>
      <c r="BB762" s="6" t="s">
        <v>95</v>
      </c>
      <c r="BC762" s="3" t="s">
        <v>95</v>
      </c>
      <c r="BD762" t="s">
        <v>4</v>
      </c>
      <c r="BE762">
        <v>2800</v>
      </c>
      <c r="BF762" t="s">
        <v>97</v>
      </c>
      <c r="BG762">
        <v>97.154499999999999</v>
      </c>
      <c r="BH762">
        <v>97.764200000000002</v>
      </c>
      <c r="BI762">
        <v>92.276399999999995</v>
      </c>
      <c r="BK762">
        <v>9.7561</v>
      </c>
      <c r="BL762" t="s">
        <v>2226</v>
      </c>
      <c r="BM762">
        <v>43.292700000000004</v>
      </c>
      <c r="BP762">
        <v>13.617900000000001</v>
      </c>
      <c r="CK762">
        <v>4</v>
      </c>
      <c r="CL762" t="s">
        <v>4</v>
      </c>
      <c r="CM762" t="s">
        <v>98</v>
      </c>
      <c r="CN762" t="s">
        <v>98</v>
      </c>
      <c r="CO762" t="s">
        <v>99</v>
      </c>
      <c r="CP762">
        <v>203</v>
      </c>
      <c r="CQ762" t="s">
        <v>100</v>
      </c>
      <c r="CR762" t="s">
        <v>100</v>
      </c>
      <c r="CS762" t="s">
        <v>101</v>
      </c>
      <c r="CT762" s="7" t="s">
        <v>152</v>
      </c>
      <c r="CU762" t="s">
        <v>102</v>
      </c>
      <c r="CV762" t="s">
        <v>100</v>
      </c>
    </row>
    <row r="763" spans="1:100">
      <c r="A763" s="3" t="s">
        <v>2227</v>
      </c>
      <c r="B763" s="4" t="s">
        <v>2228</v>
      </c>
      <c r="C763">
        <v>1098.79187434506</v>
      </c>
      <c r="D763">
        <v>156.72624767983299</v>
      </c>
      <c r="E763">
        <v>2.8101351226428402</v>
      </c>
      <c r="F763" s="5">
        <v>5.0423327730811903E-19</v>
      </c>
      <c r="G763" t="s">
        <v>4</v>
      </c>
      <c r="H763">
        <v>1098.79187434506</v>
      </c>
      <c r="I763">
        <v>35.971918017809102</v>
      </c>
      <c r="J763">
        <v>4.9165201480463701</v>
      </c>
      <c r="K763" s="5">
        <v>1.71080853420665E-46</v>
      </c>
      <c r="L763" t="s">
        <v>4</v>
      </c>
      <c r="M763">
        <v>156.72624767983299</v>
      </c>
      <c r="N763">
        <v>35.971918017809102</v>
      </c>
      <c r="O763">
        <v>2.1063850254035201</v>
      </c>
      <c r="P763" s="5">
        <v>3.3790133980245299E-9</v>
      </c>
      <c r="Q763" t="s">
        <v>4</v>
      </c>
      <c r="R763" s="4" t="s">
        <v>87</v>
      </c>
      <c r="S763" t="s">
        <v>4</v>
      </c>
      <c r="T763" t="s">
        <v>2229</v>
      </c>
      <c r="U763" t="s">
        <v>2230</v>
      </c>
      <c r="V763" t="s">
        <v>2231</v>
      </c>
      <c r="W763" t="s">
        <v>91</v>
      </c>
      <c r="X763" t="s">
        <v>4</v>
      </c>
      <c r="Y763" t="s">
        <v>2232</v>
      </c>
      <c r="Z763" t="s">
        <v>2233</v>
      </c>
      <c r="AA763" t="s">
        <v>2234</v>
      </c>
      <c r="AB763" t="s">
        <v>4</v>
      </c>
      <c r="AC763" s="3" t="s">
        <v>2235</v>
      </c>
      <c r="AD763" t="s">
        <v>4</v>
      </c>
      <c r="AE763" t="s">
        <v>2236</v>
      </c>
      <c r="AF763" t="s">
        <v>2237</v>
      </c>
      <c r="AG763" t="s">
        <v>2238</v>
      </c>
      <c r="AH763" t="s">
        <v>386</v>
      </c>
      <c r="AU763" t="s">
        <v>112</v>
      </c>
      <c r="AV763" t="s">
        <v>2239</v>
      </c>
      <c r="AW763" t="s">
        <v>114</v>
      </c>
      <c r="AX763" t="s">
        <v>167</v>
      </c>
      <c r="AY763" t="s">
        <v>2240</v>
      </c>
      <c r="AZ763" t="s">
        <v>4</v>
      </c>
      <c r="BA763" s="3" t="s">
        <v>115</v>
      </c>
      <c r="BB763" s="6" t="s">
        <v>95</v>
      </c>
      <c r="BC763" s="3" t="s">
        <v>95</v>
      </c>
      <c r="BD763" t="s">
        <v>4</v>
      </c>
      <c r="BE763">
        <v>10271</v>
      </c>
      <c r="BF763" t="s">
        <v>169</v>
      </c>
      <c r="BG763">
        <v>90.526300000000006</v>
      </c>
      <c r="BH763">
        <v>93.157899999999998</v>
      </c>
      <c r="BI763">
        <v>85.789500000000004</v>
      </c>
      <c r="BJ763">
        <v>74.736800000000002</v>
      </c>
      <c r="BK763">
        <v>74.736800000000002</v>
      </c>
      <c r="BL763">
        <v>82.631600000000006</v>
      </c>
      <c r="BM763">
        <v>77.8947</v>
      </c>
      <c r="BN763">
        <v>78.947400000000002</v>
      </c>
      <c r="BO763">
        <v>76.842100000000002</v>
      </c>
      <c r="BP763">
        <v>32.631599999999999</v>
      </c>
      <c r="BW763">
        <v>45.789499999999997</v>
      </c>
      <c r="BX763">
        <v>55.263199999999998</v>
      </c>
      <c r="BZ763">
        <v>44.210500000000003</v>
      </c>
      <c r="CE763">
        <v>39.473700000000001</v>
      </c>
      <c r="CG763">
        <v>41.578899999999997</v>
      </c>
      <c r="CH763">
        <v>40</v>
      </c>
      <c r="CI763">
        <v>32.1053</v>
      </c>
      <c r="CJ763">
        <v>26.315799999999999</v>
      </c>
      <c r="CK763">
        <v>9</v>
      </c>
      <c r="CL763" t="s">
        <v>4</v>
      </c>
      <c r="CM763" t="s">
        <v>98</v>
      </c>
      <c r="CN763" t="s">
        <v>98</v>
      </c>
      <c r="CO763" t="s">
        <v>99</v>
      </c>
      <c r="CP763">
        <v>204</v>
      </c>
      <c r="CQ763" t="s">
        <v>100</v>
      </c>
      <c r="CR763" t="s">
        <v>100</v>
      </c>
      <c r="CS763" t="s">
        <v>101</v>
      </c>
      <c r="CT763" t="s">
        <v>152</v>
      </c>
      <c r="CU763" t="s">
        <v>102</v>
      </c>
      <c r="CV763" t="s">
        <v>100</v>
      </c>
    </row>
    <row r="764" spans="1:100">
      <c r="A764" s="3" t="s">
        <v>2241</v>
      </c>
      <c r="B764" s="4" t="s">
        <v>2242</v>
      </c>
      <c r="C764">
        <v>96.805333290202398</v>
      </c>
      <c r="D764">
        <v>17.983973890357198</v>
      </c>
      <c r="E764">
        <v>2.4317699214059201</v>
      </c>
      <c r="F764">
        <v>1.2888688946262E-3</v>
      </c>
      <c r="G764" t="s">
        <v>4</v>
      </c>
      <c r="H764">
        <v>96.805333290202398</v>
      </c>
      <c r="I764">
        <v>15.6743494657435</v>
      </c>
      <c r="J764">
        <v>2.6068417339591399</v>
      </c>
      <c r="K764">
        <v>5.36452793887352E-4</v>
      </c>
      <c r="L764" t="s">
        <v>4</v>
      </c>
      <c r="M764">
        <v>17.983973890357198</v>
      </c>
      <c r="N764">
        <v>15.6743494657435</v>
      </c>
      <c r="O764">
        <v>0.17507181255322099</v>
      </c>
      <c r="P764">
        <v>0.85973050989267896</v>
      </c>
      <c r="Q764" t="s">
        <v>4</v>
      </c>
      <c r="R764" s="4" t="s">
        <v>87</v>
      </c>
      <c r="S764" t="s">
        <v>4</v>
      </c>
      <c r="T764" t="s">
        <v>2243</v>
      </c>
      <c r="U764" t="s">
        <v>2244</v>
      </c>
      <c r="V764" t="s">
        <v>2245</v>
      </c>
      <c r="W764" t="s">
        <v>123</v>
      </c>
      <c r="X764" t="s">
        <v>4</v>
      </c>
      <c r="Y764" t="s">
        <v>2246</v>
      </c>
      <c r="Z764" t="s">
        <v>2247</v>
      </c>
      <c r="AA764" t="s">
        <v>2248</v>
      </c>
      <c r="AB764" t="s">
        <v>4</v>
      </c>
      <c r="AC764" s="3" t="s">
        <v>2249</v>
      </c>
      <c r="AD764" t="s">
        <v>4</v>
      </c>
      <c r="AE764" t="s">
        <v>2250</v>
      </c>
      <c r="AF764" t="s">
        <v>2251</v>
      </c>
      <c r="AG764" t="s">
        <v>2252</v>
      </c>
      <c r="AH764" t="s">
        <v>2253</v>
      </c>
      <c r="AU764" t="s">
        <v>112</v>
      </c>
      <c r="AV764" t="s">
        <v>2254</v>
      </c>
      <c r="AW764" t="s">
        <v>114</v>
      </c>
      <c r="AX764" t="s">
        <v>1938</v>
      </c>
      <c r="AY764" t="s">
        <v>2255</v>
      </c>
      <c r="AZ764" t="s">
        <v>4</v>
      </c>
      <c r="BA764" s="3" t="s">
        <v>95</v>
      </c>
      <c r="BB764" s="6" t="s">
        <v>95</v>
      </c>
      <c r="BC764" s="3" t="s">
        <v>95</v>
      </c>
      <c r="BD764" t="s">
        <v>4</v>
      </c>
      <c r="BE764">
        <v>8021</v>
      </c>
      <c r="BF764" t="s">
        <v>213</v>
      </c>
      <c r="BI764">
        <v>69.069500000000005</v>
      </c>
      <c r="BK764">
        <v>50.851900000000001</v>
      </c>
      <c r="BN764">
        <v>30.537400000000002</v>
      </c>
      <c r="BO764">
        <v>59.239800000000002</v>
      </c>
      <c r="BP764">
        <v>32.241199999999999</v>
      </c>
      <c r="BQ764">
        <v>20.969899999999999</v>
      </c>
      <c r="BR764">
        <v>20.052399999999999</v>
      </c>
      <c r="BS764">
        <v>20.445599999999999</v>
      </c>
      <c r="BW764">
        <v>23.853200000000001</v>
      </c>
      <c r="BX764">
        <v>19.921399999999998</v>
      </c>
      <c r="BZ764">
        <v>9.6985600000000005</v>
      </c>
      <c r="CA764">
        <v>20.314499999999999</v>
      </c>
      <c r="CB764">
        <v>14.4168</v>
      </c>
      <c r="CC764">
        <v>20.576699999999999</v>
      </c>
      <c r="CD764">
        <v>18.086500000000001</v>
      </c>
      <c r="CG764">
        <v>19.790299999999998</v>
      </c>
      <c r="CH764">
        <v>18.741800000000001</v>
      </c>
      <c r="CI764">
        <v>19.790299999999998</v>
      </c>
      <c r="CK764">
        <v>8</v>
      </c>
      <c r="CL764" t="s">
        <v>4</v>
      </c>
      <c r="CM764" t="s">
        <v>2256</v>
      </c>
      <c r="CN764" t="s">
        <v>2257</v>
      </c>
      <c r="CO764" t="s">
        <v>219</v>
      </c>
      <c r="CP764">
        <v>205</v>
      </c>
      <c r="CQ764" t="s">
        <v>100</v>
      </c>
      <c r="CR764" t="s">
        <v>100</v>
      </c>
      <c r="CS764" t="s">
        <v>101</v>
      </c>
      <c r="CT764" t="s">
        <v>100</v>
      </c>
      <c r="CU764" t="s">
        <v>102</v>
      </c>
      <c r="CV764" t="s">
        <v>100</v>
      </c>
    </row>
    <row r="765" spans="1:100">
      <c r="A765" s="3" t="s">
        <v>2258</v>
      </c>
      <c r="B765" s="4" t="s">
        <v>2259</v>
      </c>
      <c r="C765">
        <v>36.163182320794398</v>
      </c>
      <c r="D765">
        <v>4.0038345554357404</v>
      </c>
      <c r="E765">
        <v>3.1558450606233901</v>
      </c>
      <c r="F765">
        <v>1.0705007680003701E-4</v>
      </c>
      <c r="G765" t="s">
        <v>4</v>
      </c>
      <c r="H765">
        <v>36.163182320794398</v>
      </c>
      <c r="I765">
        <v>8.8920660019222204</v>
      </c>
      <c r="J765">
        <v>2.0649913374037498</v>
      </c>
      <c r="K765">
        <v>7.6920881323322698E-3</v>
      </c>
      <c r="L765" t="s">
        <v>4</v>
      </c>
      <c r="M765">
        <v>4.0038345554357404</v>
      </c>
      <c r="N765">
        <v>8.8920660019222204</v>
      </c>
      <c r="O765">
        <f>-1.09085372321965</f>
        <v>-1.09085372321965</v>
      </c>
      <c r="P765">
        <v>0.24684376194399099</v>
      </c>
      <c r="Q765" t="s">
        <v>4</v>
      </c>
      <c r="R765" s="4" t="s">
        <v>87</v>
      </c>
      <c r="S765" t="s">
        <v>4</v>
      </c>
      <c r="T765" t="s">
        <v>92</v>
      </c>
      <c r="U765" t="s">
        <v>92</v>
      </c>
      <c r="V765" t="s">
        <v>92</v>
      </c>
      <c r="W765" t="s">
        <v>92</v>
      </c>
      <c r="X765" t="s">
        <v>4</v>
      </c>
      <c r="Y765" t="s">
        <v>92</v>
      </c>
      <c r="Z765" t="s">
        <v>92</v>
      </c>
      <c r="AA765" t="s">
        <v>92</v>
      </c>
      <c r="AB765" t="s">
        <v>4</v>
      </c>
      <c r="AC765" s="3" t="s">
        <v>93</v>
      </c>
      <c r="AD765" t="s">
        <v>4</v>
      </c>
      <c r="AE765" s="4" t="s">
        <v>94</v>
      </c>
      <c r="AZ765" t="s">
        <v>4</v>
      </c>
      <c r="BA765" s="3" t="s">
        <v>95</v>
      </c>
      <c r="BB765" s="6" t="s">
        <v>95</v>
      </c>
      <c r="BC765" s="3" t="s">
        <v>197</v>
      </c>
      <c r="BD765" t="s">
        <v>4</v>
      </c>
      <c r="BE765">
        <v>1342</v>
      </c>
      <c r="BF765" t="s">
        <v>151</v>
      </c>
      <c r="BG765">
        <v>98.347099999999998</v>
      </c>
      <c r="BH765">
        <v>72.7273</v>
      </c>
      <c r="BI765">
        <v>61.983499999999999</v>
      </c>
      <c r="BJ765">
        <v>82.644599999999997</v>
      </c>
      <c r="BK765">
        <v>60.330599999999997</v>
      </c>
      <c r="BL765">
        <v>52.066099999999999</v>
      </c>
      <c r="BM765">
        <v>47.933900000000001</v>
      </c>
      <c r="BN765">
        <v>57.024799999999999</v>
      </c>
      <c r="BO765">
        <v>61.983499999999999</v>
      </c>
      <c r="CK765">
        <v>2</v>
      </c>
      <c r="CL765" t="s">
        <v>4</v>
      </c>
      <c r="CM765" t="s">
        <v>98</v>
      </c>
      <c r="CN765" t="s">
        <v>98</v>
      </c>
      <c r="CO765" t="s">
        <v>99</v>
      </c>
      <c r="CP765">
        <v>206</v>
      </c>
      <c r="CQ765" t="s">
        <v>100</v>
      </c>
      <c r="CR765" t="s">
        <v>100</v>
      </c>
      <c r="CS765" t="s">
        <v>101</v>
      </c>
      <c r="CT765" t="s">
        <v>100</v>
      </c>
      <c r="CU765" t="s">
        <v>102</v>
      </c>
      <c r="CV765" t="s">
        <v>100</v>
      </c>
    </row>
    <row r="766" spans="1:100">
      <c r="A766" s="3" t="s">
        <v>2260</v>
      </c>
      <c r="B766" s="4" t="s">
        <v>2261</v>
      </c>
      <c r="C766">
        <v>129.09574841439701</v>
      </c>
      <c r="D766">
        <v>28.549237363253699</v>
      </c>
      <c r="E766">
        <v>2.1776136247175799</v>
      </c>
      <c r="F766" s="5">
        <v>5.2637744701100197E-6</v>
      </c>
      <c r="G766" t="s">
        <v>4</v>
      </c>
      <c r="H766">
        <v>129.09574841439701</v>
      </c>
      <c r="I766">
        <v>17.204015912373901</v>
      </c>
      <c r="J766">
        <v>2.9125409592315501</v>
      </c>
      <c r="K766" s="5">
        <v>6.0332262945869999E-9</v>
      </c>
      <c r="L766" t="s">
        <v>4</v>
      </c>
      <c r="M766">
        <v>28.549237363253699</v>
      </c>
      <c r="N766">
        <v>17.204015912373901</v>
      </c>
      <c r="O766">
        <v>0.73492733451397796</v>
      </c>
      <c r="P766">
        <v>0.201803547406984</v>
      </c>
      <c r="Q766" t="s">
        <v>4</v>
      </c>
      <c r="R766" s="4" t="s">
        <v>87</v>
      </c>
      <c r="S766" t="s">
        <v>4</v>
      </c>
      <c r="T766" t="s">
        <v>2243</v>
      </c>
      <c r="U766" t="s">
        <v>2244</v>
      </c>
      <c r="V766" t="s">
        <v>2245</v>
      </c>
      <c r="W766" t="s">
        <v>123</v>
      </c>
      <c r="X766" t="s">
        <v>4</v>
      </c>
      <c r="Y766" t="s">
        <v>2262</v>
      </c>
      <c r="Z766" t="s">
        <v>2263</v>
      </c>
      <c r="AA766" t="s">
        <v>2264</v>
      </c>
      <c r="AB766" t="s">
        <v>4</v>
      </c>
      <c r="AC766" s="3" t="s">
        <v>2265</v>
      </c>
      <c r="AD766" t="s">
        <v>4</v>
      </c>
      <c r="AE766" t="s">
        <v>2266</v>
      </c>
      <c r="AF766" t="s">
        <v>2267</v>
      </c>
      <c r="AG766" t="s">
        <v>2268</v>
      </c>
      <c r="AH766" t="s">
        <v>386</v>
      </c>
      <c r="AU766" t="s">
        <v>112</v>
      </c>
      <c r="AV766" t="s">
        <v>2269</v>
      </c>
      <c r="AW766" t="s">
        <v>114</v>
      </c>
      <c r="AX766" t="s">
        <v>371</v>
      </c>
      <c r="AY766" t="s">
        <v>2270</v>
      </c>
      <c r="AZ766" t="s">
        <v>4</v>
      </c>
      <c r="BA766" s="3" t="s">
        <v>95</v>
      </c>
      <c r="BB766" s="6" t="s">
        <v>95</v>
      </c>
      <c r="BC766" s="3" t="s">
        <v>95</v>
      </c>
      <c r="BD766" t="s">
        <v>4</v>
      </c>
      <c r="BE766">
        <v>8035</v>
      </c>
      <c r="BF766" t="s">
        <v>213</v>
      </c>
      <c r="BG766">
        <v>72.835800000000006</v>
      </c>
      <c r="BH766">
        <v>46.268700000000003</v>
      </c>
      <c r="BI766">
        <v>68.059700000000007</v>
      </c>
      <c r="BJ766" t="s">
        <v>2271</v>
      </c>
      <c r="BK766">
        <v>53.731299999999997</v>
      </c>
      <c r="BL766">
        <v>49.253700000000002</v>
      </c>
      <c r="BM766">
        <v>58.5075</v>
      </c>
      <c r="BN766">
        <v>71.641800000000003</v>
      </c>
      <c r="BO766">
        <v>74.029899999999998</v>
      </c>
      <c r="BP766">
        <v>42.985100000000003</v>
      </c>
      <c r="BQ766">
        <v>36.417900000000003</v>
      </c>
      <c r="CD766">
        <v>28.3582</v>
      </c>
      <c r="CE766">
        <v>24.7761</v>
      </c>
      <c r="CG766" t="s">
        <v>2272</v>
      </c>
      <c r="CH766" t="s">
        <v>2273</v>
      </c>
      <c r="CI766" t="s">
        <v>2274</v>
      </c>
      <c r="CK766">
        <v>8</v>
      </c>
      <c r="CL766" t="s">
        <v>4</v>
      </c>
      <c r="CM766" t="s">
        <v>98</v>
      </c>
      <c r="CN766" t="s">
        <v>98</v>
      </c>
      <c r="CO766" t="s">
        <v>99</v>
      </c>
      <c r="CP766">
        <v>207</v>
      </c>
      <c r="CQ766" t="s">
        <v>100</v>
      </c>
      <c r="CR766" t="s">
        <v>100</v>
      </c>
      <c r="CS766" t="s">
        <v>101</v>
      </c>
      <c r="CT766" t="s">
        <v>100</v>
      </c>
      <c r="CU766" t="s">
        <v>102</v>
      </c>
      <c r="CV766" t="s">
        <v>100</v>
      </c>
    </row>
    <row r="767" spans="1:100">
      <c r="A767" s="3" t="s">
        <v>2275</v>
      </c>
      <c r="B767" s="4" t="s">
        <v>2276</v>
      </c>
      <c r="C767">
        <v>73.896529263619001</v>
      </c>
      <c r="D767">
        <v>14.2555931858461</v>
      </c>
      <c r="E767">
        <v>2.3841726973975299</v>
      </c>
      <c r="F767">
        <v>5.6349721252928902E-4</v>
      </c>
      <c r="G767" t="s">
        <v>4</v>
      </c>
      <c r="H767">
        <v>73.896529263619001</v>
      </c>
      <c r="I767">
        <v>13.223872458438899</v>
      </c>
      <c r="J767">
        <v>2.4689291899218899</v>
      </c>
      <c r="K767">
        <v>3.8977959031768301E-4</v>
      </c>
      <c r="L767" t="s">
        <v>4</v>
      </c>
      <c r="M767">
        <v>14.2555931858461</v>
      </c>
      <c r="N767">
        <v>13.223872458438899</v>
      </c>
      <c r="O767">
        <v>8.47564925243533E-2</v>
      </c>
      <c r="P767">
        <v>0.93128017484501802</v>
      </c>
      <c r="Q767" t="s">
        <v>4</v>
      </c>
      <c r="R767" s="4" t="s">
        <v>87</v>
      </c>
      <c r="S767" t="s">
        <v>4</v>
      </c>
      <c r="T767" t="s">
        <v>92</v>
      </c>
      <c r="U767" t="s">
        <v>92</v>
      </c>
      <c r="V767" t="s">
        <v>92</v>
      </c>
      <c r="W767" t="s">
        <v>92</v>
      </c>
      <c r="X767" t="s">
        <v>4</v>
      </c>
      <c r="Y767" t="s">
        <v>2277</v>
      </c>
      <c r="Z767" t="s">
        <v>2278</v>
      </c>
      <c r="AA767" t="s">
        <v>2279</v>
      </c>
      <c r="AB767" t="s">
        <v>4</v>
      </c>
      <c r="AC767" s="3" t="s">
        <v>93</v>
      </c>
      <c r="AD767" t="s">
        <v>4</v>
      </c>
      <c r="AE767" t="s">
        <v>2280</v>
      </c>
      <c r="AF767" t="s">
        <v>2281</v>
      </c>
      <c r="AG767" t="s">
        <v>2282</v>
      </c>
      <c r="AH767" t="s">
        <v>638</v>
      </c>
      <c r="AU767" t="s">
        <v>112</v>
      </c>
      <c r="AV767" t="s">
        <v>2283</v>
      </c>
      <c r="AW767" t="s">
        <v>114</v>
      </c>
      <c r="AX767" t="s">
        <v>144</v>
      </c>
      <c r="AY767" t="s">
        <v>2284</v>
      </c>
      <c r="AZ767" t="s">
        <v>4</v>
      </c>
      <c r="BA767" s="3" t="s">
        <v>95</v>
      </c>
      <c r="BB767" s="6" t="s">
        <v>95</v>
      </c>
      <c r="BC767" s="3" t="s">
        <v>95</v>
      </c>
      <c r="BD767" t="s">
        <v>4</v>
      </c>
      <c r="BE767">
        <v>2824</v>
      </c>
      <c r="BF767" t="s">
        <v>97</v>
      </c>
      <c r="BG767">
        <v>96.093800000000002</v>
      </c>
      <c r="BH767">
        <v>99.479200000000006</v>
      </c>
      <c r="BI767">
        <v>71.354200000000006</v>
      </c>
      <c r="BJ767">
        <v>10.9375</v>
      </c>
      <c r="BK767">
        <v>53.125</v>
      </c>
      <c r="BL767">
        <v>66.406199999999998</v>
      </c>
      <c r="BM767">
        <v>67.708299999999994</v>
      </c>
      <c r="BN767">
        <v>64.583299999999994</v>
      </c>
      <c r="BO767">
        <v>57.031199999999998</v>
      </c>
      <c r="BP767" t="s">
        <v>2285</v>
      </c>
      <c r="CK767">
        <v>4</v>
      </c>
      <c r="CL767" t="s">
        <v>4</v>
      </c>
      <c r="CM767" t="s">
        <v>98</v>
      </c>
      <c r="CN767" t="s">
        <v>98</v>
      </c>
      <c r="CO767" t="s">
        <v>99</v>
      </c>
      <c r="CP767">
        <v>208</v>
      </c>
      <c r="CQ767" t="s">
        <v>100</v>
      </c>
      <c r="CR767" t="s">
        <v>100</v>
      </c>
      <c r="CS767" t="s">
        <v>101</v>
      </c>
      <c r="CT767" t="s">
        <v>100</v>
      </c>
      <c r="CU767" t="s">
        <v>102</v>
      </c>
      <c r="CV767" t="s">
        <v>100</v>
      </c>
    </row>
    <row r="768" spans="1:100">
      <c r="A768" s="3" t="s">
        <v>2286</v>
      </c>
      <c r="B768" s="4" t="s">
        <v>2287</v>
      </c>
      <c r="C768">
        <v>170.077348082697</v>
      </c>
      <c r="D768">
        <v>24.735306897874398</v>
      </c>
      <c r="E768">
        <v>2.7876452544184098</v>
      </c>
      <c r="F768" s="5">
        <v>4.8547095641449101E-5</v>
      </c>
      <c r="G768" t="s">
        <v>4</v>
      </c>
      <c r="H768">
        <v>170.077348082697</v>
      </c>
      <c r="I768">
        <v>35.946304234705103</v>
      </c>
      <c r="J768">
        <v>2.23981199584142</v>
      </c>
      <c r="K768">
        <v>9.7564295949779402E-4</v>
      </c>
      <c r="L768" t="s">
        <v>4</v>
      </c>
      <c r="M768">
        <v>24.735306897874398</v>
      </c>
      <c r="N768">
        <v>35.946304234705103</v>
      </c>
      <c r="O768">
        <f>0.547833258576987</f>
        <v>0.54783325857698695</v>
      </c>
      <c r="P768">
        <v>0.48835936604615199</v>
      </c>
      <c r="Q768" t="s">
        <v>4</v>
      </c>
      <c r="R768" s="4" t="s">
        <v>87</v>
      </c>
      <c r="S768" t="s">
        <v>4</v>
      </c>
      <c r="T768" t="s">
        <v>2288</v>
      </c>
      <c r="U768" t="s">
        <v>2289</v>
      </c>
      <c r="V768" t="s">
        <v>2290</v>
      </c>
      <c r="W768" t="s">
        <v>203</v>
      </c>
      <c r="X768" t="s">
        <v>4</v>
      </c>
      <c r="Y768" t="s">
        <v>2291</v>
      </c>
      <c r="Z768" t="s">
        <v>2292</v>
      </c>
      <c r="AA768" t="s">
        <v>2293</v>
      </c>
      <c r="AB768" t="s">
        <v>4</v>
      </c>
      <c r="AC768" s="3" t="s">
        <v>2294</v>
      </c>
      <c r="AD768" t="s">
        <v>4</v>
      </c>
      <c r="AE768" t="s">
        <v>2295</v>
      </c>
      <c r="AF768" t="s">
        <v>2296</v>
      </c>
      <c r="AG768" t="s">
        <v>2297</v>
      </c>
      <c r="AH768" t="s">
        <v>112</v>
      </c>
      <c r="AU768" t="s">
        <v>112</v>
      </c>
      <c r="AV768" t="s">
        <v>2298</v>
      </c>
      <c r="AW768" t="s">
        <v>114</v>
      </c>
      <c r="AX768" t="s">
        <v>132</v>
      </c>
      <c r="AY768" t="s">
        <v>2299</v>
      </c>
      <c r="AZ768" t="s">
        <v>4</v>
      </c>
      <c r="BA768" s="3" t="s">
        <v>95</v>
      </c>
      <c r="BB768" s="6" t="s">
        <v>95</v>
      </c>
      <c r="BC768" s="3" t="s">
        <v>95</v>
      </c>
      <c r="BD768" t="s">
        <v>4</v>
      </c>
      <c r="BE768">
        <v>10282</v>
      </c>
      <c r="BF768" t="s">
        <v>169</v>
      </c>
      <c r="BG768">
        <v>85.786799999999999</v>
      </c>
      <c r="BH768">
        <v>88.663300000000007</v>
      </c>
      <c r="BI768">
        <v>73.773300000000006</v>
      </c>
      <c r="BJ768">
        <v>73.942499999999995</v>
      </c>
      <c r="BK768">
        <v>59.729300000000002</v>
      </c>
      <c r="BR768">
        <v>17.428100000000001</v>
      </c>
      <c r="BW768" t="s">
        <v>2300</v>
      </c>
      <c r="BX768">
        <v>12.8596</v>
      </c>
      <c r="CA768" t="s">
        <v>2301</v>
      </c>
      <c r="CD768" t="s">
        <v>2302</v>
      </c>
      <c r="CJ768">
        <v>12.8596</v>
      </c>
      <c r="CK768">
        <v>9</v>
      </c>
      <c r="CL768" t="s">
        <v>4</v>
      </c>
      <c r="CM768" t="s">
        <v>2303</v>
      </c>
      <c r="CN768" t="s">
        <v>2304</v>
      </c>
      <c r="CO768" t="s">
        <v>1467</v>
      </c>
      <c r="CP768">
        <v>209</v>
      </c>
      <c r="CQ768" t="s">
        <v>100</v>
      </c>
      <c r="CR768" t="s">
        <v>100</v>
      </c>
      <c r="CS768" t="s">
        <v>101</v>
      </c>
      <c r="CT768" t="s">
        <v>100</v>
      </c>
      <c r="CU768" t="s">
        <v>102</v>
      </c>
      <c r="CV768" t="s">
        <v>100</v>
      </c>
    </row>
    <row r="769" spans="1:100">
      <c r="A769" s="3" t="s">
        <v>2305</v>
      </c>
      <c r="B769" s="4" t="s">
        <v>2306</v>
      </c>
      <c r="C769">
        <v>39.051261941036898</v>
      </c>
      <c r="D769">
        <v>7.3238038660176201</v>
      </c>
      <c r="E769">
        <v>2.42203196193188</v>
      </c>
      <c r="F769">
        <v>3.2746750059674899E-3</v>
      </c>
      <c r="G769" t="s">
        <v>4</v>
      </c>
      <c r="H769">
        <v>39.051261941036898</v>
      </c>
      <c r="I769">
        <v>7.9183585011670496</v>
      </c>
      <c r="J769">
        <v>2.3467479461057801</v>
      </c>
      <c r="K769">
        <v>4.6637420056945197E-3</v>
      </c>
      <c r="L769" t="s">
        <v>4</v>
      </c>
      <c r="M769">
        <v>7.3238038660176201</v>
      </c>
      <c r="N769">
        <v>7.9183585011670496</v>
      </c>
      <c r="O769">
        <f>0.0752840158260967</f>
        <v>7.5284015826096701E-2</v>
      </c>
      <c r="P769">
        <v>0.94708668066498702</v>
      </c>
      <c r="Q769" t="s">
        <v>4</v>
      </c>
      <c r="R769" s="4" t="s">
        <v>87</v>
      </c>
      <c r="S769" t="s">
        <v>4</v>
      </c>
      <c r="T769" t="s">
        <v>88</v>
      </c>
      <c r="U769" t="s">
        <v>89</v>
      </c>
      <c r="V769" t="s">
        <v>90</v>
      </c>
      <c r="W769" t="s">
        <v>91</v>
      </c>
      <c r="X769" t="s">
        <v>4</v>
      </c>
      <c r="Y769" t="s">
        <v>92</v>
      </c>
      <c r="Z769" t="s">
        <v>92</v>
      </c>
      <c r="AA769" t="s">
        <v>92</v>
      </c>
      <c r="AB769" t="s">
        <v>4</v>
      </c>
      <c r="AC769" s="3" t="s">
        <v>93</v>
      </c>
      <c r="AD769" t="s">
        <v>4</v>
      </c>
      <c r="AE769" s="4" t="s">
        <v>94</v>
      </c>
      <c r="AZ769" t="s">
        <v>4</v>
      </c>
      <c r="BA769" s="3" t="s">
        <v>95</v>
      </c>
      <c r="BB769" t="s">
        <v>96</v>
      </c>
      <c r="BC769" s="3" t="s">
        <v>95</v>
      </c>
      <c r="BD769" t="s">
        <v>4</v>
      </c>
      <c r="BE769">
        <v>2139</v>
      </c>
      <c r="BF769" t="s">
        <v>148</v>
      </c>
      <c r="BG769">
        <v>53.191499999999998</v>
      </c>
      <c r="BI769" t="s">
        <v>2307</v>
      </c>
      <c r="BJ769">
        <v>69.361699999999999</v>
      </c>
      <c r="BK769">
        <v>64.680899999999994</v>
      </c>
      <c r="BL769">
        <v>62.127699999999997</v>
      </c>
      <c r="BN769" t="s">
        <v>2308</v>
      </c>
      <c r="BO769">
        <v>57.872300000000003</v>
      </c>
      <c r="CK769">
        <v>3</v>
      </c>
      <c r="CL769" t="s">
        <v>4</v>
      </c>
      <c r="CM769" t="s">
        <v>98</v>
      </c>
      <c r="CN769" t="s">
        <v>98</v>
      </c>
      <c r="CO769" t="s">
        <v>99</v>
      </c>
      <c r="CP769">
        <v>210</v>
      </c>
      <c r="CQ769" t="s">
        <v>100</v>
      </c>
      <c r="CR769" t="s">
        <v>100</v>
      </c>
      <c r="CS769" t="s">
        <v>101</v>
      </c>
      <c r="CT769" t="s">
        <v>100</v>
      </c>
      <c r="CU769" t="s">
        <v>102</v>
      </c>
      <c r="CV769" t="s">
        <v>100</v>
      </c>
    </row>
    <row r="770" spans="1:100">
      <c r="A770" s="3" t="s">
        <v>2309</v>
      </c>
      <c r="B770" s="4" t="s">
        <v>2310</v>
      </c>
      <c r="C770">
        <v>82.778955812346098</v>
      </c>
      <c r="D770">
        <v>19.577525267731001</v>
      </c>
      <c r="E770">
        <v>2.0869673352798599</v>
      </c>
      <c r="F770">
        <v>1.4113331077662399E-4</v>
      </c>
      <c r="G770" t="s">
        <v>4</v>
      </c>
      <c r="H770">
        <v>82.778955812346098</v>
      </c>
      <c r="I770">
        <v>7.7307237795615498</v>
      </c>
      <c r="J770">
        <v>3.3315997430353801</v>
      </c>
      <c r="K770" s="5">
        <v>4.0961877404197601E-8</v>
      </c>
      <c r="L770" t="s">
        <v>4</v>
      </c>
      <c r="M770">
        <v>19.577525267731001</v>
      </c>
      <c r="N770">
        <v>7.7307237795615498</v>
      </c>
      <c r="O770">
        <v>1.24463240775552</v>
      </c>
      <c r="P770">
        <v>6.38570576578808E-2</v>
      </c>
      <c r="Q770" t="s">
        <v>4</v>
      </c>
      <c r="R770" s="4" t="s">
        <v>87</v>
      </c>
      <c r="S770" t="s">
        <v>4</v>
      </c>
      <c r="T770" t="s">
        <v>92</v>
      </c>
      <c r="U770" t="s">
        <v>92</v>
      </c>
      <c r="V770" t="s">
        <v>92</v>
      </c>
      <c r="W770" t="s">
        <v>92</v>
      </c>
      <c r="X770" t="s">
        <v>4</v>
      </c>
      <c r="Y770" t="s">
        <v>2311</v>
      </c>
      <c r="Z770" t="s">
        <v>2312</v>
      </c>
      <c r="AA770" t="s">
        <v>2313</v>
      </c>
      <c r="AB770" t="s">
        <v>4</v>
      </c>
      <c r="AC770" s="3" t="s">
        <v>2314</v>
      </c>
      <c r="AD770" t="s">
        <v>4</v>
      </c>
      <c r="AE770" t="s">
        <v>2315</v>
      </c>
      <c r="AF770" t="s">
        <v>2316</v>
      </c>
      <c r="AG770" t="s">
        <v>2317</v>
      </c>
      <c r="AH770" t="s">
        <v>314</v>
      </c>
      <c r="AU770" t="s">
        <v>112</v>
      </c>
      <c r="AV770" t="s">
        <v>2318</v>
      </c>
      <c r="AW770" t="s">
        <v>114</v>
      </c>
      <c r="AX770" t="s">
        <v>144</v>
      </c>
      <c r="AY770" t="s">
        <v>2319</v>
      </c>
      <c r="AZ770" t="s">
        <v>4</v>
      </c>
      <c r="BA770" s="3" t="s">
        <v>95</v>
      </c>
      <c r="BB770" s="6" t="s">
        <v>95</v>
      </c>
      <c r="BC770" s="3" t="s">
        <v>95</v>
      </c>
      <c r="BD770" t="s">
        <v>4</v>
      </c>
      <c r="BE770">
        <v>4398</v>
      </c>
      <c r="BF770" t="s">
        <v>112</v>
      </c>
      <c r="BG770">
        <v>88.797799999999995</v>
      </c>
      <c r="BH770">
        <v>94.535499999999999</v>
      </c>
      <c r="BI770">
        <v>90.710400000000007</v>
      </c>
      <c r="BJ770" t="s">
        <v>2320</v>
      </c>
      <c r="BK770">
        <v>74.316900000000004</v>
      </c>
      <c r="BM770">
        <v>64.207599999999999</v>
      </c>
      <c r="BN770">
        <v>71.311499999999995</v>
      </c>
      <c r="BO770">
        <v>72.131100000000004</v>
      </c>
      <c r="BP770">
        <v>47.540999999999997</v>
      </c>
      <c r="BR770">
        <v>28.688500000000001</v>
      </c>
      <c r="CK770">
        <v>5</v>
      </c>
      <c r="CL770" t="s">
        <v>4</v>
      </c>
      <c r="CM770" t="s">
        <v>98</v>
      </c>
      <c r="CN770" t="s">
        <v>98</v>
      </c>
      <c r="CO770" t="s">
        <v>99</v>
      </c>
      <c r="CP770">
        <v>211</v>
      </c>
      <c r="CQ770" t="s">
        <v>100</v>
      </c>
      <c r="CR770" t="s">
        <v>100</v>
      </c>
      <c r="CS770" t="s">
        <v>101</v>
      </c>
      <c r="CT770" t="s">
        <v>100</v>
      </c>
      <c r="CU770" t="s">
        <v>102</v>
      </c>
      <c r="CV770" t="s">
        <v>100</v>
      </c>
    </row>
    <row r="771" spans="1:100">
      <c r="A771" s="3" t="s">
        <v>2321</v>
      </c>
      <c r="B771" s="4" t="s">
        <v>2322</v>
      </c>
      <c r="C771">
        <v>229.01266371159301</v>
      </c>
      <c r="D771">
        <v>31.912332987137599</v>
      </c>
      <c r="E771">
        <v>2.8410027813231902</v>
      </c>
      <c r="F771" s="5">
        <v>2.6018980368280201E-6</v>
      </c>
      <c r="G771" t="s">
        <v>4</v>
      </c>
      <c r="H771">
        <v>229.01266371159301</v>
      </c>
      <c r="I771">
        <v>19.6065252265768</v>
      </c>
      <c r="J771">
        <v>3.5272737708220498</v>
      </c>
      <c r="K771" s="5">
        <v>8.2821045120552802E-9</v>
      </c>
      <c r="L771" t="s">
        <v>4</v>
      </c>
      <c r="M771">
        <v>31.912332987137599</v>
      </c>
      <c r="N771">
        <v>19.6065252265768</v>
      </c>
      <c r="O771">
        <v>0.68627098949886201</v>
      </c>
      <c r="P771">
        <v>0.33569053127675402</v>
      </c>
      <c r="Q771" t="s">
        <v>4</v>
      </c>
      <c r="R771" s="4" t="s">
        <v>87</v>
      </c>
      <c r="S771" t="s">
        <v>4</v>
      </c>
      <c r="T771" t="s">
        <v>92</v>
      </c>
      <c r="U771" t="s">
        <v>92</v>
      </c>
      <c r="V771" t="s">
        <v>92</v>
      </c>
      <c r="W771" t="s">
        <v>92</v>
      </c>
      <c r="X771" t="s">
        <v>4</v>
      </c>
      <c r="Y771" t="s">
        <v>92</v>
      </c>
      <c r="Z771" t="s">
        <v>92</v>
      </c>
      <c r="AA771" t="s">
        <v>92</v>
      </c>
      <c r="AB771" t="s">
        <v>4</v>
      </c>
      <c r="AC771" s="3" t="s">
        <v>93</v>
      </c>
      <c r="AD771" t="s">
        <v>4</v>
      </c>
      <c r="AE771" s="4" t="s">
        <v>94</v>
      </c>
      <c r="AZ771" t="s">
        <v>4</v>
      </c>
      <c r="BA771" s="3" t="s">
        <v>95</v>
      </c>
      <c r="BB771" s="6" t="s">
        <v>95</v>
      </c>
      <c r="BC771" s="3" t="s">
        <v>197</v>
      </c>
      <c r="BD771" t="s">
        <v>4</v>
      </c>
      <c r="BE771">
        <v>1352</v>
      </c>
      <c r="BF771" t="s">
        <v>151</v>
      </c>
      <c r="BG771">
        <v>89.915999999999997</v>
      </c>
      <c r="BI771">
        <v>42.576999999999998</v>
      </c>
      <c r="BJ771">
        <v>32.212899999999998</v>
      </c>
      <c r="CK771">
        <v>2</v>
      </c>
      <c r="CL771" t="s">
        <v>4</v>
      </c>
      <c r="CM771" t="s">
        <v>98</v>
      </c>
      <c r="CN771" t="s">
        <v>98</v>
      </c>
      <c r="CO771" t="s">
        <v>99</v>
      </c>
      <c r="CP771">
        <v>212</v>
      </c>
      <c r="CQ771" t="s">
        <v>100</v>
      </c>
      <c r="CR771" t="s">
        <v>100</v>
      </c>
      <c r="CS771" t="s">
        <v>101</v>
      </c>
      <c r="CT771" t="s">
        <v>100</v>
      </c>
      <c r="CU771" t="s">
        <v>102</v>
      </c>
      <c r="CV771" t="s">
        <v>100</v>
      </c>
    </row>
    <row r="772" spans="1:100">
      <c r="A772" s="3" t="s">
        <v>2323</v>
      </c>
      <c r="B772" s="4" t="s">
        <v>2324</v>
      </c>
      <c r="C772">
        <v>64.4658789722167</v>
      </c>
      <c r="D772">
        <v>12.8913372311358</v>
      </c>
      <c r="E772">
        <v>2.3383145188463001</v>
      </c>
      <c r="F772">
        <v>1.1949150351757E-3</v>
      </c>
      <c r="G772" t="s">
        <v>4</v>
      </c>
      <c r="H772">
        <v>64.4658789722167</v>
      </c>
      <c r="I772">
        <v>13.448852937857099</v>
      </c>
      <c r="J772">
        <v>2.2830137166195299</v>
      </c>
      <c r="K772">
        <v>1.56835850468531E-3</v>
      </c>
      <c r="L772" t="s">
        <v>4</v>
      </c>
      <c r="M772">
        <v>12.8913372311358</v>
      </c>
      <c r="N772">
        <v>13.448852937857099</v>
      </c>
      <c r="O772">
        <f>0.0553008022267724</f>
        <v>5.5300802226772403E-2</v>
      </c>
      <c r="P772">
        <v>0.95601752726607603</v>
      </c>
      <c r="Q772" t="s">
        <v>4</v>
      </c>
      <c r="R772" s="4" t="s">
        <v>87</v>
      </c>
      <c r="S772" t="s">
        <v>4</v>
      </c>
      <c r="T772" t="s">
        <v>2325</v>
      </c>
      <c r="U772" t="s">
        <v>2326</v>
      </c>
      <c r="V772" t="s">
        <v>2327</v>
      </c>
      <c r="W772" t="s">
        <v>203</v>
      </c>
      <c r="X772" t="s">
        <v>4</v>
      </c>
      <c r="Y772" t="s">
        <v>2328</v>
      </c>
      <c r="Z772" t="s">
        <v>2329</v>
      </c>
      <c r="AA772" t="s">
        <v>2330</v>
      </c>
      <c r="AB772" t="s">
        <v>4</v>
      </c>
      <c r="AC772" s="3" t="s">
        <v>207</v>
      </c>
      <c r="AD772" t="s">
        <v>4</v>
      </c>
      <c r="AE772" t="s">
        <v>2331</v>
      </c>
      <c r="AF772" t="s">
        <v>2332</v>
      </c>
      <c r="AG772" t="s">
        <v>2333</v>
      </c>
      <c r="AH772" t="s">
        <v>112</v>
      </c>
      <c r="AU772" t="s">
        <v>112</v>
      </c>
      <c r="AV772" t="s">
        <v>2334</v>
      </c>
      <c r="AW772" t="s">
        <v>114</v>
      </c>
      <c r="AX772" t="s">
        <v>132</v>
      </c>
      <c r="AY772" t="s">
        <v>212</v>
      </c>
      <c r="AZ772" t="s">
        <v>4</v>
      </c>
      <c r="BA772" s="3" t="s">
        <v>95</v>
      </c>
      <c r="BB772" s="6" t="s">
        <v>95</v>
      </c>
      <c r="BC772" s="3" t="s">
        <v>95</v>
      </c>
      <c r="BD772" t="s">
        <v>4</v>
      </c>
      <c r="BE772">
        <v>5191</v>
      </c>
      <c r="BF772" t="s">
        <v>282</v>
      </c>
      <c r="BG772">
        <v>77.198700000000002</v>
      </c>
      <c r="BH772">
        <v>99.674300000000002</v>
      </c>
      <c r="BI772">
        <v>92.508099999999999</v>
      </c>
      <c r="BJ772">
        <v>92.508099999999999</v>
      </c>
      <c r="BK772">
        <v>80.130300000000005</v>
      </c>
      <c r="BL772">
        <v>86.644999999999996</v>
      </c>
      <c r="BM772">
        <v>84.690600000000003</v>
      </c>
      <c r="BN772">
        <v>84.364800000000002</v>
      </c>
      <c r="BP772">
        <v>75.569999999999993</v>
      </c>
      <c r="BR772">
        <v>64.820800000000006</v>
      </c>
      <c r="BT772" t="s">
        <v>2335</v>
      </c>
      <c r="BU772" t="s">
        <v>2336</v>
      </c>
      <c r="BV772" t="s">
        <v>2337</v>
      </c>
      <c r="CK772">
        <v>6</v>
      </c>
      <c r="CL772" t="s">
        <v>4</v>
      </c>
      <c r="CM772" t="s">
        <v>98</v>
      </c>
      <c r="CN772" t="s">
        <v>98</v>
      </c>
      <c r="CO772" t="s">
        <v>99</v>
      </c>
      <c r="CP772">
        <v>213</v>
      </c>
      <c r="CQ772" t="s">
        <v>100</v>
      </c>
      <c r="CR772" t="s">
        <v>100</v>
      </c>
      <c r="CS772" t="s">
        <v>101</v>
      </c>
      <c r="CT772" t="s">
        <v>100</v>
      </c>
      <c r="CU772" t="s">
        <v>102</v>
      </c>
      <c r="CV772" t="s">
        <v>100</v>
      </c>
    </row>
    <row r="773" spans="1:100">
      <c r="A773" s="3" t="s">
        <v>9033</v>
      </c>
      <c r="B773" s="8" t="s">
        <v>811</v>
      </c>
      <c r="C773">
        <v>22.0403029307918</v>
      </c>
      <c r="D773">
        <v>2.8921289539534998</v>
      </c>
      <c r="E773">
        <v>2.9374720052808501</v>
      </c>
      <c r="F773">
        <v>2.6350259845393E-2</v>
      </c>
      <c r="G773" t="s">
        <v>4</v>
      </c>
      <c r="H773">
        <v>22.0403029307918</v>
      </c>
      <c r="I773">
        <v>0</v>
      </c>
      <c r="J773">
        <v>6.4090616157878602</v>
      </c>
      <c r="K773">
        <v>1.6510976511124E-4</v>
      </c>
      <c r="L773" t="s">
        <v>4</v>
      </c>
      <c r="M773">
        <v>2.8921289539534998</v>
      </c>
      <c r="N773">
        <v>0</v>
      </c>
      <c r="O773">
        <v>3.4715896105070101</v>
      </c>
      <c r="P773">
        <v>5.8778492565981798E-2</v>
      </c>
      <c r="Q773" t="s">
        <v>4</v>
      </c>
      <c r="R773" s="4" t="s">
        <v>95</v>
      </c>
      <c r="S773" t="s">
        <v>4</v>
      </c>
      <c r="T773" t="s">
        <v>92</v>
      </c>
      <c r="U773" t="s">
        <v>92</v>
      </c>
      <c r="V773" t="s">
        <v>92</v>
      </c>
      <c r="W773" t="s">
        <v>92</v>
      </c>
      <c r="X773" t="s">
        <v>4</v>
      </c>
      <c r="Y773" t="s">
        <v>92</v>
      </c>
      <c r="Z773" t="s">
        <v>92</v>
      </c>
      <c r="AA773" t="s">
        <v>92</v>
      </c>
      <c r="AB773" t="s">
        <v>4</v>
      </c>
      <c r="AC773" s="3" t="s">
        <v>93</v>
      </c>
      <c r="AD773" t="s">
        <v>4</v>
      </c>
      <c r="AE773" s="4" t="s">
        <v>94</v>
      </c>
      <c r="AZ773" t="s">
        <v>4</v>
      </c>
      <c r="BA773" s="3" t="s">
        <v>812</v>
      </c>
      <c r="BB773" s="3" t="s">
        <v>812</v>
      </c>
      <c r="BC773" s="3" t="s">
        <v>812</v>
      </c>
      <c r="BD773" t="s">
        <v>4</v>
      </c>
      <c r="BE773" s="3" t="s">
        <v>812</v>
      </c>
      <c r="BF773" s="3" t="s">
        <v>812</v>
      </c>
      <c r="BG773" s="3" t="s">
        <v>812</v>
      </c>
      <c r="BH773" s="3" t="s">
        <v>812</v>
      </c>
      <c r="BI773" s="3" t="s">
        <v>812</v>
      </c>
      <c r="BJ773" s="3" t="s">
        <v>812</v>
      </c>
      <c r="BK773" s="3" t="s">
        <v>812</v>
      </c>
      <c r="BL773" s="3" t="s">
        <v>812</v>
      </c>
      <c r="BM773" s="3" t="s">
        <v>812</v>
      </c>
      <c r="BN773" s="3" t="s">
        <v>812</v>
      </c>
      <c r="BO773" s="3" t="s">
        <v>812</v>
      </c>
      <c r="BP773" s="3" t="s">
        <v>812</v>
      </c>
      <c r="BQ773" s="3" t="s">
        <v>812</v>
      </c>
      <c r="BR773" s="3" t="s">
        <v>812</v>
      </c>
      <c r="BS773" s="3" t="s">
        <v>812</v>
      </c>
      <c r="BT773" s="3" t="s">
        <v>812</v>
      </c>
      <c r="BU773" s="3" t="s">
        <v>812</v>
      </c>
      <c r="BV773" s="3" t="s">
        <v>812</v>
      </c>
      <c r="BW773" s="3" t="s">
        <v>812</v>
      </c>
      <c r="BX773" s="3" t="s">
        <v>812</v>
      </c>
      <c r="BY773" s="3" t="s">
        <v>812</v>
      </c>
      <c r="BZ773" s="3" t="s">
        <v>812</v>
      </c>
      <c r="CA773" s="3" t="s">
        <v>812</v>
      </c>
      <c r="CB773" s="3" t="s">
        <v>812</v>
      </c>
      <c r="CC773" s="3" t="s">
        <v>812</v>
      </c>
      <c r="CD773" s="3" t="s">
        <v>812</v>
      </c>
      <c r="CE773" s="3" t="s">
        <v>812</v>
      </c>
      <c r="CF773" s="3" t="s">
        <v>812</v>
      </c>
      <c r="CG773" s="3" t="s">
        <v>812</v>
      </c>
      <c r="CH773" s="3" t="s">
        <v>812</v>
      </c>
      <c r="CI773" s="3" t="s">
        <v>812</v>
      </c>
      <c r="CJ773" s="3" t="s">
        <v>812</v>
      </c>
      <c r="CK773" s="3" t="s">
        <v>812</v>
      </c>
      <c r="CL773" t="s">
        <v>4</v>
      </c>
      <c r="CM773" s="3" t="s">
        <v>812</v>
      </c>
      <c r="CN773" s="3" t="s">
        <v>812</v>
      </c>
      <c r="CO773" s="3" t="s">
        <v>812</v>
      </c>
      <c r="CP773" s="7">
        <v>214</v>
      </c>
      <c r="CQ773" t="s">
        <v>100</v>
      </c>
      <c r="CR773" t="s">
        <v>100</v>
      </c>
      <c r="CS773" t="s">
        <v>101</v>
      </c>
      <c r="CT773" t="s">
        <v>100</v>
      </c>
      <c r="CU773" t="s">
        <v>102</v>
      </c>
      <c r="CV773" t="s">
        <v>100</v>
      </c>
    </row>
    <row r="774" spans="1:100">
      <c r="A774" s="3" t="s">
        <v>9034</v>
      </c>
      <c r="B774" s="4" t="s">
        <v>9035</v>
      </c>
      <c r="C774">
        <v>85.197046211870799</v>
      </c>
      <c r="D774">
        <v>34.314157295631802</v>
      </c>
      <c r="E774">
        <v>1.30826819773212</v>
      </c>
      <c r="F774">
        <v>7.0168377393926796E-3</v>
      </c>
      <c r="G774" t="s">
        <v>4</v>
      </c>
      <c r="H774">
        <v>85.197046211870799</v>
      </c>
      <c r="I774">
        <v>1.3046859672122499</v>
      </c>
      <c r="J774">
        <v>5.9673972773076196</v>
      </c>
      <c r="K774" s="5">
        <v>8.4925479091104802E-10</v>
      </c>
      <c r="L774" t="s">
        <v>4</v>
      </c>
      <c r="M774">
        <v>34.314157295631802</v>
      </c>
      <c r="N774">
        <v>1.3046859672122499</v>
      </c>
      <c r="O774">
        <v>4.6591290795755098</v>
      </c>
      <c r="P774" s="5">
        <v>2.1221229211042799E-6</v>
      </c>
      <c r="Q774" t="s">
        <v>4</v>
      </c>
      <c r="R774" s="4" t="s">
        <v>87</v>
      </c>
      <c r="S774" t="s">
        <v>4</v>
      </c>
      <c r="T774" t="s">
        <v>92</v>
      </c>
      <c r="U774" t="s">
        <v>92</v>
      </c>
      <c r="V774" t="s">
        <v>92</v>
      </c>
      <c r="W774" t="s">
        <v>92</v>
      </c>
      <c r="X774" t="s">
        <v>4</v>
      </c>
      <c r="Y774" t="s">
        <v>92</v>
      </c>
      <c r="Z774" t="s">
        <v>92</v>
      </c>
      <c r="AA774" t="s">
        <v>92</v>
      </c>
      <c r="AB774" t="s">
        <v>4</v>
      </c>
      <c r="AC774" s="3" t="s">
        <v>93</v>
      </c>
      <c r="AD774" t="s">
        <v>4</v>
      </c>
      <c r="AE774" s="4" t="s">
        <v>94</v>
      </c>
      <c r="AZ774" t="s">
        <v>4</v>
      </c>
      <c r="BA774" s="3" t="s">
        <v>95</v>
      </c>
      <c r="BB774" s="6" t="s">
        <v>95</v>
      </c>
      <c r="BC774" s="3" t="s">
        <v>95</v>
      </c>
      <c r="BD774" t="s">
        <v>4</v>
      </c>
      <c r="BE774">
        <v>129</v>
      </c>
      <c r="BF774" t="s">
        <v>322</v>
      </c>
      <c r="CK774">
        <v>1</v>
      </c>
      <c r="CL774" t="s">
        <v>4</v>
      </c>
      <c r="CM774" t="s">
        <v>98</v>
      </c>
      <c r="CN774" t="s">
        <v>98</v>
      </c>
      <c r="CO774" t="s">
        <v>99</v>
      </c>
      <c r="CP774" s="7">
        <v>215</v>
      </c>
      <c r="CQ774" t="s">
        <v>100</v>
      </c>
      <c r="CR774" t="s">
        <v>100</v>
      </c>
      <c r="CS774" t="s">
        <v>101</v>
      </c>
      <c r="CT774" t="s">
        <v>152</v>
      </c>
      <c r="CU774" t="s">
        <v>102</v>
      </c>
      <c r="CV774" t="s">
        <v>100</v>
      </c>
    </row>
    <row r="775" spans="1:100">
      <c r="A775" s="3" t="s">
        <v>9036</v>
      </c>
      <c r="B775" s="4" t="s">
        <v>9037</v>
      </c>
      <c r="C775">
        <v>30.597651112876001</v>
      </c>
      <c r="D775">
        <v>5.3598920862760302</v>
      </c>
      <c r="E775">
        <v>2.4949189662801499</v>
      </c>
      <c r="F775">
        <v>3.5711362954434403E-2</v>
      </c>
      <c r="G775" t="s">
        <v>4</v>
      </c>
      <c r="H775">
        <v>30.597651112876001</v>
      </c>
      <c r="I775">
        <v>0.337017752855924</v>
      </c>
      <c r="J775">
        <v>5.9212207393688896</v>
      </c>
      <c r="K775">
        <v>3.3439762614702399E-4</v>
      </c>
      <c r="L775" t="s">
        <v>4</v>
      </c>
      <c r="M775">
        <v>5.3598920862760302</v>
      </c>
      <c r="N775">
        <v>0.337017752855924</v>
      </c>
      <c r="O775">
        <v>3.4263017730887402</v>
      </c>
      <c r="P775">
        <v>4.8962257209973797E-2</v>
      </c>
      <c r="Q775" t="s">
        <v>4</v>
      </c>
      <c r="R775" s="4" t="s">
        <v>87</v>
      </c>
      <c r="S775" t="s">
        <v>4</v>
      </c>
      <c r="T775" t="s">
        <v>92</v>
      </c>
      <c r="U775" t="s">
        <v>92</v>
      </c>
      <c r="V775" t="s">
        <v>92</v>
      </c>
      <c r="W775" t="s">
        <v>92</v>
      </c>
      <c r="X775" t="s">
        <v>4</v>
      </c>
      <c r="Y775" t="s">
        <v>1801</v>
      </c>
      <c r="Z775" t="s">
        <v>1802</v>
      </c>
      <c r="AA775" t="s">
        <v>1803</v>
      </c>
      <c r="AB775" t="s">
        <v>4</v>
      </c>
      <c r="AC775" s="3" t="s">
        <v>3839</v>
      </c>
      <c r="AD775" t="s">
        <v>4</v>
      </c>
      <c r="AE775" t="s">
        <v>9038</v>
      </c>
      <c r="AF775" t="s">
        <v>9039</v>
      </c>
      <c r="AG775" t="s">
        <v>9040</v>
      </c>
      <c r="AH775" t="s">
        <v>112</v>
      </c>
      <c r="AU775" t="s">
        <v>112</v>
      </c>
      <c r="AV775" t="s">
        <v>9041</v>
      </c>
      <c r="AW775" t="s">
        <v>114</v>
      </c>
      <c r="AZ775" t="s">
        <v>4</v>
      </c>
      <c r="BA775" s="3" t="s">
        <v>95</v>
      </c>
      <c r="BB775" t="s">
        <v>96</v>
      </c>
      <c r="BC775" s="3" t="s">
        <v>197</v>
      </c>
      <c r="BD775" t="s">
        <v>4</v>
      </c>
      <c r="BE775">
        <v>3594</v>
      </c>
      <c r="BF775" t="s">
        <v>112</v>
      </c>
      <c r="BG775">
        <v>99.408299999999997</v>
      </c>
      <c r="BH775">
        <v>100</v>
      </c>
      <c r="BI775">
        <v>94.674599999999998</v>
      </c>
      <c r="BJ775">
        <v>88.757400000000004</v>
      </c>
      <c r="BL775">
        <v>84.615399999999994</v>
      </c>
      <c r="BM775">
        <v>82.248500000000007</v>
      </c>
      <c r="BN775">
        <v>81.656800000000004</v>
      </c>
      <c r="BO775">
        <v>83.432000000000002</v>
      </c>
      <c r="BP775">
        <v>63.905299999999997</v>
      </c>
      <c r="BR775">
        <v>46.745600000000003</v>
      </c>
      <c r="BS775">
        <v>52.070999999999998</v>
      </c>
      <c r="BV775" t="s">
        <v>9042</v>
      </c>
      <c r="BX775">
        <v>43.786999999999999</v>
      </c>
      <c r="CA775">
        <v>40.236699999999999</v>
      </c>
      <c r="CK775">
        <v>5</v>
      </c>
      <c r="CL775" t="s">
        <v>4</v>
      </c>
      <c r="CM775" t="s">
        <v>9043</v>
      </c>
      <c r="CN775" t="s">
        <v>9044</v>
      </c>
      <c r="CO775" t="s">
        <v>99</v>
      </c>
      <c r="CP775" s="7">
        <v>216</v>
      </c>
      <c r="CQ775" t="s">
        <v>100</v>
      </c>
      <c r="CR775" t="s">
        <v>100</v>
      </c>
      <c r="CS775" t="s">
        <v>101</v>
      </c>
      <c r="CT775" s="7" t="s">
        <v>152</v>
      </c>
      <c r="CU775" t="s">
        <v>102</v>
      </c>
      <c r="CV775" t="s">
        <v>100</v>
      </c>
    </row>
    <row r="776" spans="1:100">
      <c r="A776" s="3" t="s">
        <v>9045</v>
      </c>
      <c r="B776" s="4" t="s">
        <v>9046</v>
      </c>
      <c r="C776">
        <v>25.279295274105301</v>
      </c>
      <c r="D776">
        <v>5.3400207035385296</v>
      </c>
      <c r="E776">
        <v>2.2380663505079399</v>
      </c>
      <c r="F776">
        <v>2.91072436867807E-2</v>
      </c>
      <c r="G776" t="s">
        <v>4</v>
      </c>
      <c r="H776">
        <v>25.279295274105301</v>
      </c>
      <c r="I776">
        <v>0.483834107178163</v>
      </c>
      <c r="J776">
        <v>5.6424288681479604</v>
      </c>
      <c r="K776">
        <v>2.7322836366744401E-4</v>
      </c>
      <c r="L776" t="s">
        <v>4</v>
      </c>
      <c r="M776">
        <v>5.3400207035385296</v>
      </c>
      <c r="N776">
        <v>0.483834107178163</v>
      </c>
      <c r="O776">
        <v>3.4043625176400201</v>
      </c>
      <c r="P776">
        <v>3.6834613736975899E-2</v>
      </c>
      <c r="Q776" t="s">
        <v>4</v>
      </c>
      <c r="R776" s="4" t="s">
        <v>87</v>
      </c>
      <c r="S776" t="s">
        <v>4</v>
      </c>
      <c r="T776" t="s">
        <v>92</v>
      </c>
      <c r="U776" t="s">
        <v>92</v>
      </c>
      <c r="V776" t="s">
        <v>92</v>
      </c>
      <c r="W776" t="s">
        <v>92</v>
      </c>
      <c r="X776" t="s">
        <v>4</v>
      </c>
      <c r="Y776" t="s">
        <v>92</v>
      </c>
      <c r="Z776" t="s">
        <v>92</v>
      </c>
      <c r="AA776" t="s">
        <v>92</v>
      </c>
      <c r="AB776" t="s">
        <v>4</v>
      </c>
      <c r="AC776" s="3" t="s">
        <v>93</v>
      </c>
      <c r="AD776" t="s">
        <v>4</v>
      </c>
      <c r="AE776" s="4" t="s">
        <v>94</v>
      </c>
      <c r="AZ776" t="s">
        <v>4</v>
      </c>
      <c r="BA776" s="3" t="s">
        <v>95</v>
      </c>
      <c r="BB776" s="6" t="s">
        <v>95</v>
      </c>
      <c r="BC776" s="3" t="s">
        <v>95</v>
      </c>
      <c r="BD776" t="s">
        <v>4</v>
      </c>
      <c r="BE776">
        <v>774</v>
      </c>
      <c r="BF776" t="s">
        <v>604</v>
      </c>
      <c r="BG776" t="s">
        <v>9047</v>
      </c>
      <c r="CK776">
        <v>1.5</v>
      </c>
      <c r="CL776" t="s">
        <v>4</v>
      </c>
      <c r="CM776" t="s">
        <v>98</v>
      </c>
      <c r="CN776" t="s">
        <v>98</v>
      </c>
      <c r="CO776" t="s">
        <v>99</v>
      </c>
      <c r="CP776" s="7">
        <v>217</v>
      </c>
      <c r="CQ776" t="s">
        <v>100</v>
      </c>
      <c r="CR776" t="s">
        <v>100</v>
      </c>
      <c r="CS776" t="s">
        <v>101</v>
      </c>
      <c r="CT776" s="7" t="s">
        <v>152</v>
      </c>
      <c r="CU776" t="s">
        <v>102</v>
      </c>
      <c r="CV776" t="s">
        <v>100</v>
      </c>
    </row>
    <row r="777" spans="1:100">
      <c r="A777" s="3" t="s">
        <v>9048</v>
      </c>
      <c r="B777" s="4" t="s">
        <v>9049</v>
      </c>
      <c r="C777">
        <v>21.077506837076101</v>
      </c>
      <c r="D777">
        <v>2.1115743965726699</v>
      </c>
      <c r="E777">
        <v>3.36751266649989</v>
      </c>
      <c r="F777">
        <v>3.2308854994740802E-2</v>
      </c>
      <c r="G777" t="s">
        <v>4</v>
      </c>
      <c r="H777">
        <v>21.077506837076101</v>
      </c>
      <c r="I777">
        <v>0.483834107178163</v>
      </c>
      <c r="J777">
        <v>5.3841385404968598</v>
      </c>
      <c r="K777">
        <v>4.1441672024567101E-3</v>
      </c>
      <c r="L777" t="s">
        <v>4</v>
      </c>
      <c r="M777">
        <v>2.1115743965726699</v>
      </c>
      <c r="N777">
        <v>0.483834107178163</v>
      </c>
      <c r="O777">
        <v>2.0166258739969698</v>
      </c>
      <c r="P777">
        <v>0.34944677203129898</v>
      </c>
      <c r="Q777" t="s">
        <v>4</v>
      </c>
      <c r="R777" s="4" t="s">
        <v>87</v>
      </c>
      <c r="S777" t="s">
        <v>4</v>
      </c>
      <c r="T777" t="s">
        <v>92</v>
      </c>
      <c r="U777" t="s">
        <v>92</v>
      </c>
      <c r="V777" t="s">
        <v>92</v>
      </c>
      <c r="W777" t="s">
        <v>92</v>
      </c>
      <c r="X777" t="s">
        <v>4</v>
      </c>
      <c r="Y777" t="s">
        <v>2715</v>
      </c>
      <c r="Z777" t="s">
        <v>2716</v>
      </c>
      <c r="AA777" t="s">
        <v>2717</v>
      </c>
      <c r="AB777" t="s">
        <v>4</v>
      </c>
      <c r="AC777" s="3" t="s">
        <v>9050</v>
      </c>
      <c r="AD777" t="s">
        <v>4</v>
      </c>
      <c r="AE777" t="s">
        <v>9051</v>
      </c>
      <c r="AF777" t="s">
        <v>9052</v>
      </c>
      <c r="AG777" t="s">
        <v>9053</v>
      </c>
      <c r="AH777" t="s">
        <v>638</v>
      </c>
      <c r="AI777" t="s">
        <v>9054</v>
      </c>
      <c r="AU777" t="s">
        <v>112</v>
      </c>
      <c r="AV777" t="s">
        <v>9055</v>
      </c>
      <c r="AW777" t="s">
        <v>114</v>
      </c>
      <c r="AX777" t="s">
        <v>536</v>
      </c>
      <c r="AY777" t="s">
        <v>9056</v>
      </c>
      <c r="AZ777" t="s">
        <v>4</v>
      </c>
      <c r="BA777" s="3" t="s">
        <v>95</v>
      </c>
      <c r="BB777" s="6" t="s">
        <v>95</v>
      </c>
      <c r="BC777" s="3" t="s">
        <v>95</v>
      </c>
      <c r="BD777" t="s">
        <v>4</v>
      </c>
      <c r="BE777">
        <v>3226</v>
      </c>
      <c r="BF777" t="s">
        <v>112</v>
      </c>
      <c r="CK777">
        <v>5</v>
      </c>
      <c r="CL777" t="s">
        <v>4</v>
      </c>
      <c r="CM777" t="s">
        <v>98</v>
      </c>
      <c r="CN777" t="s">
        <v>98</v>
      </c>
      <c r="CO777" t="s">
        <v>99</v>
      </c>
      <c r="CP777" s="7">
        <v>218</v>
      </c>
      <c r="CQ777" t="s">
        <v>100</v>
      </c>
      <c r="CR777" t="s">
        <v>100</v>
      </c>
      <c r="CS777" t="s">
        <v>101</v>
      </c>
      <c r="CT777" t="s">
        <v>100</v>
      </c>
      <c r="CU777" t="s">
        <v>102</v>
      </c>
      <c r="CV777" t="s">
        <v>100</v>
      </c>
    </row>
    <row r="778" spans="1:100">
      <c r="A778" s="3" t="s">
        <v>9057</v>
      </c>
      <c r="B778" s="4" t="s">
        <v>9058</v>
      </c>
      <c r="C778">
        <v>19.572201440722399</v>
      </c>
      <c r="D778">
        <v>2.9478261471302498</v>
      </c>
      <c r="E778">
        <v>2.75495507041656</v>
      </c>
      <c r="F778">
        <v>1.30080460140363E-2</v>
      </c>
      <c r="G778" t="s">
        <v>4</v>
      </c>
      <c r="H778">
        <v>19.572201440722399</v>
      </c>
      <c r="I778">
        <v>0.337017752855924</v>
      </c>
      <c r="J778">
        <v>5.2783786274108904</v>
      </c>
      <c r="K778">
        <v>7.9843634225773704E-4</v>
      </c>
      <c r="L778" t="s">
        <v>4</v>
      </c>
      <c r="M778">
        <v>2.9478261471302498</v>
      </c>
      <c r="N778">
        <v>0.337017752855924</v>
      </c>
      <c r="O778">
        <v>2.5234235569943202</v>
      </c>
      <c r="P778">
        <v>0.147539741487274</v>
      </c>
      <c r="Q778" t="s">
        <v>4</v>
      </c>
      <c r="R778" s="4" t="s">
        <v>87</v>
      </c>
      <c r="S778" t="s">
        <v>4</v>
      </c>
      <c r="T778" t="s">
        <v>92</v>
      </c>
      <c r="U778" t="s">
        <v>92</v>
      </c>
      <c r="V778" t="s">
        <v>92</v>
      </c>
      <c r="W778" t="s">
        <v>92</v>
      </c>
      <c r="X778" t="s">
        <v>4</v>
      </c>
      <c r="Y778" t="s">
        <v>92</v>
      </c>
      <c r="Z778" t="s">
        <v>92</v>
      </c>
      <c r="AA778" t="s">
        <v>92</v>
      </c>
      <c r="AB778" t="s">
        <v>4</v>
      </c>
      <c r="AC778" s="3" t="s">
        <v>93</v>
      </c>
      <c r="AD778" t="s">
        <v>4</v>
      </c>
      <c r="AE778" s="4" t="s">
        <v>94</v>
      </c>
      <c r="AZ778" t="s">
        <v>4</v>
      </c>
      <c r="BA778" s="3" t="s">
        <v>95</v>
      </c>
      <c r="BB778" s="6" t="s">
        <v>95</v>
      </c>
      <c r="BC778" s="3" t="s">
        <v>95</v>
      </c>
      <c r="BD778" t="s">
        <v>4</v>
      </c>
      <c r="BE778">
        <v>480</v>
      </c>
      <c r="BF778" t="s">
        <v>322</v>
      </c>
      <c r="CK778">
        <v>1</v>
      </c>
      <c r="CL778" t="s">
        <v>4</v>
      </c>
      <c r="CM778" t="s">
        <v>98</v>
      </c>
      <c r="CN778" t="s">
        <v>98</v>
      </c>
      <c r="CO778" t="s">
        <v>99</v>
      </c>
      <c r="CP778" s="7">
        <v>219</v>
      </c>
      <c r="CQ778" t="s">
        <v>100</v>
      </c>
      <c r="CR778" t="s">
        <v>100</v>
      </c>
      <c r="CS778" t="s">
        <v>101</v>
      </c>
      <c r="CT778" t="s">
        <v>100</v>
      </c>
      <c r="CU778" t="s">
        <v>102</v>
      </c>
      <c r="CV778" t="s">
        <v>100</v>
      </c>
    </row>
    <row r="779" spans="1:100">
      <c r="A779" s="3" t="s">
        <v>9059</v>
      </c>
      <c r="B779" s="4" t="s">
        <v>9060</v>
      </c>
      <c r="C779">
        <v>195.06160534108801</v>
      </c>
      <c r="D779">
        <v>93.710011014274698</v>
      </c>
      <c r="E779">
        <v>1.0543546884542201</v>
      </c>
      <c r="F779">
        <v>1.76386031632095E-3</v>
      </c>
      <c r="G779" t="s">
        <v>4</v>
      </c>
      <c r="H779">
        <v>195.06160534108801</v>
      </c>
      <c r="I779">
        <v>5.3463323245551599</v>
      </c>
      <c r="J779">
        <v>5.2693317944071598</v>
      </c>
      <c r="K779" s="5">
        <v>1.0005284587632999E-22</v>
      </c>
      <c r="L779" t="s">
        <v>4</v>
      </c>
      <c r="M779">
        <v>93.710011014274698</v>
      </c>
      <c r="N779">
        <v>5.3463323245551599</v>
      </c>
      <c r="O779">
        <v>4.21497710595294</v>
      </c>
      <c r="P779" s="5">
        <v>8.2588828343302595E-15</v>
      </c>
      <c r="Q779" t="s">
        <v>4</v>
      </c>
      <c r="R779" s="4" t="s">
        <v>87</v>
      </c>
      <c r="S779" t="s">
        <v>4</v>
      </c>
      <c r="T779" t="s">
        <v>92</v>
      </c>
      <c r="U779" t="s">
        <v>92</v>
      </c>
      <c r="V779" t="s">
        <v>92</v>
      </c>
      <c r="W779" t="s">
        <v>92</v>
      </c>
      <c r="X779" t="s">
        <v>4</v>
      </c>
      <c r="Y779" t="s">
        <v>92</v>
      </c>
      <c r="Z779" t="s">
        <v>92</v>
      </c>
      <c r="AA779" t="s">
        <v>92</v>
      </c>
      <c r="AB779" t="s">
        <v>4</v>
      </c>
      <c r="AC779" s="3" t="s">
        <v>93</v>
      </c>
      <c r="AD779" t="s">
        <v>4</v>
      </c>
      <c r="AE779" s="4" t="s">
        <v>94</v>
      </c>
      <c r="AZ779" t="s">
        <v>4</v>
      </c>
      <c r="BA779" s="3" t="s">
        <v>95</v>
      </c>
      <c r="BB779" s="6" t="s">
        <v>95</v>
      </c>
      <c r="BC779" s="3" t="s">
        <v>95</v>
      </c>
      <c r="BD779" t="s">
        <v>4</v>
      </c>
      <c r="BE779">
        <v>1213</v>
      </c>
      <c r="BF779" t="s">
        <v>151</v>
      </c>
      <c r="BG779" t="s">
        <v>9061</v>
      </c>
      <c r="BJ779">
        <v>40.350900000000003</v>
      </c>
      <c r="BK779" t="s">
        <v>9062</v>
      </c>
      <c r="BO779">
        <v>30.701799999999999</v>
      </c>
      <c r="CK779">
        <v>2</v>
      </c>
      <c r="CL779" t="s">
        <v>4</v>
      </c>
      <c r="CM779" t="s">
        <v>98</v>
      </c>
      <c r="CN779" t="s">
        <v>98</v>
      </c>
      <c r="CO779" t="s">
        <v>99</v>
      </c>
      <c r="CP779" s="7">
        <v>220</v>
      </c>
      <c r="CQ779" t="s">
        <v>100</v>
      </c>
      <c r="CR779" t="s">
        <v>100</v>
      </c>
      <c r="CS779" t="s">
        <v>101</v>
      </c>
      <c r="CT779" t="s">
        <v>152</v>
      </c>
      <c r="CU779" t="s">
        <v>102</v>
      </c>
      <c r="CV779" t="s">
        <v>100</v>
      </c>
    </row>
    <row r="780" spans="1:100">
      <c r="A780" s="3" t="s">
        <v>9063</v>
      </c>
      <c r="B780" s="4" t="s">
        <v>9064</v>
      </c>
      <c r="C780">
        <v>18.229732643740601</v>
      </c>
      <c r="D780">
        <v>3.4037363103661602</v>
      </c>
      <c r="E780">
        <v>2.4120232271685098</v>
      </c>
      <c r="F780">
        <v>3.9578618504648097E-2</v>
      </c>
      <c r="G780" t="s">
        <v>4</v>
      </c>
      <c r="H780">
        <v>18.229732643740601</v>
      </c>
      <c r="I780">
        <v>0.483834107178163</v>
      </c>
      <c r="J780">
        <v>5.1740812752548297</v>
      </c>
      <c r="K780">
        <v>1.4389400757453201E-3</v>
      </c>
      <c r="L780" t="s">
        <v>4</v>
      </c>
      <c r="M780">
        <v>3.4037363103661602</v>
      </c>
      <c r="N780">
        <v>0.483834107178163</v>
      </c>
      <c r="O780">
        <v>2.7620580480863102</v>
      </c>
      <c r="P780">
        <v>0.11682280935134801</v>
      </c>
      <c r="Q780" t="s">
        <v>4</v>
      </c>
      <c r="R780" s="4" t="s">
        <v>87</v>
      </c>
      <c r="S780" t="s">
        <v>4</v>
      </c>
      <c r="T780" t="s">
        <v>92</v>
      </c>
      <c r="U780" t="s">
        <v>92</v>
      </c>
      <c r="V780" t="s">
        <v>92</v>
      </c>
      <c r="W780" t="s">
        <v>92</v>
      </c>
      <c r="X780" t="s">
        <v>4</v>
      </c>
      <c r="Y780" t="s">
        <v>92</v>
      </c>
      <c r="Z780" t="s">
        <v>92</v>
      </c>
      <c r="AA780" t="s">
        <v>92</v>
      </c>
      <c r="AB780" t="s">
        <v>4</v>
      </c>
      <c r="AC780" s="3" t="s">
        <v>93</v>
      </c>
      <c r="AD780" t="s">
        <v>4</v>
      </c>
      <c r="AE780" s="4" t="s">
        <v>94</v>
      </c>
      <c r="AZ780" t="s">
        <v>4</v>
      </c>
      <c r="BA780" s="3" t="s">
        <v>95</v>
      </c>
      <c r="BB780" s="6" t="s">
        <v>95</v>
      </c>
      <c r="BC780" s="3" t="s">
        <v>95</v>
      </c>
      <c r="BD780" t="s">
        <v>4</v>
      </c>
      <c r="BE780">
        <v>819</v>
      </c>
      <c r="BF780" t="s">
        <v>604</v>
      </c>
      <c r="BG780">
        <v>94.366200000000006</v>
      </c>
      <c r="CK780">
        <v>1.5</v>
      </c>
      <c r="CL780" t="s">
        <v>4</v>
      </c>
      <c r="CM780" t="s">
        <v>98</v>
      </c>
      <c r="CN780" t="s">
        <v>98</v>
      </c>
      <c r="CO780" t="s">
        <v>99</v>
      </c>
      <c r="CP780" s="7">
        <v>221</v>
      </c>
      <c r="CQ780" t="s">
        <v>100</v>
      </c>
      <c r="CR780" t="s">
        <v>100</v>
      </c>
      <c r="CS780" t="s">
        <v>101</v>
      </c>
      <c r="CT780" t="s">
        <v>100</v>
      </c>
      <c r="CU780" t="s">
        <v>102</v>
      </c>
      <c r="CV780" t="s">
        <v>100</v>
      </c>
    </row>
    <row r="781" spans="1:100">
      <c r="A781" s="3" t="s">
        <v>9065</v>
      </c>
      <c r="B781" s="4" t="s">
        <v>9066</v>
      </c>
      <c r="C781">
        <v>31.439232198471199</v>
      </c>
      <c r="D781">
        <v>6.3679593052364902</v>
      </c>
      <c r="E781">
        <v>2.3044478654355798</v>
      </c>
      <c r="F781">
        <v>1.2457216476504499E-2</v>
      </c>
      <c r="G781" t="s">
        <v>4</v>
      </c>
      <c r="H781">
        <v>31.439232198471199</v>
      </c>
      <c r="I781">
        <v>0.82085186003408706</v>
      </c>
      <c r="J781">
        <v>5.1292628909274098</v>
      </c>
      <c r="K781">
        <v>1.69233497440695E-4</v>
      </c>
      <c r="L781" t="s">
        <v>4</v>
      </c>
      <c r="M781">
        <v>6.3679593052364902</v>
      </c>
      <c r="N781">
        <v>0.82085186003408706</v>
      </c>
      <c r="O781">
        <v>2.8248150254918198</v>
      </c>
      <c r="P781">
        <v>5.1276159143812998E-2</v>
      </c>
      <c r="Q781" t="s">
        <v>4</v>
      </c>
      <c r="R781" s="4" t="s">
        <v>87</v>
      </c>
      <c r="S781" t="s">
        <v>4</v>
      </c>
      <c r="T781" t="s">
        <v>92</v>
      </c>
      <c r="U781" t="s">
        <v>92</v>
      </c>
      <c r="V781" t="s">
        <v>92</v>
      </c>
      <c r="W781" t="s">
        <v>92</v>
      </c>
      <c r="X781" t="s">
        <v>4</v>
      </c>
      <c r="Y781" t="s">
        <v>7298</v>
      </c>
      <c r="Z781" t="s">
        <v>7299</v>
      </c>
      <c r="AA781" t="s">
        <v>7300</v>
      </c>
      <c r="AB781" t="s">
        <v>4</v>
      </c>
      <c r="AC781" s="3" t="s">
        <v>9067</v>
      </c>
      <c r="AD781" t="s">
        <v>4</v>
      </c>
      <c r="AE781" s="4" t="s">
        <v>94</v>
      </c>
      <c r="AZ781" t="s">
        <v>4</v>
      </c>
      <c r="BA781" s="3" t="s">
        <v>95</v>
      </c>
      <c r="BB781" s="6" t="s">
        <v>95</v>
      </c>
      <c r="BC781" s="3" t="s">
        <v>95</v>
      </c>
      <c r="BD781" t="s">
        <v>4</v>
      </c>
      <c r="BE781">
        <v>1292</v>
      </c>
      <c r="BF781" t="s">
        <v>151</v>
      </c>
      <c r="BG781">
        <v>82.666700000000006</v>
      </c>
      <c r="BI781">
        <v>82.666700000000006</v>
      </c>
      <c r="BJ781" t="s">
        <v>9068</v>
      </c>
      <c r="CK781">
        <v>2</v>
      </c>
      <c r="CL781" t="s">
        <v>4</v>
      </c>
      <c r="CM781" t="s">
        <v>98</v>
      </c>
      <c r="CN781" t="s">
        <v>98</v>
      </c>
      <c r="CO781" t="s">
        <v>99</v>
      </c>
      <c r="CP781" s="7">
        <v>222</v>
      </c>
      <c r="CQ781" t="s">
        <v>100</v>
      </c>
      <c r="CR781" t="s">
        <v>100</v>
      </c>
      <c r="CS781" t="s">
        <v>101</v>
      </c>
      <c r="CT781" t="s">
        <v>100</v>
      </c>
      <c r="CU781" t="s">
        <v>102</v>
      </c>
      <c r="CV781" t="s">
        <v>100</v>
      </c>
    </row>
    <row r="782" spans="1:100">
      <c r="A782" s="3" t="s">
        <v>9069</v>
      </c>
      <c r="B782" s="4" t="s">
        <v>9070</v>
      </c>
      <c r="C782">
        <v>403.56870448086801</v>
      </c>
      <c r="D782">
        <v>110.371787883689</v>
      </c>
      <c r="E782">
        <v>1.86782771476272</v>
      </c>
      <c r="F782" s="5">
        <v>6.5831926023827403E-6</v>
      </c>
      <c r="G782" t="s">
        <v>4</v>
      </c>
      <c r="H782">
        <v>403.56870448086801</v>
      </c>
      <c r="I782">
        <v>10.732577083851099</v>
      </c>
      <c r="J782">
        <v>5.1275043843235499</v>
      </c>
      <c r="K782" s="5">
        <v>3.8791881498907203E-26</v>
      </c>
      <c r="L782" t="s">
        <v>4</v>
      </c>
      <c r="M782">
        <v>110.371787883689</v>
      </c>
      <c r="N782">
        <v>10.732577083851099</v>
      </c>
      <c r="O782">
        <v>3.2596766695608301</v>
      </c>
      <c r="P782" s="5">
        <v>4.5034103387015599E-11</v>
      </c>
      <c r="Q782" t="s">
        <v>4</v>
      </c>
      <c r="R782" s="4" t="s">
        <v>87</v>
      </c>
      <c r="S782" t="s">
        <v>4</v>
      </c>
      <c r="T782" t="s">
        <v>9071</v>
      </c>
      <c r="U782" t="s">
        <v>9072</v>
      </c>
      <c r="V782" t="s">
        <v>9073</v>
      </c>
      <c r="W782" t="s">
        <v>976</v>
      </c>
      <c r="X782" t="s">
        <v>4</v>
      </c>
      <c r="Y782" t="s">
        <v>9074</v>
      </c>
      <c r="Z782" t="s">
        <v>9075</v>
      </c>
      <c r="AA782" t="s">
        <v>9076</v>
      </c>
      <c r="AB782" t="s">
        <v>4</v>
      </c>
      <c r="AC782" s="3" t="s">
        <v>9077</v>
      </c>
      <c r="AD782" t="s">
        <v>4</v>
      </c>
      <c r="AE782" t="s">
        <v>9078</v>
      </c>
      <c r="AF782" t="s">
        <v>9079</v>
      </c>
      <c r="AG782" t="s">
        <v>9080</v>
      </c>
      <c r="AH782" t="s">
        <v>112</v>
      </c>
      <c r="AL782" t="s">
        <v>9081</v>
      </c>
      <c r="AQ782" t="s">
        <v>8914</v>
      </c>
      <c r="AU782" t="s">
        <v>112</v>
      </c>
      <c r="AV782" t="s">
        <v>9082</v>
      </c>
      <c r="AW782" t="s">
        <v>114</v>
      </c>
      <c r="AX782" t="s">
        <v>1879</v>
      </c>
      <c r="AY782" t="s">
        <v>9083</v>
      </c>
      <c r="AZ782" t="s">
        <v>4</v>
      </c>
      <c r="BA782" s="3" t="s">
        <v>95</v>
      </c>
      <c r="BB782" s="6" t="s">
        <v>95</v>
      </c>
      <c r="BC782" s="3" t="s">
        <v>95</v>
      </c>
      <c r="BD782" t="s">
        <v>4</v>
      </c>
      <c r="BE782">
        <v>8084</v>
      </c>
      <c r="BF782" t="s">
        <v>213</v>
      </c>
      <c r="BG782" t="s">
        <v>9084</v>
      </c>
      <c r="BH782">
        <v>84.070800000000006</v>
      </c>
      <c r="BI782">
        <v>66.150400000000005</v>
      </c>
      <c r="BJ782">
        <v>65.265500000000003</v>
      </c>
      <c r="BK782">
        <v>7.5221200000000001</v>
      </c>
      <c r="BL782">
        <v>45.575200000000002</v>
      </c>
      <c r="BM782">
        <v>59.734499999999997</v>
      </c>
      <c r="BN782">
        <v>61.946899999999999</v>
      </c>
      <c r="BO782">
        <v>60.177</v>
      </c>
      <c r="BQ782">
        <v>19.469000000000001</v>
      </c>
      <c r="CB782">
        <v>25.442499999999999</v>
      </c>
      <c r="CD782" t="s">
        <v>9085</v>
      </c>
      <c r="CE782">
        <v>19.026499999999999</v>
      </c>
      <c r="CF782">
        <v>24.557500000000001</v>
      </c>
      <c r="CG782">
        <v>22.787600000000001</v>
      </c>
      <c r="CH782">
        <v>22.345099999999999</v>
      </c>
      <c r="CI782">
        <v>23.672599999999999</v>
      </c>
      <c r="CK782">
        <v>8</v>
      </c>
      <c r="CL782" t="s">
        <v>4</v>
      </c>
      <c r="CM782" t="s">
        <v>98</v>
      </c>
      <c r="CN782" t="s">
        <v>98</v>
      </c>
      <c r="CO782" t="s">
        <v>99</v>
      </c>
      <c r="CP782" s="7">
        <v>223</v>
      </c>
      <c r="CQ782" t="s">
        <v>100</v>
      </c>
      <c r="CR782" t="s">
        <v>100</v>
      </c>
      <c r="CS782" t="s">
        <v>101</v>
      </c>
      <c r="CT782" t="s">
        <v>152</v>
      </c>
      <c r="CU782" t="s">
        <v>102</v>
      </c>
      <c r="CV782" t="s">
        <v>100</v>
      </c>
    </row>
    <row r="783" spans="1:100">
      <c r="A783" s="3" t="s">
        <v>9086</v>
      </c>
      <c r="B783" s="4" t="s">
        <v>9087</v>
      </c>
      <c r="C783">
        <v>17.5881275165764</v>
      </c>
      <c r="D783">
        <v>1.8641903522555401</v>
      </c>
      <c r="E783">
        <v>3.2265821533591299</v>
      </c>
      <c r="F783">
        <v>2.66849578407506E-2</v>
      </c>
      <c r="G783" t="s">
        <v>4</v>
      </c>
      <c r="H783">
        <v>17.5881275165764</v>
      </c>
      <c r="I783">
        <v>0.483834107178163</v>
      </c>
      <c r="J783">
        <v>5.1195946089535296</v>
      </c>
      <c r="K783">
        <v>4.05484252343059E-3</v>
      </c>
      <c r="L783" t="s">
        <v>4</v>
      </c>
      <c r="M783">
        <v>1.8641903522555401</v>
      </c>
      <c r="N783">
        <v>0.483834107178163</v>
      </c>
      <c r="O783">
        <v>1.8930124555943999</v>
      </c>
      <c r="P783">
        <v>0.35996369002911199</v>
      </c>
      <c r="Q783" t="s">
        <v>4</v>
      </c>
      <c r="R783" s="4" t="s">
        <v>87</v>
      </c>
      <c r="S783" t="s">
        <v>4</v>
      </c>
      <c r="T783" t="s">
        <v>9088</v>
      </c>
      <c r="U783" t="s">
        <v>9089</v>
      </c>
      <c r="V783" t="s">
        <v>9090</v>
      </c>
      <c r="W783" t="s">
        <v>7033</v>
      </c>
      <c r="X783" t="s">
        <v>4</v>
      </c>
      <c r="Y783" t="s">
        <v>9091</v>
      </c>
      <c r="Z783" t="s">
        <v>9092</v>
      </c>
      <c r="AA783" t="s">
        <v>9093</v>
      </c>
      <c r="AB783" t="s">
        <v>4</v>
      </c>
      <c r="AC783" s="3" t="s">
        <v>9094</v>
      </c>
      <c r="AD783" t="s">
        <v>4</v>
      </c>
      <c r="AE783" s="4" t="s">
        <v>94</v>
      </c>
      <c r="AZ783" t="s">
        <v>4</v>
      </c>
      <c r="BA783" s="3" t="s">
        <v>95</v>
      </c>
      <c r="BB783" s="6" t="s">
        <v>95</v>
      </c>
      <c r="BC783" s="3" t="s">
        <v>197</v>
      </c>
      <c r="BD783" t="s">
        <v>4</v>
      </c>
      <c r="BE783">
        <v>1851</v>
      </c>
      <c r="BF783" t="s">
        <v>148</v>
      </c>
      <c r="BG783">
        <v>88.148099999999999</v>
      </c>
      <c r="BI783">
        <v>51.851900000000001</v>
      </c>
      <c r="BJ783">
        <v>45.925899999999999</v>
      </c>
      <c r="BK783">
        <v>14.0741</v>
      </c>
      <c r="BM783">
        <v>29.6296</v>
      </c>
      <c r="BN783">
        <v>42.222200000000001</v>
      </c>
      <c r="CK783">
        <v>3</v>
      </c>
      <c r="CL783" t="s">
        <v>4</v>
      </c>
      <c r="CM783" t="s">
        <v>98</v>
      </c>
      <c r="CN783" t="s">
        <v>98</v>
      </c>
      <c r="CO783" t="s">
        <v>99</v>
      </c>
      <c r="CP783" s="7">
        <v>224</v>
      </c>
      <c r="CQ783" t="s">
        <v>100</v>
      </c>
      <c r="CR783" t="s">
        <v>100</v>
      </c>
      <c r="CS783" t="s">
        <v>101</v>
      </c>
      <c r="CT783" t="s">
        <v>100</v>
      </c>
      <c r="CU783" t="s">
        <v>102</v>
      </c>
      <c r="CV783" t="s">
        <v>100</v>
      </c>
    </row>
    <row r="784" spans="1:100">
      <c r="A784" s="3" t="s">
        <v>9095</v>
      </c>
      <c r="B784" s="4" t="s">
        <v>9096</v>
      </c>
      <c r="C784">
        <v>33.407691115051598</v>
      </c>
      <c r="D784">
        <v>7.2318384423632898</v>
      </c>
      <c r="E784">
        <v>2.22244066843996</v>
      </c>
      <c r="F784">
        <v>2.9682618857895599E-2</v>
      </c>
      <c r="G784" t="s">
        <v>4</v>
      </c>
      <c r="H784">
        <v>33.407691115051598</v>
      </c>
      <c r="I784">
        <v>1.1205238550774099</v>
      </c>
      <c r="J784">
        <v>5.1150029940547199</v>
      </c>
      <c r="K784">
        <v>2.78801493379226E-4</v>
      </c>
      <c r="L784" t="s">
        <v>4</v>
      </c>
      <c r="M784">
        <v>7.2318384423632898</v>
      </c>
      <c r="N784">
        <v>1.1205238550774099</v>
      </c>
      <c r="O784">
        <v>2.8925623256147599</v>
      </c>
      <c r="P784">
        <v>5.16254387566559E-2</v>
      </c>
      <c r="Q784" t="s">
        <v>4</v>
      </c>
      <c r="R784" s="4" t="s">
        <v>87</v>
      </c>
      <c r="S784" t="s">
        <v>4</v>
      </c>
      <c r="T784" t="s">
        <v>445</v>
      </c>
      <c r="U784" t="s">
        <v>446</v>
      </c>
      <c r="V784" t="s">
        <v>447</v>
      </c>
      <c r="W784" t="s">
        <v>91</v>
      </c>
      <c r="X784" t="s">
        <v>4</v>
      </c>
      <c r="Y784" t="s">
        <v>448</v>
      </c>
      <c r="Z784" t="s">
        <v>449</v>
      </c>
      <c r="AA784" t="s">
        <v>450</v>
      </c>
      <c r="AB784" t="s">
        <v>4</v>
      </c>
      <c r="AC784" s="3" t="s">
        <v>451</v>
      </c>
      <c r="AD784" t="s">
        <v>4</v>
      </c>
      <c r="AE784" t="s">
        <v>9097</v>
      </c>
      <c r="AF784" t="s">
        <v>9098</v>
      </c>
      <c r="AG784" t="s">
        <v>9099</v>
      </c>
      <c r="AH784" t="s">
        <v>112</v>
      </c>
      <c r="AU784" t="s">
        <v>112</v>
      </c>
      <c r="AV784" t="s">
        <v>9100</v>
      </c>
      <c r="AW784" t="s">
        <v>114</v>
      </c>
      <c r="AX784" t="s">
        <v>1938</v>
      </c>
      <c r="AY784" t="s">
        <v>456</v>
      </c>
      <c r="AZ784" t="s">
        <v>4</v>
      </c>
      <c r="BA784" s="3" t="s">
        <v>115</v>
      </c>
      <c r="BB784" t="s">
        <v>96</v>
      </c>
      <c r="BC784" s="3" t="s">
        <v>95</v>
      </c>
      <c r="BD784" t="s">
        <v>4</v>
      </c>
      <c r="BE784">
        <v>3564</v>
      </c>
      <c r="BF784" t="s">
        <v>112</v>
      </c>
      <c r="BG784">
        <v>44.583300000000001</v>
      </c>
      <c r="BI784" t="s">
        <v>9101</v>
      </c>
      <c r="BJ784">
        <v>39.583300000000001</v>
      </c>
      <c r="BK784">
        <v>47.083300000000001</v>
      </c>
      <c r="BL784">
        <v>42.5</v>
      </c>
      <c r="BM784">
        <v>42.083300000000001</v>
      </c>
      <c r="BN784">
        <v>47.083300000000001</v>
      </c>
      <c r="BO784">
        <v>62.083300000000001</v>
      </c>
      <c r="BP784" t="s">
        <v>9102</v>
      </c>
      <c r="BQ784">
        <v>27.083300000000001</v>
      </c>
      <c r="BR784">
        <v>35.833300000000001</v>
      </c>
      <c r="BW784" t="s">
        <v>9103</v>
      </c>
      <c r="BX784">
        <v>28.333300000000001</v>
      </c>
      <c r="CA784" t="s">
        <v>9104</v>
      </c>
      <c r="CK784">
        <v>5</v>
      </c>
      <c r="CL784" t="s">
        <v>4</v>
      </c>
      <c r="CM784" t="s">
        <v>9105</v>
      </c>
      <c r="CN784" t="s">
        <v>9106</v>
      </c>
      <c r="CO784" t="s">
        <v>1467</v>
      </c>
      <c r="CP784" s="7">
        <v>225</v>
      </c>
      <c r="CQ784" t="s">
        <v>100</v>
      </c>
      <c r="CR784" t="s">
        <v>100</v>
      </c>
      <c r="CS784" t="s">
        <v>101</v>
      </c>
      <c r="CT784" t="s">
        <v>100</v>
      </c>
      <c r="CU784" t="s">
        <v>102</v>
      </c>
      <c r="CV784" t="s">
        <v>100</v>
      </c>
    </row>
    <row r="785" spans="1:100">
      <c r="A785" s="3" t="s">
        <v>9107</v>
      </c>
      <c r="B785" s="4" t="s">
        <v>9108</v>
      </c>
      <c r="C785">
        <v>734.65396788792702</v>
      </c>
      <c r="D785">
        <v>257.49992509647501</v>
      </c>
      <c r="E785">
        <v>1.51187866304037</v>
      </c>
      <c r="F785">
        <v>4.5068919493201199E-4</v>
      </c>
      <c r="G785" t="s">
        <v>4</v>
      </c>
      <c r="H785">
        <v>734.65396788792702</v>
      </c>
      <c r="I785">
        <v>20.460140195533299</v>
      </c>
      <c r="J785">
        <v>5.1002454204044403</v>
      </c>
      <c r="K785" s="5">
        <v>1.5238965742284899E-29</v>
      </c>
      <c r="L785" t="s">
        <v>4</v>
      </c>
      <c r="M785">
        <v>257.49992509647501</v>
      </c>
      <c r="N785">
        <v>20.460140195533299</v>
      </c>
      <c r="O785">
        <v>3.5883667573640698</v>
      </c>
      <c r="P785" s="5">
        <v>4.0351802070468599E-15</v>
      </c>
      <c r="Q785" t="s">
        <v>4</v>
      </c>
      <c r="R785" s="4" t="s">
        <v>87</v>
      </c>
      <c r="S785" t="s">
        <v>4</v>
      </c>
      <c r="T785" t="s">
        <v>9109</v>
      </c>
      <c r="U785" t="s">
        <v>9110</v>
      </c>
      <c r="V785" t="s">
        <v>9111</v>
      </c>
      <c r="W785" t="s">
        <v>1915</v>
      </c>
      <c r="X785" t="s">
        <v>4</v>
      </c>
      <c r="Y785" t="s">
        <v>9112</v>
      </c>
      <c r="Z785" t="s">
        <v>9113</v>
      </c>
      <c r="AA785" t="s">
        <v>9114</v>
      </c>
      <c r="AB785" t="s">
        <v>4</v>
      </c>
      <c r="AC785" s="3" t="s">
        <v>9115</v>
      </c>
      <c r="AD785" t="s">
        <v>4</v>
      </c>
      <c r="AE785" s="4" t="s">
        <v>94</v>
      </c>
      <c r="AZ785" t="s">
        <v>4</v>
      </c>
      <c r="BA785" s="3" t="s">
        <v>95</v>
      </c>
      <c r="BB785" s="6" t="s">
        <v>95</v>
      </c>
      <c r="BC785" s="3" t="s">
        <v>95</v>
      </c>
      <c r="BD785" t="s">
        <v>4</v>
      </c>
      <c r="BE785">
        <v>970</v>
      </c>
      <c r="BF785" t="s">
        <v>151</v>
      </c>
      <c r="BH785">
        <v>94.615399999999994</v>
      </c>
      <c r="BI785">
        <v>50.769199999999998</v>
      </c>
      <c r="CK785">
        <v>2</v>
      </c>
      <c r="CL785" t="s">
        <v>4</v>
      </c>
      <c r="CM785" t="s">
        <v>98</v>
      </c>
      <c r="CN785" t="s">
        <v>98</v>
      </c>
      <c r="CO785" t="s">
        <v>99</v>
      </c>
      <c r="CP785" s="7">
        <v>226</v>
      </c>
      <c r="CQ785" t="s">
        <v>100</v>
      </c>
      <c r="CR785" t="s">
        <v>100</v>
      </c>
      <c r="CS785" t="s">
        <v>101</v>
      </c>
      <c r="CT785" t="s">
        <v>152</v>
      </c>
      <c r="CU785" t="s">
        <v>102</v>
      </c>
      <c r="CV785" t="s">
        <v>100</v>
      </c>
    </row>
    <row r="786" spans="1:100">
      <c r="A786" s="3" t="s">
        <v>9116</v>
      </c>
      <c r="B786" s="4" t="s">
        <v>9117</v>
      </c>
      <c r="C786">
        <v>1073.95879148577</v>
      </c>
      <c r="D786">
        <v>367.44245437625102</v>
      </c>
      <c r="E786">
        <v>1.5469534201594599</v>
      </c>
      <c r="F786" s="5">
        <v>2.7193398489290101E-5</v>
      </c>
      <c r="G786" t="s">
        <v>4</v>
      </c>
      <c r="H786">
        <v>1073.95879148577</v>
      </c>
      <c r="I786">
        <v>32.5261430410822</v>
      </c>
      <c r="J786">
        <v>5.00392725664965</v>
      </c>
      <c r="K786" s="5">
        <v>7.5795024752170497E-39</v>
      </c>
      <c r="L786" t="s">
        <v>4</v>
      </c>
      <c r="M786">
        <v>367.44245437625102</v>
      </c>
      <c r="N786">
        <v>32.5261430410822</v>
      </c>
      <c r="O786">
        <v>3.4569738364901901</v>
      </c>
      <c r="P786" s="5">
        <v>5.1965477924086496E-19</v>
      </c>
      <c r="Q786" t="s">
        <v>4</v>
      </c>
      <c r="R786" s="4" t="s">
        <v>87</v>
      </c>
      <c r="S786" t="s">
        <v>4</v>
      </c>
      <c r="T786" t="s">
        <v>92</v>
      </c>
      <c r="U786" t="s">
        <v>92</v>
      </c>
      <c r="V786" t="s">
        <v>92</v>
      </c>
      <c r="W786" t="s">
        <v>92</v>
      </c>
      <c r="X786" t="s">
        <v>4</v>
      </c>
      <c r="Y786" t="s">
        <v>9118</v>
      </c>
      <c r="Z786" t="s">
        <v>9119</v>
      </c>
      <c r="AA786" t="s">
        <v>9120</v>
      </c>
      <c r="AB786" t="s">
        <v>4</v>
      </c>
      <c r="AC786" s="3" t="s">
        <v>9121</v>
      </c>
      <c r="AD786" t="s">
        <v>4</v>
      </c>
      <c r="AE786" t="s">
        <v>9122</v>
      </c>
      <c r="AF786" t="s">
        <v>9123</v>
      </c>
      <c r="AG786" t="s">
        <v>9124</v>
      </c>
      <c r="AH786" t="s">
        <v>112</v>
      </c>
      <c r="AJ786" t="s">
        <v>9125</v>
      </c>
      <c r="AU786" t="s">
        <v>112</v>
      </c>
      <c r="AV786" t="s">
        <v>9126</v>
      </c>
      <c r="AW786" t="s">
        <v>114</v>
      </c>
      <c r="AX786" t="s">
        <v>144</v>
      </c>
      <c r="AY786" t="s">
        <v>2240</v>
      </c>
      <c r="AZ786" t="s">
        <v>4</v>
      </c>
      <c r="BA786" s="3" t="s">
        <v>95</v>
      </c>
      <c r="BB786" s="6" t="s">
        <v>95</v>
      </c>
      <c r="BC786" s="3" t="s">
        <v>95</v>
      </c>
      <c r="BD786" t="s">
        <v>4</v>
      </c>
      <c r="BE786">
        <v>7595</v>
      </c>
      <c r="BF786" t="s">
        <v>213</v>
      </c>
      <c r="BG786">
        <v>98.791499999999999</v>
      </c>
      <c r="BH786">
        <v>71.903300000000002</v>
      </c>
      <c r="BI786">
        <v>93.051400000000001</v>
      </c>
      <c r="BJ786">
        <v>86.706900000000005</v>
      </c>
      <c r="BK786">
        <v>81.873099999999994</v>
      </c>
      <c r="BL786">
        <v>70.090599999999995</v>
      </c>
      <c r="BM786">
        <v>83.987899999999996</v>
      </c>
      <c r="BN786">
        <v>83.987899999999996</v>
      </c>
      <c r="BO786">
        <v>83.081599999999995</v>
      </c>
      <c r="BP786">
        <v>46.827800000000003</v>
      </c>
      <c r="BQ786">
        <v>24.1692</v>
      </c>
      <c r="BR786">
        <v>27.4924</v>
      </c>
      <c r="BS786">
        <v>22.6586</v>
      </c>
      <c r="BU786">
        <v>35.951700000000002</v>
      </c>
      <c r="BV786" t="s">
        <v>9127</v>
      </c>
      <c r="BX786">
        <v>34.743200000000002</v>
      </c>
      <c r="BY786">
        <v>34.743200000000002</v>
      </c>
      <c r="BZ786">
        <v>24.773399999999999</v>
      </c>
      <c r="CA786">
        <v>28.700900000000001</v>
      </c>
      <c r="CB786">
        <v>15.105700000000001</v>
      </c>
      <c r="CD786">
        <v>22.054400000000001</v>
      </c>
      <c r="CG786">
        <v>21.148</v>
      </c>
      <c r="CH786">
        <v>19.033200000000001</v>
      </c>
      <c r="CI786">
        <v>16.918399999999998</v>
      </c>
      <c r="CK786">
        <v>8</v>
      </c>
      <c r="CL786" t="s">
        <v>4</v>
      </c>
      <c r="CM786" t="s">
        <v>9128</v>
      </c>
      <c r="CN786" t="s">
        <v>9129</v>
      </c>
      <c r="CO786" t="s">
        <v>219</v>
      </c>
      <c r="CP786" s="7">
        <v>227</v>
      </c>
      <c r="CQ786" t="s">
        <v>100</v>
      </c>
      <c r="CR786" t="s">
        <v>100</v>
      </c>
      <c r="CS786" t="s">
        <v>101</v>
      </c>
      <c r="CT786" t="s">
        <v>152</v>
      </c>
      <c r="CU786" t="s">
        <v>102</v>
      </c>
      <c r="CV786" t="s">
        <v>100</v>
      </c>
    </row>
    <row r="787" spans="1:100">
      <c r="A787" s="3" t="s">
        <v>9130</v>
      </c>
      <c r="B787" s="4" t="s">
        <v>9131</v>
      </c>
      <c r="C787">
        <v>1120.18429567362</v>
      </c>
      <c r="D787">
        <v>298.90083483162903</v>
      </c>
      <c r="E787">
        <v>1.90561779417425</v>
      </c>
      <c r="F787">
        <v>1.35830754973557E-3</v>
      </c>
      <c r="G787" t="s">
        <v>4</v>
      </c>
      <c r="H787">
        <v>1120.18429567362</v>
      </c>
      <c r="I787">
        <v>34.749623597006597</v>
      </c>
      <c r="J787">
        <v>4.9640394343416903</v>
      </c>
      <c r="K787" s="5">
        <v>6.2569736304676703E-18</v>
      </c>
      <c r="L787" t="s">
        <v>4</v>
      </c>
      <c r="M787">
        <v>298.90083483162903</v>
      </c>
      <c r="N787">
        <v>34.749623597006597</v>
      </c>
      <c r="O787">
        <v>3.05842164016744</v>
      </c>
      <c r="P787" s="5">
        <v>1.6365991367046599E-7</v>
      </c>
      <c r="Q787" t="s">
        <v>4</v>
      </c>
      <c r="R787" s="4" t="s">
        <v>87</v>
      </c>
      <c r="S787" t="s">
        <v>4</v>
      </c>
      <c r="T787" t="s">
        <v>88</v>
      </c>
      <c r="U787" t="s">
        <v>89</v>
      </c>
      <c r="V787" t="s">
        <v>90</v>
      </c>
      <c r="W787" t="s">
        <v>91</v>
      </c>
      <c r="X787" t="s">
        <v>4</v>
      </c>
      <c r="Y787" t="s">
        <v>92</v>
      </c>
      <c r="Z787" t="s">
        <v>92</v>
      </c>
      <c r="AA787" t="s">
        <v>92</v>
      </c>
      <c r="AB787" t="s">
        <v>4</v>
      </c>
      <c r="AC787" s="3" t="s">
        <v>93</v>
      </c>
      <c r="AD787" t="s">
        <v>4</v>
      </c>
      <c r="AE787" s="4" t="s">
        <v>94</v>
      </c>
      <c r="AZ787" t="s">
        <v>4</v>
      </c>
      <c r="BA787" s="3" t="s">
        <v>95</v>
      </c>
      <c r="BB787" t="s">
        <v>96</v>
      </c>
      <c r="BC787" s="3" t="s">
        <v>95</v>
      </c>
      <c r="BD787" t="s">
        <v>4</v>
      </c>
      <c r="BE787">
        <v>2676</v>
      </c>
      <c r="BF787" t="s">
        <v>97</v>
      </c>
      <c r="BG787">
        <v>97.959199999999996</v>
      </c>
      <c r="BI787">
        <v>90.136099999999999</v>
      </c>
      <c r="BJ787">
        <v>66.666700000000006</v>
      </c>
      <c r="BK787">
        <v>59.523800000000001</v>
      </c>
      <c r="BL787">
        <v>41.496600000000001</v>
      </c>
      <c r="BM787">
        <v>53.741500000000002</v>
      </c>
      <c r="BN787">
        <v>53.061199999999999</v>
      </c>
      <c r="BO787">
        <v>40.816299999999998</v>
      </c>
      <c r="BP787">
        <v>22.449000000000002</v>
      </c>
      <c r="CK787">
        <v>4</v>
      </c>
      <c r="CL787" t="s">
        <v>4</v>
      </c>
      <c r="CM787" t="s">
        <v>98</v>
      </c>
      <c r="CN787" t="s">
        <v>98</v>
      </c>
      <c r="CO787" t="s">
        <v>99</v>
      </c>
      <c r="CP787" s="7">
        <v>228</v>
      </c>
      <c r="CQ787" t="s">
        <v>100</v>
      </c>
      <c r="CR787" t="s">
        <v>100</v>
      </c>
      <c r="CS787" t="s">
        <v>101</v>
      </c>
      <c r="CT787" t="s">
        <v>152</v>
      </c>
      <c r="CU787" t="s">
        <v>102</v>
      </c>
      <c r="CV787" t="s">
        <v>100</v>
      </c>
    </row>
    <row r="788" spans="1:100">
      <c r="A788" s="3" t="s">
        <v>9132</v>
      </c>
      <c r="B788" s="4" t="s">
        <v>9133</v>
      </c>
      <c r="C788">
        <v>30.346178481921601</v>
      </c>
      <c r="D788">
        <v>5.3119508969310001</v>
      </c>
      <c r="E788">
        <v>2.5289563511559199</v>
      </c>
      <c r="F788">
        <v>2.9838593323102101E-2</v>
      </c>
      <c r="G788" t="s">
        <v>4</v>
      </c>
      <c r="H788">
        <v>30.346178481921601</v>
      </c>
      <c r="I788">
        <v>1.1205238550774099</v>
      </c>
      <c r="J788">
        <v>4.9551497677195204</v>
      </c>
      <c r="K788">
        <v>9.0459910959124002E-4</v>
      </c>
      <c r="L788" t="s">
        <v>4</v>
      </c>
      <c r="M788">
        <v>5.3119508969310001</v>
      </c>
      <c r="N788">
        <v>1.1205238550774099</v>
      </c>
      <c r="O788">
        <v>2.4261934165636099</v>
      </c>
      <c r="P788">
        <v>0.133548440843996</v>
      </c>
      <c r="Q788" t="s">
        <v>4</v>
      </c>
      <c r="R788" s="4" t="s">
        <v>87</v>
      </c>
      <c r="S788" t="s">
        <v>4</v>
      </c>
      <c r="T788" t="s">
        <v>92</v>
      </c>
      <c r="U788" t="s">
        <v>92</v>
      </c>
      <c r="V788" t="s">
        <v>92</v>
      </c>
      <c r="W788" t="s">
        <v>92</v>
      </c>
      <c r="X788" t="s">
        <v>4</v>
      </c>
      <c r="Y788" t="s">
        <v>92</v>
      </c>
      <c r="Z788" t="s">
        <v>92</v>
      </c>
      <c r="AA788" t="s">
        <v>92</v>
      </c>
      <c r="AB788" t="s">
        <v>4</v>
      </c>
      <c r="AC788" s="3" t="s">
        <v>93</v>
      </c>
      <c r="AD788" t="s">
        <v>4</v>
      </c>
      <c r="AE788" s="4" t="s">
        <v>94</v>
      </c>
      <c r="AZ788" t="s">
        <v>4</v>
      </c>
      <c r="BA788" s="3" t="s">
        <v>95</v>
      </c>
      <c r="BB788" t="s">
        <v>96</v>
      </c>
      <c r="BC788" s="3" t="s">
        <v>95</v>
      </c>
      <c r="BD788" t="s">
        <v>4</v>
      </c>
      <c r="BE788">
        <v>2914</v>
      </c>
      <c r="BF788" t="s">
        <v>97</v>
      </c>
      <c r="CK788">
        <v>4</v>
      </c>
      <c r="CL788" t="s">
        <v>4</v>
      </c>
      <c r="CM788" t="s">
        <v>98</v>
      </c>
      <c r="CN788" t="s">
        <v>98</v>
      </c>
      <c r="CO788" t="s">
        <v>99</v>
      </c>
      <c r="CP788" s="7">
        <v>229</v>
      </c>
      <c r="CQ788" t="s">
        <v>100</v>
      </c>
      <c r="CR788" t="s">
        <v>100</v>
      </c>
      <c r="CS788" t="s">
        <v>101</v>
      </c>
      <c r="CT788" t="s">
        <v>100</v>
      </c>
      <c r="CU788" t="s">
        <v>102</v>
      </c>
      <c r="CV788" t="s">
        <v>100</v>
      </c>
    </row>
    <row r="789" spans="1:100">
      <c r="A789" s="3" t="s">
        <v>9134</v>
      </c>
      <c r="B789" s="4" t="s">
        <v>9135</v>
      </c>
      <c r="C789">
        <v>42.583085198917402</v>
      </c>
      <c r="D789">
        <v>8.7320840550372392</v>
      </c>
      <c r="E789">
        <v>2.2918849651206101</v>
      </c>
      <c r="F789">
        <v>1.4178567701415E-2</v>
      </c>
      <c r="G789" t="s">
        <v>4</v>
      </c>
      <c r="H789">
        <v>42.583085198917402</v>
      </c>
      <c r="I789">
        <v>1.4575416079333301</v>
      </c>
      <c r="J789">
        <v>4.9347831246243103</v>
      </c>
      <c r="K789" s="5">
        <v>5.1568889678643201E-5</v>
      </c>
      <c r="L789" t="s">
        <v>4</v>
      </c>
      <c r="M789">
        <v>8.7320840550372392</v>
      </c>
      <c r="N789">
        <v>1.4575416079333301</v>
      </c>
      <c r="O789">
        <v>2.6428981595037002</v>
      </c>
      <c r="P789">
        <v>4.0791292622970099E-2</v>
      </c>
      <c r="Q789" t="s">
        <v>4</v>
      </c>
      <c r="R789" s="4" t="s">
        <v>87</v>
      </c>
      <c r="S789" t="s">
        <v>4</v>
      </c>
      <c r="T789" t="s">
        <v>92</v>
      </c>
      <c r="U789" t="s">
        <v>92</v>
      </c>
      <c r="V789" t="s">
        <v>92</v>
      </c>
      <c r="W789" t="s">
        <v>92</v>
      </c>
      <c r="X789" t="s">
        <v>4</v>
      </c>
      <c r="Y789" t="s">
        <v>92</v>
      </c>
      <c r="Z789" t="s">
        <v>92</v>
      </c>
      <c r="AA789" t="s">
        <v>92</v>
      </c>
      <c r="AB789" t="s">
        <v>4</v>
      </c>
      <c r="AC789" s="3" t="s">
        <v>93</v>
      </c>
      <c r="AD789" t="s">
        <v>4</v>
      </c>
      <c r="AE789" s="4" t="s">
        <v>94</v>
      </c>
      <c r="AZ789" t="s">
        <v>4</v>
      </c>
      <c r="BA789" s="3" t="s">
        <v>95</v>
      </c>
      <c r="BB789" s="6" t="s">
        <v>95</v>
      </c>
      <c r="BC789" s="3" t="s">
        <v>95</v>
      </c>
      <c r="BD789" t="s">
        <v>4</v>
      </c>
      <c r="BE789">
        <v>668</v>
      </c>
      <c r="BF789" t="s">
        <v>322</v>
      </c>
      <c r="CK789">
        <v>1</v>
      </c>
      <c r="CL789" t="s">
        <v>4</v>
      </c>
      <c r="CM789" t="s">
        <v>98</v>
      </c>
      <c r="CN789" t="s">
        <v>98</v>
      </c>
      <c r="CO789" t="s">
        <v>99</v>
      </c>
      <c r="CP789" s="7">
        <v>230</v>
      </c>
      <c r="CQ789" t="s">
        <v>100</v>
      </c>
      <c r="CR789" t="s">
        <v>100</v>
      </c>
      <c r="CS789" t="s">
        <v>101</v>
      </c>
      <c r="CT789" s="7" t="s">
        <v>152</v>
      </c>
      <c r="CU789" t="s">
        <v>102</v>
      </c>
      <c r="CV789" t="s">
        <v>100</v>
      </c>
    </row>
    <row r="790" spans="1:100">
      <c r="A790" s="3" t="s">
        <v>9136</v>
      </c>
      <c r="B790" s="4" t="s">
        <v>9137</v>
      </c>
      <c r="C790">
        <v>572.53258001630002</v>
      </c>
      <c r="D790">
        <v>202.527821392655</v>
      </c>
      <c r="E790">
        <v>1.49877474891566</v>
      </c>
      <c r="F790" s="5">
        <v>3.9702145412675098E-6</v>
      </c>
      <c r="G790" t="s">
        <v>4</v>
      </c>
      <c r="H790">
        <v>572.53258001630002</v>
      </c>
      <c r="I790">
        <v>18.944568293662599</v>
      </c>
      <c r="J790">
        <v>4.89282980232767</v>
      </c>
      <c r="K790" s="5">
        <v>2.0241817746941201E-38</v>
      </c>
      <c r="L790" t="s">
        <v>4</v>
      </c>
      <c r="M790">
        <v>202.527821392655</v>
      </c>
      <c r="N790">
        <v>18.944568293662599</v>
      </c>
      <c r="O790">
        <v>3.394055053412</v>
      </c>
      <c r="P790" s="5">
        <v>8.1752343378618798E-19</v>
      </c>
      <c r="Q790" t="s">
        <v>4</v>
      </c>
      <c r="R790" s="4" t="s">
        <v>87</v>
      </c>
      <c r="S790" t="s">
        <v>4</v>
      </c>
      <c r="T790" t="s">
        <v>7556</v>
      </c>
      <c r="U790" t="s">
        <v>7557</v>
      </c>
      <c r="V790" t="s">
        <v>7558</v>
      </c>
      <c r="W790" t="s">
        <v>1833</v>
      </c>
      <c r="X790" t="s">
        <v>4</v>
      </c>
      <c r="Y790" t="s">
        <v>9138</v>
      </c>
      <c r="Z790" t="s">
        <v>9139</v>
      </c>
      <c r="AA790" t="s">
        <v>9140</v>
      </c>
      <c r="AB790" t="s">
        <v>4</v>
      </c>
      <c r="AC790" s="3" t="s">
        <v>93</v>
      </c>
      <c r="AD790" t="s">
        <v>4</v>
      </c>
      <c r="AE790" s="4" t="s">
        <v>94</v>
      </c>
      <c r="AZ790" t="s">
        <v>4</v>
      </c>
      <c r="BA790" s="3" t="s">
        <v>95</v>
      </c>
      <c r="BB790" s="6" t="s">
        <v>95</v>
      </c>
      <c r="BC790" s="3" t="s">
        <v>95</v>
      </c>
      <c r="BD790" t="s">
        <v>4</v>
      </c>
      <c r="BE790">
        <v>2972</v>
      </c>
      <c r="BF790" t="s">
        <v>97</v>
      </c>
      <c r="BG790">
        <v>97.5976</v>
      </c>
      <c r="BH790">
        <v>28.228200000000001</v>
      </c>
      <c r="BI790">
        <v>90.3904</v>
      </c>
      <c r="BJ790">
        <v>69.97</v>
      </c>
      <c r="BK790">
        <v>64.564599999999999</v>
      </c>
      <c r="BL790">
        <v>61.561599999999999</v>
      </c>
      <c r="BM790">
        <v>49.549500000000002</v>
      </c>
      <c r="BN790">
        <v>52.252299999999998</v>
      </c>
      <c r="BP790">
        <v>16.216200000000001</v>
      </c>
      <c r="CK790">
        <v>4</v>
      </c>
      <c r="CL790" t="s">
        <v>4</v>
      </c>
      <c r="CM790" t="s">
        <v>98</v>
      </c>
      <c r="CN790" t="s">
        <v>98</v>
      </c>
      <c r="CO790" t="s">
        <v>99</v>
      </c>
      <c r="CP790" s="7">
        <v>231</v>
      </c>
      <c r="CQ790" t="s">
        <v>100</v>
      </c>
      <c r="CR790" t="s">
        <v>100</v>
      </c>
      <c r="CS790" t="s">
        <v>101</v>
      </c>
      <c r="CT790" t="s">
        <v>152</v>
      </c>
      <c r="CU790" t="s">
        <v>102</v>
      </c>
      <c r="CV790" t="s">
        <v>100</v>
      </c>
    </row>
    <row r="791" spans="1:100">
      <c r="A791" s="3" t="s">
        <v>9141</v>
      </c>
      <c r="B791" s="4" t="s">
        <v>9142</v>
      </c>
      <c r="C791">
        <v>25.085046498839802</v>
      </c>
      <c r="D791">
        <v>6.1875029929252499</v>
      </c>
      <c r="E791">
        <v>2.03140964967535</v>
      </c>
      <c r="F791">
        <v>2.9546128601670201E-2</v>
      </c>
      <c r="G791" t="s">
        <v>4</v>
      </c>
      <c r="H791">
        <v>25.085046498839802</v>
      </c>
      <c r="I791">
        <v>0.67403550571184701</v>
      </c>
      <c r="J791">
        <v>4.8588905870265</v>
      </c>
      <c r="K791">
        <v>4.37520197960318E-4</v>
      </c>
      <c r="L791" t="s">
        <v>4</v>
      </c>
      <c r="M791">
        <v>6.1875029929252499</v>
      </c>
      <c r="N791">
        <v>0.67403550571184701</v>
      </c>
      <c r="O791">
        <v>2.82748093735115</v>
      </c>
      <c r="P791">
        <v>5.3395603213295201E-2</v>
      </c>
      <c r="Q791" t="s">
        <v>4</v>
      </c>
      <c r="R791" s="4" t="s">
        <v>87</v>
      </c>
      <c r="S791" t="s">
        <v>4</v>
      </c>
      <c r="T791" t="s">
        <v>92</v>
      </c>
      <c r="U791" t="s">
        <v>92</v>
      </c>
      <c r="V791" t="s">
        <v>92</v>
      </c>
      <c r="W791" t="s">
        <v>92</v>
      </c>
      <c r="X791" t="s">
        <v>4</v>
      </c>
      <c r="Y791" t="s">
        <v>92</v>
      </c>
      <c r="Z791" t="s">
        <v>92</v>
      </c>
      <c r="AA791" t="s">
        <v>92</v>
      </c>
      <c r="AB791" t="s">
        <v>4</v>
      </c>
      <c r="AC791" s="3" t="s">
        <v>93</v>
      </c>
      <c r="AD791" t="s">
        <v>4</v>
      </c>
      <c r="AE791" s="4" t="s">
        <v>94</v>
      </c>
      <c r="AZ791" t="s">
        <v>4</v>
      </c>
      <c r="BA791" s="3" t="s">
        <v>95</v>
      </c>
      <c r="BB791" s="6" t="s">
        <v>95</v>
      </c>
      <c r="BC791" s="3" t="s">
        <v>197</v>
      </c>
      <c r="BD791" t="s">
        <v>4</v>
      </c>
      <c r="BE791">
        <v>1751</v>
      </c>
      <c r="BF791" t="s">
        <v>151</v>
      </c>
      <c r="BG791">
        <v>69.047600000000003</v>
      </c>
      <c r="BI791">
        <v>35.714300000000001</v>
      </c>
      <c r="CK791">
        <v>2</v>
      </c>
      <c r="CL791" t="s">
        <v>4</v>
      </c>
      <c r="CM791" t="s">
        <v>98</v>
      </c>
      <c r="CN791" t="s">
        <v>98</v>
      </c>
      <c r="CO791" t="s">
        <v>99</v>
      </c>
      <c r="CP791" s="7">
        <v>232</v>
      </c>
      <c r="CQ791" t="s">
        <v>100</v>
      </c>
      <c r="CR791" t="s">
        <v>100</v>
      </c>
      <c r="CS791" t="s">
        <v>101</v>
      </c>
      <c r="CT791" t="s">
        <v>100</v>
      </c>
      <c r="CU791" t="s">
        <v>102</v>
      </c>
      <c r="CV791" t="s">
        <v>100</v>
      </c>
    </row>
    <row r="792" spans="1:100">
      <c r="A792" s="3" t="s">
        <v>9143</v>
      </c>
      <c r="B792" s="4" t="s">
        <v>9144</v>
      </c>
      <c r="C792">
        <v>84.412048609672894</v>
      </c>
      <c r="D792">
        <v>36.389463461726898</v>
      </c>
      <c r="E792">
        <v>1.2157874831629201</v>
      </c>
      <c r="F792">
        <v>1.05912836701698E-2</v>
      </c>
      <c r="G792" t="s">
        <v>4</v>
      </c>
      <c r="H792">
        <v>84.412048609672894</v>
      </c>
      <c r="I792">
        <v>3.8514449588092199</v>
      </c>
      <c r="J792">
        <v>4.6713993542844001</v>
      </c>
      <c r="K792" s="5">
        <v>2.0867397138006899E-11</v>
      </c>
      <c r="L792" t="s">
        <v>4</v>
      </c>
      <c r="M792">
        <v>36.389463461726898</v>
      </c>
      <c r="N792">
        <v>3.8514449588092199</v>
      </c>
      <c r="O792">
        <v>3.45561187112148</v>
      </c>
      <c r="P792" s="5">
        <v>1.14405828182145E-6</v>
      </c>
      <c r="Q792" t="s">
        <v>4</v>
      </c>
      <c r="R792" s="4" t="s">
        <v>87</v>
      </c>
      <c r="S792" t="s">
        <v>4</v>
      </c>
      <c r="T792" t="s">
        <v>88</v>
      </c>
      <c r="U792" t="s">
        <v>89</v>
      </c>
      <c r="V792" t="s">
        <v>90</v>
      </c>
      <c r="W792" t="s">
        <v>91</v>
      </c>
      <c r="X792" t="s">
        <v>4</v>
      </c>
      <c r="Y792" t="s">
        <v>92</v>
      </c>
      <c r="Z792" t="s">
        <v>92</v>
      </c>
      <c r="AA792" t="s">
        <v>92</v>
      </c>
      <c r="AB792" t="s">
        <v>4</v>
      </c>
      <c r="AC792" s="3" t="s">
        <v>93</v>
      </c>
      <c r="AD792" t="s">
        <v>4</v>
      </c>
      <c r="AE792" s="4" t="s">
        <v>94</v>
      </c>
      <c r="AZ792" t="s">
        <v>4</v>
      </c>
      <c r="BA792" s="3" t="s">
        <v>95</v>
      </c>
      <c r="BB792" t="s">
        <v>96</v>
      </c>
      <c r="BC792" s="3" t="s">
        <v>95</v>
      </c>
      <c r="BD792" t="s">
        <v>4</v>
      </c>
      <c r="BE792">
        <v>174</v>
      </c>
      <c r="BF792" t="s">
        <v>322</v>
      </c>
      <c r="CK792">
        <v>1</v>
      </c>
      <c r="CL792" t="s">
        <v>4</v>
      </c>
      <c r="CM792" t="s">
        <v>98</v>
      </c>
      <c r="CN792" t="s">
        <v>98</v>
      </c>
      <c r="CO792" t="s">
        <v>99</v>
      </c>
      <c r="CP792" s="7">
        <v>234</v>
      </c>
      <c r="CQ792" t="s">
        <v>100</v>
      </c>
      <c r="CR792" t="s">
        <v>100</v>
      </c>
      <c r="CS792" t="s">
        <v>101</v>
      </c>
      <c r="CT792" t="s">
        <v>152</v>
      </c>
      <c r="CU792" t="s">
        <v>102</v>
      </c>
      <c r="CV792" t="s">
        <v>100</v>
      </c>
    </row>
    <row r="793" spans="1:100">
      <c r="A793" s="3" t="s">
        <v>9145</v>
      </c>
      <c r="B793" s="4" t="s">
        <v>9146</v>
      </c>
      <c r="C793">
        <v>5359.3984840344601</v>
      </c>
      <c r="D793">
        <v>1830.92051862724</v>
      </c>
      <c r="E793">
        <v>1.5493955259582499</v>
      </c>
      <c r="F793">
        <v>1.19133302390407E-4</v>
      </c>
      <c r="G793" t="s">
        <v>4</v>
      </c>
      <c r="H793">
        <v>5359.3984840344601</v>
      </c>
      <c r="I793">
        <v>230.71671176824501</v>
      </c>
      <c r="J793">
        <v>4.5288470361389104</v>
      </c>
      <c r="K793" s="5">
        <v>8.8752715660610695E-33</v>
      </c>
      <c r="L793" t="s">
        <v>4</v>
      </c>
      <c r="M793">
        <v>1830.92051862724</v>
      </c>
      <c r="N793">
        <v>230.71671176824501</v>
      </c>
      <c r="O793">
        <v>2.9794515101806498</v>
      </c>
      <c r="P793" s="5">
        <v>7.5314599372333097E-15</v>
      </c>
      <c r="Q793" t="s">
        <v>4</v>
      </c>
      <c r="R793" s="4" t="s">
        <v>87</v>
      </c>
      <c r="S793" t="s">
        <v>4</v>
      </c>
      <c r="T793" t="s">
        <v>7898</v>
      </c>
      <c r="U793" t="s">
        <v>7899</v>
      </c>
      <c r="V793" t="s">
        <v>7900</v>
      </c>
      <c r="W793" t="s">
        <v>328</v>
      </c>
      <c r="X793" t="s">
        <v>4</v>
      </c>
      <c r="Y793" t="s">
        <v>7901</v>
      </c>
      <c r="Z793" t="s">
        <v>7902</v>
      </c>
      <c r="AA793" t="s">
        <v>7903</v>
      </c>
      <c r="AB793" t="s">
        <v>4</v>
      </c>
      <c r="AC793" s="3" t="s">
        <v>7904</v>
      </c>
      <c r="AD793" t="s">
        <v>4</v>
      </c>
      <c r="AE793" s="4" t="s">
        <v>94</v>
      </c>
      <c r="AZ793" t="s">
        <v>4</v>
      </c>
      <c r="BA793" s="3" t="s">
        <v>115</v>
      </c>
      <c r="BB793" s="6" t="s">
        <v>95</v>
      </c>
      <c r="BC793" s="3" t="s">
        <v>95</v>
      </c>
      <c r="BD793" t="s">
        <v>4</v>
      </c>
      <c r="BE793">
        <v>2020</v>
      </c>
      <c r="BF793" t="s">
        <v>148</v>
      </c>
      <c r="BG793" t="s">
        <v>9147</v>
      </c>
      <c r="BH793">
        <v>83.229799999999997</v>
      </c>
      <c r="BI793" t="s">
        <v>9148</v>
      </c>
      <c r="BJ793" t="s">
        <v>9149</v>
      </c>
      <c r="BL793" t="s">
        <v>9150</v>
      </c>
      <c r="BM793" t="s">
        <v>9151</v>
      </c>
      <c r="BN793">
        <v>75.621099999999998</v>
      </c>
      <c r="BO793">
        <v>74.223600000000005</v>
      </c>
      <c r="CK793">
        <v>3</v>
      </c>
      <c r="CL793" t="s">
        <v>4</v>
      </c>
      <c r="CM793" t="s">
        <v>98</v>
      </c>
      <c r="CN793" t="s">
        <v>98</v>
      </c>
      <c r="CO793" t="s">
        <v>99</v>
      </c>
      <c r="CP793" s="7">
        <v>236</v>
      </c>
      <c r="CQ793" t="s">
        <v>100</v>
      </c>
      <c r="CR793" t="s">
        <v>100</v>
      </c>
      <c r="CS793" t="s">
        <v>101</v>
      </c>
      <c r="CT793" t="s">
        <v>152</v>
      </c>
      <c r="CU793" t="s">
        <v>102</v>
      </c>
      <c r="CV793" t="s">
        <v>100</v>
      </c>
    </row>
    <row r="794" spans="1:100">
      <c r="A794" s="3" t="s">
        <v>9152</v>
      </c>
      <c r="B794" s="4" t="s">
        <v>9153</v>
      </c>
      <c r="C794">
        <v>8915.7140587775193</v>
      </c>
      <c r="D794">
        <v>3835.2598116988602</v>
      </c>
      <c r="E794">
        <v>1.2169640324353701</v>
      </c>
      <c r="F794">
        <v>8.0535098820783396E-3</v>
      </c>
      <c r="G794" t="s">
        <v>4</v>
      </c>
      <c r="H794">
        <v>8915.7140587775193</v>
      </c>
      <c r="I794">
        <v>389.987454537144</v>
      </c>
      <c r="J794">
        <v>4.5111195504695498</v>
      </c>
      <c r="K794" s="5">
        <v>6.6424166233276598E-27</v>
      </c>
      <c r="L794" t="s">
        <v>4</v>
      </c>
      <c r="M794">
        <v>3835.2598116988602</v>
      </c>
      <c r="N794">
        <v>389.987454537144</v>
      </c>
      <c r="O794">
        <v>3.2941555180341799</v>
      </c>
      <c r="P794" s="5">
        <v>6.2399638631631001E-15</v>
      </c>
      <c r="Q794" t="s">
        <v>4</v>
      </c>
      <c r="R794" s="4" t="s">
        <v>87</v>
      </c>
      <c r="S794" t="s">
        <v>4</v>
      </c>
      <c r="T794" t="s">
        <v>92</v>
      </c>
      <c r="U794" t="s">
        <v>92</v>
      </c>
      <c r="V794" t="s">
        <v>92</v>
      </c>
      <c r="W794" t="s">
        <v>92</v>
      </c>
      <c r="X794" t="s">
        <v>4</v>
      </c>
      <c r="Y794" t="s">
        <v>92</v>
      </c>
      <c r="Z794" t="s">
        <v>92</v>
      </c>
      <c r="AA794" t="s">
        <v>92</v>
      </c>
      <c r="AB794" t="s">
        <v>4</v>
      </c>
      <c r="AC794" s="3" t="s">
        <v>6137</v>
      </c>
      <c r="AD794" t="s">
        <v>4</v>
      </c>
      <c r="AE794" s="4" t="s">
        <v>94</v>
      </c>
      <c r="AZ794" t="s">
        <v>4</v>
      </c>
      <c r="BA794" s="3" t="s">
        <v>95</v>
      </c>
      <c r="BB794" s="6" t="s">
        <v>95</v>
      </c>
      <c r="BC794" s="3" t="s">
        <v>95</v>
      </c>
      <c r="BD794" t="s">
        <v>4</v>
      </c>
      <c r="BE794">
        <v>2943</v>
      </c>
      <c r="BF794" t="s">
        <v>97</v>
      </c>
      <c r="BG794">
        <v>92.1922</v>
      </c>
      <c r="BH794">
        <v>50.9009</v>
      </c>
      <c r="BI794" t="s">
        <v>9154</v>
      </c>
      <c r="BJ794">
        <v>65.765799999999999</v>
      </c>
      <c r="BK794">
        <v>17.117100000000001</v>
      </c>
      <c r="BL794">
        <v>43.3934</v>
      </c>
      <c r="BM794" t="s">
        <v>9155</v>
      </c>
      <c r="BN794">
        <v>54.354399999999998</v>
      </c>
      <c r="BO794">
        <v>58.7087</v>
      </c>
      <c r="BP794">
        <v>15.915900000000001</v>
      </c>
      <c r="CK794">
        <v>4</v>
      </c>
      <c r="CL794" t="s">
        <v>4</v>
      </c>
      <c r="CM794" t="s">
        <v>98</v>
      </c>
      <c r="CN794" t="s">
        <v>98</v>
      </c>
      <c r="CO794" t="s">
        <v>99</v>
      </c>
      <c r="CP794" s="7">
        <v>237</v>
      </c>
      <c r="CQ794" t="s">
        <v>100</v>
      </c>
      <c r="CR794" t="s">
        <v>100</v>
      </c>
      <c r="CS794" t="s">
        <v>101</v>
      </c>
      <c r="CT794" t="s">
        <v>152</v>
      </c>
      <c r="CU794" t="s">
        <v>102</v>
      </c>
      <c r="CV794" t="s">
        <v>100</v>
      </c>
    </row>
    <row r="795" spans="1:100">
      <c r="A795" s="3" t="s">
        <v>9156</v>
      </c>
      <c r="B795" s="4" t="s">
        <v>9157</v>
      </c>
      <c r="C795">
        <v>20.052890898465002</v>
      </c>
      <c r="D795">
        <v>2.39219455640829</v>
      </c>
      <c r="E795">
        <v>3.0425958525183101</v>
      </c>
      <c r="F795">
        <v>2.6209292758314E-2</v>
      </c>
      <c r="G795" t="s">
        <v>4</v>
      </c>
      <c r="H795">
        <v>20.052890898465002</v>
      </c>
      <c r="I795">
        <v>0.82085186003408706</v>
      </c>
      <c r="J795">
        <v>4.4992673444139601</v>
      </c>
      <c r="K795">
        <v>5.90266302145636E-3</v>
      </c>
      <c r="L795" t="s">
        <v>4</v>
      </c>
      <c r="M795">
        <v>2.39219455640829</v>
      </c>
      <c r="N795">
        <v>0.82085186003408706</v>
      </c>
      <c r="O795">
        <v>1.45667149189564</v>
      </c>
      <c r="P795">
        <v>0.44575486863538999</v>
      </c>
      <c r="Q795" t="s">
        <v>4</v>
      </c>
      <c r="R795" s="4" t="s">
        <v>87</v>
      </c>
      <c r="S795" t="s">
        <v>4</v>
      </c>
      <c r="T795" t="s">
        <v>9158</v>
      </c>
      <c r="U795" t="s">
        <v>9159</v>
      </c>
      <c r="V795" t="s">
        <v>9160</v>
      </c>
      <c r="W795" t="s">
        <v>91</v>
      </c>
      <c r="X795" t="s">
        <v>4</v>
      </c>
      <c r="Y795" t="s">
        <v>9161</v>
      </c>
      <c r="Z795" t="s">
        <v>9162</v>
      </c>
      <c r="AA795" t="s">
        <v>9163</v>
      </c>
      <c r="AB795" t="s">
        <v>4</v>
      </c>
      <c r="AC795" s="3" t="s">
        <v>93</v>
      </c>
      <c r="AD795" t="s">
        <v>4</v>
      </c>
      <c r="AE795" t="s">
        <v>9164</v>
      </c>
      <c r="AF795" t="s">
        <v>9165</v>
      </c>
      <c r="AG795" t="s">
        <v>4546</v>
      </c>
      <c r="AH795" t="s">
        <v>112</v>
      </c>
      <c r="AU795" t="s">
        <v>112</v>
      </c>
      <c r="AV795" t="s">
        <v>9166</v>
      </c>
      <c r="AW795" t="s">
        <v>114</v>
      </c>
      <c r="AX795" t="s">
        <v>596</v>
      </c>
      <c r="AY795" t="s">
        <v>9167</v>
      </c>
      <c r="AZ795" t="s">
        <v>4</v>
      </c>
      <c r="BA795" s="3" t="s">
        <v>95</v>
      </c>
      <c r="BB795" s="6" t="s">
        <v>95</v>
      </c>
      <c r="BC795" s="3" t="s">
        <v>95</v>
      </c>
      <c r="BD795" t="s">
        <v>4</v>
      </c>
      <c r="BE795">
        <v>3259</v>
      </c>
      <c r="BF795" t="s">
        <v>112</v>
      </c>
      <c r="BH795">
        <v>95.091999999999999</v>
      </c>
      <c r="BI795">
        <v>88.343599999999995</v>
      </c>
      <c r="BP795">
        <v>49.693300000000001</v>
      </c>
      <c r="BQ795">
        <v>39.263800000000003</v>
      </c>
      <c r="BR795">
        <v>48.466299999999997</v>
      </c>
      <c r="BS795">
        <v>46.012300000000003</v>
      </c>
      <c r="BV795" t="s">
        <v>9168</v>
      </c>
      <c r="BW795">
        <v>41.717799999999997</v>
      </c>
      <c r="BX795">
        <v>41.104300000000002</v>
      </c>
      <c r="BZ795">
        <v>42.944800000000001</v>
      </c>
      <c r="CA795">
        <v>43.558300000000003</v>
      </c>
      <c r="CK795">
        <v>5</v>
      </c>
      <c r="CL795" t="s">
        <v>4</v>
      </c>
      <c r="CM795" t="s">
        <v>9169</v>
      </c>
      <c r="CN795" t="s">
        <v>9170</v>
      </c>
      <c r="CO795" t="s">
        <v>99</v>
      </c>
      <c r="CP795" s="7">
        <v>238</v>
      </c>
      <c r="CQ795" t="s">
        <v>100</v>
      </c>
      <c r="CR795" t="s">
        <v>100</v>
      </c>
      <c r="CS795" t="s">
        <v>101</v>
      </c>
      <c r="CT795" t="s">
        <v>100</v>
      </c>
      <c r="CU795" t="s">
        <v>102</v>
      </c>
      <c r="CV795" t="s">
        <v>100</v>
      </c>
    </row>
    <row r="796" spans="1:100">
      <c r="A796" s="3" t="s">
        <v>9171</v>
      </c>
      <c r="B796" s="4" t="s">
        <v>9172</v>
      </c>
      <c r="C796">
        <v>18.8424284270098</v>
      </c>
      <c r="D796">
        <v>2.0558772033959198</v>
      </c>
      <c r="E796">
        <v>3.2365308490981901</v>
      </c>
      <c r="F796">
        <v>2.16332293701492E-2</v>
      </c>
      <c r="G796" t="s">
        <v>4</v>
      </c>
      <c r="H796">
        <v>18.8424284270098</v>
      </c>
      <c r="I796">
        <v>0.67403550571184701</v>
      </c>
      <c r="J796">
        <v>4.4932006471797896</v>
      </c>
      <c r="K796">
        <v>6.9307165042912901E-3</v>
      </c>
      <c r="L796" t="s">
        <v>4</v>
      </c>
      <c r="M796">
        <v>2.0558772033959198</v>
      </c>
      <c r="N796">
        <v>0.67403550571184701</v>
      </c>
      <c r="O796">
        <v>1.25666979808159</v>
      </c>
      <c r="P796">
        <v>0.52967055928446904</v>
      </c>
      <c r="Q796" t="s">
        <v>4</v>
      </c>
      <c r="R796" s="4" t="s">
        <v>87</v>
      </c>
      <c r="S796" t="s">
        <v>4</v>
      </c>
      <c r="T796" t="s">
        <v>92</v>
      </c>
      <c r="U796" t="s">
        <v>92</v>
      </c>
      <c r="V796" t="s">
        <v>92</v>
      </c>
      <c r="W796" t="s">
        <v>92</v>
      </c>
      <c r="X796" t="s">
        <v>4</v>
      </c>
      <c r="Y796" t="s">
        <v>92</v>
      </c>
      <c r="Z796" t="s">
        <v>92</v>
      </c>
      <c r="AA796" t="s">
        <v>92</v>
      </c>
      <c r="AB796" t="s">
        <v>4</v>
      </c>
      <c r="AC796" s="3" t="s">
        <v>93</v>
      </c>
      <c r="AD796" t="s">
        <v>4</v>
      </c>
      <c r="AE796" s="4" t="s">
        <v>94</v>
      </c>
      <c r="AZ796" t="s">
        <v>4</v>
      </c>
      <c r="BA796" s="3" t="s">
        <v>95</v>
      </c>
      <c r="BB796" s="6" t="s">
        <v>95</v>
      </c>
      <c r="BC796" s="3" t="s">
        <v>95</v>
      </c>
      <c r="BD796" t="s">
        <v>4</v>
      </c>
      <c r="BE796">
        <v>139</v>
      </c>
      <c r="BF796" t="s">
        <v>322</v>
      </c>
      <c r="CK796">
        <v>1</v>
      </c>
      <c r="CL796" t="s">
        <v>4</v>
      </c>
      <c r="CM796" t="s">
        <v>98</v>
      </c>
      <c r="CN796" t="s">
        <v>98</v>
      </c>
      <c r="CO796" t="s">
        <v>99</v>
      </c>
      <c r="CP796" s="7">
        <v>239</v>
      </c>
      <c r="CQ796" t="s">
        <v>100</v>
      </c>
      <c r="CR796" t="s">
        <v>100</v>
      </c>
      <c r="CS796" t="s">
        <v>101</v>
      </c>
      <c r="CT796" t="s">
        <v>100</v>
      </c>
      <c r="CU796" t="s">
        <v>102</v>
      </c>
      <c r="CV796" t="s">
        <v>100</v>
      </c>
    </row>
    <row r="797" spans="1:100">
      <c r="A797" s="3" t="s">
        <v>9173</v>
      </c>
      <c r="B797" s="4" t="s">
        <v>9174</v>
      </c>
      <c r="C797">
        <v>44.392835360298299</v>
      </c>
      <c r="D797">
        <v>6.0204114133949904</v>
      </c>
      <c r="E797">
        <v>2.8825144921629899</v>
      </c>
      <c r="F797">
        <v>1.8392415470794801E-2</v>
      </c>
      <c r="G797" t="s">
        <v>4</v>
      </c>
      <c r="H797">
        <v>44.392835360298299</v>
      </c>
      <c r="I797">
        <v>2.0881920694337301</v>
      </c>
      <c r="J797">
        <v>4.4902264236384504</v>
      </c>
      <c r="K797">
        <v>8.3292617122553104E-4</v>
      </c>
      <c r="L797" t="s">
        <v>4</v>
      </c>
      <c r="M797">
        <v>6.0204114133949904</v>
      </c>
      <c r="N797">
        <v>2.0881920694337301</v>
      </c>
      <c r="O797">
        <v>1.60771193147545</v>
      </c>
      <c r="P797">
        <v>0.28624741039441598</v>
      </c>
      <c r="Q797" t="s">
        <v>4</v>
      </c>
      <c r="R797" s="4" t="s">
        <v>87</v>
      </c>
      <c r="S797" t="s">
        <v>4</v>
      </c>
      <c r="T797" t="s">
        <v>88</v>
      </c>
      <c r="U797" t="s">
        <v>89</v>
      </c>
      <c r="V797" t="s">
        <v>90</v>
      </c>
      <c r="W797" t="s">
        <v>91</v>
      </c>
      <c r="X797" t="s">
        <v>4</v>
      </c>
      <c r="Y797" t="s">
        <v>92</v>
      </c>
      <c r="Z797" t="s">
        <v>92</v>
      </c>
      <c r="AA797" t="s">
        <v>92</v>
      </c>
      <c r="AB797" t="s">
        <v>4</v>
      </c>
      <c r="AC797" s="3" t="s">
        <v>93</v>
      </c>
      <c r="AD797" t="s">
        <v>4</v>
      </c>
      <c r="AE797" s="4" t="s">
        <v>94</v>
      </c>
      <c r="AZ797" t="s">
        <v>4</v>
      </c>
      <c r="BA797" s="3" t="s">
        <v>95</v>
      </c>
      <c r="BB797" t="s">
        <v>96</v>
      </c>
      <c r="BC797" s="3" t="s">
        <v>95</v>
      </c>
      <c r="BD797" t="s">
        <v>4</v>
      </c>
      <c r="BE797">
        <v>949</v>
      </c>
      <c r="BF797" t="s">
        <v>604</v>
      </c>
      <c r="BG797">
        <v>64.102599999999995</v>
      </c>
      <c r="CK797">
        <v>1.5</v>
      </c>
      <c r="CL797" t="s">
        <v>4</v>
      </c>
      <c r="CM797" t="s">
        <v>98</v>
      </c>
      <c r="CN797" t="s">
        <v>98</v>
      </c>
      <c r="CO797" t="s">
        <v>99</v>
      </c>
      <c r="CP797" s="7">
        <v>240</v>
      </c>
      <c r="CQ797" t="s">
        <v>100</v>
      </c>
      <c r="CR797" t="s">
        <v>100</v>
      </c>
      <c r="CS797" t="s">
        <v>101</v>
      </c>
      <c r="CT797" t="s">
        <v>100</v>
      </c>
      <c r="CU797" t="s">
        <v>102</v>
      </c>
      <c r="CV797" t="s">
        <v>100</v>
      </c>
    </row>
    <row r="798" spans="1:100">
      <c r="A798" s="3" t="s">
        <v>9175</v>
      </c>
      <c r="B798" s="4" t="s">
        <v>9176</v>
      </c>
      <c r="C798">
        <v>47.009471796895298</v>
      </c>
      <c r="D798">
        <v>12.363333026983</v>
      </c>
      <c r="E798">
        <v>1.9399625399763101</v>
      </c>
      <c r="F798">
        <v>4.6638971403292498E-2</v>
      </c>
      <c r="G798" t="s">
        <v>4</v>
      </c>
      <c r="H798">
        <v>47.009471796895298</v>
      </c>
      <c r="I798">
        <v>1.9847607593229399</v>
      </c>
      <c r="J798">
        <v>4.4620527277082296</v>
      </c>
      <c r="K798" s="5">
        <v>8.88682974527659E-5</v>
      </c>
      <c r="L798" t="s">
        <v>4</v>
      </c>
      <c r="M798">
        <v>12.363333026983</v>
      </c>
      <c r="N798">
        <v>1.9847607593229399</v>
      </c>
      <c r="O798">
        <v>2.5220901877319202</v>
      </c>
      <c r="P798">
        <v>3.4817701042882197E-2</v>
      </c>
      <c r="Q798" t="s">
        <v>4</v>
      </c>
      <c r="R798" s="4" t="s">
        <v>87</v>
      </c>
      <c r="S798" t="s">
        <v>4</v>
      </c>
      <c r="T798" t="s">
        <v>9177</v>
      </c>
      <c r="U798" t="s">
        <v>9178</v>
      </c>
      <c r="V798" t="s">
        <v>9179</v>
      </c>
      <c r="W798" t="s">
        <v>328</v>
      </c>
      <c r="X798" t="s">
        <v>4</v>
      </c>
      <c r="Y798" t="s">
        <v>1787</v>
      </c>
      <c r="Z798" t="s">
        <v>1788</v>
      </c>
      <c r="AA798" t="s">
        <v>1789</v>
      </c>
      <c r="AB798" t="s">
        <v>4</v>
      </c>
      <c r="AC798" s="3" t="s">
        <v>9180</v>
      </c>
      <c r="AD798" t="s">
        <v>4</v>
      </c>
      <c r="AE798" t="s">
        <v>9181</v>
      </c>
      <c r="AF798" t="s">
        <v>9182</v>
      </c>
      <c r="AG798" t="s">
        <v>9040</v>
      </c>
      <c r="AH798" t="s">
        <v>638</v>
      </c>
      <c r="AU798" t="s">
        <v>112</v>
      </c>
      <c r="AV798" t="s">
        <v>9183</v>
      </c>
      <c r="AW798" t="s">
        <v>114</v>
      </c>
      <c r="AX798" t="s">
        <v>144</v>
      </c>
      <c r="AY798" t="s">
        <v>1795</v>
      </c>
      <c r="AZ798" t="s">
        <v>4</v>
      </c>
      <c r="BA798" s="3" t="s">
        <v>95</v>
      </c>
      <c r="BB798" t="s">
        <v>96</v>
      </c>
      <c r="BC798" s="3" t="s">
        <v>95</v>
      </c>
      <c r="BD798" t="s">
        <v>4</v>
      </c>
      <c r="BE798">
        <v>3876</v>
      </c>
      <c r="BF798" t="s">
        <v>112</v>
      </c>
      <c r="BG798">
        <v>100</v>
      </c>
      <c r="BH798">
        <v>41.420099999999998</v>
      </c>
      <c r="BI798">
        <v>85.7988</v>
      </c>
      <c r="BJ798">
        <v>47.633099999999999</v>
      </c>
      <c r="BK798">
        <v>72.485200000000006</v>
      </c>
      <c r="BL798">
        <v>43.195300000000003</v>
      </c>
      <c r="BM798">
        <v>92.8994</v>
      </c>
      <c r="BN798">
        <v>92.8994</v>
      </c>
      <c r="BO798">
        <v>48.520699999999998</v>
      </c>
      <c r="BP798">
        <v>65.088800000000006</v>
      </c>
      <c r="BQ798">
        <v>47.929000000000002</v>
      </c>
      <c r="BR798">
        <v>49.112400000000001</v>
      </c>
      <c r="BS798">
        <v>54.733699999999999</v>
      </c>
      <c r="BT798">
        <v>6.8047300000000002</v>
      </c>
      <c r="BU798">
        <v>44.082799999999999</v>
      </c>
      <c r="BV798" t="s">
        <v>9184</v>
      </c>
      <c r="BW798">
        <v>42.307699999999997</v>
      </c>
      <c r="BX798">
        <v>50.295900000000003</v>
      </c>
      <c r="BY798">
        <v>15.088800000000001</v>
      </c>
      <c r="BZ798">
        <v>51.479300000000002</v>
      </c>
      <c r="CA798">
        <v>49.112400000000001</v>
      </c>
      <c r="CK798">
        <v>5</v>
      </c>
      <c r="CL798" t="s">
        <v>4</v>
      </c>
      <c r="CM798" t="s">
        <v>9185</v>
      </c>
      <c r="CN798" t="s">
        <v>9186</v>
      </c>
      <c r="CO798" t="s">
        <v>99</v>
      </c>
      <c r="CP798" s="7">
        <v>241</v>
      </c>
      <c r="CQ798" t="s">
        <v>100</v>
      </c>
      <c r="CR798" t="s">
        <v>100</v>
      </c>
      <c r="CS798" t="s">
        <v>101</v>
      </c>
      <c r="CT798" s="7" t="s">
        <v>152</v>
      </c>
      <c r="CU798" t="s">
        <v>102</v>
      </c>
      <c r="CV798" t="s">
        <v>100</v>
      </c>
    </row>
    <row r="799" spans="1:100">
      <c r="A799" s="3" t="s">
        <v>9187</v>
      </c>
      <c r="B799" s="4" t="s">
        <v>9188</v>
      </c>
      <c r="C799">
        <v>966.26383946452995</v>
      </c>
      <c r="D799">
        <v>250.558869973242</v>
      </c>
      <c r="E799">
        <v>1.9453800498138401</v>
      </c>
      <c r="F799" s="5">
        <v>1.44480265272897E-9</v>
      </c>
      <c r="G799" t="s">
        <v>4</v>
      </c>
      <c r="H799">
        <v>966.26383946452995</v>
      </c>
      <c r="I799">
        <v>45.909816359183502</v>
      </c>
      <c r="J799">
        <v>4.40230224146016</v>
      </c>
      <c r="K799" s="5">
        <v>1.09026913498899E-38</v>
      </c>
      <c r="L799" t="s">
        <v>4</v>
      </c>
      <c r="M799">
        <v>250.558869973242</v>
      </c>
      <c r="N799">
        <v>45.909816359183502</v>
      </c>
      <c r="O799">
        <v>2.4569221916463202</v>
      </c>
      <c r="P799" s="5">
        <v>1.2345215600173399E-12</v>
      </c>
      <c r="Q799" t="s">
        <v>4</v>
      </c>
      <c r="R799" s="4" t="s">
        <v>87</v>
      </c>
      <c r="S799" t="s">
        <v>4</v>
      </c>
      <c r="T799" t="s">
        <v>9189</v>
      </c>
      <c r="U799" t="s">
        <v>9190</v>
      </c>
      <c r="V799" t="s">
        <v>9191</v>
      </c>
      <c r="W799" t="s">
        <v>328</v>
      </c>
      <c r="X799" t="s">
        <v>4</v>
      </c>
      <c r="Y799" t="s">
        <v>9192</v>
      </c>
      <c r="Z799" t="s">
        <v>9193</v>
      </c>
      <c r="AA799" t="s">
        <v>9194</v>
      </c>
      <c r="AB799" t="s">
        <v>4</v>
      </c>
      <c r="AC799" s="3" t="s">
        <v>9195</v>
      </c>
      <c r="AD799" t="s">
        <v>4</v>
      </c>
      <c r="AE799" t="s">
        <v>333</v>
      </c>
      <c r="AF799" t="s">
        <v>9196</v>
      </c>
      <c r="AG799" t="s">
        <v>9197</v>
      </c>
      <c r="AH799" t="s">
        <v>112</v>
      </c>
      <c r="AJ799" t="s">
        <v>336</v>
      </c>
      <c r="AK799" t="s">
        <v>337</v>
      </c>
      <c r="AL799" t="s">
        <v>338</v>
      </c>
      <c r="AM799" t="s">
        <v>339</v>
      </c>
      <c r="AO799" t="s">
        <v>340</v>
      </c>
      <c r="AP799" t="s">
        <v>341</v>
      </c>
      <c r="AQ799" t="s">
        <v>342</v>
      </c>
      <c r="AS799" t="s">
        <v>343</v>
      </c>
      <c r="AU799" t="s">
        <v>112</v>
      </c>
      <c r="AV799" t="s">
        <v>344</v>
      </c>
      <c r="AW799" t="s">
        <v>114</v>
      </c>
      <c r="AX799" t="s">
        <v>345</v>
      </c>
      <c r="AY799" t="s">
        <v>346</v>
      </c>
      <c r="AZ799" t="s">
        <v>4</v>
      </c>
      <c r="BA799" s="3" t="s">
        <v>95</v>
      </c>
      <c r="BB799" t="s">
        <v>96</v>
      </c>
      <c r="BC799" s="3" t="s">
        <v>197</v>
      </c>
      <c r="BD799" t="s">
        <v>4</v>
      </c>
      <c r="BE799">
        <v>5409</v>
      </c>
      <c r="BF799" t="s">
        <v>386</v>
      </c>
      <c r="BG799">
        <v>33.076900000000002</v>
      </c>
      <c r="BJ799">
        <v>9.2307699999999997</v>
      </c>
      <c r="BK799">
        <v>24.230799999999999</v>
      </c>
      <c r="BL799" t="s">
        <v>9198</v>
      </c>
      <c r="BM799" t="s">
        <v>9199</v>
      </c>
      <c r="BN799" t="s">
        <v>9200</v>
      </c>
      <c r="BO799" t="s">
        <v>9201</v>
      </c>
      <c r="BP799">
        <v>22.5</v>
      </c>
      <c r="BQ799">
        <v>34.423099999999998</v>
      </c>
      <c r="BR799" t="s">
        <v>9202</v>
      </c>
      <c r="BS799">
        <v>35.192300000000003</v>
      </c>
      <c r="BT799">
        <v>33.653799999999997</v>
      </c>
      <c r="BV799" t="s">
        <v>9203</v>
      </c>
      <c r="BW799" t="s">
        <v>9204</v>
      </c>
      <c r="BX799">
        <v>35</v>
      </c>
      <c r="CA799">
        <v>35.576900000000002</v>
      </c>
      <c r="CB799" t="s">
        <v>9205</v>
      </c>
      <c r="CC799" t="s">
        <v>9206</v>
      </c>
      <c r="CD799" t="s">
        <v>9207</v>
      </c>
      <c r="CF799">
        <v>31.730799999999999</v>
      </c>
      <c r="CG799" t="s">
        <v>9208</v>
      </c>
      <c r="CH799" t="s">
        <v>9209</v>
      </c>
      <c r="CK799">
        <v>7</v>
      </c>
      <c r="CL799" t="s">
        <v>4</v>
      </c>
      <c r="CM799" t="s">
        <v>2056</v>
      </c>
      <c r="CN799" t="s">
        <v>9210</v>
      </c>
      <c r="CO799" t="s">
        <v>1218</v>
      </c>
      <c r="CP799" s="7">
        <v>243</v>
      </c>
      <c r="CQ799" t="s">
        <v>100</v>
      </c>
      <c r="CR799" t="s">
        <v>100</v>
      </c>
      <c r="CS799" t="s">
        <v>101</v>
      </c>
      <c r="CT799" t="s">
        <v>152</v>
      </c>
      <c r="CU799" t="s">
        <v>102</v>
      </c>
      <c r="CV799" t="s">
        <v>100</v>
      </c>
    </row>
    <row r="800" spans="1:100">
      <c r="A800" s="3" t="s">
        <v>9211</v>
      </c>
      <c r="B800" s="4" t="s">
        <v>9212</v>
      </c>
      <c r="C800">
        <v>1941.51138685761</v>
      </c>
      <c r="D800">
        <v>714.23523810930499</v>
      </c>
      <c r="E800">
        <v>1.442224518887</v>
      </c>
      <c r="F800" s="5">
        <v>1.1716791256012699E-5</v>
      </c>
      <c r="G800" t="s">
        <v>4</v>
      </c>
      <c r="H800">
        <v>1941.51138685761</v>
      </c>
      <c r="I800">
        <v>92.940156573444497</v>
      </c>
      <c r="J800">
        <v>4.3894705776558602</v>
      </c>
      <c r="K800" s="5">
        <v>8.7120488876881895E-42</v>
      </c>
      <c r="L800" t="s">
        <v>4</v>
      </c>
      <c r="M800">
        <v>714.23523810930499</v>
      </c>
      <c r="N800">
        <v>92.940156573444497</v>
      </c>
      <c r="O800">
        <v>2.94724605876885</v>
      </c>
      <c r="P800" s="5">
        <v>2.1685537527459399E-19</v>
      </c>
      <c r="Q800" t="s">
        <v>4</v>
      </c>
      <c r="R800" s="4" t="s">
        <v>87</v>
      </c>
      <c r="S800" t="s">
        <v>4</v>
      </c>
      <c r="T800" t="s">
        <v>9071</v>
      </c>
      <c r="U800" t="s">
        <v>9072</v>
      </c>
      <c r="V800" t="s">
        <v>9073</v>
      </c>
      <c r="W800" t="s">
        <v>976</v>
      </c>
      <c r="X800" t="s">
        <v>4</v>
      </c>
      <c r="Y800" t="s">
        <v>9074</v>
      </c>
      <c r="Z800" t="s">
        <v>9075</v>
      </c>
      <c r="AA800" t="s">
        <v>9076</v>
      </c>
      <c r="AB800" t="s">
        <v>4</v>
      </c>
      <c r="AC800" s="3" t="s">
        <v>9077</v>
      </c>
      <c r="AD800" t="s">
        <v>4</v>
      </c>
      <c r="AE800" t="s">
        <v>9078</v>
      </c>
      <c r="AF800" t="s">
        <v>9213</v>
      </c>
      <c r="AG800" t="s">
        <v>9214</v>
      </c>
      <c r="AH800" t="s">
        <v>112</v>
      </c>
      <c r="AL800" t="s">
        <v>9081</v>
      </c>
      <c r="AQ800" t="s">
        <v>8914</v>
      </c>
      <c r="AU800" t="s">
        <v>112</v>
      </c>
      <c r="AV800" t="s">
        <v>9082</v>
      </c>
      <c r="AW800" t="s">
        <v>114</v>
      </c>
      <c r="AX800" t="s">
        <v>1879</v>
      </c>
      <c r="AY800" t="s">
        <v>9083</v>
      </c>
      <c r="AZ800" t="s">
        <v>4</v>
      </c>
      <c r="BA800" s="3" t="s">
        <v>95</v>
      </c>
      <c r="BB800" s="6" t="s">
        <v>95</v>
      </c>
      <c r="BC800" s="3" t="s">
        <v>95</v>
      </c>
      <c r="BD800" t="s">
        <v>4</v>
      </c>
      <c r="BE800">
        <v>8110</v>
      </c>
      <c r="BF800" t="s">
        <v>213</v>
      </c>
      <c r="BG800">
        <v>76.865700000000004</v>
      </c>
      <c r="BI800">
        <v>75.2239</v>
      </c>
      <c r="BJ800">
        <v>61.044800000000002</v>
      </c>
      <c r="BK800">
        <v>25.0746</v>
      </c>
      <c r="BL800">
        <v>34.029899999999998</v>
      </c>
      <c r="BM800">
        <v>48.805999999999997</v>
      </c>
      <c r="BN800">
        <v>65.522400000000005</v>
      </c>
      <c r="BO800">
        <v>64.477599999999995</v>
      </c>
      <c r="BQ800">
        <v>23.2836</v>
      </c>
      <c r="CB800">
        <v>27.761199999999999</v>
      </c>
      <c r="CD800" t="s">
        <v>9215</v>
      </c>
      <c r="CE800">
        <v>19.402999999999999</v>
      </c>
      <c r="CF800">
        <v>25.2239</v>
      </c>
      <c r="CG800">
        <v>25.970099999999999</v>
      </c>
      <c r="CH800">
        <v>25.671600000000002</v>
      </c>
      <c r="CI800">
        <v>25.970099999999999</v>
      </c>
      <c r="CK800">
        <v>8</v>
      </c>
      <c r="CL800" t="s">
        <v>4</v>
      </c>
      <c r="CM800" t="s">
        <v>98</v>
      </c>
      <c r="CN800" t="s">
        <v>98</v>
      </c>
      <c r="CO800" t="s">
        <v>99</v>
      </c>
      <c r="CP800" s="7">
        <v>244</v>
      </c>
      <c r="CQ800" t="s">
        <v>100</v>
      </c>
      <c r="CR800" t="s">
        <v>100</v>
      </c>
      <c r="CS800" t="s">
        <v>101</v>
      </c>
      <c r="CT800" t="s">
        <v>152</v>
      </c>
      <c r="CU800" t="s">
        <v>102</v>
      </c>
      <c r="CV800" t="s">
        <v>100</v>
      </c>
    </row>
    <row r="801" spans="1:100">
      <c r="A801" s="3" t="s">
        <v>9216</v>
      </c>
      <c r="B801" s="4" t="s">
        <v>9217</v>
      </c>
      <c r="C801">
        <v>43.3498382744841</v>
      </c>
      <c r="D801">
        <v>7.2486777101416902</v>
      </c>
      <c r="E801">
        <v>2.5686807141113301</v>
      </c>
      <c r="F801">
        <v>2.4574410361349198E-2</v>
      </c>
      <c r="G801" t="s">
        <v>4</v>
      </c>
      <c r="H801">
        <v>43.3498382744841</v>
      </c>
      <c r="I801">
        <v>1.9787214729241001</v>
      </c>
      <c r="J801">
        <v>4.3456940630418703</v>
      </c>
      <c r="K801">
        <v>6.0312666014471195E-4</v>
      </c>
      <c r="L801" t="s">
        <v>4</v>
      </c>
      <c r="M801">
        <v>7.2486777101416902</v>
      </c>
      <c r="N801">
        <v>1.9787214729241001</v>
      </c>
      <c r="O801">
        <v>1.77701334893054</v>
      </c>
      <c r="P801">
        <v>0.203126701123616</v>
      </c>
      <c r="Q801" t="s">
        <v>4</v>
      </c>
      <c r="R801" s="4" t="s">
        <v>87</v>
      </c>
      <c r="S801" t="s">
        <v>4</v>
      </c>
      <c r="T801" t="s">
        <v>92</v>
      </c>
      <c r="U801" t="s">
        <v>92</v>
      </c>
      <c r="V801" t="s">
        <v>92</v>
      </c>
      <c r="W801" t="s">
        <v>92</v>
      </c>
      <c r="X801" t="s">
        <v>4</v>
      </c>
      <c r="Y801" t="s">
        <v>92</v>
      </c>
      <c r="Z801" t="s">
        <v>92</v>
      </c>
      <c r="AA801" t="s">
        <v>92</v>
      </c>
      <c r="AB801" t="s">
        <v>4</v>
      </c>
      <c r="AC801" s="3" t="s">
        <v>93</v>
      </c>
      <c r="AD801" t="s">
        <v>4</v>
      </c>
      <c r="AE801" t="s">
        <v>772</v>
      </c>
      <c r="AF801" t="s">
        <v>9218</v>
      </c>
      <c r="AG801" t="s">
        <v>9219</v>
      </c>
      <c r="AH801" t="s">
        <v>314</v>
      </c>
      <c r="AU801" t="s">
        <v>112</v>
      </c>
      <c r="AV801" t="s">
        <v>775</v>
      </c>
      <c r="AW801" t="s">
        <v>114</v>
      </c>
      <c r="AZ801" t="s">
        <v>4</v>
      </c>
      <c r="BA801" s="3" t="s">
        <v>95</v>
      </c>
      <c r="BB801" s="6" t="s">
        <v>95</v>
      </c>
      <c r="BC801" s="3" t="s">
        <v>95</v>
      </c>
      <c r="BD801" t="s">
        <v>4</v>
      </c>
      <c r="BE801">
        <v>4705</v>
      </c>
      <c r="BF801" t="s">
        <v>112</v>
      </c>
      <c r="BM801">
        <v>39.873399999999997</v>
      </c>
      <c r="BO801">
        <v>37.974699999999999</v>
      </c>
      <c r="CK801">
        <v>5</v>
      </c>
      <c r="CL801" t="s">
        <v>4</v>
      </c>
      <c r="CM801" t="s">
        <v>98</v>
      </c>
      <c r="CN801" t="s">
        <v>98</v>
      </c>
      <c r="CO801" t="s">
        <v>99</v>
      </c>
      <c r="CP801" s="7">
        <v>245</v>
      </c>
      <c r="CQ801" t="s">
        <v>100</v>
      </c>
      <c r="CR801" t="s">
        <v>100</v>
      </c>
      <c r="CS801" t="s">
        <v>101</v>
      </c>
      <c r="CT801" t="s">
        <v>100</v>
      </c>
      <c r="CU801" t="s">
        <v>102</v>
      </c>
      <c r="CV801" t="s">
        <v>100</v>
      </c>
    </row>
    <row r="802" spans="1:100">
      <c r="A802" s="3" t="s">
        <v>9220</v>
      </c>
      <c r="B802" s="4" t="s">
        <v>9221</v>
      </c>
      <c r="C802">
        <v>38.190191190912998</v>
      </c>
      <c r="D802">
        <v>7.9239021110871999</v>
      </c>
      <c r="E802">
        <v>2.2719848189967302</v>
      </c>
      <c r="F802">
        <v>1.3912608802845901E-2</v>
      </c>
      <c r="G802" t="s">
        <v>4</v>
      </c>
      <c r="H802">
        <v>38.190191190912998</v>
      </c>
      <c r="I802">
        <v>2.2470869965536502</v>
      </c>
      <c r="J802">
        <v>4.28790220356042</v>
      </c>
      <c r="K802">
        <v>1.1712422356408901E-4</v>
      </c>
      <c r="L802" t="s">
        <v>4</v>
      </c>
      <c r="M802">
        <v>7.9239021110871999</v>
      </c>
      <c r="N802">
        <v>2.2470869965536502</v>
      </c>
      <c r="O802">
        <v>2.0159173845636902</v>
      </c>
      <c r="P802">
        <v>9.4884952179347504E-2</v>
      </c>
      <c r="Q802" t="s">
        <v>4</v>
      </c>
      <c r="R802" s="4" t="s">
        <v>87</v>
      </c>
      <c r="S802" t="s">
        <v>4</v>
      </c>
      <c r="T802" t="s">
        <v>88</v>
      </c>
      <c r="U802" t="s">
        <v>89</v>
      </c>
      <c r="V802" t="s">
        <v>90</v>
      </c>
      <c r="W802" t="s">
        <v>91</v>
      </c>
      <c r="X802" t="s">
        <v>4</v>
      </c>
      <c r="Y802" t="s">
        <v>92</v>
      </c>
      <c r="Z802" t="s">
        <v>92</v>
      </c>
      <c r="AA802" t="s">
        <v>92</v>
      </c>
      <c r="AB802" t="s">
        <v>4</v>
      </c>
      <c r="AC802" s="3" t="s">
        <v>93</v>
      </c>
      <c r="AD802" t="s">
        <v>4</v>
      </c>
      <c r="AE802" s="4" t="s">
        <v>94</v>
      </c>
      <c r="AZ802" t="s">
        <v>4</v>
      </c>
      <c r="BA802" s="3" t="s">
        <v>95</v>
      </c>
      <c r="BB802" t="s">
        <v>96</v>
      </c>
      <c r="BC802" s="3" t="s">
        <v>95</v>
      </c>
      <c r="BD802" t="s">
        <v>4</v>
      </c>
      <c r="BE802">
        <v>4621</v>
      </c>
      <c r="BF802" t="s">
        <v>112</v>
      </c>
      <c r="BG802">
        <v>78.787899999999993</v>
      </c>
      <c r="BH802">
        <v>87.013000000000005</v>
      </c>
      <c r="BI802">
        <v>64.069299999999998</v>
      </c>
      <c r="BJ802">
        <v>54.978400000000001</v>
      </c>
      <c r="BL802">
        <v>58.874499999999998</v>
      </c>
      <c r="BM802">
        <v>57.575800000000001</v>
      </c>
      <c r="BN802">
        <v>60.173200000000001</v>
      </c>
      <c r="BP802">
        <v>28.571400000000001</v>
      </c>
      <c r="CK802">
        <v>5</v>
      </c>
      <c r="CL802" t="s">
        <v>4</v>
      </c>
      <c r="CM802" t="s">
        <v>98</v>
      </c>
      <c r="CN802" t="s">
        <v>98</v>
      </c>
      <c r="CO802" t="s">
        <v>99</v>
      </c>
      <c r="CP802" s="7">
        <v>246</v>
      </c>
      <c r="CQ802" t="s">
        <v>100</v>
      </c>
      <c r="CR802" t="s">
        <v>100</v>
      </c>
      <c r="CS802" t="s">
        <v>101</v>
      </c>
      <c r="CT802" t="s">
        <v>100</v>
      </c>
      <c r="CU802" t="s">
        <v>102</v>
      </c>
      <c r="CV802" t="s">
        <v>100</v>
      </c>
    </row>
    <row r="803" spans="1:100">
      <c r="A803" s="3" t="s">
        <v>9222</v>
      </c>
      <c r="B803" s="4" t="s">
        <v>9223</v>
      </c>
      <c r="C803">
        <v>440.211685509527</v>
      </c>
      <c r="D803">
        <v>196.48021193179801</v>
      </c>
      <c r="E803">
        <v>1.16208768061526</v>
      </c>
      <c r="F803">
        <v>6.36121385698707E-3</v>
      </c>
      <c r="G803" t="s">
        <v>4</v>
      </c>
      <c r="H803">
        <v>440.211685509527</v>
      </c>
      <c r="I803">
        <v>23.0129384735291</v>
      </c>
      <c r="J803">
        <v>4.2188039228493404</v>
      </c>
      <c r="K803" s="5">
        <v>5.2467305682197999E-22</v>
      </c>
      <c r="L803" t="s">
        <v>4</v>
      </c>
      <c r="M803">
        <v>196.48021193179801</v>
      </c>
      <c r="N803">
        <v>23.0129384735291</v>
      </c>
      <c r="O803">
        <v>3.0567162422340699</v>
      </c>
      <c r="P803" s="5">
        <v>5.0938080996484803E-12</v>
      </c>
      <c r="Q803" t="s">
        <v>4</v>
      </c>
      <c r="R803" s="4" t="s">
        <v>87</v>
      </c>
      <c r="S803" t="s">
        <v>4</v>
      </c>
      <c r="T803" t="s">
        <v>92</v>
      </c>
      <c r="U803" t="s">
        <v>92</v>
      </c>
      <c r="V803" t="s">
        <v>92</v>
      </c>
      <c r="W803" t="s">
        <v>92</v>
      </c>
      <c r="X803" t="s">
        <v>4</v>
      </c>
      <c r="Y803" t="s">
        <v>92</v>
      </c>
      <c r="Z803" t="s">
        <v>92</v>
      </c>
      <c r="AA803" t="s">
        <v>92</v>
      </c>
      <c r="AB803" t="s">
        <v>4</v>
      </c>
      <c r="AC803" s="3" t="s">
        <v>93</v>
      </c>
      <c r="AD803" t="s">
        <v>4</v>
      </c>
      <c r="AE803" s="4" t="s">
        <v>94</v>
      </c>
      <c r="AZ803" t="s">
        <v>4</v>
      </c>
      <c r="BA803" s="3" t="s">
        <v>95</v>
      </c>
      <c r="BB803" s="6" t="s">
        <v>95</v>
      </c>
      <c r="BC803" s="3" t="s">
        <v>95</v>
      </c>
      <c r="BD803" t="s">
        <v>4</v>
      </c>
      <c r="BE803">
        <v>744</v>
      </c>
      <c r="BF803" t="s">
        <v>604</v>
      </c>
      <c r="BG803">
        <v>29.6</v>
      </c>
      <c r="CK803">
        <v>1.5</v>
      </c>
      <c r="CL803" t="s">
        <v>4</v>
      </c>
      <c r="CM803" t="s">
        <v>98</v>
      </c>
      <c r="CN803" t="s">
        <v>98</v>
      </c>
      <c r="CO803" t="s">
        <v>99</v>
      </c>
      <c r="CP803" s="7">
        <v>247</v>
      </c>
      <c r="CQ803" t="s">
        <v>100</v>
      </c>
      <c r="CR803" t="s">
        <v>100</v>
      </c>
      <c r="CS803" t="s">
        <v>101</v>
      </c>
      <c r="CT803" t="s">
        <v>152</v>
      </c>
      <c r="CU803" t="s">
        <v>102</v>
      </c>
      <c r="CV803" t="s">
        <v>100</v>
      </c>
    </row>
    <row r="804" spans="1:100">
      <c r="A804" s="3" t="s">
        <v>9224</v>
      </c>
      <c r="B804" s="4" t="s">
        <v>9225</v>
      </c>
      <c r="C804">
        <v>26.612893683631501</v>
      </c>
      <c r="D804">
        <v>7.2271145534906598</v>
      </c>
      <c r="E804">
        <v>1.8826966317263301</v>
      </c>
      <c r="F804">
        <v>4.0379083028761899E-2</v>
      </c>
      <c r="G804" t="s">
        <v>4</v>
      </c>
      <c r="H804">
        <v>26.612893683631501</v>
      </c>
      <c r="I804">
        <v>1.6043579622555699</v>
      </c>
      <c r="J804">
        <v>4.2116137436089103</v>
      </c>
      <c r="K804">
        <v>4.13106368813582E-4</v>
      </c>
      <c r="L804" t="s">
        <v>4</v>
      </c>
      <c r="M804">
        <v>7.2271145534906598</v>
      </c>
      <c r="N804">
        <v>1.6043579622555699</v>
      </c>
      <c r="O804">
        <v>2.32891711188257</v>
      </c>
      <c r="P804">
        <v>6.7332437814694404E-2</v>
      </c>
      <c r="Q804" t="s">
        <v>4</v>
      </c>
      <c r="R804" s="4" t="s">
        <v>87</v>
      </c>
      <c r="S804" t="s">
        <v>4</v>
      </c>
      <c r="T804" t="s">
        <v>92</v>
      </c>
      <c r="U804" t="s">
        <v>92</v>
      </c>
      <c r="V804" t="s">
        <v>92</v>
      </c>
      <c r="W804" t="s">
        <v>92</v>
      </c>
      <c r="X804" t="s">
        <v>4</v>
      </c>
      <c r="Y804" t="s">
        <v>92</v>
      </c>
      <c r="Z804" t="s">
        <v>92</v>
      </c>
      <c r="AA804" t="s">
        <v>92</v>
      </c>
      <c r="AB804" t="s">
        <v>4</v>
      </c>
      <c r="AC804" s="3" t="s">
        <v>93</v>
      </c>
      <c r="AD804" t="s">
        <v>4</v>
      </c>
      <c r="AE804" s="4" t="s">
        <v>94</v>
      </c>
      <c r="AZ804" t="s">
        <v>4</v>
      </c>
      <c r="BA804" s="3" t="s">
        <v>95</v>
      </c>
      <c r="BB804" s="6" t="s">
        <v>95</v>
      </c>
      <c r="BC804" s="3" t="s">
        <v>197</v>
      </c>
      <c r="BD804" t="s">
        <v>4</v>
      </c>
      <c r="BE804">
        <v>1869</v>
      </c>
      <c r="BF804" t="s">
        <v>148</v>
      </c>
      <c r="BH804">
        <v>64.137900000000002</v>
      </c>
      <c r="BI804" t="s">
        <v>9226</v>
      </c>
      <c r="BJ804">
        <v>24.137899999999998</v>
      </c>
      <c r="BK804">
        <v>44.827599999999997</v>
      </c>
      <c r="BL804">
        <v>31.034500000000001</v>
      </c>
      <c r="BM804">
        <v>44.137900000000002</v>
      </c>
      <c r="BN804" t="s">
        <v>9227</v>
      </c>
      <c r="BO804" t="s">
        <v>9228</v>
      </c>
      <c r="CK804">
        <v>3</v>
      </c>
      <c r="CL804" t="s">
        <v>4</v>
      </c>
      <c r="CM804" t="s">
        <v>98</v>
      </c>
      <c r="CN804" t="s">
        <v>98</v>
      </c>
      <c r="CO804" t="s">
        <v>99</v>
      </c>
      <c r="CP804" s="7">
        <v>248</v>
      </c>
      <c r="CQ804" t="s">
        <v>100</v>
      </c>
      <c r="CR804" t="s">
        <v>100</v>
      </c>
      <c r="CS804" t="s">
        <v>101</v>
      </c>
      <c r="CT804" t="s">
        <v>100</v>
      </c>
      <c r="CU804" t="s">
        <v>102</v>
      </c>
      <c r="CV804" t="s">
        <v>100</v>
      </c>
    </row>
    <row r="805" spans="1:100">
      <c r="A805" s="3" t="s">
        <v>9229</v>
      </c>
      <c r="B805" s="4" t="s">
        <v>9230</v>
      </c>
      <c r="C805">
        <v>2156.1285456421601</v>
      </c>
      <c r="D805">
        <v>1055.2189605266401</v>
      </c>
      <c r="E805">
        <v>1.0306798198299201</v>
      </c>
      <c r="F805">
        <v>3.2034254337408502E-2</v>
      </c>
      <c r="G805" t="s">
        <v>4</v>
      </c>
      <c r="H805">
        <v>2156.1285456421601</v>
      </c>
      <c r="I805">
        <v>115.327986153084</v>
      </c>
      <c r="J805">
        <v>4.2108400322199397</v>
      </c>
      <c r="K805" s="5">
        <v>1.9140477464439199E-21</v>
      </c>
      <c r="L805" t="s">
        <v>4</v>
      </c>
      <c r="M805">
        <v>1055.2189605266401</v>
      </c>
      <c r="N805">
        <v>115.327986153084</v>
      </c>
      <c r="O805">
        <v>3.1801602123900201</v>
      </c>
      <c r="P805" s="5">
        <v>9.2276567695965796E-13</v>
      </c>
      <c r="Q805" t="s">
        <v>4</v>
      </c>
      <c r="R805" s="4" t="s">
        <v>87</v>
      </c>
      <c r="S805" t="s">
        <v>4</v>
      </c>
      <c r="T805" t="s">
        <v>9231</v>
      </c>
      <c r="U805" t="s">
        <v>9232</v>
      </c>
      <c r="V805" t="s">
        <v>9233</v>
      </c>
      <c r="W805" t="s">
        <v>203</v>
      </c>
      <c r="X805" t="s">
        <v>4</v>
      </c>
      <c r="Y805" t="s">
        <v>9234</v>
      </c>
      <c r="Z805" t="s">
        <v>9235</v>
      </c>
      <c r="AA805" t="s">
        <v>9236</v>
      </c>
      <c r="AB805" t="s">
        <v>4</v>
      </c>
      <c r="AC805" s="3" t="s">
        <v>9237</v>
      </c>
      <c r="AD805" t="s">
        <v>4</v>
      </c>
      <c r="AE805" t="s">
        <v>9238</v>
      </c>
      <c r="AF805" t="s">
        <v>834</v>
      </c>
      <c r="AG805" t="s">
        <v>9239</v>
      </c>
      <c r="AH805" t="s">
        <v>112</v>
      </c>
      <c r="AI805" t="s">
        <v>9240</v>
      </c>
      <c r="AJ805" t="s">
        <v>9241</v>
      </c>
      <c r="AU805" t="s">
        <v>112</v>
      </c>
      <c r="AV805" t="s">
        <v>9242</v>
      </c>
      <c r="AW805" t="s">
        <v>114</v>
      </c>
      <c r="AX805" t="s">
        <v>2157</v>
      </c>
      <c r="AY805" t="s">
        <v>9243</v>
      </c>
      <c r="AZ805" t="s">
        <v>4</v>
      </c>
      <c r="BA805" s="3" t="s">
        <v>115</v>
      </c>
      <c r="BB805" s="6" t="s">
        <v>95</v>
      </c>
      <c r="BC805" s="3" t="s">
        <v>197</v>
      </c>
      <c r="BD805" t="s">
        <v>4</v>
      </c>
      <c r="BE805">
        <v>9023</v>
      </c>
      <c r="BF805" t="s">
        <v>169</v>
      </c>
      <c r="BG805">
        <v>98.905100000000004</v>
      </c>
      <c r="BH805">
        <v>62.104599999999998</v>
      </c>
      <c r="BI805">
        <v>55.474499999999999</v>
      </c>
      <c r="BJ805">
        <v>53.102200000000003</v>
      </c>
      <c r="BK805">
        <v>76.581500000000005</v>
      </c>
      <c r="BL805" t="s">
        <v>9244</v>
      </c>
      <c r="BM805" t="s">
        <v>9245</v>
      </c>
      <c r="BN805">
        <v>79.014600000000002</v>
      </c>
      <c r="BO805">
        <v>79.440399999999997</v>
      </c>
      <c r="BP805">
        <v>52.128999999999998</v>
      </c>
      <c r="BQ805" t="s">
        <v>9246</v>
      </c>
      <c r="BR805" t="s">
        <v>9247</v>
      </c>
      <c r="BS805" t="s">
        <v>9248</v>
      </c>
      <c r="BT805" t="s">
        <v>9249</v>
      </c>
      <c r="BU805" t="s">
        <v>9250</v>
      </c>
      <c r="BV805" t="s">
        <v>9251</v>
      </c>
      <c r="BW805" t="s">
        <v>9252</v>
      </c>
      <c r="BX805" t="s">
        <v>9253</v>
      </c>
      <c r="BZ805" t="s">
        <v>9254</v>
      </c>
      <c r="CA805" t="s">
        <v>9255</v>
      </c>
      <c r="CK805">
        <v>9</v>
      </c>
      <c r="CL805" t="s">
        <v>4</v>
      </c>
      <c r="CM805" t="s">
        <v>9256</v>
      </c>
      <c r="CN805" t="s">
        <v>9257</v>
      </c>
      <c r="CO805" t="s">
        <v>516</v>
      </c>
      <c r="CP805" s="7">
        <v>249</v>
      </c>
      <c r="CQ805" t="s">
        <v>100</v>
      </c>
      <c r="CR805" t="s">
        <v>100</v>
      </c>
      <c r="CS805" t="s">
        <v>101</v>
      </c>
      <c r="CT805" t="s">
        <v>152</v>
      </c>
      <c r="CU805" t="s">
        <v>102</v>
      </c>
      <c r="CV805" t="s">
        <v>100</v>
      </c>
    </row>
    <row r="806" spans="1:100">
      <c r="A806" s="3" t="s">
        <v>9258</v>
      </c>
      <c r="B806" s="4" t="s">
        <v>9259</v>
      </c>
      <c r="C806">
        <v>105.143674060856</v>
      </c>
      <c r="D806">
        <v>26.060262507148099</v>
      </c>
      <c r="E806">
        <v>2.0145589658210499</v>
      </c>
      <c r="F806">
        <v>2.53066539587148E-2</v>
      </c>
      <c r="G806" t="s">
        <v>4</v>
      </c>
      <c r="H806">
        <v>105.143674060856</v>
      </c>
      <c r="I806">
        <v>5.8554336167482397</v>
      </c>
      <c r="J806">
        <v>4.1516399533950796</v>
      </c>
      <c r="K806" s="5">
        <v>8.4858917219360996E-6</v>
      </c>
      <c r="L806" t="s">
        <v>4</v>
      </c>
      <c r="M806">
        <v>26.060262507148099</v>
      </c>
      <c r="N806">
        <v>5.8554336167482397</v>
      </c>
      <c r="O806">
        <v>2.1370809875740302</v>
      </c>
      <c r="P806">
        <v>2.8769595196644002E-2</v>
      </c>
      <c r="Q806" t="s">
        <v>4</v>
      </c>
      <c r="R806" s="4" t="s">
        <v>87</v>
      </c>
      <c r="S806" t="s">
        <v>4</v>
      </c>
      <c r="T806" t="s">
        <v>460</v>
      </c>
      <c r="U806" t="s">
        <v>461</v>
      </c>
      <c r="V806" t="s">
        <v>462</v>
      </c>
      <c r="W806" t="s">
        <v>123</v>
      </c>
      <c r="X806" t="s">
        <v>4</v>
      </c>
      <c r="Y806" t="s">
        <v>463</v>
      </c>
      <c r="Z806" t="s">
        <v>464</v>
      </c>
      <c r="AA806" t="s">
        <v>465</v>
      </c>
      <c r="AB806" t="s">
        <v>4</v>
      </c>
      <c r="AC806" s="3" t="s">
        <v>9260</v>
      </c>
      <c r="AD806" t="s">
        <v>4</v>
      </c>
      <c r="AE806" t="s">
        <v>467</v>
      </c>
      <c r="AF806" t="s">
        <v>9261</v>
      </c>
      <c r="AG806" t="s">
        <v>9262</v>
      </c>
      <c r="AH806" t="s">
        <v>169</v>
      </c>
      <c r="AU806" t="s">
        <v>112</v>
      </c>
      <c r="AV806" t="s">
        <v>470</v>
      </c>
      <c r="AW806" t="s">
        <v>114</v>
      </c>
      <c r="AX806" t="s">
        <v>144</v>
      </c>
      <c r="AY806" t="s">
        <v>471</v>
      </c>
      <c r="AZ806" t="s">
        <v>4</v>
      </c>
      <c r="BA806" s="3" t="s">
        <v>95</v>
      </c>
      <c r="BB806" s="6" t="s">
        <v>95</v>
      </c>
      <c r="BC806" s="3" t="s">
        <v>197</v>
      </c>
      <c r="BD806" t="s">
        <v>4</v>
      </c>
      <c r="BE806">
        <v>1423</v>
      </c>
      <c r="BF806" t="s">
        <v>151</v>
      </c>
      <c r="BH806">
        <v>31.692299999999999</v>
      </c>
      <c r="BI806" t="s">
        <v>9263</v>
      </c>
      <c r="CK806">
        <v>2</v>
      </c>
      <c r="CL806" t="s">
        <v>4</v>
      </c>
      <c r="CM806" t="s">
        <v>98</v>
      </c>
      <c r="CN806" t="s">
        <v>98</v>
      </c>
      <c r="CO806" t="s">
        <v>99</v>
      </c>
      <c r="CP806" s="7">
        <v>250</v>
      </c>
      <c r="CQ806" t="s">
        <v>100</v>
      </c>
      <c r="CR806" t="s">
        <v>100</v>
      </c>
      <c r="CS806" t="s">
        <v>101</v>
      </c>
      <c r="CT806" s="7" t="s">
        <v>152</v>
      </c>
      <c r="CU806" t="s">
        <v>102</v>
      </c>
      <c r="CV806" t="s">
        <v>100</v>
      </c>
    </row>
    <row r="807" spans="1:100">
      <c r="A807" s="3" t="s">
        <v>9264</v>
      </c>
      <c r="B807" s="4" t="s">
        <v>9265</v>
      </c>
      <c r="C807">
        <v>696.09801846151004</v>
      </c>
      <c r="D807">
        <v>237.354639778186</v>
      </c>
      <c r="E807">
        <v>1.55109225887054</v>
      </c>
      <c r="F807">
        <v>1.2807854506562001E-3</v>
      </c>
      <c r="G807" t="s">
        <v>4</v>
      </c>
      <c r="H807">
        <v>696.09801846151004</v>
      </c>
      <c r="I807">
        <v>39.500084540945799</v>
      </c>
      <c r="J807">
        <v>4.0984664820978001</v>
      </c>
      <c r="K807" s="5">
        <v>3.4688383013179E-18</v>
      </c>
      <c r="L807" t="s">
        <v>4</v>
      </c>
      <c r="M807">
        <v>237.354639778186</v>
      </c>
      <c r="N807">
        <v>39.500084540945799</v>
      </c>
      <c r="O807">
        <v>2.54737422322727</v>
      </c>
      <c r="P807" s="5">
        <v>1.06653232229022E-7</v>
      </c>
      <c r="Q807" t="s">
        <v>4</v>
      </c>
      <c r="R807" s="4" t="s">
        <v>87</v>
      </c>
      <c r="S807" t="s">
        <v>4</v>
      </c>
      <c r="T807" t="s">
        <v>92</v>
      </c>
      <c r="U807" t="s">
        <v>92</v>
      </c>
      <c r="V807" t="s">
        <v>92</v>
      </c>
      <c r="W807" t="s">
        <v>92</v>
      </c>
      <c r="X807" t="s">
        <v>4</v>
      </c>
      <c r="Y807" t="s">
        <v>92</v>
      </c>
      <c r="Z807" t="s">
        <v>92</v>
      </c>
      <c r="AA807" t="s">
        <v>92</v>
      </c>
      <c r="AB807" t="s">
        <v>4</v>
      </c>
      <c r="AC807" s="3" t="s">
        <v>93</v>
      </c>
      <c r="AD807" t="s">
        <v>4</v>
      </c>
      <c r="AE807" s="4" t="s">
        <v>94</v>
      </c>
      <c r="AZ807" t="s">
        <v>4</v>
      </c>
      <c r="BA807" s="3" t="s">
        <v>115</v>
      </c>
      <c r="BB807" s="6" t="s">
        <v>95</v>
      </c>
      <c r="BC807" s="3" t="s">
        <v>95</v>
      </c>
      <c r="BD807" t="s">
        <v>4</v>
      </c>
      <c r="BE807">
        <v>1734</v>
      </c>
      <c r="BF807" t="s">
        <v>151</v>
      </c>
      <c r="CK807">
        <v>2</v>
      </c>
      <c r="CL807" t="s">
        <v>4</v>
      </c>
      <c r="CM807" t="s">
        <v>98</v>
      </c>
      <c r="CN807" t="s">
        <v>98</v>
      </c>
      <c r="CO807" t="s">
        <v>99</v>
      </c>
      <c r="CP807" s="7">
        <v>251</v>
      </c>
      <c r="CQ807" t="s">
        <v>100</v>
      </c>
      <c r="CR807" t="s">
        <v>100</v>
      </c>
      <c r="CS807" t="s">
        <v>101</v>
      </c>
      <c r="CT807" t="s">
        <v>152</v>
      </c>
      <c r="CU807" t="s">
        <v>102</v>
      </c>
      <c r="CV807" t="s">
        <v>100</v>
      </c>
    </row>
    <row r="808" spans="1:100">
      <c r="A808" s="3" t="s">
        <v>9266</v>
      </c>
      <c r="B808" s="4" t="s">
        <v>9267</v>
      </c>
      <c r="C808">
        <v>30.692895143996601</v>
      </c>
      <c r="D808">
        <v>8.1073905383575404</v>
      </c>
      <c r="E808">
        <v>1.9336552571691299</v>
      </c>
      <c r="F808">
        <v>2.5417960322786402E-2</v>
      </c>
      <c r="G808" t="s">
        <v>4</v>
      </c>
      <c r="H808">
        <v>30.692895143996601</v>
      </c>
      <c r="I808">
        <v>1.7885200743904099</v>
      </c>
      <c r="J808">
        <v>4.07430492980395</v>
      </c>
      <c r="K808">
        <v>1.8141480096999101E-4</v>
      </c>
      <c r="L808" t="s">
        <v>4</v>
      </c>
      <c r="M808">
        <v>8.1073905383575404</v>
      </c>
      <c r="N808">
        <v>1.7885200743904099</v>
      </c>
      <c r="O808">
        <v>2.1406496726348201</v>
      </c>
      <c r="P808">
        <v>6.6719611671951395E-2</v>
      </c>
      <c r="Q808" t="s">
        <v>4</v>
      </c>
      <c r="R808" s="4" t="s">
        <v>87</v>
      </c>
      <c r="S808" t="s">
        <v>4</v>
      </c>
      <c r="T808" t="s">
        <v>9268</v>
      </c>
      <c r="U808" t="s">
        <v>9269</v>
      </c>
      <c r="V808" t="s">
        <v>9270</v>
      </c>
      <c r="W808" t="s">
        <v>328</v>
      </c>
      <c r="X808" t="s">
        <v>4</v>
      </c>
      <c r="Y808" t="s">
        <v>9271</v>
      </c>
      <c r="Z808" t="s">
        <v>9272</v>
      </c>
      <c r="AA808" t="s">
        <v>9273</v>
      </c>
      <c r="AB808" t="s">
        <v>4</v>
      </c>
      <c r="AC808" s="3" t="s">
        <v>93</v>
      </c>
      <c r="AD808" t="s">
        <v>4</v>
      </c>
      <c r="AE808" t="s">
        <v>9274</v>
      </c>
      <c r="AF808" t="s">
        <v>9275</v>
      </c>
      <c r="AG808" t="s">
        <v>1793</v>
      </c>
      <c r="AH808" t="s">
        <v>314</v>
      </c>
      <c r="AU808" t="s">
        <v>112</v>
      </c>
      <c r="AV808" t="s">
        <v>9276</v>
      </c>
      <c r="AW808" t="s">
        <v>114</v>
      </c>
      <c r="AX808" t="s">
        <v>144</v>
      </c>
      <c r="AY808" t="s">
        <v>9277</v>
      </c>
      <c r="AZ808" t="s">
        <v>4</v>
      </c>
      <c r="BA808" s="3" t="s">
        <v>95</v>
      </c>
      <c r="BB808" t="s">
        <v>96</v>
      </c>
      <c r="BC808" s="3" t="s">
        <v>95</v>
      </c>
      <c r="BD808" t="s">
        <v>4</v>
      </c>
      <c r="BE808">
        <v>8494</v>
      </c>
      <c r="BF808" t="s">
        <v>213</v>
      </c>
      <c r="BG808">
        <v>0.25188899999999997</v>
      </c>
      <c r="BH808" t="s">
        <v>9278</v>
      </c>
      <c r="BI808">
        <v>60.9572</v>
      </c>
      <c r="BK808">
        <v>0.25188899999999997</v>
      </c>
      <c r="BL808" t="s">
        <v>9279</v>
      </c>
      <c r="BM808">
        <v>0</v>
      </c>
      <c r="BN808">
        <v>56.423200000000001</v>
      </c>
      <c r="BO808" t="s">
        <v>9280</v>
      </c>
      <c r="BP808">
        <v>0.75566800000000001</v>
      </c>
      <c r="BQ808">
        <v>22.67</v>
      </c>
      <c r="BR808">
        <v>32.745600000000003</v>
      </c>
      <c r="BY808">
        <v>4.2821199999999999</v>
      </c>
      <c r="CB808" t="s">
        <v>9281</v>
      </c>
      <c r="CC808">
        <v>17.128499999999999</v>
      </c>
      <c r="CD808">
        <v>0.50377799999999995</v>
      </c>
      <c r="CE808" t="s">
        <v>9282</v>
      </c>
      <c r="CG808" t="s">
        <v>9283</v>
      </c>
      <c r="CH808" t="s">
        <v>9284</v>
      </c>
      <c r="CI808" t="s">
        <v>9285</v>
      </c>
      <c r="CK808">
        <v>8</v>
      </c>
      <c r="CL808" t="s">
        <v>4</v>
      </c>
      <c r="CM808" t="s">
        <v>98</v>
      </c>
      <c r="CN808" t="s">
        <v>98</v>
      </c>
      <c r="CO808" t="s">
        <v>99</v>
      </c>
      <c r="CP808" s="7">
        <v>252</v>
      </c>
      <c r="CQ808" t="s">
        <v>100</v>
      </c>
      <c r="CR808" t="s">
        <v>100</v>
      </c>
      <c r="CS808" t="s">
        <v>101</v>
      </c>
      <c r="CT808" t="s">
        <v>100</v>
      </c>
      <c r="CU808" t="s">
        <v>102</v>
      </c>
      <c r="CV808" t="s">
        <v>100</v>
      </c>
    </row>
    <row r="809" spans="1:100">
      <c r="A809" s="3" t="s">
        <v>9286</v>
      </c>
      <c r="B809" s="4" t="s">
        <v>9287</v>
      </c>
      <c r="C809">
        <v>41.830838800515103</v>
      </c>
      <c r="D809">
        <v>9.3434128389359596</v>
      </c>
      <c r="E809">
        <v>2.17766901416512</v>
      </c>
      <c r="F809">
        <v>2.8972122970942499E-2</v>
      </c>
      <c r="G809" t="s">
        <v>4</v>
      </c>
      <c r="H809">
        <v>41.830838800515103</v>
      </c>
      <c r="I809">
        <v>2.3157392257800198</v>
      </c>
      <c r="J809">
        <v>4.0443596767646302</v>
      </c>
      <c r="K809">
        <v>2.9998681311370898E-4</v>
      </c>
      <c r="L809" t="s">
        <v>4</v>
      </c>
      <c r="M809">
        <v>9.3434128389359596</v>
      </c>
      <c r="N809">
        <v>2.3157392257800198</v>
      </c>
      <c r="O809">
        <v>1.8666906625995201</v>
      </c>
      <c r="P809">
        <v>0.12354258241466699</v>
      </c>
      <c r="Q809" t="s">
        <v>4</v>
      </c>
      <c r="R809" s="4" t="s">
        <v>87</v>
      </c>
      <c r="S809" t="s">
        <v>4</v>
      </c>
      <c r="T809" t="s">
        <v>92</v>
      </c>
      <c r="U809" t="s">
        <v>92</v>
      </c>
      <c r="V809" t="s">
        <v>92</v>
      </c>
      <c r="W809" t="s">
        <v>92</v>
      </c>
      <c r="X809" t="s">
        <v>4</v>
      </c>
      <c r="Y809" t="s">
        <v>1801</v>
      </c>
      <c r="Z809" t="s">
        <v>1802</v>
      </c>
      <c r="AA809" t="s">
        <v>1803</v>
      </c>
      <c r="AB809" t="s">
        <v>4</v>
      </c>
      <c r="AC809" s="3" t="s">
        <v>93</v>
      </c>
      <c r="AD809" t="s">
        <v>4</v>
      </c>
      <c r="AE809" t="s">
        <v>9288</v>
      </c>
      <c r="AF809" t="s">
        <v>9289</v>
      </c>
      <c r="AG809" t="s">
        <v>9290</v>
      </c>
      <c r="AH809" t="s">
        <v>112</v>
      </c>
      <c r="AU809" t="s">
        <v>112</v>
      </c>
      <c r="AV809" t="s">
        <v>9291</v>
      </c>
      <c r="AW809" t="s">
        <v>114</v>
      </c>
      <c r="AX809" t="s">
        <v>144</v>
      </c>
      <c r="AY809" t="s">
        <v>3750</v>
      </c>
      <c r="AZ809" t="s">
        <v>4</v>
      </c>
      <c r="BA809" s="3" t="s">
        <v>95</v>
      </c>
      <c r="BB809" s="6" t="s">
        <v>95</v>
      </c>
      <c r="BC809" s="3" t="s">
        <v>95</v>
      </c>
      <c r="BD809" t="s">
        <v>4</v>
      </c>
      <c r="BE809">
        <v>707</v>
      </c>
      <c r="BF809" t="s">
        <v>322</v>
      </c>
      <c r="CK809">
        <v>1</v>
      </c>
      <c r="CL809" t="s">
        <v>4</v>
      </c>
      <c r="CM809" t="s">
        <v>98</v>
      </c>
      <c r="CN809" t="s">
        <v>98</v>
      </c>
      <c r="CO809" t="s">
        <v>99</v>
      </c>
      <c r="CP809" s="7">
        <v>253</v>
      </c>
      <c r="CQ809" t="s">
        <v>100</v>
      </c>
      <c r="CR809" t="s">
        <v>100</v>
      </c>
      <c r="CS809" t="s">
        <v>101</v>
      </c>
      <c r="CT809" t="s">
        <v>100</v>
      </c>
      <c r="CU809" t="s">
        <v>102</v>
      </c>
      <c r="CV809" t="s">
        <v>100</v>
      </c>
    </row>
    <row r="810" spans="1:100">
      <c r="A810" s="3" t="s">
        <v>9292</v>
      </c>
      <c r="B810" s="4" t="s">
        <v>9293</v>
      </c>
      <c r="C810">
        <v>105.264339777066</v>
      </c>
      <c r="D810">
        <v>38.168104053114298</v>
      </c>
      <c r="E810">
        <v>1.4677270877392401</v>
      </c>
      <c r="F810">
        <v>1.23946685304704E-3</v>
      </c>
      <c r="G810" t="s">
        <v>4</v>
      </c>
      <c r="H810">
        <v>105.264339777066</v>
      </c>
      <c r="I810">
        <v>6.4981626510463304</v>
      </c>
      <c r="J810">
        <v>4.0348416678460497</v>
      </c>
      <c r="K810" s="5">
        <v>1.32205362405208E-12</v>
      </c>
      <c r="L810" t="s">
        <v>4</v>
      </c>
      <c r="M810">
        <v>38.168104053114298</v>
      </c>
      <c r="N810">
        <v>6.4981626510463304</v>
      </c>
      <c r="O810">
        <v>2.5671145801068098</v>
      </c>
      <c r="P810" s="5">
        <v>1.27244067624645E-5</v>
      </c>
      <c r="Q810" t="s">
        <v>4</v>
      </c>
      <c r="R810" s="4" t="s">
        <v>87</v>
      </c>
      <c r="S810" t="s">
        <v>4</v>
      </c>
      <c r="T810" t="s">
        <v>88</v>
      </c>
      <c r="U810" t="s">
        <v>89</v>
      </c>
      <c r="V810" t="s">
        <v>90</v>
      </c>
      <c r="W810" t="s">
        <v>91</v>
      </c>
      <c r="X810" t="s">
        <v>4</v>
      </c>
      <c r="Y810" t="s">
        <v>9294</v>
      </c>
      <c r="Z810" t="s">
        <v>9295</v>
      </c>
      <c r="AA810" t="s">
        <v>9296</v>
      </c>
      <c r="AB810" t="s">
        <v>4</v>
      </c>
      <c r="AC810" s="3" t="s">
        <v>9297</v>
      </c>
      <c r="AD810" t="s">
        <v>4</v>
      </c>
      <c r="AE810" t="s">
        <v>9298</v>
      </c>
      <c r="AF810" t="s">
        <v>9299</v>
      </c>
      <c r="AG810" t="s">
        <v>9300</v>
      </c>
      <c r="AH810" t="s">
        <v>638</v>
      </c>
      <c r="AU810" t="s">
        <v>112</v>
      </c>
      <c r="AV810" t="s">
        <v>9301</v>
      </c>
      <c r="AW810" t="s">
        <v>114</v>
      </c>
      <c r="AX810" t="s">
        <v>144</v>
      </c>
      <c r="AY810" t="s">
        <v>9302</v>
      </c>
      <c r="AZ810" t="s">
        <v>4</v>
      </c>
      <c r="BA810" s="3" t="s">
        <v>95</v>
      </c>
      <c r="BB810" t="s">
        <v>96</v>
      </c>
      <c r="BC810" s="3" t="s">
        <v>95</v>
      </c>
      <c r="BD810" t="s">
        <v>4</v>
      </c>
      <c r="BE810">
        <v>4287</v>
      </c>
      <c r="BF810" t="s">
        <v>112</v>
      </c>
      <c r="BG810">
        <v>98.107299999999995</v>
      </c>
      <c r="BH810">
        <v>89.5899</v>
      </c>
      <c r="BJ810">
        <v>23.343800000000002</v>
      </c>
      <c r="BK810">
        <v>75.709800000000001</v>
      </c>
      <c r="BL810">
        <v>32.176699999999997</v>
      </c>
      <c r="BN810" t="s">
        <v>9303</v>
      </c>
      <c r="BO810">
        <v>43.533099999999997</v>
      </c>
      <c r="BP810">
        <v>39.116700000000002</v>
      </c>
      <c r="BX810">
        <v>38.485799999999998</v>
      </c>
      <c r="BZ810">
        <v>16.4038</v>
      </c>
      <c r="CK810">
        <v>5</v>
      </c>
      <c r="CL810" t="s">
        <v>4</v>
      </c>
      <c r="CM810" t="s">
        <v>98</v>
      </c>
      <c r="CN810" t="s">
        <v>98</v>
      </c>
      <c r="CO810" t="s">
        <v>99</v>
      </c>
      <c r="CP810" s="7">
        <v>254</v>
      </c>
      <c r="CQ810" t="s">
        <v>100</v>
      </c>
      <c r="CR810" t="s">
        <v>100</v>
      </c>
      <c r="CS810" t="s">
        <v>101</v>
      </c>
      <c r="CT810" t="s">
        <v>152</v>
      </c>
      <c r="CU810" t="s">
        <v>102</v>
      </c>
      <c r="CV810" t="s">
        <v>100</v>
      </c>
    </row>
    <row r="811" spans="1:100">
      <c r="A811" s="3" t="s">
        <v>9304</v>
      </c>
      <c r="B811" s="4" t="s">
        <v>9305</v>
      </c>
      <c r="C811">
        <v>33.448717874201797</v>
      </c>
      <c r="D811">
        <v>5.6038015955957503</v>
      </c>
      <c r="E811">
        <v>2.58994218611396</v>
      </c>
      <c r="F811">
        <v>1.8088207928119202E-2</v>
      </c>
      <c r="G811" t="s">
        <v>4</v>
      </c>
      <c r="H811">
        <v>33.448717874201797</v>
      </c>
      <c r="I811">
        <v>1.83190511860186</v>
      </c>
      <c r="J811">
        <v>4.0145541881435198</v>
      </c>
      <c r="K811">
        <v>1.05997398266611E-3</v>
      </c>
      <c r="L811" t="s">
        <v>4</v>
      </c>
      <c r="M811">
        <v>5.6038015955957503</v>
      </c>
      <c r="N811">
        <v>1.83190511860186</v>
      </c>
      <c r="O811">
        <v>1.4246120020295701</v>
      </c>
      <c r="P811">
        <v>0.30607164409743898</v>
      </c>
      <c r="Q811" t="s">
        <v>4</v>
      </c>
      <c r="R811" s="4" t="s">
        <v>87</v>
      </c>
      <c r="S811" t="s">
        <v>4</v>
      </c>
      <c r="T811" t="s">
        <v>92</v>
      </c>
      <c r="U811" t="s">
        <v>92</v>
      </c>
      <c r="V811" t="s">
        <v>92</v>
      </c>
      <c r="W811" t="s">
        <v>92</v>
      </c>
      <c r="X811" t="s">
        <v>4</v>
      </c>
      <c r="Y811" t="s">
        <v>92</v>
      </c>
      <c r="Z811" t="s">
        <v>92</v>
      </c>
      <c r="AA811" t="s">
        <v>92</v>
      </c>
      <c r="AB811" t="s">
        <v>4</v>
      </c>
      <c r="AC811" s="3" t="s">
        <v>93</v>
      </c>
      <c r="AD811" t="s">
        <v>4</v>
      </c>
      <c r="AE811" s="4" t="s">
        <v>94</v>
      </c>
      <c r="AZ811" t="s">
        <v>4</v>
      </c>
      <c r="BA811" s="3" t="s">
        <v>95</v>
      </c>
      <c r="BB811" s="6" t="s">
        <v>95</v>
      </c>
      <c r="BC811" s="3" t="s">
        <v>95</v>
      </c>
      <c r="BD811" t="s">
        <v>4</v>
      </c>
      <c r="BE811">
        <v>179</v>
      </c>
      <c r="BF811" t="s">
        <v>322</v>
      </c>
      <c r="CK811">
        <v>1</v>
      </c>
      <c r="CL811" t="s">
        <v>4</v>
      </c>
      <c r="CM811" t="s">
        <v>98</v>
      </c>
      <c r="CN811" t="s">
        <v>98</v>
      </c>
      <c r="CO811" t="s">
        <v>99</v>
      </c>
      <c r="CP811" s="7">
        <v>255</v>
      </c>
      <c r="CQ811" t="s">
        <v>100</v>
      </c>
      <c r="CR811" t="s">
        <v>100</v>
      </c>
      <c r="CS811" t="s">
        <v>101</v>
      </c>
      <c r="CT811" t="s">
        <v>100</v>
      </c>
      <c r="CU811" t="s">
        <v>102</v>
      </c>
      <c r="CV811" t="s">
        <v>100</v>
      </c>
    </row>
    <row r="812" spans="1:100">
      <c r="A812" s="3" t="s">
        <v>9306</v>
      </c>
      <c r="B812" s="4" t="s">
        <v>9307</v>
      </c>
      <c r="C812">
        <v>108.46148282817499</v>
      </c>
      <c r="D812">
        <v>47.793112879132799</v>
      </c>
      <c r="E812">
        <v>1.1769812546863001</v>
      </c>
      <c r="F812">
        <v>2.0056087062457598E-2</v>
      </c>
      <c r="G812" t="s">
        <v>4</v>
      </c>
      <c r="H812">
        <v>108.46148282817499</v>
      </c>
      <c r="I812">
        <v>6.5294691224600898</v>
      </c>
      <c r="J812">
        <v>4.0059498362906298</v>
      </c>
      <c r="K812" s="5">
        <v>1.9045910117952901E-11</v>
      </c>
      <c r="L812" t="s">
        <v>4</v>
      </c>
      <c r="M812">
        <v>47.793112879132799</v>
      </c>
      <c r="N812">
        <v>6.5294691224600898</v>
      </c>
      <c r="O812">
        <v>2.8289685816043399</v>
      </c>
      <c r="P812" s="5">
        <v>3.45846877358837E-6</v>
      </c>
      <c r="Q812" t="s">
        <v>4</v>
      </c>
      <c r="R812" s="4" t="s">
        <v>87</v>
      </c>
      <c r="S812" t="s">
        <v>4</v>
      </c>
      <c r="T812" t="s">
        <v>92</v>
      </c>
      <c r="U812" t="s">
        <v>92</v>
      </c>
      <c r="V812" t="s">
        <v>92</v>
      </c>
      <c r="W812" t="s">
        <v>92</v>
      </c>
      <c r="X812" t="s">
        <v>4</v>
      </c>
      <c r="Y812" t="s">
        <v>92</v>
      </c>
      <c r="Z812" t="s">
        <v>92</v>
      </c>
      <c r="AA812" t="s">
        <v>92</v>
      </c>
      <c r="AB812" t="s">
        <v>4</v>
      </c>
      <c r="AC812" s="3" t="s">
        <v>93</v>
      </c>
      <c r="AD812" t="s">
        <v>4</v>
      </c>
      <c r="AE812" t="s">
        <v>9308</v>
      </c>
      <c r="AF812" t="s">
        <v>9309</v>
      </c>
      <c r="AG812" t="s">
        <v>9310</v>
      </c>
      <c r="AH812" t="s">
        <v>314</v>
      </c>
      <c r="AU812" t="s">
        <v>112</v>
      </c>
      <c r="AV812" t="s">
        <v>9311</v>
      </c>
      <c r="AW812" t="s">
        <v>114</v>
      </c>
      <c r="AZ812" t="s">
        <v>4</v>
      </c>
      <c r="BA812" s="3" t="s">
        <v>95</v>
      </c>
      <c r="BB812" s="6" t="s">
        <v>95</v>
      </c>
      <c r="BC812" s="3" t="s">
        <v>95</v>
      </c>
      <c r="BD812" t="s">
        <v>4</v>
      </c>
      <c r="BE812">
        <v>3278</v>
      </c>
      <c r="BF812" t="s">
        <v>112</v>
      </c>
      <c r="BG812">
        <v>70.3947</v>
      </c>
      <c r="BI812">
        <v>68.421099999999996</v>
      </c>
      <c r="BM812">
        <v>40.5702</v>
      </c>
      <c r="BN812">
        <v>47.587699999999998</v>
      </c>
      <c r="BO812">
        <v>53.289499999999997</v>
      </c>
      <c r="BW812">
        <v>24.122800000000002</v>
      </c>
      <c r="BX812">
        <v>24.122800000000002</v>
      </c>
      <c r="CA812">
        <v>22.806999999999999</v>
      </c>
      <c r="CK812">
        <v>5</v>
      </c>
      <c r="CL812" t="s">
        <v>4</v>
      </c>
      <c r="CM812" t="s">
        <v>9312</v>
      </c>
      <c r="CN812" t="s">
        <v>9313</v>
      </c>
      <c r="CO812" t="s">
        <v>99</v>
      </c>
      <c r="CP812" s="7">
        <v>256</v>
      </c>
      <c r="CQ812" t="s">
        <v>100</v>
      </c>
      <c r="CR812" t="s">
        <v>100</v>
      </c>
      <c r="CS812" t="s">
        <v>101</v>
      </c>
      <c r="CT812" t="s">
        <v>152</v>
      </c>
      <c r="CU812" t="s">
        <v>102</v>
      </c>
      <c r="CV812" t="s">
        <v>100</v>
      </c>
    </row>
    <row r="813" spans="1:100">
      <c r="A813" s="3" t="s">
        <v>9314</v>
      </c>
      <c r="B813" s="4" t="s">
        <v>9315</v>
      </c>
      <c r="C813">
        <v>32.090348085382701</v>
      </c>
      <c r="D813">
        <v>5.1120656219205802</v>
      </c>
      <c r="E813">
        <v>2.6550153042459699</v>
      </c>
      <c r="F813">
        <v>1.5091050921513E-2</v>
      </c>
      <c r="G813" t="s">
        <v>4</v>
      </c>
      <c r="H813">
        <v>32.090348085382701</v>
      </c>
      <c r="I813">
        <v>2.2410477101548101</v>
      </c>
      <c r="J813">
        <v>3.9956288009491199</v>
      </c>
      <c r="K813">
        <v>1.1194070905584199E-3</v>
      </c>
      <c r="L813" t="s">
        <v>4</v>
      </c>
      <c r="M813">
        <v>5.1120656219205802</v>
      </c>
      <c r="N813">
        <v>2.2410477101548101</v>
      </c>
      <c r="O813">
        <v>1.34061349670315</v>
      </c>
      <c r="P813">
        <v>0.34026648892165401</v>
      </c>
      <c r="Q813" t="s">
        <v>4</v>
      </c>
      <c r="R813" s="4" t="s">
        <v>87</v>
      </c>
      <c r="S813" t="s">
        <v>4</v>
      </c>
      <c r="T813" t="s">
        <v>92</v>
      </c>
      <c r="U813" t="s">
        <v>92</v>
      </c>
      <c r="V813" t="s">
        <v>92</v>
      </c>
      <c r="W813" t="s">
        <v>92</v>
      </c>
      <c r="X813" t="s">
        <v>4</v>
      </c>
      <c r="Y813" t="s">
        <v>9316</v>
      </c>
      <c r="Z813" t="s">
        <v>9317</v>
      </c>
      <c r="AA813" t="s">
        <v>9318</v>
      </c>
      <c r="AB813" t="s">
        <v>4</v>
      </c>
      <c r="AC813" s="3" t="s">
        <v>9319</v>
      </c>
      <c r="AD813" t="s">
        <v>4</v>
      </c>
      <c r="AE813" t="s">
        <v>9320</v>
      </c>
      <c r="AF813" t="s">
        <v>9321</v>
      </c>
      <c r="AG813" t="s">
        <v>9322</v>
      </c>
      <c r="AH813" t="s">
        <v>638</v>
      </c>
      <c r="AU813" t="s">
        <v>112</v>
      </c>
      <c r="AV813" t="s">
        <v>9323</v>
      </c>
      <c r="AW813" t="s">
        <v>114</v>
      </c>
      <c r="AX813" t="s">
        <v>536</v>
      </c>
      <c r="AY813" t="s">
        <v>9324</v>
      </c>
      <c r="AZ813" t="s">
        <v>4</v>
      </c>
      <c r="BA813" s="3" t="s">
        <v>95</v>
      </c>
      <c r="BB813" s="6" t="s">
        <v>95</v>
      </c>
      <c r="BC813" s="3" t="s">
        <v>95</v>
      </c>
      <c r="BD813" t="s">
        <v>4</v>
      </c>
      <c r="BE813">
        <v>2899</v>
      </c>
      <c r="BF813" t="s">
        <v>97</v>
      </c>
      <c r="BG813">
        <v>94.820700000000002</v>
      </c>
      <c r="BH813">
        <v>93.227099999999993</v>
      </c>
      <c r="BI813">
        <v>81.673299999999998</v>
      </c>
      <c r="BJ813">
        <v>22.3108</v>
      </c>
      <c r="BK813">
        <v>42.6295</v>
      </c>
      <c r="BL813">
        <v>51.394399999999997</v>
      </c>
      <c r="BM813">
        <v>50.5976</v>
      </c>
      <c r="BN813" t="s">
        <v>9325</v>
      </c>
      <c r="BO813" t="s">
        <v>9326</v>
      </c>
      <c r="CK813">
        <v>4</v>
      </c>
      <c r="CL813" t="s">
        <v>4</v>
      </c>
      <c r="CM813" t="s">
        <v>98</v>
      </c>
      <c r="CN813" t="s">
        <v>98</v>
      </c>
      <c r="CO813" t="s">
        <v>99</v>
      </c>
      <c r="CP813" s="7">
        <v>257</v>
      </c>
      <c r="CQ813" t="s">
        <v>100</v>
      </c>
      <c r="CR813" t="s">
        <v>100</v>
      </c>
      <c r="CS813" t="s">
        <v>101</v>
      </c>
      <c r="CT813" t="s">
        <v>100</v>
      </c>
      <c r="CU813" t="s">
        <v>102</v>
      </c>
      <c r="CV813" t="s">
        <v>100</v>
      </c>
    </row>
    <row r="814" spans="1:100">
      <c r="A814" s="3" t="s">
        <v>9327</v>
      </c>
      <c r="B814" s="4" t="s">
        <v>9328</v>
      </c>
      <c r="C814">
        <v>117.558060488035</v>
      </c>
      <c r="D814">
        <v>33.8974564906623</v>
      </c>
      <c r="E814">
        <v>1.79352317643711</v>
      </c>
      <c r="F814">
        <v>2.4012381049880699E-3</v>
      </c>
      <c r="G814" t="s">
        <v>4</v>
      </c>
      <c r="H814">
        <v>117.558060488035</v>
      </c>
      <c r="I814">
        <v>7.4718701518014896</v>
      </c>
      <c r="J814">
        <v>3.9926679875175002</v>
      </c>
      <c r="K814" s="5">
        <v>1.10781104621442E-9</v>
      </c>
      <c r="L814" t="s">
        <v>4</v>
      </c>
      <c r="M814">
        <v>33.8974564906623</v>
      </c>
      <c r="N814">
        <v>7.4718701518014896</v>
      </c>
      <c r="O814">
        <v>2.1991448110803899</v>
      </c>
      <c r="P814">
        <v>1.2899160057943499E-3</v>
      </c>
      <c r="Q814" t="s">
        <v>4</v>
      </c>
      <c r="R814" s="4" t="s">
        <v>87</v>
      </c>
      <c r="S814" t="s">
        <v>4</v>
      </c>
      <c r="T814" t="s">
        <v>88</v>
      </c>
      <c r="U814" t="s">
        <v>89</v>
      </c>
      <c r="V814" t="s">
        <v>90</v>
      </c>
      <c r="W814" t="s">
        <v>91</v>
      </c>
      <c r="X814" t="s">
        <v>4</v>
      </c>
      <c r="Y814" t="s">
        <v>92</v>
      </c>
      <c r="Z814" t="s">
        <v>92</v>
      </c>
      <c r="AA814" t="s">
        <v>92</v>
      </c>
      <c r="AB814" t="s">
        <v>4</v>
      </c>
      <c r="AC814" s="3" t="s">
        <v>93</v>
      </c>
      <c r="AD814" t="s">
        <v>4</v>
      </c>
      <c r="AE814" s="4" t="s">
        <v>94</v>
      </c>
      <c r="AZ814" t="s">
        <v>4</v>
      </c>
      <c r="BA814" s="3" t="s">
        <v>95</v>
      </c>
      <c r="BB814" t="s">
        <v>96</v>
      </c>
      <c r="BC814" s="3" t="s">
        <v>95</v>
      </c>
      <c r="BD814" t="s">
        <v>4</v>
      </c>
      <c r="BE814">
        <v>1253</v>
      </c>
      <c r="BF814" t="s">
        <v>151</v>
      </c>
      <c r="BG814">
        <v>43.675400000000003</v>
      </c>
      <c r="BH814">
        <v>49.880699999999997</v>
      </c>
      <c r="BI814">
        <v>38.663499999999999</v>
      </c>
      <c r="BJ814">
        <v>9.06921</v>
      </c>
      <c r="BK814">
        <v>17.4224</v>
      </c>
      <c r="CK814">
        <v>2</v>
      </c>
      <c r="CL814" t="s">
        <v>4</v>
      </c>
      <c r="CM814" t="s">
        <v>98</v>
      </c>
      <c r="CN814" t="s">
        <v>98</v>
      </c>
      <c r="CO814" t="s">
        <v>99</v>
      </c>
      <c r="CP814" s="7">
        <v>258</v>
      </c>
      <c r="CQ814" t="s">
        <v>100</v>
      </c>
      <c r="CR814" t="s">
        <v>100</v>
      </c>
      <c r="CS814" t="s">
        <v>101</v>
      </c>
      <c r="CT814" t="s">
        <v>152</v>
      </c>
      <c r="CU814" t="s">
        <v>102</v>
      </c>
      <c r="CV814" t="s">
        <v>100</v>
      </c>
    </row>
    <row r="815" spans="1:100">
      <c r="A815" s="3" t="s">
        <v>9329</v>
      </c>
      <c r="B815" s="4" t="s">
        <v>9330</v>
      </c>
      <c r="C815">
        <v>660.25721658454495</v>
      </c>
      <c r="D815">
        <v>189.69715260833499</v>
      </c>
      <c r="E815">
        <v>1.7971265643727601</v>
      </c>
      <c r="F815" s="5">
        <v>1.7770039753410699E-7</v>
      </c>
      <c r="G815" t="s">
        <v>4</v>
      </c>
      <c r="H815">
        <v>660.25721658454495</v>
      </c>
      <c r="I815">
        <v>41.940294840537703</v>
      </c>
      <c r="J815">
        <v>3.9891426462744701</v>
      </c>
      <c r="K815" s="5">
        <v>9.5754680508055296E-29</v>
      </c>
      <c r="L815" t="s">
        <v>4</v>
      </c>
      <c r="M815">
        <v>189.69715260833499</v>
      </c>
      <c r="N815">
        <v>41.940294840537703</v>
      </c>
      <c r="O815">
        <v>2.19201608190171</v>
      </c>
      <c r="P815" s="5">
        <v>2.5710415455671502E-9</v>
      </c>
      <c r="Q815" t="s">
        <v>4</v>
      </c>
      <c r="R815" s="4" t="s">
        <v>87</v>
      </c>
      <c r="S815" t="s">
        <v>4</v>
      </c>
      <c r="T815" t="s">
        <v>9331</v>
      </c>
      <c r="U815" t="s">
        <v>9332</v>
      </c>
      <c r="V815" t="s">
        <v>9333</v>
      </c>
      <c r="W815" t="s">
        <v>328</v>
      </c>
      <c r="X815" t="s">
        <v>4</v>
      </c>
      <c r="Y815" t="s">
        <v>9192</v>
      </c>
      <c r="Z815" t="s">
        <v>9193</v>
      </c>
      <c r="AA815" t="s">
        <v>9194</v>
      </c>
      <c r="AB815" t="s">
        <v>4</v>
      </c>
      <c r="AC815" s="3" t="s">
        <v>9334</v>
      </c>
      <c r="AD815" t="s">
        <v>4</v>
      </c>
      <c r="AE815" t="s">
        <v>333</v>
      </c>
      <c r="AF815" t="s">
        <v>9335</v>
      </c>
      <c r="AG815" t="s">
        <v>9336</v>
      </c>
      <c r="AH815" t="s">
        <v>112</v>
      </c>
      <c r="AJ815" t="s">
        <v>336</v>
      </c>
      <c r="AK815" t="s">
        <v>337</v>
      </c>
      <c r="AL815" t="s">
        <v>338</v>
      </c>
      <c r="AM815" t="s">
        <v>339</v>
      </c>
      <c r="AO815" t="s">
        <v>340</v>
      </c>
      <c r="AP815" t="s">
        <v>341</v>
      </c>
      <c r="AQ815" t="s">
        <v>342</v>
      </c>
      <c r="AS815" t="s">
        <v>343</v>
      </c>
      <c r="AU815" t="s">
        <v>112</v>
      </c>
      <c r="AV815" t="s">
        <v>344</v>
      </c>
      <c r="AW815" t="s">
        <v>114</v>
      </c>
      <c r="AX815" t="s">
        <v>345</v>
      </c>
      <c r="AY815" t="s">
        <v>346</v>
      </c>
      <c r="AZ815" t="s">
        <v>4</v>
      </c>
      <c r="BA815" s="3" t="s">
        <v>95</v>
      </c>
      <c r="BB815" t="s">
        <v>96</v>
      </c>
      <c r="BC815" s="3" t="s">
        <v>197</v>
      </c>
      <c r="BD815" t="s">
        <v>4</v>
      </c>
      <c r="BE815">
        <v>5718</v>
      </c>
      <c r="BF815" t="s">
        <v>386</v>
      </c>
      <c r="BG815">
        <v>34.325400000000002</v>
      </c>
      <c r="BJ815">
        <v>9.5238099999999992</v>
      </c>
      <c r="BK815">
        <v>25.198399999999999</v>
      </c>
      <c r="BL815" t="s">
        <v>9337</v>
      </c>
      <c r="BM815" t="s">
        <v>9338</v>
      </c>
      <c r="BN815" t="s">
        <v>9339</v>
      </c>
      <c r="BO815" t="s">
        <v>9340</v>
      </c>
      <c r="BP815">
        <v>23.214300000000001</v>
      </c>
      <c r="BQ815">
        <v>36.1111</v>
      </c>
      <c r="BR815" t="s">
        <v>9341</v>
      </c>
      <c r="BS815">
        <v>35.912700000000001</v>
      </c>
      <c r="BT815">
        <v>34.722200000000001</v>
      </c>
      <c r="BV815" t="s">
        <v>9342</v>
      </c>
      <c r="BW815" t="s">
        <v>9343</v>
      </c>
      <c r="BX815">
        <v>36.706299999999999</v>
      </c>
      <c r="CA815">
        <v>36.1111</v>
      </c>
      <c r="CB815" t="s">
        <v>9344</v>
      </c>
      <c r="CC815" t="s">
        <v>9345</v>
      </c>
      <c r="CD815" t="s">
        <v>9346</v>
      </c>
      <c r="CF815">
        <v>32.142899999999997</v>
      </c>
      <c r="CG815" t="s">
        <v>9347</v>
      </c>
      <c r="CH815" t="s">
        <v>9348</v>
      </c>
      <c r="CK815">
        <v>7</v>
      </c>
      <c r="CL815" t="s">
        <v>4</v>
      </c>
      <c r="CM815" t="s">
        <v>2056</v>
      </c>
      <c r="CN815" t="s">
        <v>9349</v>
      </c>
      <c r="CO815" t="s">
        <v>1218</v>
      </c>
      <c r="CP815" s="7">
        <v>259</v>
      </c>
      <c r="CQ815" t="s">
        <v>100</v>
      </c>
      <c r="CR815" t="s">
        <v>100</v>
      </c>
      <c r="CS815" t="s">
        <v>101</v>
      </c>
      <c r="CT815" t="s">
        <v>152</v>
      </c>
      <c r="CU815" t="s">
        <v>102</v>
      </c>
      <c r="CV815" t="s">
        <v>100</v>
      </c>
    </row>
    <row r="816" spans="1:100">
      <c r="A816" s="3" t="s">
        <v>9350</v>
      </c>
      <c r="B816" s="4" t="s">
        <v>9351</v>
      </c>
      <c r="C816">
        <v>94.276624296072598</v>
      </c>
      <c r="D816">
        <v>42.482775849875601</v>
      </c>
      <c r="E816">
        <v>1.15726641886382</v>
      </c>
      <c r="F816">
        <v>2.1366651402958702E-2</v>
      </c>
      <c r="G816" t="s">
        <v>4</v>
      </c>
      <c r="H816">
        <v>94.276624296072598</v>
      </c>
      <c r="I816">
        <v>6.0143285438681602</v>
      </c>
      <c r="J816">
        <v>3.9846752319182102</v>
      </c>
      <c r="K816" s="5">
        <v>6.5709396925127598E-11</v>
      </c>
      <c r="L816" t="s">
        <v>4</v>
      </c>
      <c r="M816">
        <v>42.482775849875601</v>
      </c>
      <c r="N816">
        <v>6.0143285438681602</v>
      </c>
      <c r="O816">
        <v>2.8274088130543999</v>
      </c>
      <c r="P816" s="5">
        <v>5.8511851830389103E-6</v>
      </c>
      <c r="Q816" t="s">
        <v>4</v>
      </c>
      <c r="R816" s="4" t="s">
        <v>87</v>
      </c>
      <c r="S816" t="s">
        <v>4</v>
      </c>
      <c r="T816" t="s">
        <v>92</v>
      </c>
      <c r="U816" t="s">
        <v>92</v>
      </c>
      <c r="V816" t="s">
        <v>92</v>
      </c>
      <c r="W816" t="s">
        <v>92</v>
      </c>
      <c r="X816" t="s">
        <v>4</v>
      </c>
      <c r="Y816" t="s">
        <v>9352</v>
      </c>
      <c r="Z816" t="s">
        <v>9353</v>
      </c>
      <c r="AA816" t="s">
        <v>9354</v>
      </c>
      <c r="AB816" t="s">
        <v>4</v>
      </c>
      <c r="AC816" s="3" t="s">
        <v>9355</v>
      </c>
      <c r="AD816" t="s">
        <v>4</v>
      </c>
      <c r="AE816" t="s">
        <v>9356</v>
      </c>
      <c r="AF816" t="s">
        <v>9357</v>
      </c>
      <c r="AG816" t="s">
        <v>9358</v>
      </c>
      <c r="AH816" t="s">
        <v>112</v>
      </c>
      <c r="AU816" t="s">
        <v>112</v>
      </c>
      <c r="AV816" t="s">
        <v>9359</v>
      </c>
      <c r="AW816" t="s">
        <v>114</v>
      </c>
      <c r="AX816" t="s">
        <v>144</v>
      </c>
      <c r="AY816" t="s">
        <v>1908</v>
      </c>
      <c r="AZ816" t="s">
        <v>4</v>
      </c>
      <c r="BA816" s="3" t="s">
        <v>95</v>
      </c>
      <c r="BB816" s="6" t="s">
        <v>95</v>
      </c>
      <c r="BC816" s="3" t="s">
        <v>95</v>
      </c>
      <c r="BD816" t="s">
        <v>4</v>
      </c>
      <c r="BE816">
        <v>4055</v>
      </c>
      <c r="BF816" t="s">
        <v>112</v>
      </c>
      <c r="BG816">
        <v>100</v>
      </c>
      <c r="BH816">
        <v>48.8127</v>
      </c>
      <c r="BI816">
        <v>98.153000000000006</v>
      </c>
      <c r="BJ816">
        <v>95.778400000000005</v>
      </c>
      <c r="BK816">
        <v>93.931399999999996</v>
      </c>
      <c r="BO816" t="s">
        <v>9360</v>
      </c>
      <c r="BP816" t="s">
        <v>9361</v>
      </c>
      <c r="BR816">
        <v>68.337699999999998</v>
      </c>
      <c r="CK816">
        <v>5</v>
      </c>
      <c r="CL816" t="s">
        <v>4</v>
      </c>
      <c r="CM816" t="s">
        <v>98</v>
      </c>
      <c r="CN816" t="s">
        <v>98</v>
      </c>
      <c r="CO816" t="s">
        <v>99</v>
      </c>
      <c r="CP816" s="7">
        <v>260</v>
      </c>
      <c r="CQ816" t="s">
        <v>100</v>
      </c>
      <c r="CR816" t="s">
        <v>100</v>
      </c>
      <c r="CS816" t="s">
        <v>101</v>
      </c>
      <c r="CT816" t="s">
        <v>152</v>
      </c>
      <c r="CU816" t="s">
        <v>102</v>
      </c>
      <c r="CV816" t="s">
        <v>100</v>
      </c>
    </row>
    <row r="817" spans="1:100">
      <c r="A817" s="3" t="s">
        <v>9362</v>
      </c>
      <c r="B817" s="4" t="s">
        <v>9363</v>
      </c>
      <c r="C817">
        <v>294.611706923376</v>
      </c>
      <c r="D817">
        <v>88.005147650147293</v>
      </c>
      <c r="E817">
        <v>1.7392877849170201</v>
      </c>
      <c r="F817" s="5">
        <v>3.0923645403418502E-6</v>
      </c>
      <c r="G817" t="s">
        <v>4</v>
      </c>
      <c r="H817">
        <v>294.611706923376</v>
      </c>
      <c r="I817">
        <v>19.114085156071599</v>
      </c>
      <c r="J817">
        <v>3.9752873942213802</v>
      </c>
      <c r="K817" s="5">
        <v>9.5471749744666609E-22</v>
      </c>
      <c r="L817" t="s">
        <v>4</v>
      </c>
      <c r="M817">
        <v>88.005147650147293</v>
      </c>
      <c r="N817">
        <v>19.114085156071599</v>
      </c>
      <c r="O817">
        <v>2.2359996093043599</v>
      </c>
      <c r="P817" s="5">
        <v>1.8574985341768899E-7</v>
      </c>
      <c r="Q817" t="s">
        <v>4</v>
      </c>
      <c r="R817" s="4" t="s">
        <v>87</v>
      </c>
      <c r="S817" t="s">
        <v>4</v>
      </c>
      <c r="T817" t="s">
        <v>92</v>
      </c>
      <c r="U817" t="s">
        <v>92</v>
      </c>
      <c r="V817" t="s">
        <v>92</v>
      </c>
      <c r="W817" t="s">
        <v>92</v>
      </c>
      <c r="X817" t="s">
        <v>4</v>
      </c>
      <c r="Y817" t="s">
        <v>9364</v>
      </c>
      <c r="Z817" t="s">
        <v>9365</v>
      </c>
      <c r="AA817" t="s">
        <v>9366</v>
      </c>
      <c r="AB817" t="s">
        <v>4</v>
      </c>
      <c r="AC817" s="3" t="s">
        <v>93</v>
      </c>
      <c r="AD817" t="s">
        <v>4</v>
      </c>
      <c r="AE817" t="s">
        <v>772</v>
      </c>
      <c r="AF817" t="s">
        <v>9367</v>
      </c>
      <c r="AG817" t="s">
        <v>8281</v>
      </c>
      <c r="AH817" t="s">
        <v>314</v>
      </c>
      <c r="AU817" t="s">
        <v>112</v>
      </c>
      <c r="AV817" t="s">
        <v>775</v>
      </c>
      <c r="AW817" t="s">
        <v>114</v>
      </c>
      <c r="AZ817" t="s">
        <v>4</v>
      </c>
      <c r="BA817" s="3" t="s">
        <v>115</v>
      </c>
      <c r="BB817" s="6" t="s">
        <v>95</v>
      </c>
      <c r="BC817" s="3" t="s">
        <v>95</v>
      </c>
      <c r="BD817" t="s">
        <v>4</v>
      </c>
      <c r="BE817">
        <v>8300</v>
      </c>
      <c r="BF817" t="s">
        <v>213</v>
      </c>
      <c r="BL817">
        <v>12.3431</v>
      </c>
      <c r="BR817">
        <v>1.67364</v>
      </c>
      <c r="BV817" t="s">
        <v>9368</v>
      </c>
      <c r="BX817" t="s">
        <v>9369</v>
      </c>
      <c r="BZ817">
        <v>5.0209200000000003</v>
      </c>
      <c r="CK817">
        <v>8</v>
      </c>
      <c r="CL817" t="s">
        <v>4</v>
      </c>
      <c r="CM817" t="s">
        <v>98</v>
      </c>
      <c r="CN817" t="s">
        <v>98</v>
      </c>
      <c r="CO817" t="s">
        <v>99</v>
      </c>
      <c r="CP817" s="7">
        <v>261</v>
      </c>
      <c r="CQ817" t="s">
        <v>100</v>
      </c>
      <c r="CR817" t="s">
        <v>100</v>
      </c>
      <c r="CS817" t="s">
        <v>101</v>
      </c>
      <c r="CT817" t="s">
        <v>152</v>
      </c>
      <c r="CU817" t="s">
        <v>102</v>
      </c>
      <c r="CV817" t="s">
        <v>100</v>
      </c>
    </row>
    <row r="818" spans="1:100">
      <c r="A818" s="3" t="s">
        <v>9370</v>
      </c>
      <c r="B818" s="4" t="s">
        <v>9371</v>
      </c>
      <c r="C818">
        <v>27.495020640214602</v>
      </c>
      <c r="D818">
        <v>4.2840122952330404</v>
      </c>
      <c r="E818">
        <v>2.70059764546611</v>
      </c>
      <c r="F818">
        <v>1.39306611837969E-2</v>
      </c>
      <c r="G818" t="s">
        <v>4</v>
      </c>
      <c r="H818">
        <v>27.495020640214602</v>
      </c>
      <c r="I818">
        <v>1.6417037200681699</v>
      </c>
      <c r="J818">
        <v>3.9698767279210401</v>
      </c>
      <c r="K818">
        <v>1.5348315315580801E-3</v>
      </c>
      <c r="L818" t="s">
        <v>4</v>
      </c>
      <c r="M818">
        <v>4.2840122952330404</v>
      </c>
      <c r="N818">
        <v>1.6417037200681699</v>
      </c>
      <c r="O818">
        <v>1.26927908245493</v>
      </c>
      <c r="P818">
        <v>0.38421142555198801</v>
      </c>
      <c r="Q818" t="s">
        <v>4</v>
      </c>
      <c r="R818" s="4" t="s">
        <v>87</v>
      </c>
      <c r="S818" t="s">
        <v>4</v>
      </c>
      <c r="T818" t="s">
        <v>88</v>
      </c>
      <c r="U818" t="s">
        <v>89</v>
      </c>
      <c r="V818" t="s">
        <v>90</v>
      </c>
      <c r="W818" t="s">
        <v>91</v>
      </c>
      <c r="X818" t="s">
        <v>4</v>
      </c>
      <c r="Y818" t="s">
        <v>92</v>
      </c>
      <c r="Z818" t="s">
        <v>92</v>
      </c>
      <c r="AA818" t="s">
        <v>92</v>
      </c>
      <c r="AB818" t="s">
        <v>4</v>
      </c>
      <c r="AC818" s="3" t="s">
        <v>93</v>
      </c>
      <c r="AD818" t="s">
        <v>4</v>
      </c>
      <c r="AE818" t="s">
        <v>9372</v>
      </c>
      <c r="AF818" t="s">
        <v>9373</v>
      </c>
      <c r="AG818" t="s">
        <v>9374</v>
      </c>
      <c r="AH818" t="s">
        <v>112</v>
      </c>
      <c r="AU818" t="s">
        <v>112</v>
      </c>
      <c r="AV818" t="s">
        <v>9375</v>
      </c>
      <c r="AW818" t="s">
        <v>114</v>
      </c>
      <c r="AZ818" t="s">
        <v>4</v>
      </c>
      <c r="BA818" s="3" t="s">
        <v>95</v>
      </c>
      <c r="BB818" t="s">
        <v>96</v>
      </c>
      <c r="BC818" s="3" t="s">
        <v>95</v>
      </c>
      <c r="BD818" t="s">
        <v>4</v>
      </c>
      <c r="BE818">
        <v>1128</v>
      </c>
      <c r="BF818" t="s">
        <v>151</v>
      </c>
      <c r="BG818">
        <v>73.228300000000004</v>
      </c>
      <c r="BH818">
        <v>31.496099999999998</v>
      </c>
      <c r="BI818">
        <v>82.283500000000004</v>
      </c>
      <c r="BK818">
        <v>24.015699999999999</v>
      </c>
      <c r="BL818">
        <v>17.322800000000001</v>
      </c>
      <c r="BM818" t="s">
        <v>9376</v>
      </c>
      <c r="BN818" t="s">
        <v>9377</v>
      </c>
      <c r="BO818">
        <v>20.4724</v>
      </c>
      <c r="CK818">
        <v>2</v>
      </c>
      <c r="CL818" t="s">
        <v>4</v>
      </c>
      <c r="CM818" t="s">
        <v>98</v>
      </c>
      <c r="CN818" t="s">
        <v>98</v>
      </c>
      <c r="CO818" t="s">
        <v>99</v>
      </c>
      <c r="CP818" s="7">
        <v>262</v>
      </c>
      <c r="CQ818" t="s">
        <v>100</v>
      </c>
      <c r="CR818" t="s">
        <v>100</v>
      </c>
      <c r="CS818" t="s">
        <v>101</v>
      </c>
      <c r="CT818" t="s">
        <v>100</v>
      </c>
      <c r="CU818" t="s">
        <v>102</v>
      </c>
      <c r="CV818" t="s">
        <v>100</v>
      </c>
    </row>
    <row r="819" spans="1:100">
      <c r="A819" s="3" t="s">
        <v>9378</v>
      </c>
      <c r="B819" s="4" t="s">
        <v>9379</v>
      </c>
      <c r="C819">
        <v>57.129453054531403</v>
      </c>
      <c r="D819">
        <v>15.0103031177416</v>
      </c>
      <c r="E819">
        <v>1.9218489031488899</v>
      </c>
      <c r="F819">
        <v>2.2022568927860101E-2</v>
      </c>
      <c r="G819" t="s">
        <v>4</v>
      </c>
      <c r="H819">
        <v>57.129453054531403</v>
      </c>
      <c r="I819">
        <v>3.5770401487808301</v>
      </c>
      <c r="J819">
        <v>3.9698616999999299</v>
      </c>
      <c r="K819" s="5">
        <v>2.2068584501448601E-5</v>
      </c>
      <c r="L819" t="s">
        <v>4</v>
      </c>
      <c r="M819">
        <v>15.0103031177416</v>
      </c>
      <c r="N819">
        <v>3.5770401487808301</v>
      </c>
      <c r="O819">
        <v>2.0480127968510402</v>
      </c>
      <c r="P819">
        <v>3.8925185909940097E-2</v>
      </c>
      <c r="Q819" t="s">
        <v>4</v>
      </c>
      <c r="R819" s="4" t="s">
        <v>87</v>
      </c>
      <c r="S819" t="s">
        <v>4</v>
      </c>
      <c r="T819" t="s">
        <v>92</v>
      </c>
      <c r="U819" t="s">
        <v>92</v>
      </c>
      <c r="V819" t="s">
        <v>92</v>
      </c>
      <c r="W819" t="s">
        <v>92</v>
      </c>
      <c r="X819" t="s">
        <v>4</v>
      </c>
      <c r="Y819" t="s">
        <v>9380</v>
      </c>
      <c r="Z819" t="s">
        <v>9381</v>
      </c>
      <c r="AA819" t="s">
        <v>9381</v>
      </c>
      <c r="AB819" t="s">
        <v>4</v>
      </c>
      <c r="AC819" s="3" t="s">
        <v>9355</v>
      </c>
      <c r="AD819" t="s">
        <v>4</v>
      </c>
      <c r="AE819" t="s">
        <v>9382</v>
      </c>
      <c r="AF819" t="s">
        <v>9383</v>
      </c>
      <c r="AG819" t="s">
        <v>9384</v>
      </c>
      <c r="AH819" t="s">
        <v>112</v>
      </c>
      <c r="AU819" t="s">
        <v>112</v>
      </c>
      <c r="AV819" t="s">
        <v>9359</v>
      </c>
      <c r="AW819" t="s">
        <v>114</v>
      </c>
      <c r="AX819" t="s">
        <v>144</v>
      </c>
      <c r="AY819" t="s">
        <v>1908</v>
      </c>
      <c r="AZ819" t="s">
        <v>4</v>
      </c>
      <c r="BA819" s="3" t="s">
        <v>95</v>
      </c>
      <c r="BB819" s="6" t="s">
        <v>95</v>
      </c>
      <c r="BC819" s="3" t="s">
        <v>95</v>
      </c>
      <c r="BD819" t="s">
        <v>4</v>
      </c>
      <c r="BE819">
        <v>4397</v>
      </c>
      <c r="BF819" t="s">
        <v>112</v>
      </c>
      <c r="BG819">
        <v>98.652299999999997</v>
      </c>
      <c r="BH819">
        <v>69.811300000000003</v>
      </c>
      <c r="BI819">
        <v>95.4178</v>
      </c>
      <c r="BJ819">
        <v>77.897599999999997</v>
      </c>
      <c r="BK819">
        <v>74.123999999999995</v>
      </c>
      <c r="BL819">
        <v>78.975700000000003</v>
      </c>
      <c r="BM819">
        <v>75.741200000000006</v>
      </c>
      <c r="BN819">
        <v>79.2453</v>
      </c>
      <c r="BO819">
        <v>82.2102</v>
      </c>
      <c r="BP819">
        <v>21.563300000000002</v>
      </c>
      <c r="BR819">
        <v>45.552599999999998</v>
      </c>
      <c r="BW819">
        <v>16.442</v>
      </c>
      <c r="BX819">
        <v>38.005400000000002</v>
      </c>
      <c r="BY819">
        <v>29.380099999999999</v>
      </c>
      <c r="BZ819">
        <v>34.501300000000001</v>
      </c>
      <c r="CA819">
        <v>31.2668</v>
      </c>
      <c r="CK819">
        <v>5</v>
      </c>
      <c r="CL819" t="s">
        <v>4</v>
      </c>
      <c r="CM819" t="s">
        <v>9385</v>
      </c>
      <c r="CN819" t="s">
        <v>9386</v>
      </c>
      <c r="CO819" t="s">
        <v>663</v>
      </c>
      <c r="CP819" s="7">
        <v>263</v>
      </c>
      <c r="CQ819" t="s">
        <v>100</v>
      </c>
      <c r="CR819" t="s">
        <v>100</v>
      </c>
      <c r="CS819" t="s">
        <v>101</v>
      </c>
      <c r="CT819" s="7" t="s">
        <v>152</v>
      </c>
      <c r="CU819" t="s">
        <v>102</v>
      </c>
      <c r="CV819" t="s">
        <v>100</v>
      </c>
    </row>
    <row r="820" spans="1:100">
      <c r="A820" s="3" t="s">
        <v>9387</v>
      </c>
      <c r="B820" s="4" t="s">
        <v>9388</v>
      </c>
      <c r="C820">
        <v>15.0241189464617</v>
      </c>
      <c r="D820">
        <v>2.8118364891666201</v>
      </c>
      <c r="E820">
        <v>2.4157165987679798</v>
      </c>
      <c r="F820">
        <v>3.4311706308385301E-2</v>
      </c>
      <c r="G820" t="s">
        <v>4</v>
      </c>
      <c r="H820">
        <v>15.0241189464617</v>
      </c>
      <c r="I820">
        <v>1.1205238550774099</v>
      </c>
      <c r="J820">
        <v>3.9609454635771599</v>
      </c>
      <c r="K820">
        <v>6.2969804791680002E-3</v>
      </c>
      <c r="L820" t="s">
        <v>4</v>
      </c>
      <c r="M820">
        <v>2.8118364891666201</v>
      </c>
      <c r="N820">
        <v>1.1205238550774099</v>
      </c>
      <c r="O820">
        <v>1.5452288648091801</v>
      </c>
      <c r="P820">
        <v>0.35528581747709698</v>
      </c>
      <c r="Q820" t="s">
        <v>4</v>
      </c>
      <c r="R820" s="4" t="s">
        <v>87</v>
      </c>
      <c r="S820" t="s">
        <v>4</v>
      </c>
      <c r="T820" t="s">
        <v>92</v>
      </c>
      <c r="U820" t="s">
        <v>92</v>
      </c>
      <c r="V820" t="s">
        <v>92</v>
      </c>
      <c r="W820" t="s">
        <v>92</v>
      </c>
      <c r="X820" t="s">
        <v>4</v>
      </c>
      <c r="Y820" t="s">
        <v>92</v>
      </c>
      <c r="Z820" t="s">
        <v>92</v>
      </c>
      <c r="AA820" t="s">
        <v>92</v>
      </c>
      <c r="AB820" t="s">
        <v>4</v>
      </c>
      <c r="AC820" s="3" t="s">
        <v>93</v>
      </c>
      <c r="AD820" t="s">
        <v>4</v>
      </c>
      <c r="AE820" s="4" t="s">
        <v>94</v>
      </c>
      <c r="AZ820" t="s">
        <v>4</v>
      </c>
      <c r="BA820" s="3" t="s">
        <v>95</v>
      </c>
      <c r="BB820" s="6" t="s">
        <v>95</v>
      </c>
      <c r="BC820" s="3" t="s">
        <v>95</v>
      </c>
      <c r="BD820" t="s">
        <v>4</v>
      </c>
      <c r="BE820">
        <v>590</v>
      </c>
      <c r="BF820" t="s">
        <v>322</v>
      </c>
      <c r="CK820">
        <v>1</v>
      </c>
      <c r="CL820" t="s">
        <v>4</v>
      </c>
      <c r="CM820" t="s">
        <v>98</v>
      </c>
      <c r="CN820" t="s">
        <v>98</v>
      </c>
      <c r="CO820" t="s">
        <v>99</v>
      </c>
      <c r="CP820" s="7">
        <v>264</v>
      </c>
      <c r="CQ820" t="s">
        <v>100</v>
      </c>
      <c r="CR820" t="s">
        <v>100</v>
      </c>
      <c r="CS820" t="s">
        <v>101</v>
      </c>
      <c r="CT820" t="s">
        <v>100</v>
      </c>
      <c r="CU820" t="s">
        <v>102</v>
      </c>
      <c r="CV820" t="s">
        <v>100</v>
      </c>
    </row>
    <row r="821" spans="1:100">
      <c r="A821" s="3" t="s">
        <v>9389</v>
      </c>
      <c r="B821" s="4" t="s">
        <v>9390</v>
      </c>
      <c r="C821">
        <v>2036.9965682479401</v>
      </c>
      <c r="D821">
        <v>680.91362294403996</v>
      </c>
      <c r="E821">
        <v>1.58007946612934</v>
      </c>
      <c r="F821" s="5">
        <v>1.0762331769439401E-7</v>
      </c>
      <c r="G821" t="s">
        <v>4</v>
      </c>
      <c r="H821">
        <v>2036.9965682479401</v>
      </c>
      <c r="I821">
        <v>131.87421956767901</v>
      </c>
      <c r="J821">
        <v>3.9451847909492801</v>
      </c>
      <c r="K821" s="5">
        <v>4.9227868090890698E-41</v>
      </c>
      <c r="L821" t="s">
        <v>4</v>
      </c>
      <c r="M821">
        <v>680.91362294403996</v>
      </c>
      <c r="N821">
        <v>131.87421956767901</v>
      </c>
      <c r="O821">
        <v>2.3651053248199401</v>
      </c>
      <c r="P821" s="5">
        <v>2.1999716146860099E-15</v>
      </c>
      <c r="Q821" t="s">
        <v>4</v>
      </c>
      <c r="R821" s="4" t="s">
        <v>87</v>
      </c>
      <c r="S821" t="s">
        <v>4</v>
      </c>
      <c r="T821" t="s">
        <v>92</v>
      </c>
      <c r="U821" t="s">
        <v>92</v>
      </c>
      <c r="V821" t="s">
        <v>92</v>
      </c>
      <c r="W821" t="s">
        <v>92</v>
      </c>
      <c r="X821" t="s">
        <v>4</v>
      </c>
      <c r="Y821" t="s">
        <v>92</v>
      </c>
      <c r="Z821" t="s">
        <v>92</v>
      </c>
      <c r="AA821" t="s">
        <v>92</v>
      </c>
      <c r="AB821" t="s">
        <v>4</v>
      </c>
      <c r="AC821" s="3" t="s">
        <v>93</v>
      </c>
      <c r="AD821" t="s">
        <v>4</v>
      </c>
      <c r="AE821" s="4" t="s">
        <v>94</v>
      </c>
      <c r="AZ821" t="s">
        <v>4</v>
      </c>
      <c r="BA821" s="3" t="s">
        <v>115</v>
      </c>
      <c r="BB821" s="6" t="s">
        <v>95</v>
      </c>
      <c r="BC821" s="3" t="s">
        <v>95</v>
      </c>
      <c r="BD821" t="s">
        <v>4</v>
      </c>
      <c r="BE821">
        <v>2114</v>
      </c>
      <c r="BF821" t="s">
        <v>148</v>
      </c>
      <c r="BG821">
        <v>97.2376</v>
      </c>
      <c r="BH821">
        <v>99.815799999999996</v>
      </c>
      <c r="BI821">
        <v>89.871099999999998</v>
      </c>
      <c r="BJ821" t="s">
        <v>9391</v>
      </c>
      <c r="BK821">
        <v>62.430900000000001</v>
      </c>
      <c r="BL821" t="s">
        <v>9392</v>
      </c>
      <c r="BM821">
        <v>67.034999999999997</v>
      </c>
      <c r="BN821">
        <v>67.587500000000006</v>
      </c>
      <c r="BO821">
        <v>67.219200000000001</v>
      </c>
      <c r="CK821">
        <v>3</v>
      </c>
      <c r="CL821" t="s">
        <v>4</v>
      </c>
      <c r="CM821" t="s">
        <v>98</v>
      </c>
      <c r="CN821" t="s">
        <v>98</v>
      </c>
      <c r="CO821" t="s">
        <v>99</v>
      </c>
      <c r="CP821" s="7">
        <v>265</v>
      </c>
      <c r="CQ821" t="s">
        <v>100</v>
      </c>
      <c r="CR821" t="s">
        <v>100</v>
      </c>
      <c r="CS821" t="s">
        <v>101</v>
      </c>
      <c r="CT821" t="s">
        <v>152</v>
      </c>
      <c r="CU821" t="s">
        <v>102</v>
      </c>
      <c r="CV821" t="s">
        <v>100</v>
      </c>
    </row>
    <row r="822" spans="1:100">
      <c r="A822" s="3" t="s">
        <v>9393</v>
      </c>
      <c r="B822" s="4" t="s">
        <v>9394</v>
      </c>
      <c r="C822">
        <v>1321.4788692704401</v>
      </c>
      <c r="D822">
        <v>574.34811415511604</v>
      </c>
      <c r="E822">
        <v>1.20194017267041</v>
      </c>
      <c r="F822">
        <v>5.7274279380942596E-3</v>
      </c>
      <c r="G822" t="s">
        <v>4</v>
      </c>
      <c r="H822">
        <v>1321.4788692704401</v>
      </c>
      <c r="I822">
        <v>85.330830842490997</v>
      </c>
      <c r="J822">
        <v>3.9322080919968401</v>
      </c>
      <c r="K822" s="5">
        <v>1.07838303745451E-21</v>
      </c>
      <c r="L822" t="s">
        <v>4</v>
      </c>
      <c r="M822">
        <v>574.34811415511604</v>
      </c>
      <c r="N822">
        <v>85.330830842490997</v>
      </c>
      <c r="O822">
        <v>2.7302679193264301</v>
      </c>
      <c r="P822" s="5">
        <v>4.71173162733898E-11</v>
      </c>
      <c r="Q822" t="s">
        <v>4</v>
      </c>
      <c r="R822" s="4" t="s">
        <v>87</v>
      </c>
      <c r="S822" t="s">
        <v>4</v>
      </c>
      <c r="T822" t="s">
        <v>92</v>
      </c>
      <c r="U822" t="s">
        <v>92</v>
      </c>
      <c r="V822" t="s">
        <v>92</v>
      </c>
      <c r="W822" t="s">
        <v>92</v>
      </c>
      <c r="X822" t="s">
        <v>4</v>
      </c>
      <c r="Y822" t="s">
        <v>9395</v>
      </c>
      <c r="Z822" t="s">
        <v>9396</v>
      </c>
      <c r="AA822" t="s">
        <v>9397</v>
      </c>
      <c r="AB822" t="s">
        <v>4</v>
      </c>
      <c r="AC822" s="3" t="s">
        <v>9398</v>
      </c>
      <c r="AD822" t="s">
        <v>4</v>
      </c>
      <c r="AE822" t="s">
        <v>9399</v>
      </c>
      <c r="AF822" t="s">
        <v>6479</v>
      </c>
      <c r="AG822" t="s">
        <v>9400</v>
      </c>
      <c r="AH822" t="s">
        <v>112</v>
      </c>
      <c r="AJ822" t="s">
        <v>9401</v>
      </c>
      <c r="AL822" t="s">
        <v>9402</v>
      </c>
      <c r="AQ822" t="s">
        <v>9403</v>
      </c>
      <c r="AU822" t="s">
        <v>112</v>
      </c>
      <c r="AV822" t="s">
        <v>9404</v>
      </c>
      <c r="AW822" t="s">
        <v>114</v>
      </c>
      <c r="AX822" t="s">
        <v>733</v>
      </c>
      <c r="AY822" t="s">
        <v>9405</v>
      </c>
      <c r="AZ822" t="s">
        <v>4</v>
      </c>
      <c r="BA822" s="3" t="s">
        <v>95</v>
      </c>
      <c r="BB822" s="6" t="s">
        <v>95</v>
      </c>
      <c r="BC822" s="3" t="s">
        <v>95</v>
      </c>
      <c r="BD822" t="s">
        <v>4</v>
      </c>
      <c r="BE822">
        <v>8166</v>
      </c>
      <c r="BF822" t="s">
        <v>213</v>
      </c>
      <c r="BG822">
        <v>79.566000000000003</v>
      </c>
      <c r="BH822">
        <v>46.654600000000002</v>
      </c>
      <c r="BJ822">
        <v>56.962000000000003</v>
      </c>
      <c r="BK822">
        <v>52.441200000000002</v>
      </c>
      <c r="BL822">
        <v>24.5931</v>
      </c>
      <c r="BM822">
        <v>52.983699999999999</v>
      </c>
      <c r="BN822">
        <v>53.887900000000002</v>
      </c>
      <c r="BO822">
        <v>52.622100000000003</v>
      </c>
      <c r="BX822">
        <v>14.828200000000001</v>
      </c>
      <c r="BZ822">
        <v>13.5624</v>
      </c>
      <c r="CA822" t="s">
        <v>9406</v>
      </c>
      <c r="CG822">
        <v>16.636500000000002</v>
      </c>
      <c r="CH822">
        <v>15.7324</v>
      </c>
      <c r="CI822">
        <v>18.083200000000001</v>
      </c>
      <c r="CK822">
        <v>8</v>
      </c>
      <c r="CL822" t="s">
        <v>4</v>
      </c>
      <c r="CM822" t="s">
        <v>9407</v>
      </c>
      <c r="CN822" t="s">
        <v>9408</v>
      </c>
      <c r="CO822" t="s">
        <v>516</v>
      </c>
      <c r="CP822" s="7">
        <v>266</v>
      </c>
      <c r="CQ822" t="s">
        <v>100</v>
      </c>
      <c r="CR822" t="s">
        <v>100</v>
      </c>
      <c r="CS822" t="s">
        <v>101</v>
      </c>
      <c r="CT822" t="s">
        <v>152</v>
      </c>
      <c r="CU822" t="s">
        <v>102</v>
      </c>
      <c r="CV822" t="s">
        <v>100</v>
      </c>
    </row>
    <row r="823" spans="1:100">
      <c r="A823" s="3" t="s">
        <v>9409</v>
      </c>
      <c r="B823" s="4" t="s">
        <v>9410</v>
      </c>
      <c r="C823">
        <v>51.8343475933139</v>
      </c>
      <c r="D823">
        <v>13.636065978077401</v>
      </c>
      <c r="E823">
        <v>1.9274877943680899</v>
      </c>
      <c r="F823">
        <v>2.0968197563855599E-2</v>
      </c>
      <c r="G823" t="s">
        <v>4</v>
      </c>
      <c r="H823">
        <v>51.8343475933139</v>
      </c>
      <c r="I823">
        <v>3.69858931808814</v>
      </c>
      <c r="J823">
        <v>3.9204203053403099</v>
      </c>
      <c r="K823" s="5">
        <v>3.1004443960911901E-5</v>
      </c>
      <c r="L823" t="s">
        <v>4</v>
      </c>
      <c r="M823">
        <v>13.636065978077401</v>
      </c>
      <c r="N823">
        <v>3.69858931808814</v>
      </c>
      <c r="O823">
        <v>1.99293251097223</v>
      </c>
      <c r="P823">
        <v>4.6689831468774E-2</v>
      </c>
      <c r="Q823" t="s">
        <v>4</v>
      </c>
      <c r="R823" s="4" t="s">
        <v>87</v>
      </c>
      <c r="S823" t="s">
        <v>4</v>
      </c>
      <c r="T823" t="s">
        <v>88</v>
      </c>
      <c r="U823" t="s">
        <v>89</v>
      </c>
      <c r="V823" t="s">
        <v>90</v>
      </c>
      <c r="W823" t="s">
        <v>91</v>
      </c>
      <c r="X823" t="s">
        <v>4</v>
      </c>
      <c r="Y823" t="s">
        <v>92</v>
      </c>
      <c r="Z823" t="s">
        <v>92</v>
      </c>
      <c r="AA823" t="s">
        <v>92</v>
      </c>
      <c r="AB823" t="s">
        <v>4</v>
      </c>
      <c r="AC823" s="3" t="s">
        <v>93</v>
      </c>
      <c r="AD823" t="s">
        <v>4</v>
      </c>
      <c r="AE823" s="4" t="s">
        <v>94</v>
      </c>
      <c r="AZ823" t="s">
        <v>4</v>
      </c>
      <c r="BA823" s="3" t="s">
        <v>95</v>
      </c>
      <c r="BB823" t="s">
        <v>96</v>
      </c>
      <c r="BC823" s="3" t="s">
        <v>95</v>
      </c>
      <c r="BD823" t="s">
        <v>4</v>
      </c>
      <c r="BE823">
        <v>1499</v>
      </c>
      <c r="BF823" t="s">
        <v>151</v>
      </c>
      <c r="BG823">
        <v>41.025599999999997</v>
      </c>
      <c r="BI823">
        <v>46.153799999999997</v>
      </c>
      <c r="BJ823">
        <v>24.786300000000001</v>
      </c>
      <c r="CK823">
        <v>2</v>
      </c>
      <c r="CL823" t="s">
        <v>4</v>
      </c>
      <c r="CM823" t="s">
        <v>98</v>
      </c>
      <c r="CN823" t="s">
        <v>98</v>
      </c>
      <c r="CO823" t="s">
        <v>99</v>
      </c>
      <c r="CP823" s="7">
        <v>267</v>
      </c>
      <c r="CQ823" t="s">
        <v>100</v>
      </c>
      <c r="CR823" t="s">
        <v>100</v>
      </c>
      <c r="CS823" t="s">
        <v>101</v>
      </c>
      <c r="CT823" s="7" t="s">
        <v>152</v>
      </c>
      <c r="CU823" t="s">
        <v>102</v>
      </c>
      <c r="CV823" t="s">
        <v>100</v>
      </c>
    </row>
    <row r="824" spans="1:100">
      <c r="A824" s="3" t="s">
        <v>9411</v>
      </c>
      <c r="B824" s="4" t="s">
        <v>9412</v>
      </c>
      <c r="C824">
        <v>1452.6507493314</v>
      </c>
      <c r="D824">
        <v>420.70897484103398</v>
      </c>
      <c r="E824">
        <v>1.7873190629996001</v>
      </c>
      <c r="F824">
        <v>1.9718084402250101E-4</v>
      </c>
      <c r="G824" t="s">
        <v>4</v>
      </c>
      <c r="H824">
        <v>1452.6507493314</v>
      </c>
      <c r="I824">
        <v>94.805783719689003</v>
      </c>
      <c r="J824">
        <v>3.9172903495000599</v>
      </c>
      <c r="K824" s="5">
        <v>1.68193270159652E-17</v>
      </c>
      <c r="L824" t="s">
        <v>4</v>
      </c>
      <c r="M824">
        <v>420.70897484103398</v>
      </c>
      <c r="N824">
        <v>94.805783719689003</v>
      </c>
      <c r="O824">
        <v>2.1299712865004601</v>
      </c>
      <c r="P824" s="5">
        <v>5.8511851830389103E-6</v>
      </c>
      <c r="Q824" t="s">
        <v>4</v>
      </c>
      <c r="R824" s="4" t="s">
        <v>87</v>
      </c>
      <c r="S824" t="s">
        <v>4</v>
      </c>
      <c r="T824" t="s">
        <v>9413</v>
      </c>
      <c r="U824" t="s">
        <v>9414</v>
      </c>
      <c r="V824" t="s">
        <v>9415</v>
      </c>
      <c r="W824" t="s">
        <v>328</v>
      </c>
      <c r="X824" t="s">
        <v>4</v>
      </c>
      <c r="Y824" t="s">
        <v>9416</v>
      </c>
      <c r="Z824" t="s">
        <v>9417</v>
      </c>
      <c r="AA824" t="s">
        <v>9418</v>
      </c>
      <c r="AB824" t="s">
        <v>4</v>
      </c>
      <c r="AC824" s="3" t="s">
        <v>9419</v>
      </c>
      <c r="AD824" t="s">
        <v>4</v>
      </c>
      <c r="AE824" t="s">
        <v>9420</v>
      </c>
      <c r="AF824" t="s">
        <v>834</v>
      </c>
      <c r="AG824" t="s">
        <v>9421</v>
      </c>
      <c r="AH824" t="s">
        <v>112</v>
      </c>
      <c r="AJ824" t="s">
        <v>9422</v>
      </c>
      <c r="AL824" t="s">
        <v>9423</v>
      </c>
      <c r="AQ824" t="s">
        <v>1154</v>
      </c>
      <c r="AU824" t="s">
        <v>112</v>
      </c>
      <c r="AV824" t="s">
        <v>9424</v>
      </c>
      <c r="AW824" t="s">
        <v>114</v>
      </c>
      <c r="AX824" t="s">
        <v>733</v>
      </c>
      <c r="AY824" t="s">
        <v>9425</v>
      </c>
      <c r="AZ824" t="s">
        <v>4</v>
      </c>
      <c r="BA824" s="3" t="s">
        <v>95</v>
      </c>
      <c r="BB824" s="6" t="s">
        <v>95</v>
      </c>
      <c r="BC824" s="3" t="s">
        <v>95</v>
      </c>
      <c r="BD824" t="s">
        <v>4</v>
      </c>
      <c r="BE824">
        <v>10108</v>
      </c>
      <c r="BF824" t="s">
        <v>169</v>
      </c>
      <c r="BG824">
        <v>98.414599999999993</v>
      </c>
      <c r="BH824">
        <v>96.585400000000007</v>
      </c>
      <c r="BI824">
        <v>89.634100000000004</v>
      </c>
      <c r="BJ824">
        <v>87.561000000000007</v>
      </c>
      <c r="BK824">
        <v>77.561000000000007</v>
      </c>
      <c r="BL824">
        <v>17.1951</v>
      </c>
      <c r="BM824" t="s">
        <v>9426</v>
      </c>
      <c r="BN824">
        <v>84.0244</v>
      </c>
      <c r="BO824">
        <v>83.414599999999993</v>
      </c>
      <c r="BP824">
        <v>54.0244</v>
      </c>
      <c r="BQ824">
        <v>34.0244</v>
      </c>
      <c r="BR824">
        <v>28.7805</v>
      </c>
      <c r="BS824">
        <v>36.5854</v>
      </c>
      <c r="BT824" t="s">
        <v>9427</v>
      </c>
      <c r="BU824">
        <v>35</v>
      </c>
      <c r="BV824" t="s">
        <v>9428</v>
      </c>
      <c r="BW824">
        <v>26.7073</v>
      </c>
      <c r="BX824">
        <v>29.2683</v>
      </c>
      <c r="BY824">
        <v>21.0976</v>
      </c>
      <c r="BZ824">
        <v>28.5366</v>
      </c>
      <c r="CA824">
        <v>25.3659</v>
      </c>
      <c r="CB824">
        <v>27.3171</v>
      </c>
      <c r="CC824">
        <v>29.2683</v>
      </c>
      <c r="CD824">
        <v>29.5122</v>
      </c>
      <c r="CE824">
        <v>16.2195</v>
      </c>
      <c r="CG824">
        <v>29.5122</v>
      </c>
      <c r="CH824">
        <v>29.2683</v>
      </c>
      <c r="CI824">
        <v>29.3902</v>
      </c>
      <c r="CJ824">
        <v>21.3415</v>
      </c>
      <c r="CK824">
        <v>9</v>
      </c>
      <c r="CL824" t="s">
        <v>4</v>
      </c>
      <c r="CM824" t="s">
        <v>9429</v>
      </c>
      <c r="CN824" t="s">
        <v>9430</v>
      </c>
      <c r="CO824" t="s">
        <v>219</v>
      </c>
      <c r="CP824" s="7">
        <v>268</v>
      </c>
      <c r="CQ824" t="s">
        <v>100</v>
      </c>
      <c r="CR824" t="s">
        <v>100</v>
      </c>
      <c r="CS824" t="s">
        <v>101</v>
      </c>
      <c r="CT824" t="s">
        <v>152</v>
      </c>
      <c r="CU824" t="s">
        <v>102</v>
      </c>
      <c r="CV824" t="s">
        <v>8851</v>
      </c>
    </row>
    <row r="825" spans="1:100">
      <c r="A825" s="3" t="s">
        <v>9431</v>
      </c>
      <c r="B825" s="4" t="s">
        <v>9432</v>
      </c>
      <c r="C825">
        <v>41.7887035240391</v>
      </c>
      <c r="D825">
        <v>10.4831882470257</v>
      </c>
      <c r="E825">
        <v>1.99784993341026</v>
      </c>
      <c r="F825">
        <v>1.13809064084163E-2</v>
      </c>
      <c r="G825" t="s">
        <v>4</v>
      </c>
      <c r="H825">
        <v>41.7887035240391</v>
      </c>
      <c r="I825">
        <v>2.7561882887467402</v>
      </c>
      <c r="J825">
        <v>3.91565149844268</v>
      </c>
      <c r="K825" s="5">
        <v>3.10729226801591E-5</v>
      </c>
      <c r="L825" t="s">
        <v>4</v>
      </c>
      <c r="M825">
        <v>10.4831882470257</v>
      </c>
      <c r="N825">
        <v>2.7561882887467402</v>
      </c>
      <c r="O825">
        <v>1.9178015650324201</v>
      </c>
      <c r="P825">
        <v>5.8241649360071597E-2</v>
      </c>
      <c r="Q825" t="s">
        <v>4</v>
      </c>
      <c r="R825" s="4" t="s">
        <v>87</v>
      </c>
      <c r="S825" t="s">
        <v>4</v>
      </c>
      <c r="T825" t="s">
        <v>92</v>
      </c>
      <c r="U825" t="s">
        <v>92</v>
      </c>
      <c r="V825" t="s">
        <v>92</v>
      </c>
      <c r="W825" t="s">
        <v>92</v>
      </c>
      <c r="X825" t="s">
        <v>4</v>
      </c>
      <c r="Y825" t="s">
        <v>92</v>
      </c>
      <c r="Z825" t="s">
        <v>92</v>
      </c>
      <c r="AA825" t="s">
        <v>92</v>
      </c>
      <c r="AB825" t="s">
        <v>4</v>
      </c>
      <c r="AC825" s="3" t="s">
        <v>93</v>
      </c>
      <c r="AD825" t="s">
        <v>4</v>
      </c>
      <c r="AE825" t="s">
        <v>1048</v>
      </c>
      <c r="AF825" t="s">
        <v>9433</v>
      </c>
      <c r="AG825" t="s">
        <v>9434</v>
      </c>
      <c r="AH825" t="s">
        <v>112</v>
      </c>
      <c r="AJ825" t="s">
        <v>1051</v>
      </c>
      <c r="AL825" t="s">
        <v>1052</v>
      </c>
      <c r="AQ825" t="s">
        <v>1003</v>
      </c>
      <c r="AU825" t="s">
        <v>112</v>
      </c>
      <c r="AV825" t="s">
        <v>1053</v>
      </c>
      <c r="AW825" t="s">
        <v>114</v>
      </c>
      <c r="AX825" t="s">
        <v>371</v>
      </c>
      <c r="AY825" t="s">
        <v>573</v>
      </c>
      <c r="AZ825" t="s">
        <v>4</v>
      </c>
      <c r="BA825" s="3" t="s">
        <v>95</v>
      </c>
      <c r="BB825" s="6" t="s">
        <v>95</v>
      </c>
      <c r="BC825" s="3" t="s">
        <v>95</v>
      </c>
      <c r="BD825" t="s">
        <v>4</v>
      </c>
      <c r="BE825">
        <v>2103</v>
      </c>
      <c r="BF825" t="s">
        <v>148</v>
      </c>
      <c r="BG825">
        <v>95.652199999999993</v>
      </c>
      <c r="BH825">
        <v>80.193200000000004</v>
      </c>
      <c r="BJ825">
        <v>28.019300000000001</v>
      </c>
      <c r="BL825">
        <v>51.690800000000003</v>
      </c>
      <c r="BM825">
        <v>51.690800000000003</v>
      </c>
      <c r="BN825">
        <v>51.690800000000003</v>
      </c>
      <c r="CK825">
        <v>3</v>
      </c>
      <c r="CL825" t="s">
        <v>4</v>
      </c>
      <c r="CM825" t="s">
        <v>98</v>
      </c>
      <c r="CN825" t="s">
        <v>98</v>
      </c>
      <c r="CO825" t="s">
        <v>99</v>
      </c>
      <c r="CP825" s="7">
        <v>269</v>
      </c>
      <c r="CQ825" t="s">
        <v>100</v>
      </c>
      <c r="CR825" t="s">
        <v>100</v>
      </c>
      <c r="CS825" t="s">
        <v>101</v>
      </c>
      <c r="CT825" t="s">
        <v>100</v>
      </c>
      <c r="CU825" t="s">
        <v>102</v>
      </c>
      <c r="CV825" t="s">
        <v>100</v>
      </c>
    </row>
    <row r="826" spans="1:100">
      <c r="A826" s="3" t="s">
        <v>9435</v>
      </c>
      <c r="B826" s="4" t="s">
        <v>9436</v>
      </c>
      <c r="C826">
        <v>64.240286237881094</v>
      </c>
      <c r="D826">
        <v>20.7431453013061</v>
      </c>
      <c r="E826">
        <v>1.63584843108314</v>
      </c>
      <c r="F826">
        <v>2.2675231528727101E-2</v>
      </c>
      <c r="G826" t="s">
        <v>4</v>
      </c>
      <c r="H826">
        <v>64.240286237881094</v>
      </c>
      <c r="I826">
        <v>4.5194411781222303</v>
      </c>
      <c r="J826">
        <v>3.9037366894441701</v>
      </c>
      <c r="K826" s="5">
        <v>1.73121293255426E-6</v>
      </c>
      <c r="L826" t="s">
        <v>4</v>
      </c>
      <c r="M826">
        <v>20.7431453013061</v>
      </c>
      <c r="N826">
        <v>4.5194411781222303</v>
      </c>
      <c r="O826">
        <v>2.2678882583610398</v>
      </c>
      <c r="P826">
        <v>7.7116268114872603E-3</v>
      </c>
      <c r="Q826" t="s">
        <v>4</v>
      </c>
      <c r="R826" s="4" t="s">
        <v>87</v>
      </c>
      <c r="S826" t="s">
        <v>4</v>
      </c>
      <c r="T826" t="s">
        <v>92</v>
      </c>
      <c r="U826" t="s">
        <v>92</v>
      </c>
      <c r="V826" t="s">
        <v>92</v>
      </c>
      <c r="W826" t="s">
        <v>92</v>
      </c>
      <c r="X826" t="s">
        <v>4</v>
      </c>
      <c r="Y826" t="s">
        <v>92</v>
      </c>
      <c r="Z826" t="s">
        <v>92</v>
      </c>
      <c r="AA826" t="s">
        <v>92</v>
      </c>
      <c r="AB826" t="s">
        <v>4</v>
      </c>
      <c r="AC826" s="3" t="s">
        <v>93</v>
      </c>
      <c r="AD826" t="s">
        <v>4</v>
      </c>
      <c r="AE826" s="4" t="s">
        <v>94</v>
      </c>
      <c r="AZ826" t="s">
        <v>4</v>
      </c>
      <c r="BA826" s="3" t="s">
        <v>95</v>
      </c>
      <c r="BB826" s="6" t="s">
        <v>95</v>
      </c>
      <c r="BC826" s="3" t="s">
        <v>95</v>
      </c>
      <c r="BD826" t="s">
        <v>4</v>
      </c>
      <c r="BE826">
        <v>2017</v>
      </c>
      <c r="BF826" t="s">
        <v>148</v>
      </c>
      <c r="BG826">
        <v>98.425200000000004</v>
      </c>
      <c r="BH826">
        <v>100</v>
      </c>
      <c r="BI826">
        <v>88.188999999999993</v>
      </c>
      <c r="BJ826">
        <v>62.204700000000003</v>
      </c>
      <c r="BK826">
        <v>66.929100000000005</v>
      </c>
      <c r="BL826">
        <v>48.818899999999999</v>
      </c>
      <c r="BM826">
        <v>51.968499999999999</v>
      </c>
      <c r="BN826">
        <v>52.755899999999997</v>
      </c>
      <c r="BO826">
        <v>51.968499999999999</v>
      </c>
      <c r="CK826">
        <v>3</v>
      </c>
      <c r="CL826" t="s">
        <v>4</v>
      </c>
      <c r="CM826" t="s">
        <v>98</v>
      </c>
      <c r="CN826" t="s">
        <v>98</v>
      </c>
      <c r="CO826" t="s">
        <v>99</v>
      </c>
      <c r="CP826" s="7">
        <v>270</v>
      </c>
      <c r="CQ826" t="s">
        <v>100</v>
      </c>
      <c r="CR826" t="s">
        <v>100</v>
      </c>
      <c r="CS826" t="s">
        <v>101</v>
      </c>
      <c r="CT826" t="s">
        <v>152</v>
      </c>
      <c r="CU826" t="s">
        <v>102</v>
      </c>
      <c r="CV826" t="s">
        <v>100</v>
      </c>
    </row>
    <row r="827" spans="1:100">
      <c r="A827" s="3" t="s">
        <v>9437</v>
      </c>
      <c r="B827" s="4" t="s">
        <v>9438</v>
      </c>
      <c r="C827">
        <v>77.279096242728698</v>
      </c>
      <c r="D827">
        <v>16.127981961971699</v>
      </c>
      <c r="E827">
        <v>2.2639152619557898</v>
      </c>
      <c r="F827">
        <v>3.2096739041454103E-2</v>
      </c>
      <c r="G827" t="s">
        <v>4</v>
      </c>
      <c r="H827">
        <v>77.279096242728698</v>
      </c>
      <c r="I827">
        <v>5.1753588246375601</v>
      </c>
      <c r="J827">
        <v>3.89839992610856</v>
      </c>
      <c r="K827">
        <v>3.12579652348007E-4</v>
      </c>
      <c r="L827" t="s">
        <v>4</v>
      </c>
      <c r="M827">
        <v>16.127981961971699</v>
      </c>
      <c r="N827">
        <v>5.1753588246375601</v>
      </c>
      <c r="O827">
        <v>1.6344846641527699</v>
      </c>
      <c r="P827">
        <v>0.163035483566388</v>
      </c>
      <c r="Q827" t="s">
        <v>4</v>
      </c>
      <c r="R827" s="4" t="s">
        <v>87</v>
      </c>
      <c r="S827" t="s">
        <v>4</v>
      </c>
      <c r="T827" t="s">
        <v>2340</v>
      </c>
      <c r="U827" t="s">
        <v>2341</v>
      </c>
      <c r="V827" t="s">
        <v>2342</v>
      </c>
      <c r="W827" t="s">
        <v>328</v>
      </c>
      <c r="X827" t="s">
        <v>4</v>
      </c>
      <c r="Y827" t="s">
        <v>2343</v>
      </c>
      <c r="Z827" t="s">
        <v>2344</v>
      </c>
      <c r="AA827" t="s">
        <v>2345</v>
      </c>
      <c r="AB827" t="s">
        <v>4</v>
      </c>
      <c r="AC827" s="3" t="s">
        <v>2346</v>
      </c>
      <c r="AD827" t="s">
        <v>4</v>
      </c>
      <c r="AE827" t="s">
        <v>9439</v>
      </c>
      <c r="AF827" t="s">
        <v>9440</v>
      </c>
      <c r="AG827" t="s">
        <v>2112</v>
      </c>
      <c r="AH827" t="s">
        <v>314</v>
      </c>
      <c r="AU827" t="s">
        <v>112</v>
      </c>
      <c r="AV827" t="s">
        <v>9441</v>
      </c>
      <c r="AW827" t="s">
        <v>114</v>
      </c>
      <c r="AX827" t="s">
        <v>345</v>
      </c>
      <c r="AY827" t="s">
        <v>346</v>
      </c>
      <c r="AZ827" t="s">
        <v>4</v>
      </c>
      <c r="BA827" s="3" t="s">
        <v>95</v>
      </c>
      <c r="BB827" s="6" t="s">
        <v>95</v>
      </c>
      <c r="BC827" s="3" t="s">
        <v>95</v>
      </c>
      <c r="BD827" t="s">
        <v>4</v>
      </c>
      <c r="BE827">
        <v>1802</v>
      </c>
      <c r="BF827" t="s">
        <v>148</v>
      </c>
      <c r="BG827">
        <v>83.177599999999998</v>
      </c>
      <c r="BL827">
        <v>37.383200000000002</v>
      </c>
      <c r="BN827">
        <v>33.6449</v>
      </c>
      <c r="CK827">
        <v>3</v>
      </c>
      <c r="CL827" t="s">
        <v>4</v>
      </c>
      <c r="CM827" t="s">
        <v>98</v>
      </c>
      <c r="CN827" t="s">
        <v>98</v>
      </c>
      <c r="CO827" t="s">
        <v>99</v>
      </c>
      <c r="CP827" s="7">
        <v>271</v>
      </c>
      <c r="CQ827" t="s">
        <v>100</v>
      </c>
      <c r="CR827" t="s">
        <v>100</v>
      </c>
      <c r="CS827" t="s">
        <v>101</v>
      </c>
      <c r="CT827" t="s">
        <v>100</v>
      </c>
      <c r="CU827" t="s">
        <v>102</v>
      </c>
      <c r="CV827" t="s">
        <v>100</v>
      </c>
    </row>
    <row r="828" spans="1:100">
      <c r="A828" s="3" t="s">
        <v>9442</v>
      </c>
      <c r="B828" s="4" t="s">
        <v>9443</v>
      </c>
      <c r="C828">
        <v>576.66914228342898</v>
      </c>
      <c r="D828">
        <v>195.356481938581</v>
      </c>
      <c r="E828">
        <v>1.56014210561355</v>
      </c>
      <c r="F828" s="5">
        <v>1.18521072835641E-5</v>
      </c>
      <c r="G828" t="s">
        <v>4</v>
      </c>
      <c r="H828">
        <v>576.66914228342898</v>
      </c>
      <c r="I828">
        <v>38.372970694503401</v>
      </c>
      <c r="J828">
        <v>3.89471646810581</v>
      </c>
      <c r="K828" s="5">
        <v>3.7256583938981599E-26</v>
      </c>
      <c r="L828" t="s">
        <v>4</v>
      </c>
      <c r="M828">
        <v>195.356481938581</v>
      </c>
      <c r="N828">
        <v>38.372970694503401</v>
      </c>
      <c r="O828">
        <v>2.3345743624922601</v>
      </c>
      <c r="P828" s="5">
        <v>5.4879926182620595E-10</v>
      </c>
      <c r="Q828" t="s">
        <v>4</v>
      </c>
      <c r="R828" s="4" t="s">
        <v>87</v>
      </c>
      <c r="S828" t="s">
        <v>4</v>
      </c>
      <c r="T828" t="s">
        <v>9444</v>
      </c>
      <c r="U828" t="s">
        <v>9445</v>
      </c>
      <c r="V828" t="s">
        <v>9446</v>
      </c>
      <c r="W828" t="s">
        <v>976</v>
      </c>
      <c r="X828" t="s">
        <v>4</v>
      </c>
      <c r="Y828" t="s">
        <v>4041</v>
      </c>
      <c r="Z828" t="s">
        <v>4042</v>
      </c>
      <c r="AA828" t="s">
        <v>4042</v>
      </c>
      <c r="AB828" t="s">
        <v>4</v>
      </c>
      <c r="AC828" s="3" t="s">
        <v>9447</v>
      </c>
      <c r="AD828" t="s">
        <v>4</v>
      </c>
      <c r="AE828" t="s">
        <v>9448</v>
      </c>
      <c r="AF828" t="s">
        <v>9449</v>
      </c>
      <c r="AG828" t="s">
        <v>2725</v>
      </c>
      <c r="AH828" t="s">
        <v>638</v>
      </c>
      <c r="AJ828" t="s">
        <v>9450</v>
      </c>
      <c r="AL828" t="s">
        <v>4048</v>
      </c>
      <c r="AQ828" t="s">
        <v>1693</v>
      </c>
      <c r="AR828" t="s">
        <v>4049</v>
      </c>
      <c r="AU828" t="s">
        <v>112</v>
      </c>
      <c r="AV828" t="s">
        <v>9451</v>
      </c>
      <c r="AW828" t="s">
        <v>114</v>
      </c>
      <c r="AX828" t="s">
        <v>909</v>
      </c>
      <c r="AY828" t="s">
        <v>4051</v>
      </c>
      <c r="AZ828" t="s">
        <v>4</v>
      </c>
      <c r="BA828" s="3" t="s">
        <v>95</v>
      </c>
      <c r="BB828" t="s">
        <v>96</v>
      </c>
      <c r="BC828" s="3" t="s">
        <v>95</v>
      </c>
      <c r="BD828" t="s">
        <v>4</v>
      </c>
      <c r="BE828">
        <v>5725</v>
      </c>
      <c r="BF828" t="s">
        <v>386</v>
      </c>
      <c r="BG828">
        <v>64.925399999999996</v>
      </c>
      <c r="BH828">
        <v>45.273600000000002</v>
      </c>
      <c r="BJ828">
        <v>57.711399999999998</v>
      </c>
      <c r="BL828">
        <v>27.1144</v>
      </c>
      <c r="BM828">
        <v>67.661699999999996</v>
      </c>
      <c r="BN828">
        <v>67.661699999999996</v>
      </c>
      <c r="BP828">
        <v>44.5274</v>
      </c>
      <c r="CF828" t="s">
        <v>9452</v>
      </c>
      <c r="CK828">
        <v>7</v>
      </c>
      <c r="CL828" t="s">
        <v>4</v>
      </c>
      <c r="CM828" t="s">
        <v>98</v>
      </c>
      <c r="CN828" t="s">
        <v>98</v>
      </c>
      <c r="CO828" t="s">
        <v>99</v>
      </c>
      <c r="CP828" s="7">
        <v>272</v>
      </c>
      <c r="CQ828" t="s">
        <v>100</v>
      </c>
      <c r="CR828" t="s">
        <v>100</v>
      </c>
      <c r="CS828" t="s">
        <v>101</v>
      </c>
      <c r="CT828" t="s">
        <v>152</v>
      </c>
      <c r="CU828" t="s">
        <v>102</v>
      </c>
      <c r="CV828" t="s">
        <v>100</v>
      </c>
    </row>
    <row r="829" spans="1:100">
      <c r="A829" s="3" t="s">
        <v>9453</v>
      </c>
      <c r="B829" s="4" t="s">
        <v>9454</v>
      </c>
      <c r="C829">
        <v>25.620811181367799</v>
      </c>
      <c r="D829">
        <v>3.9563357861290398</v>
      </c>
      <c r="E829">
        <v>2.68163266922673</v>
      </c>
      <c r="F829">
        <v>3.8201176428856197E-2</v>
      </c>
      <c r="G829" t="s">
        <v>4</v>
      </c>
      <c r="H829">
        <v>25.620811181367799</v>
      </c>
      <c r="I829">
        <v>1.6417037200681699</v>
      </c>
      <c r="J829">
        <v>3.8802013781775302</v>
      </c>
      <c r="K829">
        <v>6.0937903867064203E-3</v>
      </c>
      <c r="L829" t="s">
        <v>4</v>
      </c>
      <c r="M829">
        <v>3.9563357861290398</v>
      </c>
      <c r="N829">
        <v>1.6417037200681699</v>
      </c>
      <c r="O829">
        <v>1.1985687089507899</v>
      </c>
      <c r="P829">
        <v>0.46557816009938102</v>
      </c>
      <c r="Q829" t="s">
        <v>4</v>
      </c>
      <c r="R829" s="4" t="s">
        <v>87</v>
      </c>
      <c r="S829" t="s">
        <v>4</v>
      </c>
      <c r="T829" t="s">
        <v>92</v>
      </c>
      <c r="U829" t="s">
        <v>92</v>
      </c>
      <c r="V829" t="s">
        <v>92</v>
      </c>
      <c r="W829" t="s">
        <v>92</v>
      </c>
      <c r="X829" t="s">
        <v>4</v>
      </c>
      <c r="Y829" t="s">
        <v>92</v>
      </c>
      <c r="Z829" t="s">
        <v>92</v>
      </c>
      <c r="AA829" t="s">
        <v>92</v>
      </c>
      <c r="AB829" t="s">
        <v>4</v>
      </c>
      <c r="AC829" s="3" t="s">
        <v>9455</v>
      </c>
      <c r="AD829" t="s">
        <v>4</v>
      </c>
      <c r="AE829" t="s">
        <v>9456</v>
      </c>
      <c r="AF829" t="s">
        <v>9457</v>
      </c>
      <c r="AG829" t="s">
        <v>9458</v>
      </c>
      <c r="AH829" t="s">
        <v>112</v>
      </c>
      <c r="AI829" t="s">
        <v>9459</v>
      </c>
      <c r="AU829" t="s">
        <v>112</v>
      </c>
      <c r="AV829" t="s">
        <v>9460</v>
      </c>
      <c r="AW829" t="s">
        <v>114</v>
      </c>
      <c r="AX829" t="s">
        <v>144</v>
      </c>
      <c r="AY829" t="s">
        <v>9461</v>
      </c>
      <c r="AZ829" t="s">
        <v>4</v>
      </c>
      <c r="BA829" s="3" t="s">
        <v>95</v>
      </c>
      <c r="BB829" s="6" t="s">
        <v>95</v>
      </c>
      <c r="BC829" s="3" t="s">
        <v>95</v>
      </c>
      <c r="BD829" t="s">
        <v>4</v>
      </c>
      <c r="BE829">
        <v>3275</v>
      </c>
      <c r="BF829" t="s">
        <v>112</v>
      </c>
      <c r="BH829">
        <v>90.909099999999995</v>
      </c>
      <c r="BI829">
        <v>47.474699999999999</v>
      </c>
      <c r="BJ829">
        <v>64.646500000000003</v>
      </c>
      <c r="BN829">
        <v>49.494900000000001</v>
      </c>
      <c r="BP829">
        <v>42.424199999999999</v>
      </c>
      <c r="BQ829">
        <v>29.797999999999998</v>
      </c>
      <c r="CA829">
        <v>30.8081</v>
      </c>
      <c r="CK829">
        <v>5</v>
      </c>
      <c r="CL829" t="s">
        <v>4</v>
      </c>
      <c r="CM829" t="s">
        <v>9462</v>
      </c>
      <c r="CN829" t="s">
        <v>9463</v>
      </c>
      <c r="CO829" t="s">
        <v>99</v>
      </c>
      <c r="CP829" s="7">
        <v>273</v>
      </c>
      <c r="CQ829" t="s">
        <v>100</v>
      </c>
      <c r="CR829" t="s">
        <v>100</v>
      </c>
      <c r="CS829" t="s">
        <v>101</v>
      </c>
      <c r="CT829" t="s">
        <v>100</v>
      </c>
      <c r="CU829" t="s">
        <v>102</v>
      </c>
      <c r="CV829" t="s">
        <v>100</v>
      </c>
    </row>
    <row r="830" spans="1:100">
      <c r="A830" s="3" t="s">
        <v>9464</v>
      </c>
      <c r="B830" s="4" t="s">
        <v>9465</v>
      </c>
      <c r="C830">
        <v>69.057422840802801</v>
      </c>
      <c r="D830">
        <v>15.2999286352842</v>
      </c>
      <c r="E830">
        <v>2.18008190170135</v>
      </c>
      <c r="F830">
        <v>1.1713734527539901E-2</v>
      </c>
      <c r="G830" t="s">
        <v>4</v>
      </c>
      <c r="H830">
        <v>69.057422840802801</v>
      </c>
      <c r="I830">
        <v>4.59413269374744</v>
      </c>
      <c r="J830">
        <v>3.8529253436156501</v>
      </c>
      <c r="K830" s="5">
        <v>3.01044006211328E-5</v>
      </c>
      <c r="L830" t="s">
        <v>4</v>
      </c>
      <c r="M830">
        <v>15.2999286352842</v>
      </c>
      <c r="N830">
        <v>4.59413269374744</v>
      </c>
      <c r="O830">
        <v>1.6728434419142899</v>
      </c>
      <c r="P830">
        <v>9.3343438371867996E-2</v>
      </c>
      <c r="Q830" t="s">
        <v>4</v>
      </c>
      <c r="R830" s="4" t="s">
        <v>87</v>
      </c>
      <c r="S830" t="s">
        <v>4</v>
      </c>
      <c r="T830" t="s">
        <v>92</v>
      </c>
      <c r="U830" t="s">
        <v>92</v>
      </c>
      <c r="V830" t="s">
        <v>92</v>
      </c>
      <c r="W830" t="s">
        <v>92</v>
      </c>
      <c r="X830" t="s">
        <v>4</v>
      </c>
      <c r="Y830" t="s">
        <v>92</v>
      </c>
      <c r="Z830" t="s">
        <v>92</v>
      </c>
      <c r="AA830" t="s">
        <v>92</v>
      </c>
      <c r="AB830" t="s">
        <v>4</v>
      </c>
      <c r="AC830" s="3" t="s">
        <v>93</v>
      </c>
      <c r="AD830" t="s">
        <v>4</v>
      </c>
      <c r="AE830" s="4" t="s">
        <v>94</v>
      </c>
      <c r="AZ830" t="s">
        <v>4</v>
      </c>
      <c r="BA830" s="3" t="s">
        <v>115</v>
      </c>
      <c r="BB830" s="6" t="s">
        <v>95</v>
      </c>
      <c r="BC830" s="3" t="s">
        <v>95</v>
      </c>
      <c r="BD830" t="s">
        <v>4</v>
      </c>
      <c r="BE830">
        <v>1709</v>
      </c>
      <c r="BF830" t="s">
        <v>151</v>
      </c>
      <c r="BG830">
        <v>78.426400000000001</v>
      </c>
      <c r="CK830">
        <v>2</v>
      </c>
      <c r="CL830" t="s">
        <v>4</v>
      </c>
      <c r="CM830" t="s">
        <v>98</v>
      </c>
      <c r="CN830" t="s">
        <v>98</v>
      </c>
      <c r="CO830" t="s">
        <v>99</v>
      </c>
      <c r="CP830" s="7">
        <v>274</v>
      </c>
      <c r="CQ830" t="s">
        <v>100</v>
      </c>
      <c r="CR830" t="s">
        <v>100</v>
      </c>
      <c r="CS830" t="s">
        <v>101</v>
      </c>
      <c r="CT830" t="s">
        <v>100</v>
      </c>
      <c r="CU830" t="s">
        <v>102</v>
      </c>
      <c r="CV830" t="s">
        <v>100</v>
      </c>
    </row>
    <row r="831" spans="1:100">
      <c r="A831" s="3" t="s">
        <v>9466</v>
      </c>
      <c r="B831" s="4" t="s">
        <v>9467</v>
      </c>
      <c r="C831">
        <v>117.726793688207</v>
      </c>
      <c r="D831">
        <v>36.937339048617098</v>
      </c>
      <c r="E831">
        <v>1.67028491140475</v>
      </c>
      <c r="F831" s="5">
        <v>9.2623435717158599E-5</v>
      </c>
      <c r="G831" t="s">
        <v>4</v>
      </c>
      <c r="H831">
        <v>117.726793688207</v>
      </c>
      <c r="I831">
        <v>8.3108398710320994</v>
      </c>
      <c r="J831">
        <v>3.8489074565291399</v>
      </c>
      <c r="K831" s="5">
        <v>1.4462966623536399E-13</v>
      </c>
      <c r="L831" t="s">
        <v>4</v>
      </c>
      <c r="M831">
        <v>36.937339048617098</v>
      </c>
      <c r="N831">
        <v>8.3108398710320994</v>
      </c>
      <c r="O831">
        <v>2.1786225451244001</v>
      </c>
      <c r="P831" s="5">
        <v>6.3738946420321106E-5</v>
      </c>
      <c r="Q831" t="s">
        <v>4</v>
      </c>
      <c r="R831" s="4" t="s">
        <v>87</v>
      </c>
      <c r="S831" t="s">
        <v>4</v>
      </c>
      <c r="T831" t="s">
        <v>92</v>
      </c>
      <c r="U831" t="s">
        <v>92</v>
      </c>
      <c r="V831" t="s">
        <v>92</v>
      </c>
      <c r="W831" t="s">
        <v>92</v>
      </c>
      <c r="X831" t="s">
        <v>4</v>
      </c>
      <c r="Y831" t="s">
        <v>92</v>
      </c>
      <c r="Z831" t="s">
        <v>92</v>
      </c>
      <c r="AA831" t="s">
        <v>92</v>
      </c>
      <c r="AB831" t="s">
        <v>4</v>
      </c>
      <c r="AC831" s="3" t="s">
        <v>93</v>
      </c>
      <c r="AD831" t="s">
        <v>4</v>
      </c>
      <c r="AE831" s="4" t="s">
        <v>94</v>
      </c>
      <c r="AZ831" t="s">
        <v>4</v>
      </c>
      <c r="BA831" s="3" t="s">
        <v>95</v>
      </c>
      <c r="BB831" s="6" t="s">
        <v>95</v>
      </c>
      <c r="BC831" s="3" t="s">
        <v>95</v>
      </c>
      <c r="BD831" t="s">
        <v>4</v>
      </c>
      <c r="BE831">
        <v>693</v>
      </c>
      <c r="BF831" t="s">
        <v>322</v>
      </c>
      <c r="CK831">
        <v>1</v>
      </c>
      <c r="CL831" t="s">
        <v>4</v>
      </c>
      <c r="CM831" t="s">
        <v>98</v>
      </c>
      <c r="CN831" t="s">
        <v>98</v>
      </c>
      <c r="CO831" t="s">
        <v>99</v>
      </c>
      <c r="CP831" s="7">
        <v>275</v>
      </c>
      <c r="CQ831" t="s">
        <v>100</v>
      </c>
      <c r="CR831" t="s">
        <v>100</v>
      </c>
      <c r="CS831" t="s">
        <v>101</v>
      </c>
      <c r="CT831" t="s">
        <v>152</v>
      </c>
      <c r="CU831" t="s">
        <v>102</v>
      </c>
      <c r="CV831" t="s">
        <v>100</v>
      </c>
    </row>
    <row r="832" spans="1:100">
      <c r="A832" s="3" t="s">
        <v>9468</v>
      </c>
      <c r="B832" s="4" t="s">
        <v>9469</v>
      </c>
      <c r="C832">
        <v>773.97089279152306</v>
      </c>
      <c r="D832">
        <v>288.53304891316299</v>
      </c>
      <c r="E832">
        <v>1.4224063346320199</v>
      </c>
      <c r="F832">
        <v>9.2985355271723105E-4</v>
      </c>
      <c r="G832" t="s">
        <v>4</v>
      </c>
      <c r="H832">
        <v>773.97089279152306</v>
      </c>
      <c r="I832">
        <v>52.736035572182402</v>
      </c>
      <c r="J832">
        <v>3.8443057283775701</v>
      </c>
      <c r="K832" s="5">
        <v>4.4627250317256801E-20</v>
      </c>
      <c r="L832" t="s">
        <v>4</v>
      </c>
      <c r="M832">
        <v>288.53304891316299</v>
      </c>
      <c r="N832">
        <v>52.736035572182402</v>
      </c>
      <c r="O832">
        <v>2.4218993937455502</v>
      </c>
      <c r="P832" s="5">
        <v>1.28452168805887E-8</v>
      </c>
      <c r="Q832" t="s">
        <v>4</v>
      </c>
      <c r="R832" s="4" t="s">
        <v>87</v>
      </c>
      <c r="S832" t="s">
        <v>4</v>
      </c>
      <c r="T832" t="s">
        <v>92</v>
      </c>
      <c r="U832" t="s">
        <v>92</v>
      </c>
      <c r="V832" t="s">
        <v>92</v>
      </c>
      <c r="W832" t="s">
        <v>92</v>
      </c>
      <c r="X832" t="s">
        <v>4</v>
      </c>
      <c r="Y832" t="s">
        <v>92</v>
      </c>
      <c r="Z832" t="s">
        <v>92</v>
      </c>
      <c r="AA832" t="s">
        <v>92</v>
      </c>
      <c r="AB832" t="s">
        <v>4</v>
      </c>
      <c r="AC832" s="3" t="s">
        <v>93</v>
      </c>
      <c r="AD832" t="s">
        <v>4</v>
      </c>
      <c r="AE832" s="4" t="s">
        <v>94</v>
      </c>
      <c r="AZ832" t="s">
        <v>4</v>
      </c>
      <c r="BA832" s="3" t="s">
        <v>115</v>
      </c>
      <c r="BB832" s="6" t="s">
        <v>95</v>
      </c>
      <c r="BC832" s="3" t="s">
        <v>95</v>
      </c>
      <c r="BD832" t="s">
        <v>4</v>
      </c>
      <c r="BE832">
        <v>1222</v>
      </c>
      <c r="BF832" t="s">
        <v>151</v>
      </c>
      <c r="CK832">
        <v>2</v>
      </c>
      <c r="CL832" t="s">
        <v>4</v>
      </c>
      <c r="CM832" t="s">
        <v>98</v>
      </c>
      <c r="CN832" t="s">
        <v>98</v>
      </c>
      <c r="CO832" t="s">
        <v>99</v>
      </c>
      <c r="CP832" s="7">
        <v>276</v>
      </c>
      <c r="CQ832" t="s">
        <v>100</v>
      </c>
      <c r="CR832" t="s">
        <v>100</v>
      </c>
      <c r="CS832" t="s">
        <v>101</v>
      </c>
      <c r="CT832" t="s">
        <v>152</v>
      </c>
      <c r="CU832" t="s">
        <v>102</v>
      </c>
      <c r="CV832" t="s">
        <v>100</v>
      </c>
    </row>
    <row r="833" spans="1:100">
      <c r="A833" s="3" t="s">
        <v>9470</v>
      </c>
      <c r="B833" s="4" t="s">
        <v>9471</v>
      </c>
      <c r="C833">
        <v>2014.89596197281</v>
      </c>
      <c r="D833">
        <v>542.59991910390704</v>
      </c>
      <c r="E833">
        <v>1.8916468267458</v>
      </c>
      <c r="F833" s="5">
        <v>8.9687671780135407E-15</v>
      </c>
      <c r="G833" t="s">
        <v>4</v>
      </c>
      <c r="H833">
        <v>2014.89596197281</v>
      </c>
      <c r="I833">
        <v>145.43732985781301</v>
      </c>
      <c r="J833">
        <v>3.7827183144988399</v>
      </c>
      <c r="K833" s="5">
        <v>1.2452421785773E-52</v>
      </c>
      <c r="L833" t="s">
        <v>4</v>
      </c>
      <c r="M833">
        <v>542.59991910390704</v>
      </c>
      <c r="N833">
        <v>145.43732985781301</v>
      </c>
      <c r="O833">
        <v>1.8910714877530399</v>
      </c>
      <c r="P833" s="5">
        <v>8.1237292629068405E-14</v>
      </c>
      <c r="Q833" t="s">
        <v>4</v>
      </c>
      <c r="R833" s="4" t="s">
        <v>87</v>
      </c>
      <c r="S833" t="s">
        <v>4</v>
      </c>
      <c r="T833" t="s">
        <v>4635</v>
      </c>
      <c r="U833" t="s">
        <v>4636</v>
      </c>
      <c r="V833" t="s">
        <v>4637</v>
      </c>
      <c r="W833" t="s">
        <v>507</v>
      </c>
      <c r="X833" t="s">
        <v>4</v>
      </c>
      <c r="Y833" t="s">
        <v>6225</v>
      </c>
      <c r="Z833" t="s">
        <v>6226</v>
      </c>
      <c r="AA833" t="s">
        <v>6227</v>
      </c>
      <c r="AB833" t="s">
        <v>4</v>
      </c>
      <c r="AC833" s="3" t="s">
        <v>9472</v>
      </c>
      <c r="AD833" t="s">
        <v>4</v>
      </c>
      <c r="AE833" t="s">
        <v>9473</v>
      </c>
      <c r="AF833" t="s">
        <v>9474</v>
      </c>
      <c r="AG833" t="s">
        <v>9475</v>
      </c>
      <c r="AH833" t="s">
        <v>112</v>
      </c>
      <c r="AU833" t="s">
        <v>112</v>
      </c>
      <c r="AV833" t="s">
        <v>9476</v>
      </c>
      <c r="AW833" t="s">
        <v>114</v>
      </c>
      <c r="AX833" t="s">
        <v>144</v>
      </c>
      <c r="AY833" t="s">
        <v>4646</v>
      </c>
      <c r="AZ833" t="s">
        <v>4</v>
      </c>
      <c r="BA833" s="3" t="s">
        <v>95</v>
      </c>
      <c r="BB833" t="s">
        <v>96</v>
      </c>
      <c r="BC833" s="3" t="s">
        <v>95</v>
      </c>
      <c r="BD833" t="s">
        <v>4</v>
      </c>
      <c r="BE833">
        <v>4821</v>
      </c>
      <c r="BF833" t="s">
        <v>282</v>
      </c>
      <c r="BG833">
        <v>97.523200000000003</v>
      </c>
      <c r="BH833">
        <v>55.933999999999997</v>
      </c>
      <c r="BI833">
        <v>86.377700000000004</v>
      </c>
      <c r="BJ833" t="s">
        <v>9477</v>
      </c>
      <c r="BK833">
        <v>61.197099999999999</v>
      </c>
      <c r="BL833" t="s">
        <v>9478</v>
      </c>
      <c r="BM833">
        <v>69.556200000000004</v>
      </c>
      <c r="BN833">
        <v>69.659400000000005</v>
      </c>
      <c r="BO833">
        <v>62.229100000000003</v>
      </c>
      <c r="BP833" t="s">
        <v>9479</v>
      </c>
      <c r="BQ833">
        <v>32.610900000000001</v>
      </c>
      <c r="BR833">
        <v>29.308599999999998</v>
      </c>
      <c r="BS833">
        <v>24.6646</v>
      </c>
      <c r="BT833">
        <v>23.013400000000001</v>
      </c>
      <c r="BU833">
        <v>26.934999999999999</v>
      </c>
      <c r="BV833" t="s">
        <v>9480</v>
      </c>
      <c r="BY833">
        <v>30.340599999999998</v>
      </c>
      <c r="BZ833">
        <v>31.785299999999999</v>
      </c>
      <c r="CA833">
        <v>30.753399999999999</v>
      </c>
      <c r="CB833">
        <v>11.351900000000001</v>
      </c>
      <c r="CC833">
        <v>12.590299999999999</v>
      </c>
      <c r="CD833">
        <v>26.934999999999999</v>
      </c>
      <c r="CF833" t="s">
        <v>9481</v>
      </c>
      <c r="CG833" t="s">
        <v>9482</v>
      </c>
      <c r="CH833" t="s">
        <v>9483</v>
      </c>
      <c r="CI833" t="s">
        <v>9484</v>
      </c>
      <c r="CK833">
        <v>6</v>
      </c>
      <c r="CL833" t="s">
        <v>4</v>
      </c>
      <c r="CM833" t="s">
        <v>9485</v>
      </c>
      <c r="CN833" t="s">
        <v>9486</v>
      </c>
      <c r="CO833" t="s">
        <v>99</v>
      </c>
      <c r="CP833" s="7">
        <v>277</v>
      </c>
      <c r="CQ833" t="s">
        <v>100</v>
      </c>
      <c r="CR833" t="s">
        <v>100</v>
      </c>
      <c r="CS833" t="s">
        <v>101</v>
      </c>
      <c r="CT833" s="7" t="s">
        <v>152</v>
      </c>
      <c r="CU833" t="s">
        <v>102</v>
      </c>
      <c r="CV833" t="s">
        <v>100</v>
      </c>
    </row>
    <row r="834" spans="1:100">
      <c r="A834" s="3" t="s">
        <v>9487</v>
      </c>
      <c r="B834" s="4" t="s">
        <v>9488</v>
      </c>
      <c r="C834">
        <v>181.321073713608</v>
      </c>
      <c r="D834">
        <v>46.203933957763603</v>
      </c>
      <c r="E834">
        <v>1.9702295244942101</v>
      </c>
      <c r="F834" s="5">
        <v>8.6158637965558007E-9</v>
      </c>
      <c r="G834" t="s">
        <v>4</v>
      </c>
      <c r="H834">
        <v>181.321073713608</v>
      </c>
      <c r="I834">
        <v>13.0276317735064</v>
      </c>
      <c r="J834">
        <v>3.7821438469751198</v>
      </c>
      <c r="K834" s="5">
        <v>6.7449478298396406E-20</v>
      </c>
      <c r="L834" t="s">
        <v>4</v>
      </c>
      <c r="M834">
        <v>46.203933957763603</v>
      </c>
      <c r="N834">
        <v>13.0276317735064</v>
      </c>
      <c r="O834">
        <v>1.81191432248091</v>
      </c>
      <c r="P834" s="5">
        <v>3.7436127039687498E-5</v>
      </c>
      <c r="Q834" t="s">
        <v>4</v>
      </c>
      <c r="R834" s="4" t="s">
        <v>87</v>
      </c>
      <c r="S834" t="s">
        <v>4</v>
      </c>
      <c r="T834" t="s">
        <v>92</v>
      </c>
      <c r="U834" t="s">
        <v>92</v>
      </c>
      <c r="V834" t="s">
        <v>92</v>
      </c>
      <c r="W834" t="s">
        <v>92</v>
      </c>
      <c r="X834" t="s">
        <v>4</v>
      </c>
      <c r="Y834" t="s">
        <v>92</v>
      </c>
      <c r="Z834" t="s">
        <v>92</v>
      </c>
      <c r="AA834" t="s">
        <v>92</v>
      </c>
      <c r="AB834" t="s">
        <v>4</v>
      </c>
      <c r="AC834" s="3" t="s">
        <v>93</v>
      </c>
      <c r="AD834" t="s">
        <v>4</v>
      </c>
      <c r="AE834" s="4" t="s">
        <v>94</v>
      </c>
      <c r="AZ834" t="s">
        <v>4</v>
      </c>
      <c r="BA834" s="3" t="s">
        <v>95</v>
      </c>
      <c r="BB834" s="6" t="s">
        <v>95</v>
      </c>
      <c r="BC834" s="3" t="s">
        <v>95</v>
      </c>
      <c r="BD834" t="s">
        <v>4</v>
      </c>
      <c r="BE834">
        <v>681</v>
      </c>
      <c r="BF834" t="s">
        <v>322</v>
      </c>
      <c r="CK834">
        <v>1</v>
      </c>
      <c r="CL834" t="s">
        <v>4</v>
      </c>
      <c r="CM834" t="s">
        <v>98</v>
      </c>
      <c r="CN834" t="s">
        <v>98</v>
      </c>
      <c r="CO834" t="s">
        <v>99</v>
      </c>
      <c r="CP834" s="7">
        <v>278</v>
      </c>
      <c r="CQ834" t="s">
        <v>100</v>
      </c>
      <c r="CR834" t="s">
        <v>100</v>
      </c>
      <c r="CS834" t="s">
        <v>101</v>
      </c>
      <c r="CT834" s="7" t="s">
        <v>152</v>
      </c>
      <c r="CU834" t="s">
        <v>102</v>
      </c>
      <c r="CV834" t="s">
        <v>100</v>
      </c>
    </row>
    <row r="835" spans="1:100">
      <c r="A835" s="3" t="s">
        <v>9489</v>
      </c>
      <c r="B835" s="4" t="s">
        <v>9490</v>
      </c>
      <c r="C835">
        <v>1315.4823178635099</v>
      </c>
      <c r="D835">
        <v>493.98309862711301</v>
      </c>
      <c r="E835">
        <v>1.41251596205927</v>
      </c>
      <c r="F835">
        <v>3.9876024991235999E-3</v>
      </c>
      <c r="G835" t="s">
        <v>4</v>
      </c>
      <c r="H835">
        <v>1315.4823178635099</v>
      </c>
      <c r="I835">
        <v>96.253609324875796</v>
      </c>
      <c r="J835">
        <v>3.75689762089051</v>
      </c>
      <c r="K835" s="5">
        <v>4.36064194382058E-16</v>
      </c>
      <c r="L835" t="s">
        <v>4</v>
      </c>
      <c r="M835">
        <v>493.98309862711301</v>
      </c>
      <c r="N835">
        <v>96.253609324875796</v>
      </c>
      <c r="O835">
        <v>2.3443816588312401</v>
      </c>
      <c r="P835" s="5">
        <v>5.7807099980680996E-7</v>
      </c>
      <c r="Q835" t="s">
        <v>4</v>
      </c>
      <c r="R835" s="4" t="s">
        <v>87</v>
      </c>
      <c r="S835" t="s">
        <v>4</v>
      </c>
      <c r="T835" t="s">
        <v>92</v>
      </c>
      <c r="U835" t="s">
        <v>92</v>
      </c>
      <c r="V835" t="s">
        <v>92</v>
      </c>
      <c r="W835" t="s">
        <v>92</v>
      </c>
      <c r="X835" t="s">
        <v>4</v>
      </c>
      <c r="Y835" t="s">
        <v>92</v>
      </c>
      <c r="Z835" t="s">
        <v>92</v>
      </c>
      <c r="AA835" t="s">
        <v>92</v>
      </c>
      <c r="AB835" t="s">
        <v>4</v>
      </c>
      <c r="AC835" s="3" t="s">
        <v>93</v>
      </c>
      <c r="AD835" t="s">
        <v>4</v>
      </c>
      <c r="AE835" t="s">
        <v>562</v>
      </c>
      <c r="AF835" t="s">
        <v>9491</v>
      </c>
      <c r="AG835" t="s">
        <v>9492</v>
      </c>
      <c r="AH835" t="s">
        <v>314</v>
      </c>
      <c r="AU835" t="s">
        <v>112</v>
      </c>
      <c r="AV835" t="s">
        <v>565</v>
      </c>
      <c r="AW835" t="s">
        <v>114</v>
      </c>
      <c r="AX835" t="s">
        <v>536</v>
      </c>
      <c r="AY835" t="s">
        <v>566</v>
      </c>
      <c r="AZ835" t="s">
        <v>4</v>
      </c>
      <c r="BA835" s="3" t="s">
        <v>95</v>
      </c>
      <c r="BB835" s="6" t="s">
        <v>95</v>
      </c>
      <c r="BC835" s="3" t="s">
        <v>95</v>
      </c>
      <c r="BD835" t="s">
        <v>4</v>
      </c>
      <c r="BE835">
        <v>1218</v>
      </c>
      <c r="BF835" t="s">
        <v>151</v>
      </c>
      <c r="BG835">
        <v>39.843800000000002</v>
      </c>
      <c r="BI835" t="s">
        <v>9493</v>
      </c>
      <c r="BJ835">
        <v>32.8125</v>
      </c>
      <c r="CK835">
        <v>2</v>
      </c>
      <c r="CL835" t="s">
        <v>4</v>
      </c>
      <c r="CM835" t="s">
        <v>98</v>
      </c>
      <c r="CN835" t="s">
        <v>98</v>
      </c>
      <c r="CO835" t="s">
        <v>99</v>
      </c>
      <c r="CP835" s="7">
        <v>279</v>
      </c>
      <c r="CQ835" t="s">
        <v>100</v>
      </c>
      <c r="CR835" t="s">
        <v>100</v>
      </c>
      <c r="CS835" t="s">
        <v>101</v>
      </c>
      <c r="CT835" t="s">
        <v>152</v>
      </c>
      <c r="CU835" t="s">
        <v>102</v>
      </c>
      <c r="CV835" t="s">
        <v>100</v>
      </c>
    </row>
    <row r="836" spans="1:100">
      <c r="A836" s="3" t="s">
        <v>9494</v>
      </c>
      <c r="B836" s="4" t="s">
        <v>9495</v>
      </c>
      <c r="C836">
        <v>39.4851873360344</v>
      </c>
      <c r="D836">
        <v>5.7203622908601996</v>
      </c>
      <c r="E836">
        <v>2.7875812479692001</v>
      </c>
      <c r="F836">
        <v>1.6022536532757502E-2</v>
      </c>
      <c r="G836" t="s">
        <v>4</v>
      </c>
      <c r="H836">
        <v>39.4851873360344</v>
      </c>
      <c r="I836">
        <v>2.9463896872804201</v>
      </c>
      <c r="J836">
        <v>3.68644605976605</v>
      </c>
      <c r="K836">
        <v>2.3779306970144898E-3</v>
      </c>
      <c r="L836" t="s">
        <v>4</v>
      </c>
      <c r="M836">
        <v>5.7203622908601996</v>
      </c>
      <c r="N836">
        <v>2.9463896872804201</v>
      </c>
      <c r="O836">
        <v>0.89886481179684796</v>
      </c>
      <c r="P836">
        <v>0.53115588964916505</v>
      </c>
      <c r="Q836" t="s">
        <v>4</v>
      </c>
      <c r="R836" s="4" t="s">
        <v>87</v>
      </c>
      <c r="S836" t="s">
        <v>4</v>
      </c>
      <c r="T836" t="s">
        <v>88</v>
      </c>
      <c r="U836" t="s">
        <v>89</v>
      </c>
      <c r="V836" t="s">
        <v>90</v>
      </c>
      <c r="W836" t="s">
        <v>91</v>
      </c>
      <c r="X836" t="s">
        <v>4</v>
      </c>
      <c r="Y836" t="s">
        <v>92</v>
      </c>
      <c r="Z836" t="s">
        <v>92</v>
      </c>
      <c r="AA836" t="s">
        <v>92</v>
      </c>
      <c r="AB836" t="s">
        <v>4</v>
      </c>
      <c r="AC836" s="3" t="s">
        <v>93</v>
      </c>
      <c r="AD836" t="s">
        <v>4</v>
      </c>
      <c r="AE836" s="4" t="s">
        <v>94</v>
      </c>
      <c r="AZ836" t="s">
        <v>4</v>
      </c>
      <c r="BA836" s="3" t="s">
        <v>95</v>
      </c>
      <c r="BB836" t="s">
        <v>96</v>
      </c>
      <c r="BC836" s="3" t="s">
        <v>95</v>
      </c>
      <c r="BD836" t="s">
        <v>4</v>
      </c>
      <c r="BE836">
        <v>807</v>
      </c>
      <c r="BF836" t="s">
        <v>604</v>
      </c>
      <c r="BG836">
        <v>98.7179</v>
      </c>
      <c r="BH836">
        <v>93.589699999999993</v>
      </c>
      <c r="CK836">
        <v>1.5</v>
      </c>
      <c r="CL836" t="s">
        <v>4</v>
      </c>
      <c r="CM836" t="s">
        <v>98</v>
      </c>
      <c r="CN836" t="s">
        <v>98</v>
      </c>
      <c r="CO836" t="s">
        <v>99</v>
      </c>
      <c r="CP836" s="7">
        <v>280</v>
      </c>
      <c r="CQ836" t="s">
        <v>100</v>
      </c>
      <c r="CR836" t="s">
        <v>100</v>
      </c>
      <c r="CS836" t="s">
        <v>101</v>
      </c>
      <c r="CT836" t="s">
        <v>100</v>
      </c>
      <c r="CU836" t="s">
        <v>102</v>
      </c>
      <c r="CV836" t="s">
        <v>100</v>
      </c>
    </row>
    <row r="837" spans="1:100">
      <c r="A837" s="3" t="s">
        <v>9496</v>
      </c>
      <c r="B837" s="4" t="s">
        <v>9497</v>
      </c>
      <c r="C837">
        <v>65.844950766399805</v>
      </c>
      <c r="D837">
        <v>23.3011820833695</v>
      </c>
      <c r="E837">
        <v>1.49931010198408</v>
      </c>
      <c r="F837">
        <v>4.2681611613143301E-2</v>
      </c>
      <c r="G837" t="s">
        <v>4</v>
      </c>
      <c r="H837">
        <v>65.844950766399805</v>
      </c>
      <c r="I837">
        <v>5.1813981110364002</v>
      </c>
      <c r="J837">
        <v>3.68002281249013</v>
      </c>
      <c r="K837" s="5">
        <v>5.5261274510951498E-6</v>
      </c>
      <c r="L837" t="s">
        <v>4</v>
      </c>
      <c r="M837">
        <v>23.3011820833695</v>
      </c>
      <c r="N837">
        <v>5.1813981110364002</v>
      </c>
      <c r="O837">
        <v>2.18071271050606</v>
      </c>
      <c r="P837">
        <v>9.5662860795187807E-3</v>
      </c>
      <c r="Q837" t="s">
        <v>4</v>
      </c>
      <c r="R837" s="4" t="s">
        <v>87</v>
      </c>
      <c r="S837" t="s">
        <v>4</v>
      </c>
      <c r="T837" t="s">
        <v>460</v>
      </c>
      <c r="U837" t="s">
        <v>461</v>
      </c>
      <c r="V837" t="s">
        <v>462</v>
      </c>
      <c r="W837" t="s">
        <v>123</v>
      </c>
      <c r="X837" t="s">
        <v>4</v>
      </c>
      <c r="Y837" t="s">
        <v>463</v>
      </c>
      <c r="Z837" t="s">
        <v>464</v>
      </c>
      <c r="AA837" t="s">
        <v>465</v>
      </c>
      <c r="AB837" t="s">
        <v>4</v>
      </c>
      <c r="AC837" s="3" t="s">
        <v>93</v>
      </c>
      <c r="AD837" t="s">
        <v>4</v>
      </c>
      <c r="AE837" t="s">
        <v>6411</v>
      </c>
      <c r="AF837" t="s">
        <v>9498</v>
      </c>
      <c r="AG837" t="s">
        <v>9499</v>
      </c>
      <c r="AH837" t="s">
        <v>169</v>
      </c>
      <c r="AU837" t="s">
        <v>112</v>
      </c>
      <c r="AV837" t="s">
        <v>470</v>
      </c>
      <c r="AW837" t="s">
        <v>114</v>
      </c>
      <c r="AX837" t="s">
        <v>144</v>
      </c>
      <c r="AY837" t="s">
        <v>471</v>
      </c>
      <c r="AZ837" t="s">
        <v>4</v>
      </c>
      <c r="BA837" s="3" t="s">
        <v>95</v>
      </c>
      <c r="BB837" s="6" t="s">
        <v>95</v>
      </c>
      <c r="BC837" s="3" t="s">
        <v>197</v>
      </c>
      <c r="BD837" t="s">
        <v>4</v>
      </c>
      <c r="BE837">
        <v>5826</v>
      </c>
      <c r="BF837" t="s">
        <v>386</v>
      </c>
      <c r="CF837">
        <v>6.8840599999999998</v>
      </c>
      <c r="CG837" t="s">
        <v>9500</v>
      </c>
      <c r="CH837" t="s">
        <v>9501</v>
      </c>
      <c r="CI837" t="s">
        <v>9502</v>
      </c>
      <c r="CK837">
        <v>7</v>
      </c>
      <c r="CL837" t="s">
        <v>4</v>
      </c>
      <c r="CM837" t="s">
        <v>98</v>
      </c>
      <c r="CN837" t="s">
        <v>98</v>
      </c>
      <c r="CO837" t="s">
        <v>99</v>
      </c>
      <c r="CP837" s="7">
        <v>281</v>
      </c>
      <c r="CQ837" t="s">
        <v>100</v>
      </c>
      <c r="CR837" t="s">
        <v>100</v>
      </c>
      <c r="CS837" t="s">
        <v>101</v>
      </c>
      <c r="CT837" t="s">
        <v>152</v>
      </c>
      <c r="CU837" t="s">
        <v>102</v>
      </c>
      <c r="CV837" t="s">
        <v>100</v>
      </c>
    </row>
    <row r="838" spans="1:100">
      <c r="A838" s="3" t="s">
        <v>9503</v>
      </c>
      <c r="B838" s="4" t="s">
        <v>9504</v>
      </c>
      <c r="C838">
        <v>147.18268341520499</v>
      </c>
      <c r="D838">
        <v>58.939410148198299</v>
      </c>
      <c r="E838">
        <v>1.32325266473557</v>
      </c>
      <c r="F838">
        <v>2.1256676597146999E-3</v>
      </c>
      <c r="G838" t="s">
        <v>4</v>
      </c>
      <c r="H838">
        <v>147.18268341520499</v>
      </c>
      <c r="I838">
        <v>11.1175625298087</v>
      </c>
      <c r="J838">
        <v>3.6695207107449002</v>
      </c>
      <c r="K838" s="5">
        <v>5.56549617991678E-14</v>
      </c>
      <c r="L838" t="s">
        <v>4</v>
      </c>
      <c r="M838">
        <v>58.939410148198299</v>
      </c>
      <c r="N838">
        <v>11.1175625298087</v>
      </c>
      <c r="O838">
        <v>2.3462680460093202</v>
      </c>
      <c r="P838" s="5">
        <v>3.04225249450819E-6</v>
      </c>
      <c r="Q838" t="s">
        <v>4</v>
      </c>
      <c r="R838" s="4" t="s">
        <v>87</v>
      </c>
      <c r="S838" t="s">
        <v>4</v>
      </c>
      <c r="T838" t="s">
        <v>92</v>
      </c>
      <c r="U838" t="s">
        <v>92</v>
      </c>
      <c r="V838" t="s">
        <v>92</v>
      </c>
      <c r="W838" t="s">
        <v>92</v>
      </c>
      <c r="X838" t="s">
        <v>4</v>
      </c>
      <c r="Y838" t="s">
        <v>92</v>
      </c>
      <c r="Z838" t="s">
        <v>92</v>
      </c>
      <c r="AA838" t="s">
        <v>92</v>
      </c>
      <c r="AB838" t="s">
        <v>4</v>
      </c>
      <c r="AC838" s="3" t="s">
        <v>93</v>
      </c>
      <c r="AD838" t="s">
        <v>4</v>
      </c>
      <c r="AE838" s="4" t="s">
        <v>94</v>
      </c>
      <c r="AZ838" t="s">
        <v>4</v>
      </c>
      <c r="BA838" s="3" t="s">
        <v>95</v>
      </c>
      <c r="BB838" s="6" t="s">
        <v>95</v>
      </c>
      <c r="BC838" s="3" t="s">
        <v>95</v>
      </c>
      <c r="BD838" t="s">
        <v>4</v>
      </c>
      <c r="BE838">
        <v>669</v>
      </c>
      <c r="BF838" t="s">
        <v>322</v>
      </c>
      <c r="CK838">
        <v>1</v>
      </c>
      <c r="CL838" t="s">
        <v>4</v>
      </c>
      <c r="CM838" t="s">
        <v>98</v>
      </c>
      <c r="CN838" t="s">
        <v>98</v>
      </c>
      <c r="CO838" t="s">
        <v>99</v>
      </c>
      <c r="CP838" s="7">
        <v>282</v>
      </c>
      <c r="CQ838" t="s">
        <v>100</v>
      </c>
      <c r="CR838" t="s">
        <v>100</v>
      </c>
      <c r="CS838" t="s">
        <v>101</v>
      </c>
      <c r="CT838" t="s">
        <v>152</v>
      </c>
      <c r="CU838" t="s">
        <v>102</v>
      </c>
      <c r="CV838" t="s">
        <v>100</v>
      </c>
    </row>
    <row r="839" spans="1:100">
      <c r="A839" s="3" t="s">
        <v>9505</v>
      </c>
      <c r="B839" s="4" t="s">
        <v>9506</v>
      </c>
      <c r="C839">
        <v>62.351170360584</v>
      </c>
      <c r="D839">
        <v>14.724868081863001</v>
      </c>
      <c r="E839">
        <v>2.0800196146626502</v>
      </c>
      <c r="F839">
        <v>2.1611446894363201E-2</v>
      </c>
      <c r="G839" t="s">
        <v>4</v>
      </c>
      <c r="H839">
        <v>62.351170360584</v>
      </c>
      <c r="I839">
        <v>4.8998439751895999</v>
      </c>
      <c r="J839">
        <v>3.6623567651004598</v>
      </c>
      <c r="K839">
        <v>1.2206473070625701E-4</v>
      </c>
      <c r="L839" t="s">
        <v>4</v>
      </c>
      <c r="M839">
        <v>14.724868081863001</v>
      </c>
      <c r="N839">
        <v>4.8998439751895999</v>
      </c>
      <c r="O839">
        <v>1.5823371504378101</v>
      </c>
      <c r="P839">
        <v>0.12563489173067799</v>
      </c>
      <c r="Q839" t="s">
        <v>4</v>
      </c>
      <c r="R839" s="4" t="s">
        <v>87</v>
      </c>
      <c r="S839" t="s">
        <v>4</v>
      </c>
      <c r="T839" t="s">
        <v>92</v>
      </c>
      <c r="U839" t="s">
        <v>92</v>
      </c>
      <c r="V839" t="s">
        <v>92</v>
      </c>
      <c r="W839" t="s">
        <v>92</v>
      </c>
      <c r="X839" t="s">
        <v>4</v>
      </c>
      <c r="Y839" t="s">
        <v>92</v>
      </c>
      <c r="Z839" t="s">
        <v>92</v>
      </c>
      <c r="AA839" t="s">
        <v>92</v>
      </c>
      <c r="AB839" t="s">
        <v>4</v>
      </c>
      <c r="AC839" s="3" t="s">
        <v>9507</v>
      </c>
      <c r="AD839" t="s">
        <v>4</v>
      </c>
      <c r="AE839" s="4" t="s">
        <v>94</v>
      </c>
      <c r="AZ839" t="s">
        <v>4</v>
      </c>
      <c r="BA839" s="3" t="s">
        <v>95</v>
      </c>
      <c r="BB839" s="6" t="s">
        <v>95</v>
      </c>
      <c r="BC839" s="3" t="s">
        <v>95</v>
      </c>
      <c r="BD839" t="s">
        <v>4</v>
      </c>
      <c r="BE839">
        <v>5180</v>
      </c>
      <c r="BF839" t="s">
        <v>282</v>
      </c>
      <c r="BJ839">
        <v>66.400000000000006</v>
      </c>
      <c r="BL839">
        <v>64</v>
      </c>
      <c r="BM839">
        <v>63.2</v>
      </c>
      <c r="BN839">
        <v>63.2</v>
      </c>
      <c r="BO839">
        <v>64.400000000000006</v>
      </c>
      <c r="BS839">
        <v>46.4</v>
      </c>
      <c r="BY839">
        <v>32</v>
      </c>
      <c r="CB839">
        <v>44.8</v>
      </c>
      <c r="CK839">
        <v>6</v>
      </c>
      <c r="CL839" t="s">
        <v>4</v>
      </c>
      <c r="CM839" t="s">
        <v>98</v>
      </c>
      <c r="CN839" t="s">
        <v>98</v>
      </c>
      <c r="CO839" t="s">
        <v>99</v>
      </c>
      <c r="CP839" s="7">
        <v>283</v>
      </c>
      <c r="CQ839" t="s">
        <v>100</v>
      </c>
      <c r="CR839" t="s">
        <v>100</v>
      </c>
      <c r="CS839" t="s">
        <v>101</v>
      </c>
      <c r="CT839" t="s">
        <v>100</v>
      </c>
      <c r="CU839" t="s">
        <v>102</v>
      </c>
      <c r="CV839" t="s">
        <v>100</v>
      </c>
    </row>
    <row r="840" spans="1:100">
      <c r="A840" s="3" t="s">
        <v>9508</v>
      </c>
      <c r="B840" s="4" t="s">
        <v>9509</v>
      </c>
      <c r="C840">
        <v>421.74887131553999</v>
      </c>
      <c r="D840">
        <v>204.15755001333599</v>
      </c>
      <c r="E840">
        <v>1.0461787381377701</v>
      </c>
      <c r="F840">
        <v>2.7155470221546001E-2</v>
      </c>
      <c r="G840" t="s">
        <v>4</v>
      </c>
      <c r="H840">
        <v>421.74887131553999</v>
      </c>
      <c r="I840">
        <v>33.000465252390903</v>
      </c>
      <c r="J840">
        <v>3.62476278153646</v>
      </c>
      <c r="K840" s="5">
        <v>3.8378182223780102E-15</v>
      </c>
      <c r="L840" t="s">
        <v>4</v>
      </c>
      <c r="M840">
        <v>204.15755001333599</v>
      </c>
      <c r="N840">
        <v>33.000465252390903</v>
      </c>
      <c r="O840">
        <v>2.5785840433986902</v>
      </c>
      <c r="P840" s="5">
        <v>3.3016041701612298E-8</v>
      </c>
      <c r="Q840" t="s">
        <v>4</v>
      </c>
      <c r="R840" s="4" t="s">
        <v>87</v>
      </c>
      <c r="S840" t="s">
        <v>4</v>
      </c>
      <c r="T840" t="s">
        <v>92</v>
      </c>
      <c r="U840" t="s">
        <v>92</v>
      </c>
      <c r="V840" t="s">
        <v>92</v>
      </c>
      <c r="W840" t="s">
        <v>92</v>
      </c>
      <c r="X840" t="s">
        <v>4</v>
      </c>
      <c r="Y840" t="s">
        <v>9510</v>
      </c>
      <c r="Z840" t="s">
        <v>9511</v>
      </c>
      <c r="AA840" t="s">
        <v>9511</v>
      </c>
      <c r="AB840" t="s">
        <v>4</v>
      </c>
      <c r="AC840" s="3" t="s">
        <v>9512</v>
      </c>
      <c r="AD840" t="s">
        <v>4</v>
      </c>
      <c r="AE840" t="s">
        <v>9513</v>
      </c>
      <c r="AF840" t="s">
        <v>9514</v>
      </c>
      <c r="AG840" t="s">
        <v>9515</v>
      </c>
      <c r="AH840" t="s">
        <v>112</v>
      </c>
      <c r="AJ840" t="s">
        <v>9516</v>
      </c>
      <c r="AU840" t="s">
        <v>112</v>
      </c>
      <c r="AV840" t="s">
        <v>9517</v>
      </c>
      <c r="AW840" t="s">
        <v>114</v>
      </c>
      <c r="AZ840" t="s">
        <v>4</v>
      </c>
      <c r="BA840" s="3" t="s">
        <v>95</v>
      </c>
      <c r="BB840" s="6" t="s">
        <v>95</v>
      </c>
      <c r="BC840" s="3" t="s">
        <v>197</v>
      </c>
      <c r="BD840" t="s">
        <v>4</v>
      </c>
      <c r="BE840">
        <v>5038</v>
      </c>
      <c r="BF840" t="s">
        <v>282</v>
      </c>
      <c r="BG840">
        <v>98.928600000000003</v>
      </c>
      <c r="BH840">
        <v>85</v>
      </c>
      <c r="BI840">
        <v>94.285700000000006</v>
      </c>
      <c r="BJ840">
        <v>82.5</v>
      </c>
      <c r="BK840">
        <v>82.857100000000003</v>
      </c>
      <c r="BL840">
        <v>82.857100000000003</v>
      </c>
      <c r="BM840">
        <v>81.428600000000003</v>
      </c>
      <c r="BN840">
        <v>83.214299999999994</v>
      </c>
      <c r="BO840">
        <v>82.857100000000003</v>
      </c>
      <c r="BP840">
        <v>63.571399999999997</v>
      </c>
      <c r="BQ840">
        <v>56.785699999999999</v>
      </c>
      <c r="BR840">
        <v>55.714300000000001</v>
      </c>
      <c r="BS840">
        <v>60</v>
      </c>
      <c r="BT840">
        <v>55</v>
      </c>
      <c r="BU840">
        <v>48.928600000000003</v>
      </c>
      <c r="BV840" t="s">
        <v>9518</v>
      </c>
      <c r="BY840">
        <v>40.714300000000001</v>
      </c>
      <c r="BZ840">
        <v>55</v>
      </c>
      <c r="CA840">
        <v>53.928600000000003</v>
      </c>
      <c r="CB840">
        <v>45</v>
      </c>
      <c r="CC840" t="s">
        <v>9519</v>
      </c>
      <c r="CD840">
        <v>36.071399999999997</v>
      </c>
      <c r="CK840">
        <v>6</v>
      </c>
      <c r="CL840" t="s">
        <v>4</v>
      </c>
      <c r="CM840" t="s">
        <v>9520</v>
      </c>
      <c r="CN840" t="s">
        <v>9521</v>
      </c>
      <c r="CO840" t="s">
        <v>99</v>
      </c>
      <c r="CP840" s="7">
        <v>285</v>
      </c>
      <c r="CQ840" t="s">
        <v>100</v>
      </c>
      <c r="CR840" t="s">
        <v>100</v>
      </c>
      <c r="CS840" t="s">
        <v>101</v>
      </c>
      <c r="CT840" t="s">
        <v>152</v>
      </c>
      <c r="CU840" t="s">
        <v>102</v>
      </c>
      <c r="CV840" t="s">
        <v>100</v>
      </c>
    </row>
    <row r="841" spans="1:100">
      <c r="A841" s="3" t="s">
        <v>9522</v>
      </c>
      <c r="B841" s="4" t="s">
        <v>9523</v>
      </c>
      <c r="C841">
        <v>94.960078715441199</v>
      </c>
      <c r="D841">
        <v>16.744477054781399</v>
      </c>
      <c r="E841">
        <v>2.50559215671296</v>
      </c>
      <c r="F841">
        <v>4.9036183699612601E-2</v>
      </c>
      <c r="G841" t="s">
        <v>4</v>
      </c>
      <c r="H841">
        <v>94.960078715441199</v>
      </c>
      <c r="I841">
        <v>7.8942013555716901</v>
      </c>
      <c r="J841">
        <v>3.59664058699056</v>
      </c>
      <c r="K841">
        <v>4.1513285904701503E-3</v>
      </c>
      <c r="L841" t="s">
        <v>4</v>
      </c>
      <c r="M841">
        <v>16.744477054781399</v>
      </c>
      <c r="N841">
        <v>7.8942013555716901</v>
      </c>
      <c r="O841">
        <v>1.0910484302776</v>
      </c>
      <c r="P841">
        <v>0.43978843174658599</v>
      </c>
      <c r="Q841" t="s">
        <v>4</v>
      </c>
      <c r="R841" s="4" t="s">
        <v>87</v>
      </c>
      <c r="S841" t="s">
        <v>4</v>
      </c>
      <c r="T841" t="s">
        <v>420</v>
      </c>
      <c r="U841" t="s">
        <v>421</v>
      </c>
      <c r="V841" t="s">
        <v>422</v>
      </c>
      <c r="W841" t="s">
        <v>91</v>
      </c>
      <c r="X841" t="s">
        <v>4</v>
      </c>
      <c r="Y841" t="s">
        <v>977</v>
      </c>
      <c r="Z841" t="s">
        <v>978</v>
      </c>
      <c r="AA841" t="s">
        <v>979</v>
      </c>
      <c r="AB841" t="s">
        <v>4</v>
      </c>
      <c r="AC841" s="3" t="s">
        <v>9524</v>
      </c>
      <c r="AD841" t="s">
        <v>4</v>
      </c>
      <c r="AE841" t="s">
        <v>9525</v>
      </c>
      <c r="AF841" t="s">
        <v>9526</v>
      </c>
      <c r="AG841" t="s">
        <v>9527</v>
      </c>
      <c r="AH841" t="s">
        <v>638</v>
      </c>
      <c r="AI841" t="s">
        <v>9528</v>
      </c>
      <c r="AJ841" t="s">
        <v>3748</v>
      </c>
      <c r="AU841" t="s">
        <v>112</v>
      </c>
      <c r="AV841" t="s">
        <v>9529</v>
      </c>
      <c r="AW841" t="s">
        <v>114</v>
      </c>
      <c r="AX841" t="s">
        <v>144</v>
      </c>
      <c r="AY841" t="s">
        <v>1290</v>
      </c>
      <c r="AZ841" t="s">
        <v>4</v>
      </c>
      <c r="BA841" s="3" t="s">
        <v>95</v>
      </c>
      <c r="BB841" t="s">
        <v>96</v>
      </c>
      <c r="BC841" s="3" t="s">
        <v>95</v>
      </c>
      <c r="BD841" t="s">
        <v>4</v>
      </c>
      <c r="BE841">
        <v>7346</v>
      </c>
      <c r="BF841" t="s">
        <v>213</v>
      </c>
      <c r="BG841">
        <v>95.718999999999994</v>
      </c>
      <c r="BH841">
        <v>75.631200000000007</v>
      </c>
      <c r="BI841">
        <v>84.632300000000001</v>
      </c>
      <c r="BO841">
        <v>4.1712400000000001</v>
      </c>
      <c r="BP841">
        <v>50.933</v>
      </c>
      <c r="BQ841">
        <v>36.553199999999997</v>
      </c>
      <c r="BR841">
        <v>46.432499999999997</v>
      </c>
      <c r="BS841">
        <v>40.285400000000003</v>
      </c>
      <c r="BW841">
        <v>45.334800000000001</v>
      </c>
      <c r="BX841">
        <v>34.796900000000001</v>
      </c>
      <c r="BY841">
        <v>33.260199999999998</v>
      </c>
      <c r="BZ841" t="s">
        <v>9530</v>
      </c>
      <c r="CA841">
        <v>44.017600000000002</v>
      </c>
      <c r="CB841">
        <v>14.818899999999999</v>
      </c>
      <c r="CC841" t="s">
        <v>9531</v>
      </c>
      <c r="CD841" t="s">
        <v>9532</v>
      </c>
      <c r="CF841">
        <v>26.1251</v>
      </c>
      <c r="CK841">
        <v>8</v>
      </c>
      <c r="CL841" t="s">
        <v>4</v>
      </c>
      <c r="CM841" t="s">
        <v>9533</v>
      </c>
      <c r="CN841" t="s">
        <v>9534</v>
      </c>
      <c r="CO841" t="s">
        <v>99</v>
      </c>
      <c r="CP841" s="7">
        <v>286</v>
      </c>
      <c r="CQ841" t="s">
        <v>100</v>
      </c>
      <c r="CR841" t="s">
        <v>100</v>
      </c>
      <c r="CS841" t="s">
        <v>101</v>
      </c>
      <c r="CT841" t="s">
        <v>100</v>
      </c>
      <c r="CU841" t="s">
        <v>102</v>
      </c>
      <c r="CV841" t="s">
        <v>100</v>
      </c>
    </row>
    <row r="842" spans="1:100">
      <c r="A842" s="3" t="s">
        <v>9535</v>
      </c>
      <c r="B842" s="4" t="s">
        <v>9536</v>
      </c>
      <c r="C842">
        <v>99.290639193325504</v>
      </c>
      <c r="D842">
        <v>34.720785928477198</v>
      </c>
      <c r="E842">
        <v>1.5118336345074199</v>
      </c>
      <c r="F842">
        <v>4.7363903315791296E-3</v>
      </c>
      <c r="G842" t="s">
        <v>4</v>
      </c>
      <c r="H842">
        <v>99.290639193325504</v>
      </c>
      <c r="I842">
        <v>8.3048005846332593</v>
      </c>
      <c r="J842">
        <v>3.5954543334065701</v>
      </c>
      <c r="K842" s="5">
        <v>1.8970756010381899E-9</v>
      </c>
      <c r="L842" t="s">
        <v>4</v>
      </c>
      <c r="M842">
        <v>34.720785928477198</v>
      </c>
      <c r="N842">
        <v>8.3048005846332593</v>
      </c>
      <c r="O842">
        <v>2.0836206988991499</v>
      </c>
      <c r="P842">
        <v>8.32507951620405E-4</v>
      </c>
      <c r="Q842" t="s">
        <v>4</v>
      </c>
      <c r="R842" s="4" t="s">
        <v>87</v>
      </c>
      <c r="S842" t="s">
        <v>4</v>
      </c>
      <c r="T842" t="s">
        <v>92</v>
      </c>
      <c r="U842" t="s">
        <v>92</v>
      </c>
      <c r="V842" t="s">
        <v>92</v>
      </c>
      <c r="W842" t="s">
        <v>92</v>
      </c>
      <c r="X842" t="s">
        <v>4</v>
      </c>
      <c r="Y842" t="s">
        <v>92</v>
      </c>
      <c r="Z842" t="s">
        <v>92</v>
      </c>
      <c r="AA842" t="s">
        <v>92</v>
      </c>
      <c r="AB842" t="s">
        <v>4</v>
      </c>
      <c r="AC842" s="3" t="s">
        <v>93</v>
      </c>
      <c r="AD842" t="s">
        <v>4</v>
      </c>
      <c r="AE842" s="4" t="s">
        <v>94</v>
      </c>
      <c r="AZ842" t="s">
        <v>4</v>
      </c>
      <c r="BA842" s="3" t="s">
        <v>95</v>
      </c>
      <c r="BB842" s="6" t="s">
        <v>95</v>
      </c>
      <c r="BC842" s="3" t="s">
        <v>95</v>
      </c>
      <c r="BD842" t="s">
        <v>4</v>
      </c>
      <c r="BE842">
        <v>1355</v>
      </c>
      <c r="BF842" t="s">
        <v>151</v>
      </c>
      <c r="BH842">
        <v>76.087000000000003</v>
      </c>
      <c r="BI842">
        <v>71.739099999999993</v>
      </c>
      <c r="CK842">
        <v>2</v>
      </c>
      <c r="CL842" t="s">
        <v>4</v>
      </c>
      <c r="CM842" t="s">
        <v>98</v>
      </c>
      <c r="CN842" t="s">
        <v>98</v>
      </c>
      <c r="CO842" t="s">
        <v>99</v>
      </c>
      <c r="CP842" s="7">
        <v>287</v>
      </c>
      <c r="CQ842" t="s">
        <v>100</v>
      </c>
      <c r="CR842" t="s">
        <v>100</v>
      </c>
      <c r="CS842" t="s">
        <v>101</v>
      </c>
      <c r="CT842" t="s">
        <v>152</v>
      </c>
      <c r="CU842" t="s">
        <v>102</v>
      </c>
      <c r="CV842" t="s">
        <v>100</v>
      </c>
    </row>
    <row r="843" spans="1:100">
      <c r="A843" s="3" t="s">
        <v>9537</v>
      </c>
      <c r="B843" s="4" t="s">
        <v>9538</v>
      </c>
      <c r="C843">
        <v>406.79351192489901</v>
      </c>
      <c r="D843">
        <v>115.261338259531</v>
      </c>
      <c r="E843">
        <v>1.81895353342251</v>
      </c>
      <c r="F843" s="5">
        <v>6.0099013378686704E-10</v>
      </c>
      <c r="G843" t="s">
        <v>4</v>
      </c>
      <c r="H843">
        <v>406.79351192489901</v>
      </c>
      <c r="I843">
        <v>32.837893608923203</v>
      </c>
      <c r="J843">
        <v>3.58455395025099</v>
      </c>
      <c r="K843" s="5">
        <v>1.2106052860225001E-28</v>
      </c>
      <c r="L843" t="s">
        <v>4</v>
      </c>
      <c r="M843">
        <v>115.261338259531</v>
      </c>
      <c r="N843">
        <v>32.837893608923203</v>
      </c>
      <c r="O843">
        <v>1.76560041682847</v>
      </c>
      <c r="P843" s="5">
        <v>1.5553889373707601E-7</v>
      </c>
      <c r="Q843" t="s">
        <v>4</v>
      </c>
      <c r="R843" s="4" t="s">
        <v>87</v>
      </c>
      <c r="S843" t="s">
        <v>4</v>
      </c>
      <c r="T843" t="s">
        <v>92</v>
      </c>
      <c r="U843" t="s">
        <v>92</v>
      </c>
      <c r="V843" t="s">
        <v>92</v>
      </c>
      <c r="W843" t="s">
        <v>92</v>
      </c>
      <c r="X843" t="s">
        <v>4</v>
      </c>
      <c r="Y843" t="s">
        <v>92</v>
      </c>
      <c r="Z843" t="s">
        <v>92</v>
      </c>
      <c r="AA843" t="s">
        <v>92</v>
      </c>
      <c r="AB843" t="s">
        <v>4</v>
      </c>
      <c r="AC843" s="3" t="s">
        <v>93</v>
      </c>
      <c r="AD843" t="s">
        <v>4</v>
      </c>
      <c r="AE843" s="4" t="s">
        <v>94</v>
      </c>
      <c r="AZ843" t="s">
        <v>4</v>
      </c>
      <c r="BA843" s="3" t="s">
        <v>95</v>
      </c>
      <c r="BB843" s="6" t="s">
        <v>95</v>
      </c>
      <c r="BC843" s="3" t="s">
        <v>95</v>
      </c>
      <c r="BD843" t="s">
        <v>4</v>
      </c>
      <c r="BE843">
        <v>96</v>
      </c>
      <c r="BF843" t="s">
        <v>322</v>
      </c>
      <c r="CK843">
        <v>1</v>
      </c>
      <c r="CL843" t="s">
        <v>4</v>
      </c>
      <c r="CM843" t="s">
        <v>98</v>
      </c>
      <c r="CN843" t="s">
        <v>98</v>
      </c>
      <c r="CO843" t="s">
        <v>99</v>
      </c>
      <c r="CP843" s="7">
        <v>288</v>
      </c>
      <c r="CQ843" t="s">
        <v>100</v>
      </c>
      <c r="CR843" t="s">
        <v>100</v>
      </c>
      <c r="CS843" t="s">
        <v>101</v>
      </c>
      <c r="CT843" s="7" t="s">
        <v>152</v>
      </c>
      <c r="CU843" t="s">
        <v>102</v>
      </c>
      <c r="CV843" t="s">
        <v>100</v>
      </c>
    </row>
    <row r="844" spans="1:100">
      <c r="A844" s="3" t="s">
        <v>9539</v>
      </c>
      <c r="B844" s="4" t="s">
        <v>9540</v>
      </c>
      <c r="C844">
        <v>22.659834414552201</v>
      </c>
      <c r="D844">
        <v>3.3398406933193701</v>
      </c>
      <c r="E844">
        <v>2.7452885202414201</v>
      </c>
      <c r="F844">
        <v>2.3304203067288101E-2</v>
      </c>
      <c r="G844" t="s">
        <v>4</v>
      </c>
      <c r="H844">
        <v>22.659834414552201</v>
      </c>
      <c r="I844">
        <v>1.93533642871265</v>
      </c>
      <c r="J844">
        <v>3.5742129974196999</v>
      </c>
      <c r="K844">
        <v>6.5748332330208097E-3</v>
      </c>
      <c r="L844" t="s">
        <v>4</v>
      </c>
      <c r="M844">
        <v>3.3398406933193701</v>
      </c>
      <c r="N844">
        <v>1.93533642871265</v>
      </c>
      <c r="O844">
        <v>0.828924477178279</v>
      </c>
      <c r="P844">
        <v>0.60692750942310203</v>
      </c>
      <c r="Q844" t="s">
        <v>4</v>
      </c>
      <c r="R844" s="4" t="s">
        <v>87</v>
      </c>
      <c r="S844" t="s">
        <v>4</v>
      </c>
      <c r="T844" t="s">
        <v>92</v>
      </c>
      <c r="U844" t="s">
        <v>92</v>
      </c>
      <c r="V844" t="s">
        <v>92</v>
      </c>
      <c r="W844" t="s">
        <v>92</v>
      </c>
      <c r="X844" t="s">
        <v>4</v>
      </c>
      <c r="Y844" t="s">
        <v>92</v>
      </c>
      <c r="Z844" t="s">
        <v>92</v>
      </c>
      <c r="AA844" t="s">
        <v>92</v>
      </c>
      <c r="AB844" t="s">
        <v>4</v>
      </c>
      <c r="AC844" s="3" t="s">
        <v>93</v>
      </c>
      <c r="AD844" t="s">
        <v>4</v>
      </c>
      <c r="AE844" s="4" t="s">
        <v>94</v>
      </c>
      <c r="AZ844" t="s">
        <v>4</v>
      </c>
      <c r="BA844" s="3" t="s">
        <v>95</v>
      </c>
      <c r="BB844" s="6" t="s">
        <v>95</v>
      </c>
      <c r="BC844" s="3" t="s">
        <v>95</v>
      </c>
      <c r="BD844" t="s">
        <v>4</v>
      </c>
      <c r="BE844">
        <v>364</v>
      </c>
      <c r="BF844" t="s">
        <v>322</v>
      </c>
      <c r="CK844">
        <v>1</v>
      </c>
      <c r="CL844" t="s">
        <v>4</v>
      </c>
      <c r="CM844" t="s">
        <v>98</v>
      </c>
      <c r="CN844" t="s">
        <v>98</v>
      </c>
      <c r="CO844" t="s">
        <v>99</v>
      </c>
      <c r="CP844" s="7">
        <v>289</v>
      </c>
      <c r="CQ844" t="s">
        <v>100</v>
      </c>
      <c r="CR844" t="s">
        <v>100</v>
      </c>
      <c r="CS844" t="s">
        <v>101</v>
      </c>
      <c r="CT844" t="s">
        <v>100</v>
      </c>
      <c r="CU844" t="s">
        <v>102</v>
      </c>
      <c r="CV844" t="s">
        <v>100</v>
      </c>
    </row>
    <row r="845" spans="1:100">
      <c r="A845" s="3" t="s">
        <v>9541</v>
      </c>
      <c r="B845" s="4" t="s">
        <v>9542</v>
      </c>
      <c r="C845">
        <v>408.06209612580199</v>
      </c>
      <c r="D845">
        <v>110.483260176282</v>
      </c>
      <c r="E845">
        <v>1.8831438312036199</v>
      </c>
      <c r="F845">
        <v>6.1716826142856297E-3</v>
      </c>
      <c r="G845" t="s">
        <v>4</v>
      </c>
      <c r="H845">
        <v>408.06209612580199</v>
      </c>
      <c r="I845">
        <v>34.767190751237003</v>
      </c>
      <c r="J845">
        <v>3.5405579098161399</v>
      </c>
      <c r="K845" s="5">
        <v>8.9963087814866098E-8</v>
      </c>
      <c r="L845" t="s">
        <v>4</v>
      </c>
      <c r="M845">
        <v>110.483260176282</v>
      </c>
      <c r="N845">
        <v>34.767190751237003</v>
      </c>
      <c r="O845">
        <v>1.65741407861252</v>
      </c>
      <c r="P845">
        <v>1.6526194978262101E-2</v>
      </c>
      <c r="Q845" t="s">
        <v>4</v>
      </c>
      <c r="R845" s="4" t="s">
        <v>87</v>
      </c>
      <c r="S845" t="s">
        <v>4</v>
      </c>
      <c r="T845" t="s">
        <v>9543</v>
      </c>
      <c r="U845" t="s">
        <v>9544</v>
      </c>
      <c r="V845" t="s">
        <v>9545</v>
      </c>
      <c r="W845" t="s">
        <v>328</v>
      </c>
      <c r="X845" t="s">
        <v>4</v>
      </c>
      <c r="Y845" t="s">
        <v>9546</v>
      </c>
      <c r="Z845" t="s">
        <v>9547</v>
      </c>
      <c r="AA845" t="s">
        <v>9548</v>
      </c>
      <c r="AB845" t="s">
        <v>4</v>
      </c>
      <c r="AC845" s="3" t="s">
        <v>93</v>
      </c>
      <c r="AD845" t="s">
        <v>4</v>
      </c>
      <c r="AE845" t="s">
        <v>9549</v>
      </c>
      <c r="AF845" t="s">
        <v>9550</v>
      </c>
      <c r="AG845" t="s">
        <v>9551</v>
      </c>
      <c r="AH845" t="s">
        <v>112</v>
      </c>
      <c r="AJ845" t="s">
        <v>9552</v>
      </c>
      <c r="AL845" t="s">
        <v>9553</v>
      </c>
      <c r="AM845" t="s">
        <v>9554</v>
      </c>
      <c r="AN845" t="s">
        <v>9555</v>
      </c>
      <c r="AQ845" t="s">
        <v>9556</v>
      </c>
      <c r="AU845" t="s">
        <v>112</v>
      </c>
      <c r="AV845" t="s">
        <v>9557</v>
      </c>
      <c r="AW845" t="s">
        <v>114</v>
      </c>
      <c r="AX845" t="s">
        <v>132</v>
      </c>
      <c r="AY845" t="s">
        <v>7021</v>
      </c>
      <c r="AZ845" t="s">
        <v>4</v>
      </c>
      <c r="BA845" s="3" t="s">
        <v>95</v>
      </c>
      <c r="BB845" t="s">
        <v>96</v>
      </c>
      <c r="BC845" s="3" t="s">
        <v>95</v>
      </c>
      <c r="BD845" t="s">
        <v>4</v>
      </c>
      <c r="BE845">
        <v>8435</v>
      </c>
      <c r="BF845" t="s">
        <v>213</v>
      </c>
      <c r="BG845">
        <v>34.184399999999997</v>
      </c>
      <c r="BI845">
        <v>31.773099999999999</v>
      </c>
      <c r="BJ845">
        <v>30.638300000000001</v>
      </c>
      <c r="BK845">
        <v>46.808500000000002</v>
      </c>
      <c r="BM845">
        <v>28.3688</v>
      </c>
      <c r="BN845">
        <v>28.5106</v>
      </c>
      <c r="BQ845">
        <v>13.1915</v>
      </c>
      <c r="BR845">
        <v>11.6312</v>
      </c>
      <c r="BW845">
        <v>11.3475</v>
      </c>
      <c r="BY845">
        <v>10.0709</v>
      </c>
      <c r="CB845">
        <v>15.7447</v>
      </c>
      <c r="CC845">
        <v>15.8865</v>
      </c>
      <c r="CE845">
        <v>16.312100000000001</v>
      </c>
      <c r="CG845" t="s">
        <v>9558</v>
      </c>
      <c r="CH845" t="s">
        <v>9559</v>
      </c>
      <c r="CI845">
        <v>18.581600000000002</v>
      </c>
      <c r="CK845">
        <v>8</v>
      </c>
      <c r="CL845" t="s">
        <v>4</v>
      </c>
      <c r="CM845" t="s">
        <v>98</v>
      </c>
      <c r="CN845" t="s">
        <v>98</v>
      </c>
      <c r="CO845" t="s">
        <v>99</v>
      </c>
      <c r="CP845" s="7">
        <v>290</v>
      </c>
      <c r="CQ845" t="s">
        <v>100</v>
      </c>
      <c r="CR845" t="s">
        <v>100</v>
      </c>
      <c r="CS845" t="s">
        <v>101</v>
      </c>
      <c r="CT845" s="7" t="s">
        <v>152</v>
      </c>
      <c r="CU845" t="s">
        <v>102</v>
      </c>
      <c r="CV845" t="s">
        <v>100</v>
      </c>
    </row>
    <row r="846" spans="1:100">
      <c r="A846" s="3" t="s">
        <v>9560</v>
      </c>
      <c r="B846" s="4" t="s">
        <v>9561</v>
      </c>
      <c r="C846">
        <v>27.240495885351098</v>
      </c>
      <c r="D846">
        <v>6.6516115800311999</v>
      </c>
      <c r="E846">
        <v>2.0338646381593701</v>
      </c>
      <c r="F846">
        <v>2.9278792280217299E-2</v>
      </c>
      <c r="G846" t="s">
        <v>4</v>
      </c>
      <c r="H846">
        <v>27.240495885351098</v>
      </c>
      <c r="I846">
        <v>2.4252098222896601</v>
      </c>
      <c r="J846">
        <v>3.53503200058773</v>
      </c>
      <c r="K846">
        <v>9.9184222840527207E-4</v>
      </c>
      <c r="L846" t="s">
        <v>4</v>
      </c>
      <c r="M846">
        <v>6.6516115800311999</v>
      </c>
      <c r="N846">
        <v>2.4252098222896601</v>
      </c>
      <c r="O846">
        <v>1.5011673624283599</v>
      </c>
      <c r="P846">
        <v>0.209422891843491</v>
      </c>
      <c r="Q846" t="s">
        <v>4</v>
      </c>
      <c r="R846" s="4" t="s">
        <v>87</v>
      </c>
      <c r="S846" t="s">
        <v>4</v>
      </c>
      <c r="T846" t="s">
        <v>675</v>
      </c>
      <c r="U846" t="s">
        <v>676</v>
      </c>
      <c r="V846" t="s">
        <v>677</v>
      </c>
      <c r="W846" t="s">
        <v>123</v>
      </c>
      <c r="X846" t="s">
        <v>4</v>
      </c>
      <c r="Y846" t="s">
        <v>9562</v>
      </c>
      <c r="Z846" t="s">
        <v>9563</v>
      </c>
      <c r="AA846" t="s">
        <v>9564</v>
      </c>
      <c r="AB846" t="s">
        <v>4</v>
      </c>
      <c r="AC846" s="3" t="s">
        <v>9565</v>
      </c>
      <c r="AD846" t="s">
        <v>4</v>
      </c>
      <c r="AE846" t="s">
        <v>9566</v>
      </c>
      <c r="AF846" t="s">
        <v>9567</v>
      </c>
      <c r="AG846" t="s">
        <v>9568</v>
      </c>
      <c r="AH846" t="s">
        <v>112</v>
      </c>
      <c r="AL846" t="s">
        <v>9569</v>
      </c>
      <c r="AQ846" t="s">
        <v>7764</v>
      </c>
      <c r="AU846" t="s">
        <v>112</v>
      </c>
      <c r="AV846" t="s">
        <v>9570</v>
      </c>
      <c r="AW846" t="s">
        <v>114</v>
      </c>
      <c r="AX846" t="s">
        <v>2157</v>
      </c>
      <c r="AY846" t="s">
        <v>9571</v>
      </c>
      <c r="AZ846" t="s">
        <v>4</v>
      </c>
      <c r="BA846" s="3" t="s">
        <v>95</v>
      </c>
      <c r="BB846" s="6" t="s">
        <v>95</v>
      </c>
      <c r="BC846" s="3" t="s">
        <v>95</v>
      </c>
      <c r="BD846" t="s">
        <v>4</v>
      </c>
      <c r="BE846">
        <v>4930</v>
      </c>
      <c r="BF846" t="s">
        <v>282</v>
      </c>
      <c r="BG846">
        <v>79.487200000000001</v>
      </c>
      <c r="BJ846">
        <v>69.230800000000002</v>
      </c>
      <c r="BK846">
        <v>56.410299999999999</v>
      </c>
      <c r="BL846">
        <v>61.1111</v>
      </c>
      <c r="BM846">
        <v>61.1111</v>
      </c>
      <c r="BN846">
        <v>61.1111</v>
      </c>
      <c r="BO846">
        <v>62.820500000000003</v>
      </c>
      <c r="BP846">
        <v>35.470100000000002</v>
      </c>
      <c r="BR846" t="s">
        <v>9572</v>
      </c>
      <c r="BS846" t="s">
        <v>9573</v>
      </c>
      <c r="BV846" t="s">
        <v>9574</v>
      </c>
      <c r="BW846" t="s">
        <v>9575</v>
      </c>
      <c r="BX846">
        <v>32.905999999999999</v>
      </c>
      <c r="BY846">
        <v>38.034199999999998</v>
      </c>
      <c r="BZ846">
        <v>32.4786</v>
      </c>
      <c r="CA846">
        <v>30.341899999999999</v>
      </c>
      <c r="CB846">
        <v>33.333300000000001</v>
      </c>
      <c r="CD846">
        <v>15.811999999999999</v>
      </c>
      <c r="CE846">
        <v>14.5299</v>
      </c>
      <c r="CF846" t="s">
        <v>9576</v>
      </c>
      <c r="CG846" t="s">
        <v>9577</v>
      </c>
      <c r="CH846" t="s">
        <v>9578</v>
      </c>
      <c r="CI846" t="s">
        <v>9579</v>
      </c>
      <c r="CK846">
        <v>6</v>
      </c>
      <c r="CL846" t="s">
        <v>4</v>
      </c>
      <c r="CM846" t="s">
        <v>9580</v>
      </c>
      <c r="CN846" t="s">
        <v>9581</v>
      </c>
      <c r="CO846" t="s">
        <v>663</v>
      </c>
      <c r="CP846" s="7">
        <v>291</v>
      </c>
      <c r="CQ846" t="s">
        <v>100</v>
      </c>
      <c r="CR846" t="s">
        <v>100</v>
      </c>
      <c r="CS846" t="s">
        <v>101</v>
      </c>
      <c r="CT846" t="s">
        <v>100</v>
      </c>
      <c r="CU846" t="s">
        <v>102</v>
      </c>
      <c r="CV846" t="s">
        <v>100</v>
      </c>
    </row>
    <row r="847" spans="1:100">
      <c r="A847" s="3" t="s">
        <v>9582</v>
      </c>
      <c r="B847" s="4" t="s">
        <v>9583</v>
      </c>
      <c r="C847">
        <v>61.560503858539398</v>
      </c>
      <c r="D847">
        <v>11.849135975649601</v>
      </c>
      <c r="E847">
        <v>2.3744816327182501</v>
      </c>
      <c r="F847">
        <v>3.9096443715924301E-2</v>
      </c>
      <c r="G847" t="s">
        <v>4</v>
      </c>
      <c r="H847">
        <v>61.560503858539398</v>
      </c>
      <c r="I847">
        <v>5.4871093924785601</v>
      </c>
      <c r="J847">
        <v>3.51786829307559</v>
      </c>
      <c r="K847">
        <v>2.4694047723836801E-3</v>
      </c>
      <c r="L847" t="s">
        <v>4</v>
      </c>
      <c r="M847">
        <v>11.849135975649601</v>
      </c>
      <c r="N847">
        <v>5.4871093924785601</v>
      </c>
      <c r="O847">
        <v>1.1433866603573399</v>
      </c>
      <c r="P847">
        <v>0.38289148536158002</v>
      </c>
      <c r="Q847" t="s">
        <v>4</v>
      </c>
      <c r="R847" s="4" t="s">
        <v>87</v>
      </c>
      <c r="S847" t="s">
        <v>4</v>
      </c>
      <c r="T847" t="s">
        <v>9584</v>
      </c>
      <c r="U847" t="s">
        <v>9585</v>
      </c>
      <c r="V847" t="s">
        <v>9586</v>
      </c>
      <c r="W847" t="s">
        <v>328</v>
      </c>
      <c r="X847" t="s">
        <v>4</v>
      </c>
      <c r="Y847" t="s">
        <v>9587</v>
      </c>
      <c r="Z847" t="s">
        <v>9588</v>
      </c>
      <c r="AA847" t="s">
        <v>9589</v>
      </c>
      <c r="AB847" t="s">
        <v>4</v>
      </c>
      <c r="AC847" s="3" t="s">
        <v>9590</v>
      </c>
      <c r="AD847" t="s">
        <v>4</v>
      </c>
      <c r="AE847" t="s">
        <v>9591</v>
      </c>
      <c r="AF847" t="s">
        <v>9592</v>
      </c>
      <c r="AG847" t="s">
        <v>9593</v>
      </c>
      <c r="AH847" t="s">
        <v>112</v>
      </c>
      <c r="AJ847" t="s">
        <v>9594</v>
      </c>
      <c r="AL847" t="s">
        <v>9595</v>
      </c>
      <c r="AM847" t="s">
        <v>1583</v>
      </c>
      <c r="AQ847" t="s">
        <v>9596</v>
      </c>
      <c r="AU847" t="s">
        <v>112</v>
      </c>
      <c r="AV847" t="s">
        <v>9597</v>
      </c>
      <c r="AW847" t="s">
        <v>114</v>
      </c>
      <c r="AX847" t="s">
        <v>371</v>
      </c>
      <c r="AY847" t="s">
        <v>6166</v>
      </c>
      <c r="AZ847" t="s">
        <v>4</v>
      </c>
      <c r="BA847" s="3" t="s">
        <v>95</v>
      </c>
      <c r="BB847" s="6" t="s">
        <v>95</v>
      </c>
      <c r="BC847" s="3" t="s">
        <v>95</v>
      </c>
      <c r="BD847" t="s">
        <v>4</v>
      </c>
      <c r="BE847">
        <v>5988</v>
      </c>
      <c r="BF847" t="s">
        <v>213</v>
      </c>
      <c r="BG847">
        <v>97.264399999999995</v>
      </c>
      <c r="BH847">
        <v>43.465000000000003</v>
      </c>
      <c r="BI847">
        <v>96.352599999999995</v>
      </c>
      <c r="BJ847">
        <v>86.930099999999996</v>
      </c>
      <c r="BK847">
        <v>85.714299999999994</v>
      </c>
      <c r="BL847">
        <v>67.173299999999998</v>
      </c>
      <c r="BM847">
        <v>86.322199999999995</v>
      </c>
      <c r="BN847">
        <v>86.626099999999994</v>
      </c>
      <c r="BO847">
        <v>87.841899999999995</v>
      </c>
      <c r="BP847">
        <v>50.4559</v>
      </c>
      <c r="BQ847">
        <v>41.0334</v>
      </c>
      <c r="BR847">
        <v>37.993899999999996</v>
      </c>
      <c r="BS847">
        <v>37.386000000000003</v>
      </c>
      <c r="BU847">
        <v>38.297899999999998</v>
      </c>
      <c r="BV847" t="s">
        <v>9598</v>
      </c>
      <c r="BX847">
        <v>42.857100000000003</v>
      </c>
      <c r="BY847">
        <v>36.170200000000001</v>
      </c>
      <c r="BZ847">
        <v>42.553199999999997</v>
      </c>
      <c r="CA847" t="s">
        <v>9599</v>
      </c>
      <c r="CG847" t="s">
        <v>9600</v>
      </c>
      <c r="CH847" t="s">
        <v>9601</v>
      </c>
      <c r="CI847" t="s">
        <v>9602</v>
      </c>
      <c r="CK847">
        <v>8</v>
      </c>
      <c r="CL847" t="s">
        <v>4</v>
      </c>
      <c r="CM847" t="s">
        <v>9603</v>
      </c>
      <c r="CN847" t="s">
        <v>9604</v>
      </c>
      <c r="CO847" t="s">
        <v>99</v>
      </c>
      <c r="CP847" s="7">
        <v>292</v>
      </c>
      <c r="CQ847" t="s">
        <v>100</v>
      </c>
      <c r="CR847" t="s">
        <v>100</v>
      </c>
      <c r="CS847" t="s">
        <v>101</v>
      </c>
      <c r="CT847" t="s">
        <v>100</v>
      </c>
      <c r="CU847" t="s">
        <v>102</v>
      </c>
      <c r="CV847" t="s">
        <v>100</v>
      </c>
    </row>
    <row r="848" spans="1:100">
      <c r="A848" s="3" t="s">
        <v>9605</v>
      </c>
      <c r="B848" s="4" t="s">
        <v>9606</v>
      </c>
      <c r="C848">
        <v>64.5001611112571</v>
      </c>
      <c r="D848">
        <v>11.7161784326451</v>
      </c>
      <c r="E848">
        <v>2.46034896498321</v>
      </c>
      <c r="F848">
        <v>2.5784216271798301E-2</v>
      </c>
      <c r="G848" t="s">
        <v>4</v>
      </c>
      <c r="H848">
        <v>64.5001611112571</v>
      </c>
      <c r="I848">
        <v>5.6591929318157197</v>
      </c>
      <c r="J848">
        <v>3.5075483726869701</v>
      </c>
      <c r="K848">
        <v>1.66895101041567E-3</v>
      </c>
      <c r="L848" t="s">
        <v>4</v>
      </c>
      <c r="M848">
        <v>11.7161784326451</v>
      </c>
      <c r="N848">
        <v>5.6591929318157197</v>
      </c>
      <c r="O848">
        <v>1.0471994077037601</v>
      </c>
      <c r="P848">
        <v>0.40919817371518002</v>
      </c>
      <c r="Q848" t="s">
        <v>4</v>
      </c>
      <c r="R848" s="4" t="s">
        <v>87</v>
      </c>
      <c r="S848" t="s">
        <v>4</v>
      </c>
      <c r="T848" t="s">
        <v>92</v>
      </c>
      <c r="U848" t="s">
        <v>92</v>
      </c>
      <c r="V848" t="s">
        <v>92</v>
      </c>
      <c r="W848" t="s">
        <v>92</v>
      </c>
      <c r="X848" t="s">
        <v>4</v>
      </c>
      <c r="Y848" t="s">
        <v>92</v>
      </c>
      <c r="Z848" t="s">
        <v>92</v>
      </c>
      <c r="AA848" t="s">
        <v>92</v>
      </c>
      <c r="AB848" t="s">
        <v>4</v>
      </c>
      <c r="AC848" s="3" t="s">
        <v>93</v>
      </c>
      <c r="AD848" t="s">
        <v>4</v>
      </c>
      <c r="AE848" s="4" t="s">
        <v>94</v>
      </c>
      <c r="AZ848" t="s">
        <v>4</v>
      </c>
      <c r="BA848" s="3" t="s">
        <v>95</v>
      </c>
      <c r="BB848" s="6" t="s">
        <v>95</v>
      </c>
      <c r="BC848" s="3" t="s">
        <v>197</v>
      </c>
      <c r="BD848" t="s">
        <v>4</v>
      </c>
      <c r="BE848">
        <v>1643</v>
      </c>
      <c r="BF848" t="s">
        <v>151</v>
      </c>
      <c r="BG848">
        <v>39.1892</v>
      </c>
      <c r="BH848">
        <v>60.135100000000001</v>
      </c>
      <c r="CK848">
        <v>2</v>
      </c>
      <c r="CL848" t="s">
        <v>4</v>
      </c>
      <c r="CM848" t="s">
        <v>98</v>
      </c>
      <c r="CN848" t="s">
        <v>98</v>
      </c>
      <c r="CO848" t="s">
        <v>99</v>
      </c>
      <c r="CP848" s="7">
        <v>293</v>
      </c>
      <c r="CQ848" t="s">
        <v>100</v>
      </c>
      <c r="CR848" t="s">
        <v>100</v>
      </c>
      <c r="CS848" t="s">
        <v>101</v>
      </c>
      <c r="CT848" t="s">
        <v>100</v>
      </c>
      <c r="CU848" t="s">
        <v>102</v>
      </c>
      <c r="CV848" t="s">
        <v>100</v>
      </c>
    </row>
    <row r="849" spans="1:100">
      <c r="A849" s="3" t="s">
        <v>9607</v>
      </c>
      <c r="B849" s="4" t="s">
        <v>9608</v>
      </c>
      <c r="C849">
        <v>22.561492719331898</v>
      </c>
      <c r="D849">
        <v>4.7399224584689499</v>
      </c>
      <c r="E849">
        <v>2.2521911315979</v>
      </c>
      <c r="F849">
        <v>2.6998740836112999E-2</v>
      </c>
      <c r="G849" t="s">
        <v>4</v>
      </c>
      <c r="H849">
        <v>22.561492719331898</v>
      </c>
      <c r="I849">
        <v>2.2410477101548101</v>
      </c>
      <c r="J849">
        <v>3.5039537552889</v>
      </c>
      <c r="K849">
        <v>2.6297459171560102E-3</v>
      </c>
      <c r="L849" t="s">
        <v>4</v>
      </c>
      <c r="M849">
        <v>4.7399224584689499</v>
      </c>
      <c r="N849">
        <v>2.2410477101548101</v>
      </c>
      <c r="O849">
        <v>1.251762623691</v>
      </c>
      <c r="P849">
        <v>0.35080104011289598</v>
      </c>
      <c r="Q849" t="s">
        <v>4</v>
      </c>
      <c r="R849" s="4" t="s">
        <v>87</v>
      </c>
      <c r="S849" t="s">
        <v>4</v>
      </c>
      <c r="T849" t="s">
        <v>92</v>
      </c>
      <c r="U849" t="s">
        <v>92</v>
      </c>
      <c r="V849" t="s">
        <v>92</v>
      </c>
      <c r="W849" t="s">
        <v>92</v>
      </c>
      <c r="X849" t="s">
        <v>4</v>
      </c>
      <c r="Y849" t="s">
        <v>92</v>
      </c>
      <c r="Z849" t="s">
        <v>92</v>
      </c>
      <c r="AA849" t="s">
        <v>92</v>
      </c>
      <c r="AB849" t="s">
        <v>4</v>
      </c>
      <c r="AC849" s="3" t="s">
        <v>93</v>
      </c>
      <c r="AD849" t="s">
        <v>4</v>
      </c>
      <c r="AE849" s="4" t="s">
        <v>94</v>
      </c>
      <c r="AZ849" t="s">
        <v>4</v>
      </c>
      <c r="BA849" s="3" t="s">
        <v>95</v>
      </c>
      <c r="BB849" s="6" t="s">
        <v>95</v>
      </c>
      <c r="BC849" s="3" t="s">
        <v>95</v>
      </c>
      <c r="BD849" t="s">
        <v>4</v>
      </c>
      <c r="BE849">
        <v>674</v>
      </c>
      <c r="BF849" t="s">
        <v>322</v>
      </c>
      <c r="CK849">
        <v>1</v>
      </c>
      <c r="CL849" t="s">
        <v>4</v>
      </c>
      <c r="CM849" t="s">
        <v>98</v>
      </c>
      <c r="CN849" t="s">
        <v>98</v>
      </c>
      <c r="CO849" t="s">
        <v>99</v>
      </c>
      <c r="CP849" s="7">
        <v>294</v>
      </c>
      <c r="CQ849" t="s">
        <v>100</v>
      </c>
      <c r="CR849" t="s">
        <v>100</v>
      </c>
      <c r="CS849" t="s">
        <v>101</v>
      </c>
      <c r="CT849" t="s">
        <v>100</v>
      </c>
      <c r="CU849" t="s">
        <v>102</v>
      </c>
      <c r="CV849" t="s">
        <v>100</v>
      </c>
    </row>
    <row r="850" spans="1:100">
      <c r="A850" s="3" t="s">
        <v>9609</v>
      </c>
      <c r="B850" s="4" t="s">
        <v>9610</v>
      </c>
      <c r="C850">
        <v>63.2254670432891</v>
      </c>
      <c r="D850">
        <v>20.4854286391671</v>
      </c>
      <c r="E850">
        <v>1.63528649074076</v>
      </c>
      <c r="F850">
        <v>2.26078224909536E-2</v>
      </c>
      <c r="G850" t="s">
        <v>4</v>
      </c>
      <c r="H850">
        <v>63.2254670432891</v>
      </c>
      <c r="I850">
        <v>5.8180878589356402</v>
      </c>
      <c r="J850">
        <v>3.47402320317227</v>
      </c>
      <c r="K850" s="5">
        <v>8.4355646711444103E-6</v>
      </c>
      <c r="L850" t="s">
        <v>4</v>
      </c>
      <c r="M850">
        <v>20.4854286391671</v>
      </c>
      <c r="N850">
        <v>5.8180878589356402</v>
      </c>
      <c r="O850">
        <v>1.8387367124315099</v>
      </c>
      <c r="P850">
        <v>2.5580270927325899E-2</v>
      </c>
      <c r="Q850" t="s">
        <v>4</v>
      </c>
      <c r="R850" s="4" t="s">
        <v>87</v>
      </c>
      <c r="S850" t="s">
        <v>4</v>
      </c>
      <c r="T850" t="s">
        <v>88</v>
      </c>
      <c r="U850" t="s">
        <v>89</v>
      </c>
      <c r="V850" t="s">
        <v>90</v>
      </c>
      <c r="W850" t="s">
        <v>91</v>
      </c>
      <c r="X850" t="s">
        <v>4</v>
      </c>
      <c r="Y850" t="s">
        <v>92</v>
      </c>
      <c r="Z850" t="s">
        <v>92</v>
      </c>
      <c r="AA850" t="s">
        <v>92</v>
      </c>
      <c r="AB850" t="s">
        <v>4</v>
      </c>
      <c r="AC850" s="3" t="s">
        <v>93</v>
      </c>
      <c r="AD850" t="s">
        <v>4</v>
      </c>
      <c r="AE850" s="4" t="s">
        <v>94</v>
      </c>
      <c r="AZ850" t="s">
        <v>4</v>
      </c>
      <c r="BA850" s="3" t="s">
        <v>95</v>
      </c>
      <c r="BB850" t="s">
        <v>96</v>
      </c>
      <c r="BC850" s="3" t="s">
        <v>95</v>
      </c>
      <c r="BD850" t="s">
        <v>4</v>
      </c>
      <c r="BE850">
        <v>272</v>
      </c>
      <c r="BF850" t="s">
        <v>322</v>
      </c>
      <c r="CK850">
        <v>1</v>
      </c>
      <c r="CL850" t="s">
        <v>4</v>
      </c>
      <c r="CM850" t="s">
        <v>98</v>
      </c>
      <c r="CN850" t="s">
        <v>98</v>
      </c>
      <c r="CO850" t="s">
        <v>99</v>
      </c>
      <c r="CP850" s="7">
        <v>295</v>
      </c>
      <c r="CQ850" t="s">
        <v>100</v>
      </c>
      <c r="CR850" t="s">
        <v>100</v>
      </c>
      <c r="CS850" t="s">
        <v>101</v>
      </c>
      <c r="CT850" s="7" t="s">
        <v>152</v>
      </c>
      <c r="CU850" t="s">
        <v>102</v>
      </c>
      <c r="CV850" t="s">
        <v>100</v>
      </c>
    </row>
    <row r="851" spans="1:100">
      <c r="A851" s="3" t="s">
        <v>9611</v>
      </c>
      <c r="B851" s="4" t="s">
        <v>9612</v>
      </c>
      <c r="C851">
        <v>23.682769867294098</v>
      </c>
      <c r="D851">
        <v>3.62001843311667</v>
      </c>
      <c r="E851">
        <v>2.7264951122732199</v>
      </c>
      <c r="F851">
        <v>1.8055946676845399E-2</v>
      </c>
      <c r="G851" t="s">
        <v>4</v>
      </c>
      <c r="H851">
        <v>23.682769867294098</v>
      </c>
      <c r="I851">
        <v>1.9787214729241001</v>
      </c>
      <c r="J851">
        <v>3.4664822908352</v>
      </c>
      <c r="K851">
        <v>5.3766958047302502E-3</v>
      </c>
      <c r="L851" t="s">
        <v>4</v>
      </c>
      <c r="M851">
        <v>3.62001843311667</v>
      </c>
      <c r="N851">
        <v>1.9787214729241001</v>
      </c>
      <c r="O851">
        <v>0.73998717856197704</v>
      </c>
      <c r="P851">
        <v>0.63113174686428997</v>
      </c>
      <c r="Q851" t="s">
        <v>4</v>
      </c>
      <c r="R851" s="4" t="s">
        <v>87</v>
      </c>
      <c r="S851" t="s">
        <v>4</v>
      </c>
      <c r="T851" t="s">
        <v>92</v>
      </c>
      <c r="U851" t="s">
        <v>92</v>
      </c>
      <c r="V851" t="s">
        <v>92</v>
      </c>
      <c r="W851" t="s">
        <v>92</v>
      </c>
      <c r="X851" t="s">
        <v>4</v>
      </c>
      <c r="Y851" t="s">
        <v>92</v>
      </c>
      <c r="Z851" t="s">
        <v>92</v>
      </c>
      <c r="AA851" t="s">
        <v>92</v>
      </c>
      <c r="AB851" t="s">
        <v>4</v>
      </c>
      <c r="AC851" s="3" t="s">
        <v>93</v>
      </c>
      <c r="AD851" t="s">
        <v>4</v>
      </c>
      <c r="AE851" s="4" t="s">
        <v>94</v>
      </c>
      <c r="AZ851" t="s">
        <v>4</v>
      </c>
      <c r="BA851" s="3" t="s">
        <v>95</v>
      </c>
      <c r="BB851" t="s">
        <v>96</v>
      </c>
      <c r="BC851" s="3" t="s">
        <v>197</v>
      </c>
      <c r="BD851" t="s">
        <v>4</v>
      </c>
      <c r="BE851">
        <v>2141</v>
      </c>
      <c r="BF851" t="s">
        <v>148</v>
      </c>
      <c r="BG851">
        <v>98.712400000000002</v>
      </c>
      <c r="BH851">
        <v>77.253200000000007</v>
      </c>
      <c r="BI851">
        <v>91.416300000000007</v>
      </c>
      <c r="BJ851">
        <v>74.248900000000006</v>
      </c>
      <c r="BK851">
        <v>41.201700000000002</v>
      </c>
      <c r="BL851">
        <v>52.789700000000003</v>
      </c>
      <c r="BM851">
        <v>50.214599999999997</v>
      </c>
      <c r="BN851">
        <v>50.214599999999997</v>
      </c>
      <c r="BO851">
        <v>50.643799999999999</v>
      </c>
      <c r="CK851">
        <v>3</v>
      </c>
      <c r="CL851" t="s">
        <v>4</v>
      </c>
      <c r="CM851" t="s">
        <v>98</v>
      </c>
      <c r="CN851" t="s">
        <v>98</v>
      </c>
      <c r="CO851" t="s">
        <v>99</v>
      </c>
      <c r="CP851" s="7">
        <v>296</v>
      </c>
      <c r="CQ851" t="s">
        <v>100</v>
      </c>
      <c r="CR851" t="s">
        <v>100</v>
      </c>
      <c r="CS851" t="s">
        <v>101</v>
      </c>
      <c r="CT851" t="s">
        <v>100</v>
      </c>
      <c r="CU851" t="s">
        <v>102</v>
      </c>
      <c r="CV851" t="s">
        <v>100</v>
      </c>
    </row>
    <row r="852" spans="1:100">
      <c r="A852" s="3" t="s">
        <v>9613</v>
      </c>
      <c r="B852" s="4" t="s">
        <v>9614</v>
      </c>
      <c r="C852">
        <v>76.419351590454099</v>
      </c>
      <c r="D852">
        <v>19.583940930517201</v>
      </c>
      <c r="E852">
        <v>1.9688601841358999</v>
      </c>
      <c r="F852">
        <v>2.89681841624846E-2</v>
      </c>
      <c r="G852" t="s">
        <v>4</v>
      </c>
      <c r="H852">
        <v>76.419351590454099</v>
      </c>
      <c r="I852">
        <v>6.9759574718256498</v>
      </c>
      <c r="J852">
        <v>3.4549046248311202</v>
      </c>
      <c r="K852">
        <v>1.75123711468983E-4</v>
      </c>
      <c r="L852" t="s">
        <v>4</v>
      </c>
      <c r="M852">
        <v>19.583940930517201</v>
      </c>
      <c r="N852">
        <v>6.9759574718256498</v>
      </c>
      <c r="O852">
        <v>1.48604444069522</v>
      </c>
      <c r="P852">
        <v>0.135055203108296</v>
      </c>
      <c r="Q852" t="s">
        <v>4</v>
      </c>
      <c r="R852" s="4" t="s">
        <v>87</v>
      </c>
      <c r="S852" t="s">
        <v>4</v>
      </c>
      <c r="T852" t="s">
        <v>360</v>
      </c>
      <c r="U852" t="s">
        <v>361</v>
      </c>
      <c r="V852" t="s">
        <v>362</v>
      </c>
      <c r="W852" t="s">
        <v>328</v>
      </c>
      <c r="X852" t="s">
        <v>4</v>
      </c>
      <c r="Y852" t="s">
        <v>994</v>
      </c>
      <c r="Z852" t="s">
        <v>995</v>
      </c>
      <c r="AA852" t="s">
        <v>996</v>
      </c>
      <c r="AB852" t="s">
        <v>4</v>
      </c>
      <c r="AC852" s="3" t="s">
        <v>9615</v>
      </c>
      <c r="AD852" t="s">
        <v>4</v>
      </c>
      <c r="AE852" t="s">
        <v>9616</v>
      </c>
      <c r="AF852" t="s">
        <v>9617</v>
      </c>
      <c r="AG852" t="s">
        <v>9618</v>
      </c>
      <c r="AH852" t="s">
        <v>112</v>
      </c>
      <c r="AI852" t="s">
        <v>9619</v>
      </c>
      <c r="AL852" t="s">
        <v>9620</v>
      </c>
      <c r="AQ852" t="s">
        <v>1003</v>
      </c>
      <c r="AU852" t="s">
        <v>112</v>
      </c>
      <c r="AV852" t="s">
        <v>9621</v>
      </c>
      <c r="AW852" t="s">
        <v>114</v>
      </c>
      <c r="AX852" t="s">
        <v>371</v>
      </c>
      <c r="AY852" t="s">
        <v>573</v>
      </c>
      <c r="AZ852" t="s">
        <v>4</v>
      </c>
      <c r="BA852" s="3" t="s">
        <v>95</v>
      </c>
      <c r="BB852" s="6" t="s">
        <v>95</v>
      </c>
      <c r="BC852" s="3" t="s">
        <v>95</v>
      </c>
      <c r="BD852" t="s">
        <v>4</v>
      </c>
      <c r="BE852">
        <v>5363</v>
      </c>
      <c r="BF852" t="s">
        <v>386</v>
      </c>
      <c r="BG852">
        <v>99.384600000000006</v>
      </c>
      <c r="BI852" t="s">
        <v>9622</v>
      </c>
      <c r="BJ852">
        <v>45.538499999999999</v>
      </c>
      <c r="BK852">
        <v>79.384600000000006</v>
      </c>
      <c r="BM852">
        <v>58.461500000000001</v>
      </c>
      <c r="BN852">
        <v>76</v>
      </c>
      <c r="BP852">
        <v>42.769199999999998</v>
      </c>
      <c r="BQ852">
        <v>37.846200000000003</v>
      </c>
      <c r="BT852">
        <v>33.538499999999999</v>
      </c>
      <c r="BU852">
        <v>23.692299999999999</v>
      </c>
      <c r="BW852" t="s">
        <v>9623</v>
      </c>
      <c r="BX852">
        <v>38.153799999999997</v>
      </c>
      <c r="BY852">
        <v>34.461500000000001</v>
      </c>
      <c r="BZ852">
        <v>36.307699999999997</v>
      </c>
      <c r="CA852" t="s">
        <v>9624</v>
      </c>
      <c r="CC852">
        <v>27.692299999999999</v>
      </c>
      <c r="CD852">
        <v>26.769200000000001</v>
      </c>
      <c r="CF852" t="s">
        <v>9625</v>
      </c>
      <c r="CG852" t="s">
        <v>9626</v>
      </c>
      <c r="CH852" t="s">
        <v>9627</v>
      </c>
      <c r="CI852" t="s">
        <v>9628</v>
      </c>
      <c r="CK852">
        <v>7</v>
      </c>
      <c r="CL852" t="s">
        <v>4</v>
      </c>
      <c r="CM852" t="s">
        <v>9629</v>
      </c>
      <c r="CN852" t="s">
        <v>9630</v>
      </c>
      <c r="CO852" t="s">
        <v>99</v>
      </c>
      <c r="CP852" s="7">
        <v>297</v>
      </c>
      <c r="CQ852" t="s">
        <v>100</v>
      </c>
      <c r="CR852" t="s">
        <v>100</v>
      </c>
      <c r="CS852" t="s">
        <v>101</v>
      </c>
      <c r="CT852" t="s">
        <v>100</v>
      </c>
      <c r="CU852" t="s">
        <v>102</v>
      </c>
      <c r="CV852" t="s">
        <v>100</v>
      </c>
    </row>
    <row r="853" spans="1:100">
      <c r="A853" s="3" t="s">
        <v>9631</v>
      </c>
      <c r="B853" s="4" t="s">
        <v>9632</v>
      </c>
      <c r="C853">
        <v>321.15001304105999</v>
      </c>
      <c r="D853">
        <v>88.710315605954506</v>
      </c>
      <c r="E853">
        <v>1.85259399986447</v>
      </c>
      <c r="F853" s="5">
        <v>2.0546280354245799E-5</v>
      </c>
      <c r="G853" t="s">
        <v>4</v>
      </c>
      <c r="H853">
        <v>321.15001304105999</v>
      </c>
      <c r="I853">
        <v>30.227970969532599</v>
      </c>
      <c r="J853">
        <v>3.4458050414460399</v>
      </c>
      <c r="K853" s="5">
        <v>1.03677496480565E-14</v>
      </c>
      <c r="L853" t="s">
        <v>4</v>
      </c>
      <c r="M853">
        <v>88.710315605954506</v>
      </c>
      <c r="N853">
        <v>30.227970969532599</v>
      </c>
      <c r="O853">
        <v>1.5932110415815699</v>
      </c>
      <c r="P853">
        <v>6.3115247130278603E-4</v>
      </c>
      <c r="Q853" t="s">
        <v>4</v>
      </c>
      <c r="R853" s="4" t="s">
        <v>87</v>
      </c>
      <c r="S853" t="s">
        <v>4</v>
      </c>
      <c r="T853" t="s">
        <v>92</v>
      </c>
      <c r="U853" t="s">
        <v>92</v>
      </c>
      <c r="V853" t="s">
        <v>92</v>
      </c>
      <c r="W853" t="s">
        <v>92</v>
      </c>
      <c r="X853" t="s">
        <v>4</v>
      </c>
      <c r="Y853" t="s">
        <v>92</v>
      </c>
      <c r="Z853" t="s">
        <v>92</v>
      </c>
      <c r="AA853" t="s">
        <v>92</v>
      </c>
      <c r="AB853" t="s">
        <v>4</v>
      </c>
      <c r="AC853" s="3" t="s">
        <v>93</v>
      </c>
      <c r="AD853" t="s">
        <v>4</v>
      </c>
      <c r="AE853" s="4" t="s">
        <v>94</v>
      </c>
      <c r="AZ853" t="s">
        <v>4</v>
      </c>
      <c r="BA853" s="3" t="s">
        <v>95</v>
      </c>
      <c r="BB853" s="6" t="s">
        <v>95</v>
      </c>
      <c r="BC853" s="3" t="s">
        <v>95</v>
      </c>
      <c r="BD853" t="s">
        <v>4</v>
      </c>
      <c r="BE853">
        <v>101</v>
      </c>
      <c r="BF853" t="s">
        <v>322</v>
      </c>
      <c r="CK853">
        <v>1</v>
      </c>
      <c r="CL853" t="s">
        <v>4</v>
      </c>
      <c r="CM853" t="s">
        <v>98</v>
      </c>
      <c r="CN853" t="s">
        <v>98</v>
      </c>
      <c r="CO853" t="s">
        <v>99</v>
      </c>
      <c r="CP853" s="7">
        <v>298</v>
      </c>
      <c r="CQ853" t="s">
        <v>100</v>
      </c>
      <c r="CR853" t="s">
        <v>100</v>
      </c>
      <c r="CS853" t="s">
        <v>101</v>
      </c>
      <c r="CT853" s="7" t="s">
        <v>152</v>
      </c>
      <c r="CU853" t="s">
        <v>102</v>
      </c>
      <c r="CV853" t="s">
        <v>100</v>
      </c>
    </row>
    <row r="854" spans="1:100">
      <c r="A854" s="3" t="s">
        <v>9633</v>
      </c>
      <c r="B854" s="4" t="s">
        <v>9634</v>
      </c>
      <c r="C854">
        <v>39.922083894989299</v>
      </c>
      <c r="D854">
        <v>7.6402498362924902</v>
      </c>
      <c r="E854">
        <v>2.39029325264119</v>
      </c>
      <c r="F854">
        <v>1.1690896377160099E-2</v>
      </c>
      <c r="G854" t="s">
        <v>4</v>
      </c>
      <c r="H854">
        <v>39.922083894989299</v>
      </c>
      <c r="I854">
        <v>3.7359350759007501</v>
      </c>
      <c r="J854">
        <v>3.4364401691380499</v>
      </c>
      <c r="K854">
        <v>7.0385407978662095E-4</v>
      </c>
      <c r="L854" t="s">
        <v>4</v>
      </c>
      <c r="M854">
        <v>7.6402498362924902</v>
      </c>
      <c r="N854">
        <v>3.7359350759007501</v>
      </c>
      <c r="O854">
        <v>1.04614691649685</v>
      </c>
      <c r="P854">
        <v>0.37162673160307702</v>
      </c>
      <c r="Q854" t="s">
        <v>4</v>
      </c>
      <c r="R854" s="4" t="s">
        <v>87</v>
      </c>
      <c r="S854" t="s">
        <v>4</v>
      </c>
      <c r="T854" t="s">
        <v>92</v>
      </c>
      <c r="U854" t="s">
        <v>92</v>
      </c>
      <c r="V854" t="s">
        <v>92</v>
      </c>
      <c r="W854" t="s">
        <v>92</v>
      </c>
      <c r="X854" t="s">
        <v>4</v>
      </c>
      <c r="Y854" t="s">
        <v>92</v>
      </c>
      <c r="Z854" t="s">
        <v>92</v>
      </c>
      <c r="AA854" t="s">
        <v>92</v>
      </c>
      <c r="AB854" t="s">
        <v>4</v>
      </c>
      <c r="AC854" s="3" t="s">
        <v>93</v>
      </c>
      <c r="AD854" t="s">
        <v>4</v>
      </c>
      <c r="AE854" s="4" t="s">
        <v>94</v>
      </c>
      <c r="AZ854" t="s">
        <v>4</v>
      </c>
      <c r="BA854" s="3" t="s">
        <v>95</v>
      </c>
      <c r="BB854" s="6" t="s">
        <v>95</v>
      </c>
      <c r="BC854" s="3" t="s">
        <v>95</v>
      </c>
      <c r="BD854" t="s">
        <v>4</v>
      </c>
      <c r="BE854">
        <v>3010</v>
      </c>
      <c r="BF854" t="s">
        <v>97</v>
      </c>
      <c r="BH854">
        <v>100</v>
      </c>
      <c r="BI854">
        <v>87.943299999999994</v>
      </c>
      <c r="BP854">
        <v>33.333300000000001</v>
      </c>
      <c r="CK854">
        <v>4</v>
      </c>
      <c r="CL854" t="s">
        <v>4</v>
      </c>
      <c r="CM854" t="s">
        <v>98</v>
      </c>
      <c r="CN854" t="s">
        <v>98</v>
      </c>
      <c r="CO854" t="s">
        <v>99</v>
      </c>
      <c r="CP854" s="7">
        <v>299</v>
      </c>
      <c r="CQ854" t="s">
        <v>100</v>
      </c>
      <c r="CR854" t="s">
        <v>100</v>
      </c>
      <c r="CS854" t="s">
        <v>101</v>
      </c>
      <c r="CT854" t="s">
        <v>100</v>
      </c>
      <c r="CU854" t="s">
        <v>102</v>
      </c>
      <c r="CV854" t="s">
        <v>100</v>
      </c>
    </row>
    <row r="855" spans="1:100">
      <c r="A855" s="3" t="s">
        <v>9635</v>
      </c>
      <c r="B855" s="4" t="s">
        <v>9636</v>
      </c>
      <c r="C855">
        <v>44.037761995992298</v>
      </c>
      <c r="D855">
        <v>16.0148958017047</v>
      </c>
      <c r="E855">
        <v>1.46480957349771</v>
      </c>
      <c r="F855">
        <v>2.85647106410538E-2</v>
      </c>
      <c r="G855" t="s">
        <v>4</v>
      </c>
      <c r="H855">
        <v>44.037761995992298</v>
      </c>
      <c r="I855">
        <v>4.0669135423578302</v>
      </c>
      <c r="J855">
        <v>3.42434666703616</v>
      </c>
      <c r="K855" s="5">
        <v>1.20844549486718E-5</v>
      </c>
      <c r="L855" t="s">
        <v>4</v>
      </c>
      <c r="M855">
        <v>16.0148958017047</v>
      </c>
      <c r="N855">
        <v>4.0669135423578302</v>
      </c>
      <c r="O855">
        <v>1.95953709353845</v>
      </c>
      <c r="P855">
        <v>1.7505789926099202E-2</v>
      </c>
      <c r="Q855" t="s">
        <v>4</v>
      </c>
      <c r="R855" s="4" t="s">
        <v>87</v>
      </c>
      <c r="S855" t="s">
        <v>4</v>
      </c>
      <c r="T855" t="s">
        <v>1570</v>
      </c>
      <c r="U855" t="s">
        <v>1571</v>
      </c>
      <c r="V855" t="s">
        <v>1572</v>
      </c>
      <c r="W855" t="s">
        <v>328</v>
      </c>
      <c r="X855" t="s">
        <v>4</v>
      </c>
      <c r="Y855" t="s">
        <v>9637</v>
      </c>
      <c r="Z855" t="s">
        <v>9638</v>
      </c>
      <c r="AA855" t="s">
        <v>9639</v>
      </c>
      <c r="AB855" t="s">
        <v>4</v>
      </c>
      <c r="AC855" s="3" t="s">
        <v>9640</v>
      </c>
      <c r="AD855" t="s">
        <v>4</v>
      </c>
      <c r="AE855" t="s">
        <v>9641</v>
      </c>
      <c r="AF855" t="s">
        <v>9642</v>
      </c>
      <c r="AG855" t="s">
        <v>9643</v>
      </c>
      <c r="AH855" t="s">
        <v>112</v>
      </c>
      <c r="AI855" t="s">
        <v>9644</v>
      </c>
      <c r="AJ855" t="s">
        <v>9645</v>
      </c>
      <c r="AL855" t="s">
        <v>9646</v>
      </c>
      <c r="AQ855" t="s">
        <v>1003</v>
      </c>
      <c r="AU855" t="s">
        <v>112</v>
      </c>
      <c r="AV855" t="s">
        <v>9647</v>
      </c>
      <c r="AW855" t="s">
        <v>114</v>
      </c>
      <c r="AX855" t="s">
        <v>371</v>
      </c>
      <c r="AY855" t="s">
        <v>9648</v>
      </c>
      <c r="AZ855" t="s">
        <v>4</v>
      </c>
      <c r="BA855" s="3" t="s">
        <v>95</v>
      </c>
      <c r="BB855" s="6" t="s">
        <v>95</v>
      </c>
      <c r="BC855" s="3" t="s">
        <v>95</v>
      </c>
      <c r="BD855" t="s">
        <v>4</v>
      </c>
      <c r="BE855">
        <v>5440</v>
      </c>
      <c r="BF855" t="s">
        <v>386</v>
      </c>
      <c r="BG855">
        <v>85.618700000000004</v>
      </c>
      <c r="BI855">
        <v>75.585300000000004</v>
      </c>
      <c r="BJ855">
        <v>77.257499999999993</v>
      </c>
      <c r="BK855">
        <v>71.571899999999999</v>
      </c>
      <c r="BL855">
        <v>63.545200000000001</v>
      </c>
      <c r="BM855">
        <v>63.210700000000003</v>
      </c>
      <c r="BN855">
        <v>71.237499999999997</v>
      </c>
      <c r="BO855">
        <v>63.545200000000001</v>
      </c>
      <c r="BP855">
        <v>41.471600000000002</v>
      </c>
      <c r="BQ855">
        <v>27.090299999999999</v>
      </c>
      <c r="BR855">
        <v>29.097000000000001</v>
      </c>
      <c r="BS855">
        <v>24.4147</v>
      </c>
      <c r="BT855" t="s">
        <v>9649</v>
      </c>
      <c r="BV855" t="s">
        <v>9650</v>
      </c>
      <c r="BW855">
        <v>27.7592</v>
      </c>
      <c r="BX855">
        <v>32.441499999999998</v>
      </c>
      <c r="BY855">
        <v>29.4314</v>
      </c>
      <c r="BZ855">
        <v>24.749199999999998</v>
      </c>
      <c r="CA855">
        <v>29.765899999999998</v>
      </c>
      <c r="CC855">
        <v>27.7592</v>
      </c>
      <c r="CD855">
        <v>25.083600000000001</v>
      </c>
      <c r="CF855">
        <v>28.428100000000001</v>
      </c>
      <c r="CG855" t="s">
        <v>9651</v>
      </c>
      <c r="CH855" t="s">
        <v>9652</v>
      </c>
      <c r="CI855" t="s">
        <v>9653</v>
      </c>
      <c r="CK855">
        <v>7</v>
      </c>
      <c r="CL855" t="s">
        <v>4</v>
      </c>
      <c r="CM855" t="s">
        <v>9654</v>
      </c>
      <c r="CN855" t="s">
        <v>9655</v>
      </c>
      <c r="CO855" t="s">
        <v>99</v>
      </c>
      <c r="CP855" s="7">
        <v>301</v>
      </c>
      <c r="CQ855" t="s">
        <v>100</v>
      </c>
      <c r="CR855" t="s">
        <v>100</v>
      </c>
      <c r="CS855" t="s">
        <v>101</v>
      </c>
      <c r="CT855" s="7" t="s">
        <v>152</v>
      </c>
      <c r="CU855" t="s">
        <v>102</v>
      </c>
      <c r="CV855" t="s">
        <v>100</v>
      </c>
    </row>
    <row r="856" spans="1:100">
      <c r="A856" s="3" t="s">
        <v>9656</v>
      </c>
      <c r="B856" s="4" t="s">
        <v>9657</v>
      </c>
      <c r="C856">
        <v>3024.5522838019801</v>
      </c>
      <c r="D856">
        <v>1396.9984640459199</v>
      </c>
      <c r="E856">
        <v>1.11422346335765</v>
      </c>
      <c r="F856">
        <v>1.9882524444181501E-3</v>
      </c>
      <c r="G856" t="s">
        <v>4</v>
      </c>
      <c r="H856">
        <v>3024.5522838019801</v>
      </c>
      <c r="I856">
        <v>283.01778685889298</v>
      </c>
      <c r="J856">
        <v>3.40958350440008</v>
      </c>
      <c r="K856" s="5">
        <v>3.5087561938389902E-24</v>
      </c>
      <c r="L856" t="s">
        <v>4</v>
      </c>
      <c r="M856">
        <v>1396.9984640459199</v>
      </c>
      <c r="N856">
        <v>283.01778685889298</v>
      </c>
      <c r="O856">
        <v>2.29536004104243</v>
      </c>
      <c r="P856" s="5">
        <v>1.33035685085999E-11</v>
      </c>
      <c r="Q856" t="s">
        <v>4</v>
      </c>
      <c r="R856" s="4" t="s">
        <v>87</v>
      </c>
      <c r="S856" t="s">
        <v>4</v>
      </c>
      <c r="T856" t="s">
        <v>92</v>
      </c>
      <c r="U856" t="s">
        <v>92</v>
      </c>
      <c r="V856" t="s">
        <v>92</v>
      </c>
      <c r="W856" t="s">
        <v>92</v>
      </c>
      <c r="X856" t="s">
        <v>4</v>
      </c>
      <c r="Y856" t="s">
        <v>92</v>
      </c>
      <c r="Z856" t="s">
        <v>92</v>
      </c>
      <c r="AA856" t="s">
        <v>92</v>
      </c>
      <c r="AB856" t="s">
        <v>4</v>
      </c>
      <c r="AC856" s="3" t="s">
        <v>93</v>
      </c>
      <c r="AD856" t="s">
        <v>4</v>
      </c>
      <c r="AE856" s="4" t="s">
        <v>94</v>
      </c>
      <c r="AZ856" t="s">
        <v>4</v>
      </c>
      <c r="BA856" s="3" t="s">
        <v>115</v>
      </c>
      <c r="BB856" s="6" t="s">
        <v>95</v>
      </c>
      <c r="BC856" s="3" t="s">
        <v>95</v>
      </c>
      <c r="BD856" t="s">
        <v>4</v>
      </c>
      <c r="BE856">
        <v>2599</v>
      </c>
      <c r="BF856" t="s">
        <v>97</v>
      </c>
      <c r="BG856">
        <v>50.7438</v>
      </c>
      <c r="BH856">
        <v>50.7438</v>
      </c>
      <c r="BI856">
        <v>43.801699999999997</v>
      </c>
      <c r="BJ856" t="s">
        <v>9658</v>
      </c>
      <c r="BK856">
        <v>48.099200000000003</v>
      </c>
      <c r="BL856">
        <v>56.694200000000002</v>
      </c>
      <c r="BM856">
        <v>27.2727</v>
      </c>
      <c r="BO856">
        <v>59.1736</v>
      </c>
      <c r="BP856">
        <v>21.322299999999998</v>
      </c>
      <c r="CK856">
        <v>4</v>
      </c>
      <c r="CL856" t="s">
        <v>4</v>
      </c>
      <c r="CM856" t="s">
        <v>98</v>
      </c>
      <c r="CN856" t="s">
        <v>98</v>
      </c>
      <c r="CO856" t="s">
        <v>99</v>
      </c>
      <c r="CP856" s="7">
        <v>303</v>
      </c>
      <c r="CQ856" t="s">
        <v>100</v>
      </c>
      <c r="CR856" t="s">
        <v>100</v>
      </c>
      <c r="CS856" t="s">
        <v>101</v>
      </c>
      <c r="CT856" t="s">
        <v>152</v>
      </c>
      <c r="CU856" t="s">
        <v>102</v>
      </c>
      <c r="CV856" t="s">
        <v>100</v>
      </c>
    </row>
    <row r="857" spans="1:100">
      <c r="A857" s="3" t="s">
        <v>9659</v>
      </c>
      <c r="B857" s="4" t="s">
        <v>9660</v>
      </c>
      <c r="C857">
        <v>215.78083732624901</v>
      </c>
      <c r="D857">
        <v>78.272218972772706</v>
      </c>
      <c r="E857">
        <v>1.46115092367272</v>
      </c>
      <c r="F857" s="5">
        <v>6.5524919730815004E-5</v>
      </c>
      <c r="G857" t="s">
        <v>4</v>
      </c>
      <c r="H857">
        <v>215.78083732624901</v>
      </c>
      <c r="I857">
        <v>20.914683803259699</v>
      </c>
      <c r="J857">
        <v>3.3953433389077801</v>
      </c>
      <c r="K857" s="5">
        <v>2.4058856110097699E-17</v>
      </c>
      <c r="L857" t="s">
        <v>4</v>
      </c>
      <c r="M857">
        <v>78.272218972772706</v>
      </c>
      <c r="N857">
        <v>20.914683803259699</v>
      </c>
      <c r="O857">
        <v>1.93419241523505</v>
      </c>
      <c r="P857" s="5">
        <v>3.25739232999769E-6</v>
      </c>
      <c r="Q857" t="s">
        <v>4</v>
      </c>
      <c r="R857" s="4" t="s">
        <v>87</v>
      </c>
      <c r="S857" t="s">
        <v>4</v>
      </c>
      <c r="T857" t="s">
        <v>88</v>
      </c>
      <c r="U857" t="s">
        <v>89</v>
      </c>
      <c r="V857" t="s">
        <v>90</v>
      </c>
      <c r="W857" t="s">
        <v>91</v>
      </c>
      <c r="X857" t="s">
        <v>4</v>
      </c>
      <c r="Y857" t="s">
        <v>1801</v>
      </c>
      <c r="Z857" t="s">
        <v>1802</v>
      </c>
      <c r="AA857" t="s">
        <v>1803</v>
      </c>
      <c r="AB857" t="s">
        <v>4</v>
      </c>
      <c r="AC857" s="3" t="s">
        <v>93</v>
      </c>
      <c r="AD857" t="s">
        <v>4</v>
      </c>
      <c r="AE857" t="s">
        <v>9661</v>
      </c>
      <c r="AF857" t="s">
        <v>9662</v>
      </c>
      <c r="AG857" t="s">
        <v>1129</v>
      </c>
      <c r="AH857" t="s">
        <v>112</v>
      </c>
      <c r="AU857" t="s">
        <v>112</v>
      </c>
      <c r="AV857" t="s">
        <v>9663</v>
      </c>
      <c r="AW857" t="s">
        <v>114</v>
      </c>
      <c r="AX857" t="s">
        <v>144</v>
      </c>
      <c r="AY857" t="s">
        <v>1809</v>
      </c>
      <c r="AZ857" t="s">
        <v>4</v>
      </c>
      <c r="BA857" s="3" t="s">
        <v>95</v>
      </c>
      <c r="BB857" t="s">
        <v>96</v>
      </c>
      <c r="BC857" s="3" t="s">
        <v>197</v>
      </c>
      <c r="BD857" t="s">
        <v>4</v>
      </c>
      <c r="BE857">
        <v>75</v>
      </c>
      <c r="BF857" t="s">
        <v>322</v>
      </c>
      <c r="CK857">
        <v>1</v>
      </c>
      <c r="CL857" t="s">
        <v>4</v>
      </c>
      <c r="CM857" t="s">
        <v>98</v>
      </c>
      <c r="CN857" t="s">
        <v>98</v>
      </c>
      <c r="CO857" t="s">
        <v>99</v>
      </c>
      <c r="CP857" s="7">
        <v>304</v>
      </c>
      <c r="CQ857" t="s">
        <v>100</v>
      </c>
      <c r="CR857" t="s">
        <v>100</v>
      </c>
      <c r="CS857" t="s">
        <v>101</v>
      </c>
      <c r="CT857" s="7" t="s">
        <v>152</v>
      </c>
      <c r="CU857" t="s">
        <v>102</v>
      </c>
      <c r="CV857" t="s">
        <v>100</v>
      </c>
    </row>
    <row r="858" spans="1:100">
      <c r="A858" s="3" t="s">
        <v>9664</v>
      </c>
      <c r="B858" s="4" t="s">
        <v>9665</v>
      </c>
      <c r="C858">
        <v>82.865729197296901</v>
      </c>
      <c r="D858">
        <v>32.967989962575103</v>
      </c>
      <c r="E858">
        <v>1.32796400530263</v>
      </c>
      <c r="F858">
        <v>2.0392132706879899E-2</v>
      </c>
      <c r="G858" t="s">
        <v>4</v>
      </c>
      <c r="H858">
        <v>82.865729197296901</v>
      </c>
      <c r="I858">
        <v>8.0904420405042199</v>
      </c>
      <c r="J858">
        <v>3.3767408546121702</v>
      </c>
      <c r="K858" s="5">
        <v>7.5728615206457103E-8</v>
      </c>
      <c r="L858" t="s">
        <v>4</v>
      </c>
      <c r="M858">
        <v>32.967989962575103</v>
      </c>
      <c r="N858">
        <v>8.0904420405042199</v>
      </c>
      <c r="O858">
        <v>2.04877684930955</v>
      </c>
      <c r="P858">
        <v>1.67148007642712E-3</v>
      </c>
      <c r="Q858" t="s">
        <v>4</v>
      </c>
      <c r="R858" s="4" t="s">
        <v>87</v>
      </c>
      <c r="S858" t="s">
        <v>4</v>
      </c>
      <c r="T858" t="s">
        <v>5648</v>
      </c>
      <c r="U858" t="s">
        <v>5649</v>
      </c>
      <c r="V858" t="s">
        <v>5650</v>
      </c>
      <c r="W858" t="s">
        <v>203</v>
      </c>
      <c r="X858" t="s">
        <v>4</v>
      </c>
      <c r="Y858" t="s">
        <v>9666</v>
      </c>
      <c r="Z858" t="s">
        <v>9667</v>
      </c>
      <c r="AA858" t="s">
        <v>9668</v>
      </c>
      <c r="AB858" t="s">
        <v>4</v>
      </c>
      <c r="AC858" s="3" t="s">
        <v>9669</v>
      </c>
      <c r="AD858" t="s">
        <v>4</v>
      </c>
      <c r="AE858" t="s">
        <v>5655</v>
      </c>
      <c r="AF858" t="s">
        <v>9670</v>
      </c>
      <c r="AG858" t="s">
        <v>9671</v>
      </c>
      <c r="AH858" t="s">
        <v>112</v>
      </c>
      <c r="AU858" t="s">
        <v>112</v>
      </c>
      <c r="AV858" t="s">
        <v>5658</v>
      </c>
      <c r="AW858" t="s">
        <v>114</v>
      </c>
      <c r="AX858" t="s">
        <v>536</v>
      </c>
      <c r="AY858" t="s">
        <v>5659</v>
      </c>
      <c r="AZ858" t="s">
        <v>4</v>
      </c>
      <c r="BA858" s="3" t="s">
        <v>95</v>
      </c>
      <c r="BB858" s="6" t="s">
        <v>95</v>
      </c>
      <c r="BC858" s="3" t="s">
        <v>197</v>
      </c>
      <c r="BD858" t="s">
        <v>4</v>
      </c>
      <c r="BE858">
        <v>5667</v>
      </c>
      <c r="BF858" t="s">
        <v>386</v>
      </c>
      <c r="BG858">
        <v>81.794899999999998</v>
      </c>
      <c r="BK858">
        <v>59.230800000000002</v>
      </c>
      <c r="BL858">
        <v>49.743600000000001</v>
      </c>
      <c r="BO858">
        <v>21.538499999999999</v>
      </c>
      <c r="BP858" t="s">
        <v>9672</v>
      </c>
      <c r="BQ858" t="s">
        <v>5661</v>
      </c>
      <c r="BR858" t="s">
        <v>9673</v>
      </c>
      <c r="BS858" t="s">
        <v>9674</v>
      </c>
      <c r="BT858" t="s">
        <v>9675</v>
      </c>
      <c r="BU858">
        <v>8.2051300000000005</v>
      </c>
      <c r="BV858" t="s">
        <v>9676</v>
      </c>
      <c r="BW858" t="s">
        <v>9677</v>
      </c>
      <c r="BX858" t="s">
        <v>9678</v>
      </c>
      <c r="BY858" t="s">
        <v>9679</v>
      </c>
      <c r="BZ858" t="s">
        <v>9680</v>
      </c>
      <c r="CA858" t="s">
        <v>9681</v>
      </c>
      <c r="CB858">
        <v>10.256399999999999</v>
      </c>
      <c r="CD858">
        <v>19.230799999999999</v>
      </c>
      <c r="CF858" t="s">
        <v>9682</v>
      </c>
      <c r="CG858">
        <v>36.666699999999999</v>
      </c>
      <c r="CH858">
        <v>37.435899999999997</v>
      </c>
      <c r="CI858">
        <v>35.897399999999998</v>
      </c>
      <c r="CK858">
        <v>7</v>
      </c>
      <c r="CL858" t="s">
        <v>4</v>
      </c>
      <c r="CM858" t="s">
        <v>5672</v>
      </c>
      <c r="CN858" t="s">
        <v>9683</v>
      </c>
      <c r="CO858" t="s">
        <v>5674</v>
      </c>
      <c r="CP858" s="7">
        <v>305</v>
      </c>
      <c r="CQ858" t="s">
        <v>100</v>
      </c>
      <c r="CR858" t="s">
        <v>100</v>
      </c>
      <c r="CS858" t="s">
        <v>101</v>
      </c>
      <c r="CT858" t="s">
        <v>152</v>
      </c>
      <c r="CU858" t="s">
        <v>102</v>
      </c>
      <c r="CV858" t="s">
        <v>100</v>
      </c>
    </row>
    <row r="859" spans="1:100">
      <c r="A859" s="3" t="s">
        <v>9684</v>
      </c>
      <c r="B859" s="4" t="s">
        <v>9685</v>
      </c>
      <c r="C859">
        <v>52.156510456619401</v>
      </c>
      <c r="D859">
        <v>14.0786114085323</v>
      </c>
      <c r="E859">
        <v>1.89567635154106</v>
      </c>
      <c r="F859">
        <v>1.6958416216453899E-3</v>
      </c>
      <c r="G859" t="s">
        <v>4</v>
      </c>
      <c r="H859">
        <v>52.156510456619401</v>
      </c>
      <c r="I859">
        <v>5.1934766838340796</v>
      </c>
      <c r="J859">
        <v>3.3614307364451901</v>
      </c>
      <c r="K859" s="5">
        <v>1.6110644616124199E-6</v>
      </c>
      <c r="L859" t="s">
        <v>4</v>
      </c>
      <c r="M859">
        <v>14.0786114085323</v>
      </c>
      <c r="N859">
        <v>5.1934766838340796</v>
      </c>
      <c r="O859">
        <v>1.4657543849041299</v>
      </c>
      <c r="P859">
        <v>5.6212103624570499E-2</v>
      </c>
      <c r="Q859" t="s">
        <v>4</v>
      </c>
      <c r="R859" s="4" t="s">
        <v>87</v>
      </c>
      <c r="S859" t="s">
        <v>4</v>
      </c>
      <c r="T859" t="s">
        <v>92</v>
      </c>
      <c r="U859" t="s">
        <v>92</v>
      </c>
      <c r="V859" t="s">
        <v>92</v>
      </c>
      <c r="W859" t="s">
        <v>92</v>
      </c>
      <c r="X859" t="s">
        <v>4</v>
      </c>
      <c r="Y859" t="s">
        <v>92</v>
      </c>
      <c r="Z859" t="s">
        <v>92</v>
      </c>
      <c r="AA859" t="s">
        <v>92</v>
      </c>
      <c r="AB859" t="s">
        <v>4</v>
      </c>
      <c r="AC859" s="3" t="s">
        <v>93</v>
      </c>
      <c r="AD859" t="s">
        <v>4</v>
      </c>
      <c r="AE859" s="4" t="s">
        <v>94</v>
      </c>
      <c r="AZ859" t="s">
        <v>4</v>
      </c>
      <c r="BA859" s="3" t="s">
        <v>95</v>
      </c>
      <c r="BB859" s="6" t="s">
        <v>95</v>
      </c>
      <c r="BC859" s="3" t="s">
        <v>95</v>
      </c>
      <c r="BD859" t="s">
        <v>4</v>
      </c>
      <c r="BE859">
        <v>2157</v>
      </c>
      <c r="BF859" t="s">
        <v>148</v>
      </c>
      <c r="BG859">
        <v>79.310299999999998</v>
      </c>
      <c r="BH859">
        <v>94.827600000000004</v>
      </c>
      <c r="BI859">
        <v>56.896599999999999</v>
      </c>
      <c r="BJ859">
        <v>47.701099999999997</v>
      </c>
      <c r="BK859">
        <v>47.701099999999997</v>
      </c>
      <c r="CK859">
        <v>3</v>
      </c>
      <c r="CL859" t="s">
        <v>4</v>
      </c>
      <c r="CM859" t="s">
        <v>98</v>
      </c>
      <c r="CN859" t="s">
        <v>98</v>
      </c>
      <c r="CO859" t="s">
        <v>99</v>
      </c>
      <c r="CP859" s="7">
        <v>306</v>
      </c>
      <c r="CQ859" t="s">
        <v>100</v>
      </c>
      <c r="CR859" t="s">
        <v>100</v>
      </c>
      <c r="CS859" t="s">
        <v>101</v>
      </c>
      <c r="CT859" t="s">
        <v>100</v>
      </c>
      <c r="CU859" t="s">
        <v>102</v>
      </c>
      <c r="CV859" t="s">
        <v>100</v>
      </c>
    </row>
    <row r="860" spans="1:100">
      <c r="A860" s="3" t="s">
        <v>9686</v>
      </c>
      <c r="B860" s="4" t="s">
        <v>9687</v>
      </c>
      <c r="C860">
        <v>91.386646609437406</v>
      </c>
      <c r="D860">
        <v>25.6997923025639</v>
      </c>
      <c r="E860">
        <v>1.8313476621773499</v>
      </c>
      <c r="F860">
        <v>1.9037255538120801E-2</v>
      </c>
      <c r="G860" t="s">
        <v>4</v>
      </c>
      <c r="H860">
        <v>91.386646609437406</v>
      </c>
      <c r="I860">
        <v>9.1796594241678608</v>
      </c>
      <c r="J860">
        <v>3.3612683886797399</v>
      </c>
      <c r="K860" s="5">
        <v>2.4927875411100099E-5</v>
      </c>
      <c r="L860" t="s">
        <v>4</v>
      </c>
      <c r="M860">
        <v>25.6997923025639</v>
      </c>
      <c r="N860">
        <v>9.1796594241678608</v>
      </c>
      <c r="O860">
        <v>1.52992072650239</v>
      </c>
      <c r="P860">
        <v>7.2344756196208296E-2</v>
      </c>
      <c r="Q860" t="s">
        <v>4</v>
      </c>
      <c r="R860" s="4" t="s">
        <v>87</v>
      </c>
      <c r="S860" t="s">
        <v>4</v>
      </c>
      <c r="T860" t="s">
        <v>2325</v>
      </c>
      <c r="U860" t="s">
        <v>2326</v>
      </c>
      <c r="V860" t="s">
        <v>2327</v>
      </c>
      <c r="W860" t="s">
        <v>203</v>
      </c>
      <c r="X860" t="s">
        <v>4</v>
      </c>
      <c r="Y860" t="s">
        <v>3403</v>
      </c>
      <c r="Z860" t="s">
        <v>3404</v>
      </c>
      <c r="AA860" t="s">
        <v>3405</v>
      </c>
      <c r="AB860" t="s">
        <v>4</v>
      </c>
      <c r="AC860" s="3" t="s">
        <v>93</v>
      </c>
      <c r="AD860" t="s">
        <v>4</v>
      </c>
      <c r="AE860" t="s">
        <v>9688</v>
      </c>
      <c r="AF860" t="s">
        <v>9689</v>
      </c>
      <c r="AG860" t="s">
        <v>9690</v>
      </c>
      <c r="AH860" t="s">
        <v>112</v>
      </c>
      <c r="AK860" t="s">
        <v>9691</v>
      </c>
      <c r="AL860" t="s">
        <v>9692</v>
      </c>
      <c r="AM860" t="s">
        <v>9693</v>
      </c>
      <c r="AN860" t="s">
        <v>4310</v>
      </c>
      <c r="AQ860" t="s">
        <v>9694</v>
      </c>
      <c r="AU860" t="s">
        <v>112</v>
      </c>
      <c r="AV860" t="s">
        <v>9695</v>
      </c>
      <c r="AW860" t="s">
        <v>114</v>
      </c>
      <c r="AX860" t="s">
        <v>345</v>
      </c>
      <c r="AY860" t="s">
        <v>9696</v>
      </c>
      <c r="AZ860" t="s">
        <v>4</v>
      </c>
      <c r="BA860" s="3" t="s">
        <v>95</v>
      </c>
      <c r="BB860" s="6" t="s">
        <v>95</v>
      </c>
      <c r="BC860" s="3" t="s">
        <v>95</v>
      </c>
      <c r="BD860" t="s">
        <v>4</v>
      </c>
      <c r="BE860">
        <v>4644</v>
      </c>
      <c r="BF860" t="s">
        <v>112</v>
      </c>
      <c r="BH860">
        <v>100</v>
      </c>
      <c r="BJ860">
        <v>73.407200000000003</v>
      </c>
      <c r="BK860">
        <v>64.819900000000004</v>
      </c>
      <c r="BL860">
        <v>81.163399999999996</v>
      </c>
      <c r="BM860">
        <v>83.656499999999994</v>
      </c>
      <c r="BN860">
        <v>81.163399999999996</v>
      </c>
      <c r="BP860">
        <v>55.9557</v>
      </c>
      <c r="BR860">
        <v>39.3352</v>
      </c>
      <c r="BS860">
        <v>31.578900000000001</v>
      </c>
      <c r="BT860">
        <v>21.883700000000001</v>
      </c>
      <c r="BX860">
        <v>40.443199999999997</v>
      </c>
      <c r="BZ860">
        <v>40.443199999999997</v>
      </c>
      <c r="CA860" t="s">
        <v>9697</v>
      </c>
      <c r="CG860" t="s">
        <v>9698</v>
      </c>
      <c r="CH860" t="s">
        <v>9699</v>
      </c>
      <c r="CI860" t="s">
        <v>9700</v>
      </c>
      <c r="CJ860" t="s">
        <v>9701</v>
      </c>
      <c r="CK860">
        <v>5</v>
      </c>
      <c r="CL860" t="s">
        <v>4</v>
      </c>
      <c r="CM860" t="s">
        <v>9702</v>
      </c>
      <c r="CN860" t="s">
        <v>9703</v>
      </c>
      <c r="CO860" t="s">
        <v>1467</v>
      </c>
      <c r="CP860" s="7">
        <v>307</v>
      </c>
      <c r="CQ860" t="s">
        <v>100</v>
      </c>
      <c r="CR860" t="s">
        <v>100</v>
      </c>
      <c r="CS860" t="s">
        <v>101</v>
      </c>
      <c r="CT860" t="s">
        <v>100</v>
      </c>
      <c r="CU860" t="s">
        <v>102</v>
      </c>
      <c r="CV860" t="s">
        <v>100</v>
      </c>
    </row>
    <row r="861" spans="1:100">
      <c r="A861" s="3" t="s">
        <v>9704</v>
      </c>
      <c r="B861" s="4" t="s">
        <v>9705</v>
      </c>
      <c r="C861">
        <v>87.8129285191619</v>
      </c>
      <c r="D861">
        <v>34.282612954026902</v>
      </c>
      <c r="E861">
        <v>1.3610135677884501</v>
      </c>
      <c r="F861">
        <v>4.0751727149497602E-3</v>
      </c>
      <c r="G861" t="s">
        <v>4</v>
      </c>
      <c r="H861">
        <v>87.8129285191619</v>
      </c>
      <c r="I861">
        <v>8.4708448375715797</v>
      </c>
      <c r="J861">
        <v>3.3522624580886098</v>
      </c>
      <c r="K861" s="5">
        <v>7.7092909116775799E-10</v>
      </c>
      <c r="L861" t="s">
        <v>4</v>
      </c>
      <c r="M861">
        <v>34.282612954026902</v>
      </c>
      <c r="N861">
        <v>8.4708448375715797</v>
      </c>
      <c r="O861">
        <v>1.9912488903001599</v>
      </c>
      <c r="P861">
        <v>4.6366296770617501E-4</v>
      </c>
      <c r="Q861" t="s">
        <v>4</v>
      </c>
      <c r="R861" s="4" t="s">
        <v>87</v>
      </c>
      <c r="S861" t="s">
        <v>4</v>
      </c>
      <c r="T861" t="s">
        <v>2243</v>
      </c>
      <c r="U861" t="s">
        <v>2244</v>
      </c>
      <c r="V861" t="s">
        <v>2245</v>
      </c>
      <c r="W861" t="s">
        <v>123</v>
      </c>
      <c r="X861" t="s">
        <v>4</v>
      </c>
      <c r="Y861" t="s">
        <v>9706</v>
      </c>
      <c r="Z861" t="s">
        <v>9707</v>
      </c>
      <c r="AA861" t="s">
        <v>9708</v>
      </c>
      <c r="AB861" t="s">
        <v>4</v>
      </c>
      <c r="AC861" s="3" t="s">
        <v>9709</v>
      </c>
      <c r="AD861" t="s">
        <v>4</v>
      </c>
      <c r="AE861" t="s">
        <v>9710</v>
      </c>
      <c r="AF861" t="s">
        <v>9711</v>
      </c>
      <c r="AG861" t="s">
        <v>9712</v>
      </c>
      <c r="AH861" t="s">
        <v>112</v>
      </c>
      <c r="AU861" t="s">
        <v>112</v>
      </c>
      <c r="AV861" t="s">
        <v>9713</v>
      </c>
      <c r="AW861" t="s">
        <v>114</v>
      </c>
      <c r="AX861" t="s">
        <v>132</v>
      </c>
      <c r="AY861" t="s">
        <v>8973</v>
      </c>
      <c r="AZ861" t="s">
        <v>4</v>
      </c>
      <c r="BA861" s="3" t="s">
        <v>95</v>
      </c>
      <c r="BB861" s="6" t="s">
        <v>95</v>
      </c>
      <c r="BC861" s="3" t="s">
        <v>95</v>
      </c>
      <c r="BD861" t="s">
        <v>4</v>
      </c>
      <c r="BE861">
        <v>7114</v>
      </c>
      <c r="BF861" t="s">
        <v>213</v>
      </c>
      <c r="BG861">
        <v>41.775500000000001</v>
      </c>
      <c r="BI861">
        <v>53.2637</v>
      </c>
      <c r="BJ861">
        <v>85.900800000000004</v>
      </c>
      <c r="BK861">
        <v>74.151399999999995</v>
      </c>
      <c r="BL861">
        <v>79.373400000000004</v>
      </c>
      <c r="BM861">
        <v>78.328999999999994</v>
      </c>
      <c r="BN861">
        <v>79.112300000000005</v>
      </c>
      <c r="BO861">
        <v>84.334199999999996</v>
      </c>
      <c r="BP861">
        <v>58.224499999999999</v>
      </c>
      <c r="BQ861">
        <v>49.347299999999997</v>
      </c>
      <c r="BR861">
        <v>36.5535</v>
      </c>
      <c r="BS861">
        <v>41.775500000000001</v>
      </c>
      <c r="BT861">
        <v>39.425600000000003</v>
      </c>
      <c r="BU861">
        <v>31.8538</v>
      </c>
      <c r="BV861" t="s">
        <v>9714</v>
      </c>
      <c r="BW861">
        <v>36.5535</v>
      </c>
      <c r="BX861">
        <v>45.169699999999999</v>
      </c>
      <c r="BZ861">
        <v>25.587499999999999</v>
      </c>
      <c r="CA861">
        <v>31.8538</v>
      </c>
      <c r="CG861">
        <v>27.9373</v>
      </c>
      <c r="CH861">
        <v>28.459499999999998</v>
      </c>
      <c r="CI861">
        <v>25.3264</v>
      </c>
      <c r="CK861">
        <v>8</v>
      </c>
      <c r="CL861" t="s">
        <v>4</v>
      </c>
      <c r="CM861" t="s">
        <v>9715</v>
      </c>
      <c r="CN861" t="s">
        <v>9716</v>
      </c>
      <c r="CO861" t="s">
        <v>99</v>
      </c>
      <c r="CP861" s="7">
        <v>308</v>
      </c>
      <c r="CQ861" t="s">
        <v>100</v>
      </c>
      <c r="CR861" t="s">
        <v>100</v>
      </c>
      <c r="CS861" t="s">
        <v>101</v>
      </c>
      <c r="CT861" s="7" t="s">
        <v>152</v>
      </c>
      <c r="CU861" t="s">
        <v>102</v>
      </c>
      <c r="CV861" t="s">
        <v>100</v>
      </c>
    </row>
    <row r="862" spans="1:100">
      <c r="A862" s="3" t="s">
        <v>9717</v>
      </c>
      <c r="B862" s="4" t="s">
        <v>9718</v>
      </c>
      <c r="C862">
        <v>23.407565970624301</v>
      </c>
      <c r="D862">
        <v>4.8120164993857903</v>
      </c>
      <c r="E862">
        <v>2.2896830538148101</v>
      </c>
      <c r="F862">
        <v>3.9014903066331097E-2</v>
      </c>
      <c r="G862" t="s">
        <v>4</v>
      </c>
      <c r="H862">
        <v>23.407565970624301</v>
      </c>
      <c r="I862">
        <v>2.2723541815685802</v>
      </c>
      <c r="J862">
        <v>3.3486199034569202</v>
      </c>
      <c r="K862">
        <v>5.6588595001011103E-3</v>
      </c>
      <c r="L862" t="s">
        <v>4</v>
      </c>
      <c r="M862">
        <v>4.8120164993857903</v>
      </c>
      <c r="N862">
        <v>2.2723541815685802</v>
      </c>
      <c r="O862">
        <v>1.0589368496421101</v>
      </c>
      <c r="P862">
        <v>0.45135127799915398</v>
      </c>
      <c r="Q862" t="s">
        <v>4</v>
      </c>
      <c r="R862" s="4" t="s">
        <v>87</v>
      </c>
      <c r="S862" t="s">
        <v>4</v>
      </c>
      <c r="T862" t="s">
        <v>9719</v>
      </c>
      <c r="U862" t="s">
        <v>9720</v>
      </c>
      <c r="V862" t="s">
        <v>9721</v>
      </c>
      <c r="W862" t="s">
        <v>203</v>
      </c>
      <c r="X862" t="s">
        <v>4</v>
      </c>
      <c r="Y862" t="s">
        <v>4060</v>
      </c>
      <c r="Z862" t="s">
        <v>4061</v>
      </c>
      <c r="AA862" t="s">
        <v>4062</v>
      </c>
      <c r="AB862" t="s">
        <v>4</v>
      </c>
      <c r="AC862" s="3" t="s">
        <v>9722</v>
      </c>
      <c r="AD862" t="s">
        <v>4</v>
      </c>
      <c r="AE862" t="s">
        <v>9723</v>
      </c>
      <c r="AF862" t="s">
        <v>9724</v>
      </c>
      <c r="AG862" t="s">
        <v>9725</v>
      </c>
      <c r="AH862" t="s">
        <v>112</v>
      </c>
      <c r="AJ862" t="s">
        <v>9726</v>
      </c>
      <c r="AK862" t="s">
        <v>4778</v>
      </c>
      <c r="AL862" t="s">
        <v>4779</v>
      </c>
      <c r="AQ862" t="s">
        <v>4780</v>
      </c>
      <c r="AU862" t="s">
        <v>112</v>
      </c>
      <c r="AV862" t="s">
        <v>9727</v>
      </c>
      <c r="AW862" t="s">
        <v>114</v>
      </c>
      <c r="AX862" t="s">
        <v>536</v>
      </c>
      <c r="AY862" t="s">
        <v>2072</v>
      </c>
      <c r="AZ862" t="s">
        <v>4</v>
      </c>
      <c r="BA862" s="3" t="s">
        <v>95</v>
      </c>
      <c r="BB862" s="6" t="s">
        <v>95</v>
      </c>
      <c r="BC862" s="3" t="s">
        <v>95</v>
      </c>
      <c r="BD862" t="s">
        <v>4</v>
      </c>
      <c r="BE862">
        <v>5250</v>
      </c>
      <c r="BF862" t="s">
        <v>282</v>
      </c>
      <c r="BG862">
        <v>90.751400000000004</v>
      </c>
      <c r="BH862">
        <v>91.618499999999997</v>
      </c>
      <c r="BI862" t="s">
        <v>9728</v>
      </c>
      <c r="BJ862">
        <v>86.127200000000002</v>
      </c>
      <c r="BK862">
        <v>76.011600000000001</v>
      </c>
      <c r="BL862" t="s">
        <v>9729</v>
      </c>
      <c r="BM862">
        <v>84.682100000000005</v>
      </c>
      <c r="BN862">
        <v>84.103999999999999</v>
      </c>
      <c r="BO862">
        <v>84.103999999999999</v>
      </c>
      <c r="BQ862">
        <v>58.670499999999997</v>
      </c>
      <c r="BR862">
        <v>61.849699999999999</v>
      </c>
      <c r="BT862">
        <v>50</v>
      </c>
      <c r="BU862">
        <v>19.075099999999999</v>
      </c>
      <c r="BV862" t="s">
        <v>9730</v>
      </c>
      <c r="BW862">
        <v>39.017299999999999</v>
      </c>
      <c r="BX862">
        <v>53.468200000000003</v>
      </c>
      <c r="BY862">
        <v>20.231200000000001</v>
      </c>
      <c r="CA862">
        <v>55.491300000000003</v>
      </c>
      <c r="CB862">
        <v>35.260100000000001</v>
      </c>
      <c r="CC862" t="s">
        <v>9731</v>
      </c>
      <c r="CD862" t="s">
        <v>9732</v>
      </c>
      <c r="CK862">
        <v>6</v>
      </c>
      <c r="CL862" t="s">
        <v>4</v>
      </c>
      <c r="CM862" t="s">
        <v>9733</v>
      </c>
      <c r="CN862" t="s">
        <v>9734</v>
      </c>
      <c r="CO862" t="s">
        <v>99</v>
      </c>
      <c r="CP862" s="7">
        <v>309</v>
      </c>
      <c r="CQ862" t="s">
        <v>100</v>
      </c>
      <c r="CR862" t="s">
        <v>100</v>
      </c>
      <c r="CS862" t="s">
        <v>101</v>
      </c>
      <c r="CT862" t="s">
        <v>100</v>
      </c>
      <c r="CU862" t="s">
        <v>102</v>
      </c>
      <c r="CV862" t="s">
        <v>100</v>
      </c>
    </row>
    <row r="863" spans="1:100">
      <c r="A863" s="3" t="s">
        <v>9735</v>
      </c>
      <c r="B863" s="4" t="s">
        <v>9736</v>
      </c>
      <c r="C863">
        <v>136.119648915591</v>
      </c>
      <c r="D863">
        <v>37.992723062543703</v>
      </c>
      <c r="E863">
        <v>1.8425082530083501</v>
      </c>
      <c r="F863">
        <v>4.8680029682826101E-2</v>
      </c>
      <c r="G863" t="s">
        <v>4</v>
      </c>
      <c r="H863">
        <v>136.119648915591</v>
      </c>
      <c r="I863">
        <v>13.4246957922617</v>
      </c>
      <c r="J863">
        <v>3.34846477054076</v>
      </c>
      <c r="K863">
        <v>2.5562691658427799E-4</v>
      </c>
      <c r="L863" t="s">
        <v>4</v>
      </c>
      <c r="M863">
        <v>37.992723062543703</v>
      </c>
      <c r="N863">
        <v>13.4246957922617</v>
      </c>
      <c r="O863">
        <v>1.5059565175324101</v>
      </c>
      <c r="P863">
        <v>0.12265983445334599</v>
      </c>
      <c r="Q863" t="s">
        <v>4</v>
      </c>
      <c r="R863" s="4" t="s">
        <v>87</v>
      </c>
      <c r="S863" t="s">
        <v>4</v>
      </c>
      <c r="T863" t="s">
        <v>92</v>
      </c>
      <c r="U863" t="s">
        <v>92</v>
      </c>
      <c r="V863" t="s">
        <v>92</v>
      </c>
      <c r="W863" t="s">
        <v>92</v>
      </c>
      <c r="X863" t="s">
        <v>4</v>
      </c>
      <c r="Y863" t="s">
        <v>9737</v>
      </c>
      <c r="Z863" t="s">
        <v>9738</v>
      </c>
      <c r="AA863" t="s">
        <v>9739</v>
      </c>
      <c r="AB863" t="s">
        <v>4</v>
      </c>
      <c r="AC863" s="3" t="s">
        <v>93</v>
      </c>
      <c r="AD863" t="s">
        <v>4</v>
      </c>
      <c r="AE863" t="s">
        <v>772</v>
      </c>
      <c r="AF863" t="s">
        <v>9740</v>
      </c>
      <c r="AG863" t="s">
        <v>9741</v>
      </c>
      <c r="AH863" t="s">
        <v>314</v>
      </c>
      <c r="AU863" t="s">
        <v>112</v>
      </c>
      <c r="AV863" t="s">
        <v>775</v>
      </c>
      <c r="AW863" t="s">
        <v>114</v>
      </c>
      <c r="AZ863" t="s">
        <v>4</v>
      </c>
      <c r="BA863" s="3" t="s">
        <v>95</v>
      </c>
      <c r="BB863" s="6" t="s">
        <v>95</v>
      </c>
      <c r="BC863" s="3" t="s">
        <v>95</v>
      </c>
      <c r="BD863" t="s">
        <v>4</v>
      </c>
      <c r="BE863">
        <v>514</v>
      </c>
      <c r="BF863" t="s">
        <v>322</v>
      </c>
      <c r="CK863">
        <v>1</v>
      </c>
      <c r="CL863" t="s">
        <v>4</v>
      </c>
      <c r="CM863" t="s">
        <v>98</v>
      </c>
      <c r="CN863" t="s">
        <v>98</v>
      </c>
      <c r="CO863" t="s">
        <v>99</v>
      </c>
      <c r="CP863" s="7">
        <v>310</v>
      </c>
      <c r="CQ863" t="s">
        <v>100</v>
      </c>
      <c r="CR863" t="s">
        <v>100</v>
      </c>
      <c r="CS863" t="s">
        <v>101</v>
      </c>
      <c r="CT863" t="s">
        <v>100</v>
      </c>
      <c r="CU863" t="s">
        <v>102</v>
      </c>
      <c r="CV863" t="s">
        <v>100</v>
      </c>
    </row>
    <row r="864" spans="1:100">
      <c r="A864" s="3" t="s">
        <v>9742</v>
      </c>
      <c r="B864" s="4" t="s">
        <v>9743</v>
      </c>
      <c r="C864">
        <v>60.406556653657901</v>
      </c>
      <c r="D864">
        <v>11.440724581720399</v>
      </c>
      <c r="E864">
        <v>2.4012039350883501</v>
      </c>
      <c r="F864">
        <v>4.0545705908464597E-2</v>
      </c>
      <c r="G864" t="s">
        <v>4</v>
      </c>
      <c r="H864">
        <v>60.406556653657901</v>
      </c>
      <c r="I864">
        <v>6.00224997107048</v>
      </c>
      <c r="J864">
        <v>3.3264755003805901</v>
      </c>
      <c r="K864">
        <v>4.6145000349686596E-3</v>
      </c>
      <c r="L864" t="s">
        <v>4</v>
      </c>
      <c r="M864">
        <v>11.440724581720399</v>
      </c>
      <c r="N864">
        <v>6.00224997107048</v>
      </c>
      <c r="O864">
        <v>0.92527156529224197</v>
      </c>
      <c r="P864">
        <v>0.491800988478727</v>
      </c>
      <c r="Q864" t="s">
        <v>4</v>
      </c>
      <c r="R864" s="4" t="s">
        <v>87</v>
      </c>
      <c r="S864" t="s">
        <v>4</v>
      </c>
      <c r="T864" t="s">
        <v>88</v>
      </c>
      <c r="U864" t="s">
        <v>89</v>
      </c>
      <c r="V864" t="s">
        <v>90</v>
      </c>
      <c r="W864" t="s">
        <v>91</v>
      </c>
      <c r="X864" t="s">
        <v>4</v>
      </c>
      <c r="Y864" t="s">
        <v>588</v>
      </c>
      <c r="Z864" t="s">
        <v>589</v>
      </c>
      <c r="AA864" t="s">
        <v>590</v>
      </c>
      <c r="AB864" t="s">
        <v>4</v>
      </c>
      <c r="AC864" s="3" t="s">
        <v>9744</v>
      </c>
      <c r="AD864" t="s">
        <v>4</v>
      </c>
      <c r="AE864" t="s">
        <v>9745</v>
      </c>
      <c r="AF864" t="s">
        <v>9746</v>
      </c>
      <c r="AG864" t="s">
        <v>9747</v>
      </c>
      <c r="AH864" t="s">
        <v>112</v>
      </c>
      <c r="AL864" t="s">
        <v>9748</v>
      </c>
      <c r="AQ864" t="s">
        <v>9749</v>
      </c>
      <c r="AU864" t="s">
        <v>112</v>
      </c>
      <c r="AV864" t="s">
        <v>9750</v>
      </c>
      <c r="AW864" t="s">
        <v>114</v>
      </c>
      <c r="AX864" t="s">
        <v>596</v>
      </c>
      <c r="AY864" t="s">
        <v>9751</v>
      </c>
      <c r="AZ864" t="s">
        <v>4</v>
      </c>
      <c r="BA864" s="3" t="s">
        <v>95</v>
      </c>
      <c r="BB864" t="s">
        <v>96</v>
      </c>
      <c r="BC864" s="3" t="s">
        <v>197</v>
      </c>
      <c r="BD864" t="s">
        <v>4</v>
      </c>
      <c r="BE864">
        <v>3760</v>
      </c>
      <c r="BF864" t="s">
        <v>112</v>
      </c>
      <c r="BG864">
        <v>45.454500000000003</v>
      </c>
      <c r="BH864">
        <v>45.700200000000002</v>
      </c>
      <c r="BI864">
        <v>43.7346</v>
      </c>
      <c r="BJ864">
        <v>38.3292</v>
      </c>
      <c r="BK864">
        <v>77.887</v>
      </c>
      <c r="BL864">
        <v>33.169499999999999</v>
      </c>
      <c r="BM864">
        <v>33.906599999999997</v>
      </c>
      <c r="BN864">
        <v>33.906599999999997</v>
      </c>
      <c r="BO864">
        <v>23.832899999999999</v>
      </c>
      <c r="BP864" t="s">
        <v>9752</v>
      </c>
      <c r="BQ864" t="s">
        <v>9753</v>
      </c>
      <c r="BR864">
        <v>21.621600000000001</v>
      </c>
      <c r="BS864">
        <v>18.427499999999998</v>
      </c>
      <c r="BT864" t="s">
        <v>9754</v>
      </c>
      <c r="BU864" t="s">
        <v>9755</v>
      </c>
      <c r="BV864" t="s">
        <v>9756</v>
      </c>
      <c r="CB864">
        <v>10.3194</v>
      </c>
      <c r="CG864" t="s">
        <v>9757</v>
      </c>
      <c r="CH864" t="s">
        <v>9758</v>
      </c>
      <c r="CI864" t="s">
        <v>9759</v>
      </c>
      <c r="CK864">
        <v>5</v>
      </c>
      <c r="CL864" t="s">
        <v>4</v>
      </c>
      <c r="CM864" t="s">
        <v>98</v>
      </c>
      <c r="CN864" t="s">
        <v>98</v>
      </c>
      <c r="CO864" t="s">
        <v>99</v>
      </c>
      <c r="CP864" s="7">
        <v>311</v>
      </c>
      <c r="CQ864" t="s">
        <v>100</v>
      </c>
      <c r="CR864" t="s">
        <v>100</v>
      </c>
      <c r="CS864" t="s">
        <v>101</v>
      </c>
      <c r="CT864" t="s">
        <v>100</v>
      </c>
      <c r="CU864" t="s">
        <v>102</v>
      </c>
      <c r="CV864" t="s">
        <v>100</v>
      </c>
    </row>
    <row r="865" spans="1:100">
      <c r="A865" s="3" t="s">
        <v>9760</v>
      </c>
      <c r="B865" s="4" t="s">
        <v>9761</v>
      </c>
      <c r="C865">
        <v>88.587203020777395</v>
      </c>
      <c r="D865">
        <v>24.0972486484137</v>
      </c>
      <c r="E865">
        <v>1.8897689805883899</v>
      </c>
      <c r="F865">
        <v>2.1406486163078799E-3</v>
      </c>
      <c r="G865" t="s">
        <v>4</v>
      </c>
      <c r="H865">
        <v>88.587203020777395</v>
      </c>
      <c r="I865">
        <v>8.9173331869371406</v>
      </c>
      <c r="J865">
        <v>3.3243188091404701</v>
      </c>
      <c r="K865" s="5">
        <v>4.2881252324160099E-7</v>
      </c>
      <c r="L865" t="s">
        <v>4</v>
      </c>
      <c r="M865">
        <v>24.0972486484137</v>
      </c>
      <c r="N865">
        <v>8.9173331869371406</v>
      </c>
      <c r="O865">
        <v>1.4345498285520799</v>
      </c>
      <c r="P865">
        <v>4.3102680215232003E-2</v>
      </c>
      <c r="Q865" t="s">
        <v>4</v>
      </c>
      <c r="R865" s="4" t="s">
        <v>87</v>
      </c>
      <c r="S865" t="s">
        <v>4</v>
      </c>
      <c r="T865" t="s">
        <v>9762</v>
      </c>
      <c r="U865" t="s">
        <v>9763</v>
      </c>
      <c r="V865" t="s">
        <v>9764</v>
      </c>
      <c r="W865" t="s">
        <v>203</v>
      </c>
      <c r="X865" t="s">
        <v>4</v>
      </c>
      <c r="Y865" t="s">
        <v>9765</v>
      </c>
      <c r="Z865" t="s">
        <v>9766</v>
      </c>
      <c r="AA865" t="s">
        <v>9767</v>
      </c>
      <c r="AB865" t="s">
        <v>4</v>
      </c>
      <c r="AC865" s="3" t="s">
        <v>1318</v>
      </c>
      <c r="AD865" t="s">
        <v>4</v>
      </c>
      <c r="AE865" t="s">
        <v>9768</v>
      </c>
      <c r="AF865" t="s">
        <v>9769</v>
      </c>
      <c r="AG865" t="s">
        <v>2043</v>
      </c>
      <c r="AH865" t="s">
        <v>112</v>
      </c>
      <c r="AU865" t="s">
        <v>112</v>
      </c>
      <c r="AV865" t="s">
        <v>9770</v>
      </c>
      <c r="AW865" t="s">
        <v>114</v>
      </c>
      <c r="AX865" t="s">
        <v>132</v>
      </c>
      <c r="AY865" t="s">
        <v>1460</v>
      </c>
      <c r="AZ865" t="s">
        <v>4</v>
      </c>
      <c r="BA865" s="3" t="s">
        <v>95</v>
      </c>
      <c r="BB865" s="6" t="s">
        <v>95</v>
      </c>
      <c r="BC865" s="3" t="s">
        <v>95</v>
      </c>
      <c r="BD865" t="s">
        <v>4</v>
      </c>
      <c r="BE865">
        <v>4905</v>
      </c>
      <c r="BF865" t="s">
        <v>282</v>
      </c>
      <c r="BG865">
        <v>99.369100000000003</v>
      </c>
      <c r="BH865">
        <v>56.782299999999999</v>
      </c>
      <c r="BI865">
        <v>98.422700000000006</v>
      </c>
      <c r="BJ865">
        <v>94.321799999999996</v>
      </c>
      <c r="BK865">
        <v>95.268100000000004</v>
      </c>
      <c r="BL865">
        <v>90.851699999999994</v>
      </c>
      <c r="BM865">
        <v>77.287099999999995</v>
      </c>
      <c r="BN865">
        <v>91.482699999999994</v>
      </c>
      <c r="BO865">
        <v>94.637200000000007</v>
      </c>
      <c r="BP865">
        <v>61.829700000000003</v>
      </c>
      <c r="BQ865" t="s">
        <v>9771</v>
      </c>
      <c r="BS865">
        <v>56.466900000000003</v>
      </c>
      <c r="BT865" t="s">
        <v>9772</v>
      </c>
      <c r="BW865">
        <v>57.097799999999999</v>
      </c>
      <c r="CK865">
        <v>6</v>
      </c>
      <c r="CL865" t="s">
        <v>4</v>
      </c>
      <c r="CM865" t="s">
        <v>98</v>
      </c>
      <c r="CN865" t="s">
        <v>98</v>
      </c>
      <c r="CO865" t="s">
        <v>99</v>
      </c>
      <c r="CP865" s="7">
        <v>312</v>
      </c>
      <c r="CQ865" t="s">
        <v>100</v>
      </c>
      <c r="CR865" t="s">
        <v>100</v>
      </c>
      <c r="CS865" t="s">
        <v>101</v>
      </c>
      <c r="CT865" s="7" t="s">
        <v>152</v>
      </c>
      <c r="CU865" t="s">
        <v>102</v>
      </c>
      <c r="CV865" t="s">
        <v>100</v>
      </c>
    </row>
    <row r="866" spans="1:100">
      <c r="A866" s="3" t="s">
        <v>9773</v>
      </c>
      <c r="B866" s="4" t="s">
        <v>9774</v>
      </c>
      <c r="C866">
        <v>588.19653533329802</v>
      </c>
      <c r="D866">
        <v>210.18641973118099</v>
      </c>
      <c r="E866">
        <v>1.4837914826760601</v>
      </c>
      <c r="F866">
        <v>7.1622490547845596E-3</v>
      </c>
      <c r="G866" t="s">
        <v>4</v>
      </c>
      <c r="H866">
        <v>588.19653533329802</v>
      </c>
      <c r="I866">
        <v>57.537581591117601</v>
      </c>
      <c r="J866">
        <v>3.32369414666038</v>
      </c>
      <c r="K866" s="5">
        <v>2.5708323060259102E-10</v>
      </c>
      <c r="L866" t="s">
        <v>4</v>
      </c>
      <c r="M866">
        <v>210.18641973118099</v>
      </c>
      <c r="N866">
        <v>57.537581591117601</v>
      </c>
      <c r="O866">
        <v>1.8399026639843199</v>
      </c>
      <c r="P866">
        <v>6.4847714268389297E-4</v>
      </c>
      <c r="Q866" t="s">
        <v>4</v>
      </c>
      <c r="R866" s="4" t="s">
        <v>87</v>
      </c>
      <c r="S866" t="s">
        <v>4</v>
      </c>
      <c r="T866" t="s">
        <v>92</v>
      </c>
      <c r="U866" t="s">
        <v>92</v>
      </c>
      <c r="V866" t="s">
        <v>92</v>
      </c>
      <c r="W866" t="s">
        <v>92</v>
      </c>
      <c r="X866" t="s">
        <v>4</v>
      </c>
      <c r="Y866" t="s">
        <v>92</v>
      </c>
      <c r="Z866" t="s">
        <v>92</v>
      </c>
      <c r="AA866" t="s">
        <v>92</v>
      </c>
      <c r="AB866" t="s">
        <v>4</v>
      </c>
      <c r="AC866" s="3" t="s">
        <v>93</v>
      </c>
      <c r="AD866" t="s">
        <v>4</v>
      </c>
      <c r="AE866" s="4" t="s">
        <v>94</v>
      </c>
      <c r="AZ866" t="s">
        <v>4</v>
      </c>
      <c r="BA866" s="3" t="s">
        <v>115</v>
      </c>
      <c r="BB866" s="6" t="s">
        <v>95</v>
      </c>
      <c r="BC866" s="3" t="s">
        <v>95</v>
      </c>
      <c r="BD866" t="s">
        <v>4</v>
      </c>
      <c r="BE866">
        <v>1731</v>
      </c>
      <c r="BF866" t="s">
        <v>151</v>
      </c>
      <c r="BH866">
        <v>99.5595</v>
      </c>
      <c r="CK866">
        <v>2</v>
      </c>
      <c r="CL866" t="s">
        <v>4</v>
      </c>
      <c r="CM866" t="s">
        <v>98</v>
      </c>
      <c r="CN866" t="s">
        <v>98</v>
      </c>
      <c r="CO866" t="s">
        <v>99</v>
      </c>
      <c r="CP866" s="7">
        <v>313</v>
      </c>
      <c r="CQ866" t="s">
        <v>100</v>
      </c>
      <c r="CR866" t="s">
        <v>100</v>
      </c>
      <c r="CS866" t="s">
        <v>101</v>
      </c>
      <c r="CT866" s="7" t="s">
        <v>152</v>
      </c>
      <c r="CU866" t="s">
        <v>102</v>
      </c>
      <c r="CV866" t="s">
        <v>100</v>
      </c>
    </row>
    <row r="867" spans="1:100">
      <c r="A867" s="3" t="s">
        <v>9775</v>
      </c>
      <c r="B867" s="4" t="s">
        <v>9776</v>
      </c>
      <c r="C867">
        <v>74.693072312528898</v>
      </c>
      <c r="D867">
        <v>22.002513519619502</v>
      </c>
      <c r="E867">
        <v>1.7648598690538999</v>
      </c>
      <c r="F867">
        <v>9.5348774060519097E-3</v>
      </c>
      <c r="G867" t="s">
        <v>4</v>
      </c>
      <c r="H867">
        <v>74.693072312528898</v>
      </c>
      <c r="I867">
        <v>7.6126472197248898</v>
      </c>
      <c r="J867">
        <v>3.3145859463318001</v>
      </c>
      <c r="K867" s="5">
        <v>4.6743045464038904E-6</v>
      </c>
      <c r="L867" t="s">
        <v>4</v>
      </c>
      <c r="M867">
        <v>22.002513519619502</v>
      </c>
      <c r="N867">
        <v>7.6126472197248898</v>
      </c>
      <c r="O867">
        <v>1.5497260772779</v>
      </c>
      <c r="P867">
        <v>4.5451867951819602E-2</v>
      </c>
      <c r="Q867" t="s">
        <v>4</v>
      </c>
      <c r="R867" s="4" t="s">
        <v>87</v>
      </c>
      <c r="S867" t="s">
        <v>4</v>
      </c>
      <c r="T867" t="s">
        <v>460</v>
      </c>
      <c r="U867" t="s">
        <v>461</v>
      </c>
      <c r="V867" t="s">
        <v>462</v>
      </c>
      <c r="W867" t="s">
        <v>123</v>
      </c>
      <c r="X867" t="s">
        <v>4</v>
      </c>
      <c r="Y867" t="s">
        <v>9777</v>
      </c>
      <c r="Z867" t="s">
        <v>9778</v>
      </c>
      <c r="AA867" t="s">
        <v>9779</v>
      </c>
      <c r="AB867" t="s">
        <v>4</v>
      </c>
      <c r="AC867" s="3" t="s">
        <v>93</v>
      </c>
      <c r="AD867" t="s">
        <v>4</v>
      </c>
      <c r="AE867" t="s">
        <v>772</v>
      </c>
      <c r="AF867" t="s">
        <v>3932</v>
      </c>
      <c r="AG867" t="s">
        <v>9780</v>
      </c>
      <c r="AH867" t="s">
        <v>314</v>
      </c>
      <c r="AU867" t="s">
        <v>112</v>
      </c>
      <c r="AV867" t="s">
        <v>775</v>
      </c>
      <c r="AW867" t="s">
        <v>114</v>
      </c>
      <c r="AZ867" t="s">
        <v>4</v>
      </c>
      <c r="BA867" s="3" t="s">
        <v>115</v>
      </c>
      <c r="BB867" s="6" t="s">
        <v>95</v>
      </c>
      <c r="BC867" s="3" t="s">
        <v>95</v>
      </c>
      <c r="BD867" t="s">
        <v>4</v>
      </c>
      <c r="BE867">
        <v>620</v>
      </c>
      <c r="BF867" t="s">
        <v>322</v>
      </c>
      <c r="CK867">
        <v>1</v>
      </c>
      <c r="CL867" t="s">
        <v>4</v>
      </c>
      <c r="CM867" t="s">
        <v>98</v>
      </c>
      <c r="CN867" t="s">
        <v>98</v>
      </c>
      <c r="CO867" t="s">
        <v>99</v>
      </c>
      <c r="CP867" s="7">
        <v>315</v>
      </c>
      <c r="CQ867" t="s">
        <v>100</v>
      </c>
      <c r="CR867" t="s">
        <v>100</v>
      </c>
      <c r="CS867" t="s">
        <v>101</v>
      </c>
      <c r="CT867" s="7" t="s">
        <v>152</v>
      </c>
      <c r="CU867" t="s">
        <v>102</v>
      </c>
      <c r="CV867" t="s">
        <v>100</v>
      </c>
    </row>
    <row r="868" spans="1:100">
      <c r="A868" s="3" t="s">
        <v>9781</v>
      </c>
      <c r="B868" s="4" t="s">
        <v>9782</v>
      </c>
      <c r="C868">
        <v>81.580815780466295</v>
      </c>
      <c r="D868">
        <v>18.8185338670012</v>
      </c>
      <c r="E868">
        <v>2.1175161309611101</v>
      </c>
      <c r="F868">
        <v>3.5061465099544199E-2</v>
      </c>
      <c r="G868" t="s">
        <v>4</v>
      </c>
      <c r="H868">
        <v>81.580815780466295</v>
      </c>
      <c r="I868">
        <v>8.3780354627498603</v>
      </c>
      <c r="J868">
        <v>3.29585357170324</v>
      </c>
      <c r="K868">
        <v>1.01568251738219E-3</v>
      </c>
      <c r="L868" t="s">
        <v>4</v>
      </c>
      <c r="M868">
        <v>18.8185338670012</v>
      </c>
      <c r="N868">
        <v>8.3780354627498603</v>
      </c>
      <c r="O868">
        <v>1.1783374407421301</v>
      </c>
      <c r="P868">
        <v>0.28795113280866502</v>
      </c>
      <c r="Q868" t="s">
        <v>4</v>
      </c>
      <c r="R868" s="4" t="s">
        <v>87</v>
      </c>
      <c r="S868" t="s">
        <v>4</v>
      </c>
      <c r="T868" t="s">
        <v>9783</v>
      </c>
      <c r="U868" t="s">
        <v>9784</v>
      </c>
      <c r="V868" t="s">
        <v>9785</v>
      </c>
      <c r="W868" t="s">
        <v>328</v>
      </c>
      <c r="X868" t="s">
        <v>4</v>
      </c>
      <c r="Y868" t="s">
        <v>9786</v>
      </c>
      <c r="Z868" t="s">
        <v>9787</v>
      </c>
      <c r="AA868" t="s">
        <v>9788</v>
      </c>
      <c r="AB868" t="s">
        <v>4</v>
      </c>
      <c r="AC868" s="3" t="s">
        <v>9789</v>
      </c>
      <c r="AD868" t="s">
        <v>4</v>
      </c>
      <c r="AE868" t="s">
        <v>9790</v>
      </c>
      <c r="AF868" t="s">
        <v>9791</v>
      </c>
      <c r="AG868" t="s">
        <v>9792</v>
      </c>
      <c r="AH868" t="s">
        <v>112</v>
      </c>
      <c r="AL868" t="s">
        <v>9793</v>
      </c>
      <c r="AQ868" t="s">
        <v>1003</v>
      </c>
      <c r="AU868" t="s">
        <v>112</v>
      </c>
      <c r="AV868" t="s">
        <v>9794</v>
      </c>
      <c r="AW868" t="s">
        <v>114</v>
      </c>
      <c r="AX868" t="s">
        <v>371</v>
      </c>
      <c r="AY868" t="s">
        <v>9795</v>
      </c>
      <c r="AZ868" t="s">
        <v>4</v>
      </c>
      <c r="BA868" s="3" t="s">
        <v>95</v>
      </c>
      <c r="BB868" s="6" t="s">
        <v>95</v>
      </c>
      <c r="BC868" s="3" t="s">
        <v>95</v>
      </c>
      <c r="BD868" t="s">
        <v>4</v>
      </c>
      <c r="BE868">
        <v>5192</v>
      </c>
      <c r="BF868" t="s">
        <v>282</v>
      </c>
      <c r="BG868">
        <v>99.431799999999996</v>
      </c>
      <c r="BH868">
        <v>100</v>
      </c>
      <c r="BI868">
        <v>85.795500000000004</v>
      </c>
      <c r="BK868">
        <v>79.829499999999996</v>
      </c>
      <c r="BM868">
        <v>69.6023</v>
      </c>
      <c r="BO868">
        <v>80.965900000000005</v>
      </c>
      <c r="BP868">
        <v>31.25</v>
      </c>
      <c r="CB868" t="s">
        <v>9796</v>
      </c>
      <c r="CF868" t="s">
        <v>9797</v>
      </c>
      <c r="CG868" t="s">
        <v>9798</v>
      </c>
      <c r="CH868" t="s">
        <v>9799</v>
      </c>
      <c r="CI868" t="s">
        <v>9800</v>
      </c>
      <c r="CK868">
        <v>6</v>
      </c>
      <c r="CL868" t="s">
        <v>4</v>
      </c>
      <c r="CM868" t="s">
        <v>98</v>
      </c>
      <c r="CN868" t="s">
        <v>98</v>
      </c>
      <c r="CO868" t="s">
        <v>99</v>
      </c>
      <c r="CP868" s="7">
        <v>316</v>
      </c>
      <c r="CQ868" t="s">
        <v>100</v>
      </c>
      <c r="CR868" t="s">
        <v>100</v>
      </c>
      <c r="CS868" t="s">
        <v>101</v>
      </c>
      <c r="CT868" t="s">
        <v>100</v>
      </c>
      <c r="CU868" t="s">
        <v>102</v>
      </c>
      <c r="CV868" t="s">
        <v>100</v>
      </c>
    </row>
    <row r="869" spans="1:100">
      <c r="A869" s="3" t="s">
        <v>9801</v>
      </c>
      <c r="B869" s="4" t="s">
        <v>9802</v>
      </c>
      <c r="C869">
        <v>491.87652010018297</v>
      </c>
      <c r="D869">
        <v>187.81996147198001</v>
      </c>
      <c r="E869">
        <v>1.3878788409464999</v>
      </c>
      <c r="F869">
        <v>1.8323984383987701E-2</v>
      </c>
      <c r="G869" t="s">
        <v>4</v>
      </c>
      <c r="H869">
        <v>491.87652010018297</v>
      </c>
      <c r="I869">
        <v>49.261520800969897</v>
      </c>
      <c r="J869">
        <v>3.2871735909163999</v>
      </c>
      <c r="K869" s="5">
        <v>4.02125090762829E-9</v>
      </c>
      <c r="L869" t="s">
        <v>4</v>
      </c>
      <c r="M869">
        <v>187.81996147198001</v>
      </c>
      <c r="N869">
        <v>49.261520800969897</v>
      </c>
      <c r="O869">
        <v>1.8992947499699</v>
      </c>
      <c r="P869">
        <v>9.0660407009772199E-4</v>
      </c>
      <c r="Q869" t="s">
        <v>4</v>
      </c>
      <c r="R869" s="4" t="s">
        <v>87</v>
      </c>
      <c r="S869" t="s">
        <v>4</v>
      </c>
      <c r="T869" t="s">
        <v>92</v>
      </c>
      <c r="U869" t="s">
        <v>92</v>
      </c>
      <c r="V869" t="s">
        <v>92</v>
      </c>
      <c r="W869" t="s">
        <v>92</v>
      </c>
      <c r="X869" t="s">
        <v>4</v>
      </c>
      <c r="Y869" t="s">
        <v>92</v>
      </c>
      <c r="Z869" t="s">
        <v>92</v>
      </c>
      <c r="AA869" t="s">
        <v>92</v>
      </c>
      <c r="AB869" t="s">
        <v>4</v>
      </c>
      <c r="AC869" s="3" t="s">
        <v>93</v>
      </c>
      <c r="AD869" t="s">
        <v>4</v>
      </c>
      <c r="AE869" s="4" t="s">
        <v>94</v>
      </c>
      <c r="AZ869" t="s">
        <v>4</v>
      </c>
      <c r="BA869" s="3" t="s">
        <v>115</v>
      </c>
      <c r="BB869" s="6" t="s">
        <v>95</v>
      </c>
      <c r="BC869" s="3" t="s">
        <v>95</v>
      </c>
      <c r="BD869" t="s">
        <v>4</v>
      </c>
      <c r="BE869">
        <v>1170</v>
      </c>
      <c r="BF869" t="s">
        <v>151</v>
      </c>
      <c r="BH869">
        <v>99.5595</v>
      </c>
      <c r="CK869">
        <v>2</v>
      </c>
      <c r="CL869" t="s">
        <v>4</v>
      </c>
      <c r="CM869" t="s">
        <v>98</v>
      </c>
      <c r="CN869" t="s">
        <v>98</v>
      </c>
      <c r="CO869" t="s">
        <v>99</v>
      </c>
      <c r="CP869" s="7">
        <v>317</v>
      </c>
      <c r="CQ869" t="s">
        <v>100</v>
      </c>
      <c r="CR869" t="s">
        <v>100</v>
      </c>
      <c r="CS869" t="s">
        <v>101</v>
      </c>
      <c r="CT869" s="7" t="s">
        <v>152</v>
      </c>
      <c r="CU869" t="s">
        <v>102</v>
      </c>
      <c r="CV869" t="s">
        <v>100</v>
      </c>
    </row>
    <row r="870" spans="1:100">
      <c r="A870" s="3" t="s">
        <v>9803</v>
      </c>
      <c r="B870" s="4" t="s">
        <v>9804</v>
      </c>
      <c r="C870">
        <v>106.15484629943801</v>
      </c>
      <c r="D870">
        <v>44.357832227161701</v>
      </c>
      <c r="E870">
        <v>1.25706417198947</v>
      </c>
      <c r="F870">
        <v>1.98944570582442E-3</v>
      </c>
      <c r="G870" t="s">
        <v>4</v>
      </c>
      <c r="H870">
        <v>106.15484629943801</v>
      </c>
      <c r="I870">
        <v>10.7552775919378</v>
      </c>
      <c r="J870">
        <v>3.2865350150428201</v>
      </c>
      <c r="K870" s="5">
        <v>3.82363847886606E-12</v>
      </c>
      <c r="L870" t="s">
        <v>4</v>
      </c>
      <c r="M870">
        <v>44.357832227161701</v>
      </c>
      <c r="N870">
        <v>10.7552775919378</v>
      </c>
      <c r="O870">
        <v>2.0294708430533501</v>
      </c>
      <c r="P870" s="5">
        <v>3.6730265402892198E-5</v>
      </c>
      <c r="Q870" t="s">
        <v>4</v>
      </c>
      <c r="R870" s="4" t="s">
        <v>87</v>
      </c>
      <c r="S870" t="s">
        <v>4</v>
      </c>
      <c r="T870" t="s">
        <v>2988</v>
      </c>
      <c r="U870" t="s">
        <v>2989</v>
      </c>
      <c r="V870" t="s">
        <v>2990</v>
      </c>
      <c r="W870" t="s">
        <v>203</v>
      </c>
      <c r="X870" t="s">
        <v>4</v>
      </c>
      <c r="Y870" t="s">
        <v>2991</v>
      </c>
      <c r="Z870" t="s">
        <v>2992</v>
      </c>
      <c r="AA870" t="s">
        <v>2993</v>
      </c>
      <c r="AB870" t="s">
        <v>4</v>
      </c>
      <c r="AC870" s="3" t="s">
        <v>93</v>
      </c>
      <c r="AD870" t="s">
        <v>4</v>
      </c>
      <c r="AE870" t="s">
        <v>2995</v>
      </c>
      <c r="AF870" t="s">
        <v>478</v>
      </c>
      <c r="AG870" t="s">
        <v>9805</v>
      </c>
      <c r="AH870" t="s">
        <v>386</v>
      </c>
      <c r="AU870" t="s">
        <v>112</v>
      </c>
      <c r="AV870" t="s">
        <v>2998</v>
      </c>
      <c r="AW870" t="s">
        <v>114</v>
      </c>
      <c r="AX870" t="s">
        <v>536</v>
      </c>
      <c r="AY870" t="s">
        <v>2999</v>
      </c>
      <c r="AZ870" t="s">
        <v>4</v>
      </c>
      <c r="BA870" s="3" t="s">
        <v>95</v>
      </c>
      <c r="BB870" t="s">
        <v>96</v>
      </c>
      <c r="BC870" s="3" t="s">
        <v>95</v>
      </c>
      <c r="BD870" t="s">
        <v>4</v>
      </c>
      <c r="BE870">
        <v>5854</v>
      </c>
      <c r="BF870" t="s">
        <v>213</v>
      </c>
      <c r="BG870">
        <v>74.293099999999995</v>
      </c>
      <c r="BJ870">
        <v>52.956299999999999</v>
      </c>
      <c r="BK870">
        <v>51.413899999999998</v>
      </c>
      <c r="BQ870" t="s">
        <v>9806</v>
      </c>
      <c r="BS870">
        <v>17.994900000000001</v>
      </c>
      <c r="CG870" t="s">
        <v>9807</v>
      </c>
      <c r="CH870" t="s">
        <v>9808</v>
      </c>
      <c r="CK870">
        <v>8</v>
      </c>
      <c r="CL870" t="s">
        <v>4</v>
      </c>
      <c r="CM870" t="s">
        <v>98</v>
      </c>
      <c r="CN870" t="s">
        <v>98</v>
      </c>
      <c r="CO870" t="s">
        <v>99</v>
      </c>
      <c r="CP870" s="7">
        <v>318</v>
      </c>
      <c r="CQ870" t="s">
        <v>100</v>
      </c>
      <c r="CR870" t="s">
        <v>100</v>
      </c>
      <c r="CS870" t="s">
        <v>101</v>
      </c>
      <c r="CT870" t="s">
        <v>152</v>
      </c>
      <c r="CU870" t="s">
        <v>102</v>
      </c>
      <c r="CV870" t="s">
        <v>100</v>
      </c>
    </row>
    <row r="871" spans="1:100">
      <c r="A871" s="3" t="s">
        <v>9809</v>
      </c>
      <c r="B871" s="4" t="s">
        <v>9810</v>
      </c>
      <c r="C871">
        <v>22.171600667203201</v>
      </c>
      <c r="D871">
        <v>5.4760103615021603</v>
      </c>
      <c r="E871">
        <v>2.0226421419676401</v>
      </c>
      <c r="F871">
        <v>4.44803021597363E-2</v>
      </c>
      <c r="G871" t="s">
        <v>4</v>
      </c>
      <c r="H871">
        <v>22.171600667203201</v>
      </c>
      <c r="I871">
        <v>2.2783934679674198</v>
      </c>
      <c r="J871">
        <v>3.27909685712851</v>
      </c>
      <c r="K871">
        <v>3.78382001895506E-3</v>
      </c>
      <c r="L871" t="s">
        <v>4</v>
      </c>
      <c r="M871">
        <v>5.4760103615021603</v>
      </c>
      <c r="N871">
        <v>2.2783934679674198</v>
      </c>
      <c r="O871">
        <v>1.25645471516088</v>
      </c>
      <c r="P871">
        <v>0.32955789744602698</v>
      </c>
      <c r="Q871" t="s">
        <v>4</v>
      </c>
      <c r="R871" s="4" t="s">
        <v>87</v>
      </c>
      <c r="S871" t="s">
        <v>4</v>
      </c>
      <c r="T871" t="s">
        <v>92</v>
      </c>
      <c r="U871" t="s">
        <v>92</v>
      </c>
      <c r="V871" t="s">
        <v>92</v>
      </c>
      <c r="W871" t="s">
        <v>92</v>
      </c>
      <c r="X871" t="s">
        <v>4</v>
      </c>
      <c r="Y871" t="s">
        <v>92</v>
      </c>
      <c r="Z871" t="s">
        <v>92</v>
      </c>
      <c r="AA871" t="s">
        <v>92</v>
      </c>
      <c r="AB871" t="s">
        <v>4</v>
      </c>
      <c r="AC871" s="3" t="s">
        <v>93</v>
      </c>
      <c r="AD871" t="s">
        <v>4</v>
      </c>
      <c r="AE871" s="4" t="s">
        <v>94</v>
      </c>
      <c r="AZ871" t="s">
        <v>4</v>
      </c>
      <c r="BA871" s="3" t="s">
        <v>95</v>
      </c>
      <c r="BB871" s="6" t="s">
        <v>95</v>
      </c>
      <c r="BC871" s="3" t="s">
        <v>95</v>
      </c>
      <c r="BD871" t="s">
        <v>4</v>
      </c>
      <c r="BE871">
        <v>885</v>
      </c>
      <c r="BF871" t="s">
        <v>604</v>
      </c>
      <c r="BG871" t="s">
        <v>9811</v>
      </c>
      <c r="CK871">
        <v>1.5</v>
      </c>
      <c r="CL871" t="s">
        <v>4</v>
      </c>
      <c r="CM871" t="s">
        <v>98</v>
      </c>
      <c r="CN871" t="s">
        <v>98</v>
      </c>
      <c r="CO871" t="s">
        <v>99</v>
      </c>
      <c r="CP871" s="7">
        <v>319</v>
      </c>
      <c r="CQ871" t="s">
        <v>100</v>
      </c>
      <c r="CR871" t="s">
        <v>100</v>
      </c>
      <c r="CS871" t="s">
        <v>101</v>
      </c>
      <c r="CT871" t="s">
        <v>100</v>
      </c>
      <c r="CU871" t="s">
        <v>102</v>
      </c>
      <c r="CV871" t="s">
        <v>100</v>
      </c>
    </row>
    <row r="872" spans="1:100">
      <c r="A872" s="3" t="s">
        <v>9812</v>
      </c>
      <c r="B872" s="4" t="s">
        <v>9813</v>
      </c>
      <c r="C872">
        <v>134.38385887791901</v>
      </c>
      <c r="D872">
        <v>35.289691264809797</v>
      </c>
      <c r="E872">
        <v>1.9286385135380799</v>
      </c>
      <c r="F872">
        <v>2.4653861217465298E-2</v>
      </c>
      <c r="G872" t="s">
        <v>4</v>
      </c>
      <c r="H872">
        <v>134.38385887791901</v>
      </c>
      <c r="I872">
        <v>14.244437612876199</v>
      </c>
      <c r="J872">
        <v>3.26146435028399</v>
      </c>
      <c r="K872">
        <v>1.1538987843857199E-4</v>
      </c>
      <c r="L872" t="s">
        <v>4</v>
      </c>
      <c r="M872">
        <v>35.289691264809797</v>
      </c>
      <c r="N872">
        <v>14.244437612876199</v>
      </c>
      <c r="O872">
        <v>1.33282583674591</v>
      </c>
      <c r="P872">
        <v>0.14377230337678101</v>
      </c>
      <c r="Q872" t="s">
        <v>4</v>
      </c>
      <c r="R872" s="4" t="s">
        <v>87</v>
      </c>
      <c r="S872" t="s">
        <v>4</v>
      </c>
      <c r="T872" t="s">
        <v>402</v>
      </c>
      <c r="U872" t="s">
        <v>403</v>
      </c>
      <c r="V872" t="s">
        <v>404</v>
      </c>
      <c r="W872" t="s">
        <v>203</v>
      </c>
      <c r="X872" t="s">
        <v>4</v>
      </c>
      <c r="Y872" t="s">
        <v>9814</v>
      </c>
      <c r="Z872" t="s">
        <v>9815</v>
      </c>
      <c r="AA872" t="s">
        <v>9816</v>
      </c>
      <c r="AB872" t="s">
        <v>4</v>
      </c>
      <c r="AC872" s="3" t="s">
        <v>9817</v>
      </c>
      <c r="AD872" t="s">
        <v>4</v>
      </c>
      <c r="AE872" t="s">
        <v>9818</v>
      </c>
      <c r="AF872" t="s">
        <v>9819</v>
      </c>
      <c r="AG872" t="s">
        <v>9820</v>
      </c>
      <c r="AH872" t="s">
        <v>314</v>
      </c>
      <c r="AU872" t="s">
        <v>112</v>
      </c>
      <c r="AV872" t="s">
        <v>9821</v>
      </c>
      <c r="AW872" t="s">
        <v>114</v>
      </c>
      <c r="AX872" t="s">
        <v>132</v>
      </c>
      <c r="AY872" t="s">
        <v>9822</v>
      </c>
      <c r="AZ872" t="s">
        <v>4</v>
      </c>
      <c r="BA872" s="3" t="s">
        <v>95</v>
      </c>
      <c r="BB872" s="6" t="s">
        <v>95</v>
      </c>
      <c r="BC872" s="3" t="s">
        <v>95</v>
      </c>
      <c r="BD872" t="s">
        <v>4</v>
      </c>
      <c r="BE872">
        <v>8033</v>
      </c>
      <c r="BF872" t="s">
        <v>213</v>
      </c>
      <c r="BP872">
        <v>8.5714299999999994</v>
      </c>
      <c r="BQ872">
        <v>13.1092</v>
      </c>
      <c r="BS872">
        <v>10.420199999999999</v>
      </c>
      <c r="CA872">
        <v>12.605</v>
      </c>
      <c r="CB872" t="s">
        <v>9823</v>
      </c>
      <c r="CD872">
        <v>12.605</v>
      </c>
      <c r="CE872">
        <v>12.773099999999999</v>
      </c>
      <c r="CG872">
        <v>7.8991600000000002</v>
      </c>
      <c r="CH872">
        <v>8.9075600000000001</v>
      </c>
      <c r="CI872" t="s">
        <v>9824</v>
      </c>
      <c r="CK872">
        <v>8</v>
      </c>
      <c r="CL872" t="s">
        <v>4</v>
      </c>
      <c r="CM872" t="s">
        <v>9825</v>
      </c>
      <c r="CN872" t="s">
        <v>9826</v>
      </c>
      <c r="CO872" t="s">
        <v>99</v>
      </c>
      <c r="CP872" s="7">
        <v>320</v>
      </c>
      <c r="CQ872" t="s">
        <v>100</v>
      </c>
      <c r="CR872" t="s">
        <v>100</v>
      </c>
      <c r="CS872" t="s">
        <v>101</v>
      </c>
      <c r="CT872" t="s">
        <v>100</v>
      </c>
      <c r="CU872" t="s">
        <v>102</v>
      </c>
      <c r="CV872" t="s">
        <v>100</v>
      </c>
    </row>
    <row r="873" spans="1:100">
      <c r="A873" s="3" t="s">
        <v>9827</v>
      </c>
      <c r="B873" s="4" t="s">
        <v>9828</v>
      </c>
      <c r="C873">
        <v>53.022645340983999</v>
      </c>
      <c r="D873">
        <v>8.26797546793129</v>
      </c>
      <c r="E873">
        <v>2.6914802624833798</v>
      </c>
      <c r="F873">
        <v>1.8464583106451101E-2</v>
      </c>
      <c r="G873" t="s">
        <v>4</v>
      </c>
      <c r="H873">
        <v>53.022645340983999</v>
      </c>
      <c r="I873">
        <v>5.4089452673826797</v>
      </c>
      <c r="J873">
        <v>3.2494957935697699</v>
      </c>
      <c r="K873">
        <v>4.6617912049935796E-3</v>
      </c>
      <c r="L873" t="s">
        <v>4</v>
      </c>
      <c r="M873">
        <v>8.26797546793129</v>
      </c>
      <c r="N873">
        <v>5.4089452673826797</v>
      </c>
      <c r="O873">
        <v>0.55801553108639701</v>
      </c>
      <c r="P873">
        <v>0.68998090631190401</v>
      </c>
      <c r="Q873" t="s">
        <v>4</v>
      </c>
      <c r="R873" s="4" t="s">
        <v>87</v>
      </c>
      <c r="S873" t="s">
        <v>4</v>
      </c>
      <c r="T873" t="s">
        <v>92</v>
      </c>
      <c r="U873" t="s">
        <v>92</v>
      </c>
      <c r="V873" t="s">
        <v>92</v>
      </c>
      <c r="W873" t="s">
        <v>92</v>
      </c>
      <c r="X873" t="s">
        <v>4</v>
      </c>
      <c r="Y873" t="s">
        <v>92</v>
      </c>
      <c r="Z873" t="s">
        <v>92</v>
      </c>
      <c r="AA873" t="s">
        <v>92</v>
      </c>
      <c r="AB873" t="s">
        <v>4</v>
      </c>
      <c r="AC873" s="3" t="s">
        <v>93</v>
      </c>
      <c r="AD873" t="s">
        <v>4</v>
      </c>
      <c r="AE873" s="4" t="s">
        <v>94</v>
      </c>
      <c r="AZ873" t="s">
        <v>4</v>
      </c>
      <c r="BA873" s="3" t="s">
        <v>95</v>
      </c>
      <c r="BB873" s="6" t="s">
        <v>95</v>
      </c>
      <c r="BC873" s="3" t="s">
        <v>95</v>
      </c>
      <c r="BD873" t="s">
        <v>4</v>
      </c>
      <c r="BE873">
        <v>1349</v>
      </c>
      <c r="BF873" t="s">
        <v>151</v>
      </c>
      <c r="BG873">
        <v>94.642899999999997</v>
      </c>
      <c r="BH873">
        <v>89.881</v>
      </c>
      <c r="BI873">
        <v>89.285700000000006</v>
      </c>
      <c r="BJ873">
        <v>55.357100000000003</v>
      </c>
      <c r="BO873">
        <v>47.619</v>
      </c>
      <c r="CK873">
        <v>2</v>
      </c>
      <c r="CL873" t="s">
        <v>4</v>
      </c>
      <c r="CM873" t="s">
        <v>98</v>
      </c>
      <c r="CN873" t="s">
        <v>98</v>
      </c>
      <c r="CO873" t="s">
        <v>99</v>
      </c>
      <c r="CP873" s="7">
        <v>321</v>
      </c>
      <c r="CQ873" t="s">
        <v>100</v>
      </c>
      <c r="CR873" t="s">
        <v>100</v>
      </c>
      <c r="CS873" t="s">
        <v>101</v>
      </c>
      <c r="CT873" t="s">
        <v>100</v>
      </c>
      <c r="CU873" t="s">
        <v>102</v>
      </c>
      <c r="CV873" t="s">
        <v>100</v>
      </c>
    </row>
    <row r="874" spans="1:100">
      <c r="A874" s="3" t="s">
        <v>9829</v>
      </c>
      <c r="B874" s="4" t="s">
        <v>9830</v>
      </c>
      <c r="C874">
        <v>34.4298724384876</v>
      </c>
      <c r="D874">
        <v>10.4913866708958</v>
      </c>
      <c r="E874">
        <v>1.71738767577664</v>
      </c>
      <c r="F874">
        <v>3.7331320438943098E-2</v>
      </c>
      <c r="G874" t="s">
        <v>4</v>
      </c>
      <c r="H874">
        <v>34.4298724384876</v>
      </c>
      <c r="I874">
        <v>3.5830794351796702</v>
      </c>
      <c r="J874">
        <v>3.2469089613556998</v>
      </c>
      <c r="K874">
        <v>4.1189226797788399E-4</v>
      </c>
      <c r="L874" t="s">
        <v>4</v>
      </c>
      <c r="M874">
        <v>10.4913866708958</v>
      </c>
      <c r="N874">
        <v>3.5830794351796702</v>
      </c>
      <c r="O874">
        <v>1.5295212855790601</v>
      </c>
      <c r="P874">
        <v>0.12654573535104599</v>
      </c>
      <c r="Q874" t="s">
        <v>4</v>
      </c>
      <c r="R874" s="4" t="s">
        <v>87</v>
      </c>
      <c r="S874" t="s">
        <v>4</v>
      </c>
      <c r="T874" t="s">
        <v>92</v>
      </c>
      <c r="U874" t="s">
        <v>92</v>
      </c>
      <c r="V874" t="s">
        <v>92</v>
      </c>
      <c r="W874" t="s">
        <v>92</v>
      </c>
      <c r="X874" t="s">
        <v>4</v>
      </c>
      <c r="Y874" t="s">
        <v>7298</v>
      </c>
      <c r="Z874" t="s">
        <v>7299</v>
      </c>
      <c r="AA874" t="s">
        <v>7300</v>
      </c>
      <c r="AB874" t="s">
        <v>4</v>
      </c>
      <c r="AC874" s="3" t="s">
        <v>9067</v>
      </c>
      <c r="AD874" t="s">
        <v>4</v>
      </c>
      <c r="AE874" s="4" t="s">
        <v>94</v>
      </c>
      <c r="AZ874" t="s">
        <v>4</v>
      </c>
      <c r="BA874" s="3" t="s">
        <v>95</v>
      </c>
      <c r="BB874" s="6" t="s">
        <v>95</v>
      </c>
      <c r="BC874" s="3" t="s">
        <v>197</v>
      </c>
      <c r="BD874" t="s">
        <v>4</v>
      </c>
      <c r="BE874">
        <v>1293</v>
      </c>
      <c r="BF874" t="s">
        <v>151</v>
      </c>
      <c r="BH874">
        <v>95.744699999999995</v>
      </c>
      <c r="BI874">
        <v>78.723399999999998</v>
      </c>
      <c r="BJ874">
        <v>61.702100000000002</v>
      </c>
      <c r="CK874">
        <v>2</v>
      </c>
      <c r="CL874" t="s">
        <v>4</v>
      </c>
      <c r="CM874" t="s">
        <v>98</v>
      </c>
      <c r="CN874" t="s">
        <v>98</v>
      </c>
      <c r="CO874" t="s">
        <v>99</v>
      </c>
      <c r="CP874" s="7">
        <v>322</v>
      </c>
      <c r="CQ874" t="s">
        <v>100</v>
      </c>
      <c r="CR874" t="s">
        <v>100</v>
      </c>
      <c r="CS874" t="s">
        <v>101</v>
      </c>
      <c r="CT874" t="s">
        <v>100</v>
      </c>
      <c r="CU874" t="s">
        <v>102</v>
      </c>
      <c r="CV874" t="s">
        <v>100</v>
      </c>
    </row>
    <row r="875" spans="1:100">
      <c r="A875" s="3" t="s">
        <v>9831</v>
      </c>
      <c r="B875" s="4" t="s">
        <v>9832</v>
      </c>
      <c r="C875">
        <v>1214.32540630527</v>
      </c>
      <c r="D875">
        <v>422.77716304372399</v>
      </c>
      <c r="E875">
        <v>1.5214745176848301</v>
      </c>
      <c r="F875" s="5">
        <v>1.5395795287778901E-10</v>
      </c>
      <c r="G875" t="s">
        <v>4</v>
      </c>
      <c r="H875">
        <v>1214.32540630527</v>
      </c>
      <c r="I875">
        <v>128.957475607427</v>
      </c>
      <c r="J875">
        <v>3.2433185425709699</v>
      </c>
      <c r="K875" s="5">
        <v>5.17717753181822E-41</v>
      </c>
      <c r="L875" t="s">
        <v>4</v>
      </c>
      <c r="M875">
        <v>422.77716304372399</v>
      </c>
      <c r="N875">
        <v>128.957475607427</v>
      </c>
      <c r="O875">
        <v>1.72184402488614</v>
      </c>
      <c r="P875" s="5">
        <v>3.5944858118381501E-12</v>
      </c>
      <c r="Q875" t="s">
        <v>4</v>
      </c>
      <c r="R875" s="4" t="s">
        <v>87</v>
      </c>
      <c r="S875" t="s">
        <v>4</v>
      </c>
      <c r="T875" t="s">
        <v>2243</v>
      </c>
      <c r="U875" t="s">
        <v>2244</v>
      </c>
      <c r="V875" t="s">
        <v>2245</v>
      </c>
      <c r="W875" t="s">
        <v>123</v>
      </c>
      <c r="X875" t="s">
        <v>4</v>
      </c>
      <c r="Y875" t="s">
        <v>3071</v>
      </c>
      <c r="Z875" t="s">
        <v>3072</v>
      </c>
      <c r="AA875" t="s">
        <v>3073</v>
      </c>
      <c r="AB875" t="s">
        <v>4</v>
      </c>
      <c r="AC875" s="3" t="s">
        <v>9833</v>
      </c>
      <c r="AD875" t="s">
        <v>4</v>
      </c>
      <c r="AE875" s="4" t="s">
        <v>94</v>
      </c>
      <c r="AZ875" t="s">
        <v>4</v>
      </c>
      <c r="BA875" s="3" t="s">
        <v>95</v>
      </c>
      <c r="BB875" s="6" t="s">
        <v>95</v>
      </c>
      <c r="BC875" s="3" t="s">
        <v>95</v>
      </c>
      <c r="BD875" t="s">
        <v>4</v>
      </c>
      <c r="BE875">
        <v>1478</v>
      </c>
      <c r="BF875" t="s">
        <v>151</v>
      </c>
      <c r="BG875">
        <v>32.402200000000001</v>
      </c>
      <c r="BH875">
        <v>32.774700000000003</v>
      </c>
      <c r="BI875" t="s">
        <v>9834</v>
      </c>
      <c r="BJ875" t="s">
        <v>9835</v>
      </c>
      <c r="BL875" t="s">
        <v>9836</v>
      </c>
      <c r="BM875">
        <v>76.350099999999998</v>
      </c>
      <c r="BN875">
        <v>76.536299999999997</v>
      </c>
      <c r="BO875">
        <v>77.467399999999998</v>
      </c>
      <c r="CK875">
        <v>2</v>
      </c>
      <c r="CL875" t="s">
        <v>4</v>
      </c>
      <c r="CM875" t="s">
        <v>98</v>
      </c>
      <c r="CN875" t="s">
        <v>98</v>
      </c>
      <c r="CO875" t="s">
        <v>99</v>
      </c>
      <c r="CP875" s="7">
        <v>323</v>
      </c>
      <c r="CQ875" t="s">
        <v>100</v>
      </c>
      <c r="CR875" t="s">
        <v>100</v>
      </c>
      <c r="CS875" t="s">
        <v>101</v>
      </c>
      <c r="CT875" s="7" t="s">
        <v>152</v>
      </c>
      <c r="CU875" t="s">
        <v>102</v>
      </c>
      <c r="CV875" t="s">
        <v>100</v>
      </c>
    </row>
    <row r="876" spans="1:100">
      <c r="A876" s="3" t="s">
        <v>9837</v>
      </c>
      <c r="B876" s="4" t="s">
        <v>9838</v>
      </c>
      <c r="C876">
        <v>90.186403486844796</v>
      </c>
      <c r="D876">
        <v>42.962474350884797</v>
      </c>
      <c r="E876">
        <v>1.0693500972568799</v>
      </c>
      <c r="F876">
        <v>2.2891430183706901E-2</v>
      </c>
      <c r="G876" t="s">
        <v>4</v>
      </c>
      <c r="H876">
        <v>90.186403486844796</v>
      </c>
      <c r="I876">
        <v>9.4385130519279095</v>
      </c>
      <c r="J876">
        <v>3.2373750608320502</v>
      </c>
      <c r="K876" s="5">
        <v>1.02850605669922E-9</v>
      </c>
      <c r="L876" t="s">
        <v>4</v>
      </c>
      <c r="M876">
        <v>42.962474350884797</v>
      </c>
      <c r="N876">
        <v>9.4385130519279095</v>
      </c>
      <c r="O876">
        <v>2.1680249635751698</v>
      </c>
      <c r="P876" s="5">
        <v>7.2213498625863304E-5</v>
      </c>
      <c r="Q876" t="s">
        <v>4</v>
      </c>
      <c r="R876" s="4" t="s">
        <v>87</v>
      </c>
      <c r="S876" t="s">
        <v>4</v>
      </c>
      <c r="T876" t="s">
        <v>9839</v>
      </c>
      <c r="U876" t="s">
        <v>9840</v>
      </c>
      <c r="V876" t="s">
        <v>9841</v>
      </c>
      <c r="W876" t="s">
        <v>203</v>
      </c>
      <c r="X876" t="s">
        <v>4</v>
      </c>
      <c r="Y876" t="s">
        <v>2991</v>
      </c>
      <c r="Z876" t="s">
        <v>2992</v>
      </c>
      <c r="AA876" t="s">
        <v>2993</v>
      </c>
      <c r="AB876" t="s">
        <v>4</v>
      </c>
      <c r="AC876" s="3" t="s">
        <v>9842</v>
      </c>
      <c r="AD876" t="s">
        <v>4</v>
      </c>
      <c r="AE876" t="s">
        <v>2995</v>
      </c>
      <c r="AF876" t="s">
        <v>9843</v>
      </c>
      <c r="AG876" t="s">
        <v>9844</v>
      </c>
      <c r="AH876" t="s">
        <v>386</v>
      </c>
      <c r="AU876" t="s">
        <v>112</v>
      </c>
      <c r="AV876" t="s">
        <v>2998</v>
      </c>
      <c r="AW876" t="s">
        <v>114</v>
      </c>
      <c r="AX876" t="s">
        <v>536</v>
      </c>
      <c r="AY876" t="s">
        <v>2999</v>
      </c>
      <c r="AZ876" t="s">
        <v>4</v>
      </c>
      <c r="BA876" s="3" t="s">
        <v>95</v>
      </c>
      <c r="BB876" t="s">
        <v>96</v>
      </c>
      <c r="BC876" s="3" t="s">
        <v>95</v>
      </c>
      <c r="BD876" t="s">
        <v>4</v>
      </c>
      <c r="BE876">
        <v>7819</v>
      </c>
      <c r="BF876" t="s">
        <v>213</v>
      </c>
      <c r="BG876">
        <v>86.921000000000006</v>
      </c>
      <c r="BJ876">
        <v>63.760199999999998</v>
      </c>
      <c r="BK876">
        <v>61.035400000000003</v>
      </c>
      <c r="BQ876" t="s">
        <v>9845</v>
      </c>
      <c r="BS876">
        <v>22.070799999999998</v>
      </c>
      <c r="CG876" t="s">
        <v>9846</v>
      </c>
      <c r="CH876" t="s">
        <v>9847</v>
      </c>
      <c r="CK876">
        <v>8</v>
      </c>
      <c r="CL876" t="s">
        <v>4</v>
      </c>
      <c r="CM876" t="s">
        <v>98</v>
      </c>
      <c r="CN876" t="s">
        <v>98</v>
      </c>
      <c r="CO876" t="s">
        <v>99</v>
      </c>
      <c r="CP876" s="7">
        <v>324</v>
      </c>
      <c r="CQ876" t="s">
        <v>100</v>
      </c>
      <c r="CR876" t="s">
        <v>100</v>
      </c>
      <c r="CS876" t="s">
        <v>101</v>
      </c>
      <c r="CT876" t="s">
        <v>152</v>
      </c>
      <c r="CU876" t="s">
        <v>102</v>
      </c>
      <c r="CV876" t="s">
        <v>100</v>
      </c>
    </row>
    <row r="877" spans="1:100">
      <c r="A877" s="3" t="s">
        <v>9848</v>
      </c>
      <c r="B877" s="4" t="s">
        <v>9849</v>
      </c>
      <c r="C877">
        <v>84.681606470053694</v>
      </c>
      <c r="D877">
        <v>18.0396710835339</v>
      </c>
      <c r="E877">
        <v>2.2339533284431901</v>
      </c>
      <c r="F877">
        <v>2.79321511725357E-2</v>
      </c>
      <c r="G877" t="s">
        <v>4</v>
      </c>
      <c r="H877">
        <v>84.681606470053694</v>
      </c>
      <c r="I877">
        <v>9.0520709684617007</v>
      </c>
      <c r="J877">
        <v>3.2284353239980002</v>
      </c>
      <c r="K877">
        <v>1.3868860143101101E-3</v>
      </c>
      <c r="L877" t="s">
        <v>4</v>
      </c>
      <c r="M877">
        <v>18.0396710835339</v>
      </c>
      <c r="N877">
        <v>9.0520709684617007</v>
      </c>
      <c r="O877">
        <v>0.99448199555480998</v>
      </c>
      <c r="P877">
        <v>0.38256259493816602</v>
      </c>
      <c r="Q877" t="s">
        <v>4</v>
      </c>
      <c r="R877" s="4" t="s">
        <v>87</v>
      </c>
      <c r="S877" t="s">
        <v>4</v>
      </c>
      <c r="T877" t="s">
        <v>460</v>
      </c>
      <c r="U877" t="s">
        <v>461</v>
      </c>
      <c r="V877" t="s">
        <v>462</v>
      </c>
      <c r="W877" t="s">
        <v>123</v>
      </c>
      <c r="X877" t="s">
        <v>4</v>
      </c>
      <c r="Y877" t="s">
        <v>463</v>
      </c>
      <c r="Z877" t="s">
        <v>464</v>
      </c>
      <c r="AA877" t="s">
        <v>465</v>
      </c>
      <c r="AB877" t="s">
        <v>4</v>
      </c>
      <c r="AC877" s="3" t="s">
        <v>9260</v>
      </c>
      <c r="AD877" t="s">
        <v>4</v>
      </c>
      <c r="AE877" t="s">
        <v>9850</v>
      </c>
      <c r="AF877" t="s">
        <v>9851</v>
      </c>
      <c r="AG877" t="s">
        <v>9852</v>
      </c>
      <c r="AH877" t="s">
        <v>169</v>
      </c>
      <c r="AU877" t="s">
        <v>112</v>
      </c>
      <c r="AV877" t="s">
        <v>470</v>
      </c>
      <c r="AW877" t="s">
        <v>114</v>
      </c>
      <c r="AX877" t="s">
        <v>144</v>
      </c>
      <c r="AY877" t="s">
        <v>471</v>
      </c>
      <c r="AZ877" t="s">
        <v>4</v>
      </c>
      <c r="BA877" s="3" t="s">
        <v>95</v>
      </c>
      <c r="BB877" s="6" t="s">
        <v>95</v>
      </c>
      <c r="BC877" s="3" t="s">
        <v>197</v>
      </c>
      <c r="BD877" t="s">
        <v>4</v>
      </c>
      <c r="BE877">
        <v>1310</v>
      </c>
      <c r="BF877" t="s">
        <v>151</v>
      </c>
      <c r="BH877">
        <v>39.002899999999997</v>
      </c>
      <c r="BI877" t="s">
        <v>9853</v>
      </c>
      <c r="CK877">
        <v>2</v>
      </c>
      <c r="CL877" t="s">
        <v>4</v>
      </c>
      <c r="CM877" t="s">
        <v>98</v>
      </c>
      <c r="CN877" t="s">
        <v>98</v>
      </c>
      <c r="CO877" t="s">
        <v>99</v>
      </c>
      <c r="CP877" s="7">
        <v>325</v>
      </c>
      <c r="CQ877" t="s">
        <v>100</v>
      </c>
      <c r="CR877" t="s">
        <v>100</v>
      </c>
      <c r="CS877" t="s">
        <v>101</v>
      </c>
      <c r="CT877" t="s">
        <v>100</v>
      </c>
      <c r="CU877" t="s">
        <v>102</v>
      </c>
      <c r="CV877" t="s">
        <v>100</v>
      </c>
    </row>
    <row r="878" spans="1:100">
      <c r="A878" s="3" t="s">
        <v>9854</v>
      </c>
      <c r="B878" s="4" t="s">
        <v>9855</v>
      </c>
      <c r="C878">
        <v>137.774197847588</v>
      </c>
      <c r="D878">
        <v>24.2569356569803</v>
      </c>
      <c r="E878">
        <v>2.5067828013390101</v>
      </c>
      <c r="F878">
        <v>2.70600153510068E-2</v>
      </c>
      <c r="G878" t="s">
        <v>4</v>
      </c>
      <c r="H878">
        <v>137.774197847588</v>
      </c>
      <c r="I878">
        <v>14.7112639002774</v>
      </c>
      <c r="J878">
        <v>3.22660531451772</v>
      </c>
      <c r="K878">
        <v>3.5379889005893199E-3</v>
      </c>
      <c r="L878" t="s">
        <v>4</v>
      </c>
      <c r="M878">
        <v>24.2569356569803</v>
      </c>
      <c r="N878">
        <v>14.7112639002774</v>
      </c>
      <c r="O878">
        <v>0.71982251317870805</v>
      </c>
      <c r="P878">
        <v>0.57618171297638998</v>
      </c>
      <c r="Q878" t="s">
        <v>4</v>
      </c>
      <c r="R878" s="4" t="s">
        <v>87</v>
      </c>
      <c r="S878" t="s">
        <v>4</v>
      </c>
      <c r="T878" t="s">
        <v>92</v>
      </c>
      <c r="U878" t="s">
        <v>92</v>
      </c>
      <c r="V878" t="s">
        <v>92</v>
      </c>
      <c r="W878" t="s">
        <v>92</v>
      </c>
      <c r="X878" t="s">
        <v>4</v>
      </c>
      <c r="Y878" t="s">
        <v>92</v>
      </c>
      <c r="Z878" t="s">
        <v>92</v>
      </c>
      <c r="AA878" t="s">
        <v>92</v>
      </c>
      <c r="AB878" t="s">
        <v>4</v>
      </c>
      <c r="AC878" s="3" t="s">
        <v>93</v>
      </c>
      <c r="AD878" t="s">
        <v>4</v>
      </c>
      <c r="AE878" s="4" t="s">
        <v>94</v>
      </c>
      <c r="AZ878" t="s">
        <v>4</v>
      </c>
      <c r="BA878" s="3" t="s">
        <v>95</v>
      </c>
      <c r="BB878" s="6" t="s">
        <v>95</v>
      </c>
      <c r="BC878" s="3" t="s">
        <v>95</v>
      </c>
      <c r="BD878" t="s">
        <v>4</v>
      </c>
      <c r="BE878">
        <v>2075</v>
      </c>
      <c r="BF878" t="s">
        <v>148</v>
      </c>
      <c r="BG878">
        <v>33.891199999999998</v>
      </c>
      <c r="BH878">
        <v>61.715499999999999</v>
      </c>
      <c r="BI878">
        <v>75.522999999999996</v>
      </c>
      <c r="BJ878" t="s">
        <v>9856</v>
      </c>
      <c r="BK878">
        <v>43.7239</v>
      </c>
      <c r="BO878">
        <v>54.079500000000003</v>
      </c>
      <c r="CK878">
        <v>3</v>
      </c>
      <c r="CL878" t="s">
        <v>4</v>
      </c>
      <c r="CM878" t="s">
        <v>98</v>
      </c>
      <c r="CN878" t="s">
        <v>98</v>
      </c>
      <c r="CO878" t="s">
        <v>99</v>
      </c>
      <c r="CP878" s="7">
        <v>326</v>
      </c>
      <c r="CQ878" t="s">
        <v>100</v>
      </c>
      <c r="CR878" t="s">
        <v>100</v>
      </c>
      <c r="CS878" t="s">
        <v>101</v>
      </c>
      <c r="CT878" t="s">
        <v>100</v>
      </c>
      <c r="CU878" t="s">
        <v>102</v>
      </c>
      <c r="CV878" t="s">
        <v>100</v>
      </c>
    </row>
    <row r="879" spans="1:100">
      <c r="A879" s="3" t="s">
        <v>9857</v>
      </c>
      <c r="B879" s="4" t="s">
        <v>9858</v>
      </c>
      <c r="C879">
        <v>38.565040204019503</v>
      </c>
      <c r="D879">
        <v>10.6308508638568</v>
      </c>
      <c r="E879">
        <v>1.8580373217441699</v>
      </c>
      <c r="F879">
        <v>5.4613613085980998E-3</v>
      </c>
      <c r="G879" t="s">
        <v>4</v>
      </c>
      <c r="H879">
        <v>38.565040204019503</v>
      </c>
      <c r="I879">
        <v>4.2197691830789097</v>
      </c>
      <c r="J879">
        <v>3.2198522489589099</v>
      </c>
      <c r="K879" s="5">
        <v>3.23384520590188E-5</v>
      </c>
      <c r="L879" t="s">
        <v>4</v>
      </c>
      <c r="M879">
        <v>10.6308508638568</v>
      </c>
      <c r="N879">
        <v>4.2197691830789097</v>
      </c>
      <c r="O879">
        <v>1.36181492721474</v>
      </c>
      <c r="P879">
        <v>0.112699261199385</v>
      </c>
      <c r="Q879" t="s">
        <v>4</v>
      </c>
      <c r="R879" s="4" t="s">
        <v>87</v>
      </c>
      <c r="S879" t="s">
        <v>4</v>
      </c>
      <c r="T879" t="s">
        <v>92</v>
      </c>
      <c r="U879" t="s">
        <v>92</v>
      </c>
      <c r="V879" t="s">
        <v>92</v>
      </c>
      <c r="W879" t="s">
        <v>92</v>
      </c>
      <c r="X879" t="s">
        <v>4</v>
      </c>
      <c r="Y879" t="s">
        <v>92</v>
      </c>
      <c r="Z879" t="s">
        <v>92</v>
      </c>
      <c r="AA879" t="s">
        <v>92</v>
      </c>
      <c r="AB879" t="s">
        <v>4</v>
      </c>
      <c r="AC879" s="3" t="s">
        <v>93</v>
      </c>
      <c r="AD879" t="s">
        <v>4</v>
      </c>
      <c r="AE879" s="4" t="s">
        <v>94</v>
      </c>
      <c r="AZ879" t="s">
        <v>4</v>
      </c>
      <c r="BA879" s="3" t="s">
        <v>95</v>
      </c>
      <c r="BB879" s="6" t="s">
        <v>95</v>
      </c>
      <c r="BC879" s="3" t="s">
        <v>95</v>
      </c>
      <c r="BD879" t="s">
        <v>4</v>
      </c>
      <c r="BE879">
        <v>1012</v>
      </c>
      <c r="BF879" t="s">
        <v>151</v>
      </c>
      <c r="BG879">
        <v>58.333300000000001</v>
      </c>
      <c r="BI879">
        <v>54.166699999999999</v>
      </c>
      <c r="BJ879">
        <v>52.777799999999999</v>
      </c>
      <c r="CK879">
        <v>2</v>
      </c>
      <c r="CL879" t="s">
        <v>4</v>
      </c>
      <c r="CM879" t="s">
        <v>98</v>
      </c>
      <c r="CN879" t="s">
        <v>98</v>
      </c>
      <c r="CO879" t="s">
        <v>99</v>
      </c>
      <c r="CP879" s="7">
        <v>327</v>
      </c>
      <c r="CQ879" t="s">
        <v>100</v>
      </c>
      <c r="CR879" t="s">
        <v>100</v>
      </c>
      <c r="CS879" t="s">
        <v>101</v>
      </c>
      <c r="CT879" t="s">
        <v>100</v>
      </c>
      <c r="CU879" t="s">
        <v>102</v>
      </c>
      <c r="CV879" t="s">
        <v>100</v>
      </c>
    </row>
    <row r="880" spans="1:100">
      <c r="A880" s="3" t="s">
        <v>9859</v>
      </c>
      <c r="B880" s="4" t="s">
        <v>9860</v>
      </c>
      <c r="C880">
        <v>33.747435456063599</v>
      </c>
      <c r="D880">
        <v>10.4913866708958</v>
      </c>
      <c r="E880">
        <v>1.6882877541655601</v>
      </c>
      <c r="F880">
        <v>4.2620417405587599E-2</v>
      </c>
      <c r="G880" t="s">
        <v>4</v>
      </c>
      <c r="H880">
        <v>33.747435456063599</v>
      </c>
      <c r="I880">
        <v>3.5830794351796702</v>
      </c>
      <c r="J880">
        <v>3.2179288460554201</v>
      </c>
      <c r="K880">
        <v>5.0960347587876605E-4</v>
      </c>
      <c r="L880" t="s">
        <v>4</v>
      </c>
      <c r="M880">
        <v>10.4913866708958</v>
      </c>
      <c r="N880">
        <v>3.5830794351796702</v>
      </c>
      <c r="O880">
        <v>1.52964109188986</v>
      </c>
      <c r="P880">
        <v>0.128916658687934</v>
      </c>
      <c r="Q880" t="s">
        <v>4</v>
      </c>
      <c r="R880" s="4" t="s">
        <v>87</v>
      </c>
      <c r="S880" t="s">
        <v>4</v>
      </c>
      <c r="T880" t="s">
        <v>92</v>
      </c>
      <c r="U880" t="s">
        <v>92</v>
      </c>
      <c r="V880" t="s">
        <v>92</v>
      </c>
      <c r="W880" t="s">
        <v>92</v>
      </c>
      <c r="X880" t="s">
        <v>4</v>
      </c>
      <c r="Y880" t="s">
        <v>7298</v>
      </c>
      <c r="Z880" t="s">
        <v>7299</v>
      </c>
      <c r="AA880" t="s">
        <v>7300</v>
      </c>
      <c r="AB880" t="s">
        <v>4</v>
      </c>
      <c r="AC880" s="3" t="s">
        <v>9067</v>
      </c>
      <c r="AD880" t="s">
        <v>4</v>
      </c>
      <c r="AE880" s="4" t="s">
        <v>94</v>
      </c>
      <c r="AZ880" t="s">
        <v>4</v>
      </c>
      <c r="BA880" s="3" t="s">
        <v>95</v>
      </c>
      <c r="BB880" s="6" t="s">
        <v>95</v>
      </c>
      <c r="BC880" s="3" t="s">
        <v>197</v>
      </c>
      <c r="BD880" t="s">
        <v>4</v>
      </c>
      <c r="BE880">
        <v>1290</v>
      </c>
      <c r="BF880" t="s">
        <v>151</v>
      </c>
      <c r="BH880">
        <v>95.744699999999995</v>
      </c>
      <c r="BI880">
        <v>78.723399999999998</v>
      </c>
      <c r="BJ880">
        <v>61.702100000000002</v>
      </c>
      <c r="CK880">
        <v>2</v>
      </c>
      <c r="CL880" t="s">
        <v>4</v>
      </c>
      <c r="CM880" t="s">
        <v>98</v>
      </c>
      <c r="CN880" t="s">
        <v>98</v>
      </c>
      <c r="CO880" t="s">
        <v>99</v>
      </c>
      <c r="CP880" s="7">
        <v>328</v>
      </c>
      <c r="CQ880" t="s">
        <v>100</v>
      </c>
      <c r="CR880" t="s">
        <v>100</v>
      </c>
      <c r="CS880" t="s">
        <v>101</v>
      </c>
      <c r="CT880" t="s">
        <v>100</v>
      </c>
      <c r="CU880" t="s">
        <v>102</v>
      </c>
      <c r="CV880" t="s">
        <v>100</v>
      </c>
    </row>
    <row r="881" spans="1:100">
      <c r="A881" s="3" t="s">
        <v>9861</v>
      </c>
      <c r="B881" s="4" t="s">
        <v>9862</v>
      </c>
      <c r="C881">
        <v>35.294040852711298</v>
      </c>
      <c r="D881">
        <v>7.4761903717213301</v>
      </c>
      <c r="E881">
        <v>2.2480562544826102</v>
      </c>
      <c r="F881">
        <v>3.3061880912846099E-2</v>
      </c>
      <c r="G881" t="s">
        <v>4</v>
      </c>
      <c r="H881">
        <v>35.294040852711298</v>
      </c>
      <c r="I881">
        <v>3.88275143022299</v>
      </c>
      <c r="J881">
        <v>3.21735191578734</v>
      </c>
      <c r="K881">
        <v>3.52420784477024E-3</v>
      </c>
      <c r="L881" t="s">
        <v>4</v>
      </c>
      <c r="M881">
        <v>7.4761903717213301</v>
      </c>
      <c r="N881">
        <v>3.88275143022299</v>
      </c>
      <c r="O881">
        <v>0.96929566130473299</v>
      </c>
      <c r="P881">
        <v>0.44561352737371401</v>
      </c>
      <c r="Q881" t="s">
        <v>4</v>
      </c>
      <c r="R881" s="4" t="s">
        <v>87</v>
      </c>
      <c r="S881" t="s">
        <v>4</v>
      </c>
      <c r="T881" t="s">
        <v>92</v>
      </c>
      <c r="U881" t="s">
        <v>92</v>
      </c>
      <c r="V881" t="s">
        <v>92</v>
      </c>
      <c r="W881" t="s">
        <v>92</v>
      </c>
      <c r="X881" t="s">
        <v>4</v>
      </c>
      <c r="Y881" t="s">
        <v>92</v>
      </c>
      <c r="Z881" t="s">
        <v>92</v>
      </c>
      <c r="AA881" t="s">
        <v>92</v>
      </c>
      <c r="AB881" t="s">
        <v>4</v>
      </c>
      <c r="AC881" s="3" t="s">
        <v>93</v>
      </c>
      <c r="AD881" t="s">
        <v>4</v>
      </c>
      <c r="AE881" s="4" t="s">
        <v>94</v>
      </c>
      <c r="AZ881" t="s">
        <v>4</v>
      </c>
      <c r="BA881" s="3" t="s">
        <v>95</v>
      </c>
      <c r="BB881" s="6" t="s">
        <v>95</v>
      </c>
      <c r="BC881" s="3" t="s">
        <v>95</v>
      </c>
      <c r="BD881" t="s">
        <v>4</v>
      </c>
      <c r="BE881">
        <v>2282</v>
      </c>
      <c r="BF881" t="s">
        <v>148</v>
      </c>
      <c r="BG881">
        <v>94.957999999999998</v>
      </c>
      <c r="BH881">
        <v>100</v>
      </c>
      <c r="BI881">
        <v>73.109200000000001</v>
      </c>
      <c r="BJ881">
        <v>33.613399999999999</v>
      </c>
      <c r="BK881">
        <v>47.058799999999998</v>
      </c>
      <c r="BL881">
        <v>20.168099999999999</v>
      </c>
      <c r="BM881">
        <v>18.487400000000001</v>
      </c>
      <c r="BN881">
        <v>34.453800000000001</v>
      </c>
      <c r="BO881">
        <v>0</v>
      </c>
      <c r="CK881">
        <v>3</v>
      </c>
      <c r="CL881" t="s">
        <v>4</v>
      </c>
      <c r="CM881" t="s">
        <v>98</v>
      </c>
      <c r="CN881" t="s">
        <v>98</v>
      </c>
      <c r="CO881" t="s">
        <v>99</v>
      </c>
      <c r="CP881" s="7">
        <v>329</v>
      </c>
      <c r="CQ881" t="s">
        <v>100</v>
      </c>
      <c r="CR881" t="s">
        <v>100</v>
      </c>
      <c r="CS881" t="s">
        <v>101</v>
      </c>
      <c r="CT881" t="s">
        <v>100</v>
      </c>
      <c r="CU881" t="s">
        <v>102</v>
      </c>
      <c r="CV881" t="s">
        <v>100</v>
      </c>
    </row>
    <row r="882" spans="1:100">
      <c r="A882" s="3" t="s">
        <v>9863</v>
      </c>
      <c r="B882" s="4" t="s">
        <v>9864</v>
      </c>
      <c r="C882">
        <v>130.57441978482601</v>
      </c>
      <c r="D882">
        <v>28.732634803353701</v>
      </c>
      <c r="E882">
        <v>2.1859512456292598</v>
      </c>
      <c r="F882">
        <v>2.7618378747562299E-2</v>
      </c>
      <c r="G882" t="s">
        <v>4</v>
      </c>
      <c r="H882">
        <v>130.57441978482601</v>
      </c>
      <c r="I882">
        <v>14.0926920115747</v>
      </c>
      <c r="J882">
        <v>3.2120456696530102</v>
      </c>
      <c r="K882">
        <v>9.4829879481540097E-4</v>
      </c>
      <c r="L882" t="s">
        <v>4</v>
      </c>
      <c r="M882">
        <v>28.732634803353701</v>
      </c>
      <c r="N882">
        <v>14.0926920115747</v>
      </c>
      <c r="O882">
        <v>1.0260944240237599</v>
      </c>
      <c r="P882">
        <v>0.343066920571798</v>
      </c>
      <c r="Q882" t="s">
        <v>4</v>
      </c>
      <c r="R882" s="4" t="s">
        <v>87</v>
      </c>
      <c r="S882" t="s">
        <v>4</v>
      </c>
      <c r="T882" t="s">
        <v>92</v>
      </c>
      <c r="U882" t="s">
        <v>92</v>
      </c>
      <c r="V882" t="s">
        <v>92</v>
      </c>
      <c r="W882" t="s">
        <v>92</v>
      </c>
      <c r="X882" t="s">
        <v>4</v>
      </c>
      <c r="Y882" t="s">
        <v>9865</v>
      </c>
      <c r="Z882" t="s">
        <v>9866</v>
      </c>
      <c r="AA882" t="s">
        <v>9867</v>
      </c>
      <c r="AB882" t="s">
        <v>4</v>
      </c>
      <c r="AC882" s="3" t="s">
        <v>9868</v>
      </c>
      <c r="AD882" t="s">
        <v>4</v>
      </c>
      <c r="AE882" t="s">
        <v>9869</v>
      </c>
      <c r="AF882" t="s">
        <v>9870</v>
      </c>
      <c r="AG882" t="s">
        <v>9871</v>
      </c>
      <c r="AH882" t="s">
        <v>112</v>
      </c>
      <c r="AU882" t="s">
        <v>112</v>
      </c>
      <c r="AV882" t="s">
        <v>9872</v>
      </c>
      <c r="AW882" t="s">
        <v>114</v>
      </c>
      <c r="AX882" t="s">
        <v>144</v>
      </c>
      <c r="AY882" t="s">
        <v>9873</v>
      </c>
      <c r="AZ882" t="s">
        <v>4</v>
      </c>
      <c r="BA882" s="3" t="s">
        <v>115</v>
      </c>
      <c r="BB882" s="6" t="s">
        <v>95</v>
      </c>
      <c r="BC882" s="3" t="s">
        <v>95</v>
      </c>
      <c r="BD882" t="s">
        <v>4</v>
      </c>
      <c r="BE882">
        <v>3972</v>
      </c>
      <c r="BF882" t="s">
        <v>112</v>
      </c>
      <c r="BG882">
        <v>94.532600000000002</v>
      </c>
      <c r="BH882">
        <v>79.012299999999996</v>
      </c>
      <c r="BI882">
        <v>84.479699999999994</v>
      </c>
      <c r="BJ882">
        <v>71.428600000000003</v>
      </c>
      <c r="BK882">
        <v>49.559100000000001</v>
      </c>
      <c r="BL882">
        <v>56.966500000000003</v>
      </c>
      <c r="BM882">
        <v>56.966500000000003</v>
      </c>
      <c r="BN882">
        <v>57.142899999999997</v>
      </c>
      <c r="BO882">
        <v>57.495600000000003</v>
      </c>
      <c r="BP882">
        <v>25.396799999999999</v>
      </c>
      <c r="BQ882">
        <v>22.398599999999998</v>
      </c>
      <c r="BW882">
        <v>26.8078</v>
      </c>
      <c r="BX882">
        <v>30.1587</v>
      </c>
      <c r="CA882" t="s">
        <v>9874</v>
      </c>
      <c r="CG882" t="s">
        <v>9875</v>
      </c>
      <c r="CH882" t="s">
        <v>9876</v>
      </c>
      <c r="CI882" t="s">
        <v>9877</v>
      </c>
      <c r="CK882">
        <v>5</v>
      </c>
      <c r="CL882" t="s">
        <v>4</v>
      </c>
      <c r="CM882" t="s">
        <v>9878</v>
      </c>
      <c r="CN882" t="s">
        <v>9879</v>
      </c>
      <c r="CO882" t="s">
        <v>1467</v>
      </c>
      <c r="CP882" s="7">
        <v>330</v>
      </c>
      <c r="CQ882" t="s">
        <v>100</v>
      </c>
      <c r="CR882" t="s">
        <v>100</v>
      </c>
      <c r="CS882" t="s">
        <v>101</v>
      </c>
      <c r="CT882" t="s">
        <v>100</v>
      </c>
      <c r="CU882" t="s">
        <v>102</v>
      </c>
      <c r="CV882" t="s">
        <v>100</v>
      </c>
    </row>
    <row r="883" spans="1:100">
      <c r="A883" s="3" t="s">
        <v>9880</v>
      </c>
      <c r="B883" s="4" t="s">
        <v>9881</v>
      </c>
      <c r="C883">
        <v>116.76967923746599</v>
      </c>
      <c r="D883">
        <v>49.920108296198599</v>
      </c>
      <c r="E883">
        <v>1.22841953602259</v>
      </c>
      <c r="F883">
        <v>4.5338809921134503E-2</v>
      </c>
      <c r="G883" t="s">
        <v>4</v>
      </c>
      <c r="H883">
        <v>116.76967923746599</v>
      </c>
      <c r="I883">
        <v>12.275432142698699</v>
      </c>
      <c r="J883">
        <v>3.20379464042658</v>
      </c>
      <c r="K883" s="5">
        <v>3.1952520989402998E-7</v>
      </c>
      <c r="L883" t="s">
        <v>4</v>
      </c>
      <c r="M883">
        <v>49.920108296198599</v>
      </c>
      <c r="N883">
        <v>12.275432142698699</v>
      </c>
      <c r="O883">
        <v>1.97537510440399</v>
      </c>
      <c r="P883">
        <v>2.2068266096403801E-3</v>
      </c>
      <c r="Q883" t="s">
        <v>4</v>
      </c>
      <c r="R883" s="4" t="s">
        <v>87</v>
      </c>
      <c r="S883" t="s">
        <v>4</v>
      </c>
      <c r="T883" t="s">
        <v>1201</v>
      </c>
      <c r="U883" t="s">
        <v>1202</v>
      </c>
      <c r="V883" t="s">
        <v>1203</v>
      </c>
      <c r="W883" t="s">
        <v>123</v>
      </c>
      <c r="X883" t="s">
        <v>4</v>
      </c>
      <c r="Y883" t="s">
        <v>9882</v>
      </c>
      <c r="Z883" t="s">
        <v>9883</v>
      </c>
      <c r="AA883" t="s">
        <v>9884</v>
      </c>
      <c r="AB883" t="s">
        <v>4</v>
      </c>
      <c r="AC883" s="3" t="s">
        <v>9885</v>
      </c>
      <c r="AD883" t="s">
        <v>4</v>
      </c>
      <c r="AE883" t="s">
        <v>9886</v>
      </c>
      <c r="AF883" t="s">
        <v>7194</v>
      </c>
      <c r="AG883" t="s">
        <v>9887</v>
      </c>
      <c r="AH883" t="s">
        <v>112</v>
      </c>
      <c r="AU883" t="s">
        <v>112</v>
      </c>
      <c r="AV883" t="s">
        <v>9888</v>
      </c>
      <c r="AW883" t="s">
        <v>114</v>
      </c>
      <c r="AX883" t="s">
        <v>144</v>
      </c>
      <c r="AY883" t="s">
        <v>4399</v>
      </c>
      <c r="AZ883" t="s">
        <v>4</v>
      </c>
      <c r="BA883" s="3" t="s">
        <v>95</v>
      </c>
      <c r="BB883" s="6" t="s">
        <v>95</v>
      </c>
      <c r="BC883" s="3" t="s">
        <v>95</v>
      </c>
      <c r="BD883" t="s">
        <v>4</v>
      </c>
      <c r="BE883">
        <v>4201</v>
      </c>
      <c r="BF883" t="s">
        <v>112</v>
      </c>
      <c r="BG883">
        <v>93.280600000000007</v>
      </c>
      <c r="BH883">
        <v>70.751000000000005</v>
      </c>
      <c r="BI883">
        <v>67.193700000000007</v>
      </c>
      <c r="BJ883">
        <v>71.146199999999993</v>
      </c>
      <c r="BK883">
        <v>67.984200000000001</v>
      </c>
      <c r="BL883">
        <v>36.363599999999998</v>
      </c>
      <c r="BM883">
        <v>67.193700000000007</v>
      </c>
      <c r="BP883">
        <v>38.735199999999999</v>
      </c>
      <c r="BR883">
        <v>29.644300000000001</v>
      </c>
      <c r="BZ883">
        <v>30.434799999999999</v>
      </c>
      <c r="CK883">
        <v>5</v>
      </c>
      <c r="CL883" t="s">
        <v>4</v>
      </c>
      <c r="CM883" t="s">
        <v>98</v>
      </c>
      <c r="CN883" t="s">
        <v>98</v>
      </c>
      <c r="CO883" t="s">
        <v>99</v>
      </c>
      <c r="CP883" s="7">
        <v>332</v>
      </c>
      <c r="CQ883" t="s">
        <v>100</v>
      </c>
      <c r="CR883" t="s">
        <v>100</v>
      </c>
      <c r="CS883" t="s">
        <v>101</v>
      </c>
      <c r="CT883" s="7" t="s">
        <v>152</v>
      </c>
      <c r="CU883" t="s">
        <v>102</v>
      </c>
      <c r="CV883" t="s">
        <v>100</v>
      </c>
    </row>
    <row r="884" spans="1:100">
      <c r="A884" s="3" t="s">
        <v>9889</v>
      </c>
      <c r="B884" s="4" t="s">
        <v>9890</v>
      </c>
      <c r="C884">
        <v>87.945506813232001</v>
      </c>
      <c r="D884">
        <v>23.5860837120394</v>
      </c>
      <c r="E884">
        <v>1.90279654378871</v>
      </c>
      <c r="F884">
        <v>6.0003644117269201E-3</v>
      </c>
      <c r="G884" t="s">
        <v>4</v>
      </c>
      <c r="H884">
        <v>87.945506813232001</v>
      </c>
      <c r="I884">
        <v>9.6948000027597896</v>
      </c>
      <c r="J884">
        <v>3.2025125337148799</v>
      </c>
      <c r="K884" s="5">
        <v>7.9006327523486104E-6</v>
      </c>
      <c r="L884" t="s">
        <v>4</v>
      </c>
      <c r="M884">
        <v>23.5860837120394</v>
      </c>
      <c r="N884">
        <v>9.6948000027597896</v>
      </c>
      <c r="O884">
        <v>1.2997159899261601</v>
      </c>
      <c r="P884">
        <v>9.4806953991265902E-2</v>
      </c>
      <c r="Q884" t="s">
        <v>4</v>
      </c>
      <c r="R884" s="4" t="s">
        <v>87</v>
      </c>
      <c r="S884" t="s">
        <v>4</v>
      </c>
      <c r="T884" t="s">
        <v>92</v>
      </c>
      <c r="U884" t="s">
        <v>92</v>
      </c>
      <c r="V884" t="s">
        <v>92</v>
      </c>
      <c r="W884" t="s">
        <v>92</v>
      </c>
      <c r="X884" t="s">
        <v>4</v>
      </c>
      <c r="Y884" t="s">
        <v>92</v>
      </c>
      <c r="Z884" t="s">
        <v>92</v>
      </c>
      <c r="AA884" t="s">
        <v>92</v>
      </c>
      <c r="AB884" t="s">
        <v>4</v>
      </c>
      <c r="AC884" s="3" t="s">
        <v>93</v>
      </c>
      <c r="AD884" t="s">
        <v>4</v>
      </c>
      <c r="AE884" s="4" t="s">
        <v>94</v>
      </c>
      <c r="AZ884" t="s">
        <v>4</v>
      </c>
      <c r="BA884" s="3" t="s">
        <v>95</v>
      </c>
      <c r="BB884" s="6" t="s">
        <v>95</v>
      </c>
      <c r="BC884" s="3" t="s">
        <v>95</v>
      </c>
      <c r="BD884" t="s">
        <v>4</v>
      </c>
      <c r="BE884">
        <v>1198</v>
      </c>
      <c r="BF884" t="s">
        <v>151</v>
      </c>
      <c r="BG884" t="s">
        <v>9891</v>
      </c>
      <c r="BJ884">
        <v>43.303600000000003</v>
      </c>
      <c r="BK884" t="s">
        <v>9892</v>
      </c>
      <c r="BO884">
        <v>33.482100000000003</v>
      </c>
      <c r="CK884">
        <v>2</v>
      </c>
      <c r="CL884" t="s">
        <v>4</v>
      </c>
      <c r="CM884" t="s">
        <v>98</v>
      </c>
      <c r="CN884" t="s">
        <v>98</v>
      </c>
      <c r="CO884" t="s">
        <v>99</v>
      </c>
      <c r="CP884" s="7">
        <v>333</v>
      </c>
      <c r="CQ884" t="s">
        <v>100</v>
      </c>
      <c r="CR884" t="s">
        <v>100</v>
      </c>
      <c r="CS884" t="s">
        <v>101</v>
      </c>
      <c r="CT884" t="s">
        <v>100</v>
      </c>
      <c r="CU884" t="s">
        <v>102</v>
      </c>
      <c r="CV884" t="s">
        <v>100</v>
      </c>
    </row>
    <row r="885" spans="1:100">
      <c r="A885" s="3" t="s">
        <v>9893</v>
      </c>
      <c r="B885" s="4" t="s">
        <v>9894</v>
      </c>
      <c r="C885">
        <v>114.54621467785999</v>
      </c>
      <c r="D885">
        <v>29.398411426553899</v>
      </c>
      <c r="E885">
        <v>1.9640329466795901</v>
      </c>
      <c r="F885">
        <v>5.09140621355938E-3</v>
      </c>
      <c r="G885" t="s">
        <v>4</v>
      </c>
      <c r="H885">
        <v>114.54621467785999</v>
      </c>
      <c r="I885">
        <v>12.903515927270901</v>
      </c>
      <c r="J885">
        <v>3.1766847562913698</v>
      </c>
      <c r="K885" s="5">
        <v>7.6006060533753402E-6</v>
      </c>
      <c r="L885" t="s">
        <v>4</v>
      </c>
      <c r="M885">
        <v>29.398411426553899</v>
      </c>
      <c r="N885">
        <v>12.903515927270901</v>
      </c>
      <c r="O885">
        <v>1.21265180961178</v>
      </c>
      <c r="P885">
        <v>0.116156599761747</v>
      </c>
      <c r="Q885" t="s">
        <v>4</v>
      </c>
      <c r="R885" s="4" t="s">
        <v>87</v>
      </c>
      <c r="S885" t="s">
        <v>4</v>
      </c>
      <c r="T885" t="s">
        <v>92</v>
      </c>
      <c r="U885" t="s">
        <v>92</v>
      </c>
      <c r="V885" t="s">
        <v>92</v>
      </c>
      <c r="W885" t="s">
        <v>92</v>
      </c>
      <c r="X885" t="s">
        <v>4</v>
      </c>
      <c r="Y885" t="s">
        <v>105</v>
      </c>
      <c r="Z885" t="s">
        <v>106</v>
      </c>
      <c r="AA885" t="s">
        <v>107</v>
      </c>
      <c r="AB885" t="s">
        <v>4</v>
      </c>
      <c r="AC885" s="3" t="s">
        <v>108</v>
      </c>
      <c r="AD885" t="s">
        <v>4</v>
      </c>
      <c r="AE885" s="4" t="s">
        <v>94</v>
      </c>
      <c r="AZ885" t="s">
        <v>4</v>
      </c>
      <c r="BA885" s="3" t="s">
        <v>95</v>
      </c>
      <c r="BB885" s="6" t="s">
        <v>95</v>
      </c>
      <c r="BC885" s="3" t="s">
        <v>95</v>
      </c>
      <c r="BD885" t="s">
        <v>4</v>
      </c>
      <c r="BE885">
        <v>2503</v>
      </c>
      <c r="BF885" t="s">
        <v>97</v>
      </c>
      <c r="BG885" t="s">
        <v>9895</v>
      </c>
      <c r="BH885">
        <v>93.193700000000007</v>
      </c>
      <c r="BI885">
        <v>86.125699999999995</v>
      </c>
      <c r="BJ885" t="s">
        <v>9896</v>
      </c>
      <c r="BK885">
        <v>47.382199999999997</v>
      </c>
      <c r="BL885">
        <v>47.643999999999998</v>
      </c>
      <c r="BM885">
        <v>47.382199999999997</v>
      </c>
      <c r="BN885">
        <v>58.115200000000002</v>
      </c>
      <c r="BO885">
        <v>48.691099999999999</v>
      </c>
      <c r="BP885">
        <v>18.586400000000001</v>
      </c>
      <c r="CK885">
        <v>4</v>
      </c>
      <c r="CL885" t="s">
        <v>4</v>
      </c>
      <c r="CM885" t="s">
        <v>98</v>
      </c>
      <c r="CN885" t="s">
        <v>98</v>
      </c>
      <c r="CO885" t="s">
        <v>99</v>
      </c>
      <c r="CP885" s="7">
        <v>334</v>
      </c>
      <c r="CQ885" t="s">
        <v>100</v>
      </c>
      <c r="CR885" t="s">
        <v>100</v>
      </c>
      <c r="CS885" t="s">
        <v>101</v>
      </c>
      <c r="CT885" t="s">
        <v>100</v>
      </c>
      <c r="CU885" t="s">
        <v>102</v>
      </c>
      <c r="CV885" t="s">
        <v>100</v>
      </c>
    </row>
    <row r="886" spans="1:100">
      <c r="A886" s="3" t="s">
        <v>9897</v>
      </c>
      <c r="B886" s="4" t="s">
        <v>9898</v>
      </c>
      <c r="C886">
        <v>22.618957019101799</v>
      </c>
      <c r="D886">
        <v>5.3711226251051603</v>
      </c>
      <c r="E886">
        <v>2.0769861867872002</v>
      </c>
      <c r="F886">
        <v>4.0321190865932999E-2</v>
      </c>
      <c r="G886" t="s">
        <v>4</v>
      </c>
      <c r="H886">
        <v>22.618957019101799</v>
      </c>
      <c r="I886">
        <v>2.3217785121788599</v>
      </c>
      <c r="J886">
        <v>3.1663127875343902</v>
      </c>
      <c r="K886">
        <v>4.5847952913095702E-3</v>
      </c>
      <c r="L886" t="s">
        <v>4</v>
      </c>
      <c r="M886">
        <v>5.3711226251051603</v>
      </c>
      <c r="N886">
        <v>2.3217785121788599</v>
      </c>
      <c r="O886">
        <v>1.08932660074718</v>
      </c>
      <c r="P886">
        <v>0.398682813172616</v>
      </c>
      <c r="Q886" t="s">
        <v>4</v>
      </c>
      <c r="R886" s="4" t="s">
        <v>87</v>
      </c>
      <c r="S886" t="s">
        <v>4</v>
      </c>
      <c r="T886" t="s">
        <v>1552</v>
      </c>
      <c r="U886" t="s">
        <v>1553</v>
      </c>
      <c r="V886" t="s">
        <v>1554</v>
      </c>
      <c r="W886" t="s">
        <v>328</v>
      </c>
      <c r="X886" t="s">
        <v>4</v>
      </c>
      <c r="Y886" t="s">
        <v>1555</v>
      </c>
      <c r="Z886" t="s">
        <v>1556</v>
      </c>
      <c r="AA886" t="s">
        <v>1557</v>
      </c>
      <c r="AB886" t="s">
        <v>4</v>
      </c>
      <c r="AC886" s="3" t="s">
        <v>1558</v>
      </c>
      <c r="AD886" t="s">
        <v>4</v>
      </c>
      <c r="AE886" t="s">
        <v>9899</v>
      </c>
      <c r="AF886" t="s">
        <v>9900</v>
      </c>
      <c r="AG886" t="s">
        <v>9901</v>
      </c>
      <c r="AH886" t="s">
        <v>112</v>
      </c>
      <c r="AU886" t="s">
        <v>112</v>
      </c>
      <c r="AV886" t="s">
        <v>9902</v>
      </c>
      <c r="AW886" t="s">
        <v>114</v>
      </c>
      <c r="AX886" t="s">
        <v>144</v>
      </c>
      <c r="AY886" t="s">
        <v>3095</v>
      </c>
      <c r="AZ886" t="s">
        <v>4</v>
      </c>
      <c r="BA886" s="3" t="s">
        <v>95</v>
      </c>
      <c r="BB886" t="s">
        <v>96</v>
      </c>
      <c r="BC886" s="3" t="s">
        <v>95</v>
      </c>
      <c r="BD886" t="s">
        <v>4</v>
      </c>
      <c r="BE886">
        <v>5500</v>
      </c>
      <c r="BF886" t="s">
        <v>386</v>
      </c>
      <c r="BG886">
        <v>90.250699999999995</v>
      </c>
      <c r="BH886">
        <v>35.375999999999998</v>
      </c>
      <c r="BL886">
        <v>53.760399999999997</v>
      </c>
      <c r="BM886">
        <v>74.094700000000003</v>
      </c>
      <c r="BN886">
        <v>74.094700000000003</v>
      </c>
      <c r="BO886">
        <v>65.738200000000006</v>
      </c>
      <c r="BP886">
        <v>61.8384</v>
      </c>
      <c r="BQ886">
        <v>39.832900000000002</v>
      </c>
      <c r="BR886">
        <v>45.4039</v>
      </c>
      <c r="BS886">
        <v>47.3538</v>
      </c>
      <c r="BU886">
        <v>44.846800000000002</v>
      </c>
      <c r="BV886" t="s">
        <v>9903</v>
      </c>
      <c r="BX886">
        <v>44.568199999999997</v>
      </c>
      <c r="BY886">
        <v>40.668500000000002</v>
      </c>
      <c r="BZ886">
        <v>44.011099999999999</v>
      </c>
      <c r="CA886">
        <v>43.732599999999998</v>
      </c>
      <c r="CB886">
        <v>28.412299999999998</v>
      </c>
      <c r="CD886">
        <v>25.069600000000001</v>
      </c>
      <c r="CE886">
        <v>19.777200000000001</v>
      </c>
      <c r="CF886">
        <v>22.5627</v>
      </c>
      <c r="CK886">
        <v>7</v>
      </c>
      <c r="CL886" t="s">
        <v>4</v>
      </c>
      <c r="CM886" t="s">
        <v>9904</v>
      </c>
      <c r="CN886" t="s">
        <v>9905</v>
      </c>
      <c r="CO886" t="s">
        <v>99</v>
      </c>
      <c r="CP886" s="7">
        <v>335</v>
      </c>
      <c r="CQ886" t="s">
        <v>100</v>
      </c>
      <c r="CR886" t="s">
        <v>100</v>
      </c>
      <c r="CS886" t="s">
        <v>101</v>
      </c>
      <c r="CT886" t="s">
        <v>100</v>
      </c>
      <c r="CU886" t="s">
        <v>102</v>
      </c>
      <c r="CV886" t="s">
        <v>100</v>
      </c>
    </row>
    <row r="887" spans="1:100">
      <c r="A887" s="3" t="s">
        <v>9906</v>
      </c>
      <c r="B887" s="4" t="s">
        <v>9907</v>
      </c>
      <c r="C887">
        <v>72.094427215353903</v>
      </c>
      <c r="D887">
        <v>22.299088107156901</v>
      </c>
      <c r="E887">
        <v>1.69865331868267</v>
      </c>
      <c r="F887">
        <v>9.7950444558948906E-3</v>
      </c>
      <c r="G887" t="s">
        <v>4</v>
      </c>
      <c r="H887">
        <v>72.094427215353903</v>
      </c>
      <c r="I887">
        <v>8.2553762540229805</v>
      </c>
      <c r="J887">
        <v>3.1658095706701599</v>
      </c>
      <c r="K887" s="5">
        <v>5.7740349986175703E-6</v>
      </c>
      <c r="L887" t="s">
        <v>4</v>
      </c>
      <c r="M887">
        <v>22.299088107156901</v>
      </c>
      <c r="N887">
        <v>8.2553762540229805</v>
      </c>
      <c r="O887">
        <v>1.4671562519874899</v>
      </c>
      <c r="P887">
        <v>5.0149647933419E-2</v>
      </c>
      <c r="Q887" t="s">
        <v>4</v>
      </c>
      <c r="R887" s="4" t="s">
        <v>87</v>
      </c>
      <c r="S887" t="s">
        <v>4</v>
      </c>
      <c r="T887" t="s">
        <v>88</v>
      </c>
      <c r="U887" t="s">
        <v>89</v>
      </c>
      <c r="V887" t="s">
        <v>90</v>
      </c>
      <c r="W887" t="s">
        <v>91</v>
      </c>
      <c r="X887" t="s">
        <v>4</v>
      </c>
      <c r="Y887" t="s">
        <v>2715</v>
      </c>
      <c r="Z887" t="s">
        <v>2716</v>
      </c>
      <c r="AA887" t="s">
        <v>2717</v>
      </c>
      <c r="AB887" t="s">
        <v>4</v>
      </c>
      <c r="AC887" s="3" t="s">
        <v>9908</v>
      </c>
      <c r="AD887" t="s">
        <v>4</v>
      </c>
      <c r="AE887" t="s">
        <v>9909</v>
      </c>
      <c r="AF887" t="s">
        <v>9910</v>
      </c>
      <c r="AG887" t="s">
        <v>9911</v>
      </c>
      <c r="AH887" t="s">
        <v>112</v>
      </c>
      <c r="AU887" t="s">
        <v>112</v>
      </c>
      <c r="AV887" t="s">
        <v>9912</v>
      </c>
      <c r="AW887" t="s">
        <v>114</v>
      </c>
      <c r="AZ887" t="s">
        <v>4</v>
      </c>
      <c r="BA887" s="3" t="s">
        <v>95</v>
      </c>
      <c r="BB887" t="s">
        <v>96</v>
      </c>
      <c r="BC887" s="3" t="s">
        <v>95</v>
      </c>
      <c r="BD887" t="s">
        <v>4</v>
      </c>
      <c r="BE887">
        <v>2891</v>
      </c>
      <c r="BF887" t="s">
        <v>97</v>
      </c>
      <c r="BG887">
        <v>87.872799999999998</v>
      </c>
      <c r="BI887">
        <v>69.383700000000005</v>
      </c>
      <c r="BJ887">
        <v>39.9602</v>
      </c>
      <c r="BL887">
        <v>51.093400000000003</v>
      </c>
      <c r="BM887">
        <v>59.045699999999997</v>
      </c>
      <c r="BN887">
        <v>68.787300000000002</v>
      </c>
      <c r="BO887">
        <v>37.375700000000002</v>
      </c>
      <c r="BP887" t="s">
        <v>9913</v>
      </c>
      <c r="CK887">
        <v>4</v>
      </c>
      <c r="CL887" t="s">
        <v>4</v>
      </c>
      <c r="CM887" t="s">
        <v>98</v>
      </c>
      <c r="CN887" t="s">
        <v>98</v>
      </c>
      <c r="CO887" t="s">
        <v>99</v>
      </c>
      <c r="CP887" s="7">
        <v>336</v>
      </c>
      <c r="CQ887" t="s">
        <v>100</v>
      </c>
      <c r="CR887" t="s">
        <v>100</v>
      </c>
      <c r="CS887" t="s">
        <v>101</v>
      </c>
      <c r="CT887" t="s">
        <v>100</v>
      </c>
      <c r="CU887" t="s">
        <v>102</v>
      </c>
      <c r="CV887" t="s">
        <v>100</v>
      </c>
    </row>
    <row r="888" spans="1:100">
      <c r="A888" s="3" t="s">
        <v>9914</v>
      </c>
      <c r="B888" s="4" t="s">
        <v>9915</v>
      </c>
      <c r="C888">
        <v>34.5942172964712</v>
      </c>
      <c r="D888">
        <v>6.2319696472728703</v>
      </c>
      <c r="E888">
        <v>2.4681093656908399</v>
      </c>
      <c r="F888">
        <v>2.6919602053622101E-2</v>
      </c>
      <c r="G888" t="s">
        <v>4</v>
      </c>
      <c r="H888">
        <v>34.5942172964712</v>
      </c>
      <c r="I888">
        <v>4.3039725945736196</v>
      </c>
      <c r="J888">
        <v>3.1631827972463298</v>
      </c>
      <c r="K888">
        <v>5.9454928358646103E-3</v>
      </c>
      <c r="L888" t="s">
        <v>4</v>
      </c>
      <c r="M888">
        <v>6.2319696472728703</v>
      </c>
      <c r="N888">
        <v>4.3039725945736196</v>
      </c>
      <c r="O888">
        <v>0.69507343155549495</v>
      </c>
      <c r="P888">
        <v>0.61635811654856598</v>
      </c>
      <c r="Q888" t="s">
        <v>4</v>
      </c>
      <c r="R888" s="4" t="s">
        <v>87</v>
      </c>
      <c r="S888" t="s">
        <v>4</v>
      </c>
      <c r="T888" t="s">
        <v>92</v>
      </c>
      <c r="U888" t="s">
        <v>92</v>
      </c>
      <c r="V888" t="s">
        <v>92</v>
      </c>
      <c r="W888" t="s">
        <v>92</v>
      </c>
      <c r="X888" t="s">
        <v>4</v>
      </c>
      <c r="Y888" t="s">
        <v>92</v>
      </c>
      <c r="Z888" t="s">
        <v>92</v>
      </c>
      <c r="AA888" t="s">
        <v>92</v>
      </c>
      <c r="AB888" t="s">
        <v>4</v>
      </c>
      <c r="AC888" s="3" t="s">
        <v>93</v>
      </c>
      <c r="AD888" t="s">
        <v>4</v>
      </c>
      <c r="AE888" s="4" t="s">
        <v>94</v>
      </c>
      <c r="AZ888" t="s">
        <v>4</v>
      </c>
      <c r="BA888" s="3" t="s">
        <v>95</v>
      </c>
      <c r="BB888" s="6" t="s">
        <v>95</v>
      </c>
      <c r="BC888" s="3" t="s">
        <v>95</v>
      </c>
      <c r="BD888" t="s">
        <v>4</v>
      </c>
      <c r="BE888">
        <v>804</v>
      </c>
      <c r="BF888" t="s">
        <v>604</v>
      </c>
      <c r="BH888">
        <v>60.416699999999999</v>
      </c>
      <c r="CK888">
        <v>1.5</v>
      </c>
      <c r="CL888" t="s">
        <v>4</v>
      </c>
      <c r="CM888" t="s">
        <v>98</v>
      </c>
      <c r="CN888" t="s">
        <v>98</v>
      </c>
      <c r="CO888" t="s">
        <v>99</v>
      </c>
      <c r="CP888" s="7">
        <v>337</v>
      </c>
      <c r="CQ888" t="s">
        <v>100</v>
      </c>
      <c r="CR888" t="s">
        <v>100</v>
      </c>
      <c r="CS888" t="s">
        <v>101</v>
      </c>
      <c r="CT888" t="s">
        <v>100</v>
      </c>
      <c r="CU888" t="s">
        <v>102</v>
      </c>
      <c r="CV888" t="s">
        <v>100</v>
      </c>
    </row>
    <row r="889" spans="1:100">
      <c r="A889" s="3" t="s">
        <v>9916</v>
      </c>
      <c r="B889" s="4" t="s">
        <v>9917</v>
      </c>
      <c r="C889">
        <v>38.779968121091301</v>
      </c>
      <c r="D889">
        <v>14.8574741919996</v>
      </c>
      <c r="E889">
        <v>1.3817571128169901</v>
      </c>
      <c r="F889">
        <v>4.7690221298905197E-2</v>
      </c>
      <c r="G889" t="s">
        <v>4</v>
      </c>
      <c r="H889">
        <v>38.779968121091301</v>
      </c>
      <c r="I889">
        <v>4.6662575324444697</v>
      </c>
      <c r="J889">
        <v>3.1540845385608498</v>
      </c>
      <c r="K889" s="5">
        <v>7.2994279596389795E-5</v>
      </c>
      <c r="L889" t="s">
        <v>4</v>
      </c>
      <c r="M889">
        <v>14.8574741919996</v>
      </c>
      <c r="N889">
        <v>4.6662575324444697</v>
      </c>
      <c r="O889">
        <v>1.7723274257438599</v>
      </c>
      <c r="P889">
        <v>3.5461725002803701E-2</v>
      </c>
      <c r="Q889" t="s">
        <v>4</v>
      </c>
      <c r="R889" s="4" t="s">
        <v>87</v>
      </c>
      <c r="S889" t="s">
        <v>4</v>
      </c>
      <c r="T889" t="s">
        <v>92</v>
      </c>
      <c r="U889" t="s">
        <v>92</v>
      </c>
      <c r="V889" t="s">
        <v>92</v>
      </c>
      <c r="W889" t="s">
        <v>92</v>
      </c>
      <c r="X889" t="s">
        <v>4</v>
      </c>
      <c r="Y889" t="s">
        <v>92</v>
      </c>
      <c r="Z889" t="s">
        <v>92</v>
      </c>
      <c r="AA889" t="s">
        <v>92</v>
      </c>
      <c r="AB889" t="s">
        <v>4</v>
      </c>
      <c r="AC889" s="3" t="s">
        <v>93</v>
      </c>
      <c r="AD889" t="s">
        <v>4</v>
      </c>
      <c r="AE889" s="4" t="s">
        <v>94</v>
      </c>
      <c r="AZ889" t="s">
        <v>4</v>
      </c>
      <c r="BA889" s="3" t="s">
        <v>95</v>
      </c>
      <c r="BB889" s="6" t="s">
        <v>95</v>
      </c>
      <c r="BC889" s="3" t="s">
        <v>95</v>
      </c>
      <c r="BD889" t="s">
        <v>4</v>
      </c>
      <c r="BE889">
        <v>1247</v>
      </c>
      <c r="BF889" t="s">
        <v>151</v>
      </c>
      <c r="BG889">
        <v>63.333300000000001</v>
      </c>
      <c r="BJ889" t="s">
        <v>9918</v>
      </c>
      <c r="BO889">
        <v>32</v>
      </c>
      <c r="CK889">
        <v>2</v>
      </c>
      <c r="CL889" t="s">
        <v>4</v>
      </c>
      <c r="CM889" t="s">
        <v>98</v>
      </c>
      <c r="CN889" t="s">
        <v>98</v>
      </c>
      <c r="CO889" t="s">
        <v>99</v>
      </c>
      <c r="CP889" s="7">
        <v>338</v>
      </c>
      <c r="CQ889" t="s">
        <v>100</v>
      </c>
      <c r="CR889" t="s">
        <v>100</v>
      </c>
      <c r="CS889" t="s">
        <v>101</v>
      </c>
      <c r="CT889" s="7" t="s">
        <v>152</v>
      </c>
      <c r="CU889" t="s">
        <v>102</v>
      </c>
      <c r="CV889" t="s">
        <v>100</v>
      </c>
    </row>
    <row r="890" spans="1:100">
      <c r="A890" s="3" t="s">
        <v>9919</v>
      </c>
      <c r="B890" s="4" t="s">
        <v>9920</v>
      </c>
      <c r="C890">
        <v>25.294292772936899</v>
      </c>
      <c r="D890">
        <v>4.4480717598041997</v>
      </c>
      <c r="E890">
        <v>2.5093528909996299</v>
      </c>
      <c r="F890">
        <v>1.04293328635203E-2</v>
      </c>
      <c r="G890" t="s">
        <v>4</v>
      </c>
      <c r="H890">
        <v>25.294292772936899</v>
      </c>
      <c r="I890">
        <v>3.0618995701889</v>
      </c>
      <c r="J890">
        <v>3.12734301665611</v>
      </c>
      <c r="K890">
        <v>3.0340275217136102E-3</v>
      </c>
      <c r="L890" t="s">
        <v>4</v>
      </c>
      <c r="M890">
        <v>4.4480717598041997</v>
      </c>
      <c r="N890">
        <v>3.0618995701889</v>
      </c>
      <c r="O890">
        <v>0.61799012565649003</v>
      </c>
      <c r="P890">
        <v>0.63874775500709202</v>
      </c>
      <c r="Q890" t="s">
        <v>4</v>
      </c>
      <c r="R890" s="4" t="s">
        <v>87</v>
      </c>
      <c r="S890" t="s">
        <v>4</v>
      </c>
      <c r="T890" t="s">
        <v>92</v>
      </c>
      <c r="U890" t="s">
        <v>92</v>
      </c>
      <c r="V890" t="s">
        <v>92</v>
      </c>
      <c r="W890" t="s">
        <v>92</v>
      </c>
      <c r="X890" t="s">
        <v>4</v>
      </c>
      <c r="Y890" t="s">
        <v>92</v>
      </c>
      <c r="Z890" t="s">
        <v>92</v>
      </c>
      <c r="AA890" t="s">
        <v>92</v>
      </c>
      <c r="AB890" t="s">
        <v>4</v>
      </c>
      <c r="AC890" s="3" t="s">
        <v>93</v>
      </c>
      <c r="AD890" t="s">
        <v>4</v>
      </c>
      <c r="AE890" s="4" t="s">
        <v>94</v>
      </c>
      <c r="AZ890" t="s">
        <v>4</v>
      </c>
      <c r="BA890" s="3" t="s">
        <v>95</v>
      </c>
      <c r="BB890" s="6" t="s">
        <v>95</v>
      </c>
      <c r="BC890" s="3" t="s">
        <v>95</v>
      </c>
      <c r="BD890" t="s">
        <v>4</v>
      </c>
      <c r="BE890">
        <v>1413</v>
      </c>
      <c r="BF890" t="s">
        <v>151</v>
      </c>
      <c r="BG890" t="s">
        <v>9921</v>
      </c>
      <c r="BH890">
        <v>91.855199999999996</v>
      </c>
      <c r="BI890">
        <v>73.303200000000004</v>
      </c>
      <c r="BJ890">
        <v>42.081400000000002</v>
      </c>
      <c r="BK890">
        <v>38.461500000000001</v>
      </c>
      <c r="BL890">
        <v>31.674199999999999</v>
      </c>
      <c r="BM890">
        <v>43.438899999999997</v>
      </c>
      <c r="BN890" t="s">
        <v>9922</v>
      </c>
      <c r="BO890">
        <v>39.366500000000002</v>
      </c>
      <c r="CK890">
        <v>2</v>
      </c>
      <c r="CL890" t="s">
        <v>4</v>
      </c>
      <c r="CM890" t="s">
        <v>98</v>
      </c>
      <c r="CN890" t="s">
        <v>98</v>
      </c>
      <c r="CO890" t="s">
        <v>99</v>
      </c>
      <c r="CP890" s="7">
        <v>340</v>
      </c>
      <c r="CQ890" t="s">
        <v>100</v>
      </c>
      <c r="CR890" t="s">
        <v>100</v>
      </c>
      <c r="CS890" t="s">
        <v>101</v>
      </c>
      <c r="CT890" t="s">
        <v>100</v>
      </c>
      <c r="CU890" t="s">
        <v>102</v>
      </c>
      <c r="CV890" t="s">
        <v>100</v>
      </c>
    </row>
    <row r="891" spans="1:100">
      <c r="A891" s="3" t="s">
        <v>9923</v>
      </c>
      <c r="B891" s="4" t="s">
        <v>9924</v>
      </c>
      <c r="C891">
        <v>48.887991260676898</v>
      </c>
      <c r="D891">
        <v>20.872719296483599</v>
      </c>
      <c r="E891">
        <v>1.23641850868988</v>
      </c>
      <c r="F891">
        <v>3.1559115532319E-2</v>
      </c>
      <c r="G891" t="s">
        <v>4</v>
      </c>
      <c r="H891">
        <v>48.887991260676898</v>
      </c>
      <c r="I891">
        <v>5.2742074858581303</v>
      </c>
      <c r="J891">
        <v>3.1167273420913899</v>
      </c>
      <c r="K891" s="5">
        <v>2.9027372960102601E-6</v>
      </c>
      <c r="L891" t="s">
        <v>4</v>
      </c>
      <c r="M891">
        <v>20.872719296483599</v>
      </c>
      <c r="N891">
        <v>5.2742074858581303</v>
      </c>
      <c r="O891">
        <v>1.8803088334015099</v>
      </c>
      <c r="P891">
        <v>7.03735570353796E-3</v>
      </c>
      <c r="Q891" t="s">
        <v>4</v>
      </c>
      <c r="R891" s="4" t="s">
        <v>87</v>
      </c>
      <c r="S891" t="s">
        <v>4</v>
      </c>
      <c r="T891" t="s">
        <v>4160</v>
      </c>
      <c r="U891" t="s">
        <v>4161</v>
      </c>
      <c r="V891" t="s">
        <v>4162</v>
      </c>
      <c r="W891" t="s">
        <v>203</v>
      </c>
      <c r="X891" t="s">
        <v>4</v>
      </c>
      <c r="Y891" t="s">
        <v>4163</v>
      </c>
      <c r="Z891" t="s">
        <v>4164</v>
      </c>
      <c r="AA891" t="s">
        <v>4165</v>
      </c>
      <c r="AB891" t="s">
        <v>4</v>
      </c>
      <c r="AC891" s="3" t="s">
        <v>4166</v>
      </c>
      <c r="AD891" t="s">
        <v>4</v>
      </c>
      <c r="AE891" t="s">
        <v>9925</v>
      </c>
      <c r="AF891" t="s">
        <v>9926</v>
      </c>
      <c r="AG891" t="s">
        <v>9927</v>
      </c>
      <c r="AH891" t="s">
        <v>638</v>
      </c>
      <c r="AU891" t="s">
        <v>112</v>
      </c>
      <c r="AV891" t="s">
        <v>9928</v>
      </c>
      <c r="AW891" t="s">
        <v>114</v>
      </c>
      <c r="AX891" t="s">
        <v>536</v>
      </c>
      <c r="AY891" t="s">
        <v>9929</v>
      </c>
      <c r="AZ891" t="s">
        <v>4</v>
      </c>
      <c r="BA891" s="3" t="s">
        <v>95</v>
      </c>
      <c r="BB891" s="6" t="s">
        <v>95</v>
      </c>
      <c r="BC891" s="3" t="s">
        <v>95</v>
      </c>
      <c r="BD891" t="s">
        <v>4</v>
      </c>
      <c r="BE891">
        <v>6120</v>
      </c>
      <c r="BF891" t="s">
        <v>213</v>
      </c>
      <c r="BG891">
        <v>36.144599999999997</v>
      </c>
      <c r="BI891">
        <v>80.321299999999994</v>
      </c>
      <c r="BQ891" t="s">
        <v>9930</v>
      </c>
      <c r="BR891" t="s">
        <v>9931</v>
      </c>
      <c r="BS891" t="s">
        <v>9932</v>
      </c>
      <c r="BW891" t="s">
        <v>9933</v>
      </c>
      <c r="BY891">
        <v>8.8353400000000004</v>
      </c>
      <c r="BZ891">
        <v>10.843400000000001</v>
      </c>
      <c r="CA891">
        <v>28.7149</v>
      </c>
      <c r="CC891">
        <v>24.698799999999999</v>
      </c>
      <c r="CF891">
        <v>24.698799999999999</v>
      </c>
      <c r="CI891">
        <v>24.2972</v>
      </c>
      <c r="CK891">
        <v>8</v>
      </c>
      <c r="CL891" t="s">
        <v>4</v>
      </c>
      <c r="CM891" t="s">
        <v>4177</v>
      </c>
      <c r="CN891" t="s">
        <v>9934</v>
      </c>
      <c r="CO891" t="s">
        <v>219</v>
      </c>
      <c r="CP891" s="7">
        <v>341</v>
      </c>
      <c r="CQ891" t="s">
        <v>100</v>
      </c>
      <c r="CR891" t="s">
        <v>100</v>
      </c>
      <c r="CS891" t="s">
        <v>101</v>
      </c>
      <c r="CT891" s="7" t="s">
        <v>152</v>
      </c>
      <c r="CU891" t="s">
        <v>102</v>
      </c>
      <c r="CV891" t="s">
        <v>100</v>
      </c>
    </row>
    <row r="892" spans="1:100">
      <c r="A892" s="3" t="s">
        <v>9935</v>
      </c>
      <c r="B892" s="4" t="s">
        <v>9936</v>
      </c>
      <c r="C892">
        <v>109.692224700151</v>
      </c>
      <c r="D892">
        <v>35.873041229271301</v>
      </c>
      <c r="E892">
        <v>1.61428539447886</v>
      </c>
      <c r="F892">
        <v>1.3557110167226501E-3</v>
      </c>
      <c r="G892" t="s">
        <v>4</v>
      </c>
      <c r="H892">
        <v>109.692224700151</v>
      </c>
      <c r="I892">
        <v>12.543797666328301</v>
      </c>
      <c r="J892">
        <v>3.1139142212870001</v>
      </c>
      <c r="K892" s="5">
        <v>7.3813803305781902E-9</v>
      </c>
      <c r="L892" t="s">
        <v>4</v>
      </c>
      <c r="M892">
        <v>35.873041229271301</v>
      </c>
      <c r="N892">
        <v>12.543797666328301</v>
      </c>
      <c r="O892">
        <v>1.4996288268081299</v>
      </c>
      <c r="P892">
        <v>8.6692868265130993E-3</v>
      </c>
      <c r="Q892" t="s">
        <v>4</v>
      </c>
      <c r="R892" s="4" t="s">
        <v>87</v>
      </c>
      <c r="S892" t="s">
        <v>4</v>
      </c>
      <c r="T892" t="s">
        <v>9937</v>
      </c>
      <c r="U892" t="s">
        <v>9938</v>
      </c>
      <c r="V892" t="s">
        <v>9939</v>
      </c>
      <c r="W892" t="s">
        <v>328</v>
      </c>
      <c r="X892" t="s">
        <v>4</v>
      </c>
      <c r="Y892" t="s">
        <v>9940</v>
      </c>
      <c r="Z892" t="s">
        <v>9941</v>
      </c>
      <c r="AA892" t="s">
        <v>9942</v>
      </c>
      <c r="AB892" t="s">
        <v>4</v>
      </c>
      <c r="AC892" s="3" t="s">
        <v>9943</v>
      </c>
      <c r="AD892" t="s">
        <v>4</v>
      </c>
      <c r="AE892" t="s">
        <v>9944</v>
      </c>
      <c r="AF892" t="s">
        <v>834</v>
      </c>
      <c r="AG892" t="s">
        <v>9945</v>
      </c>
      <c r="AH892" t="s">
        <v>112</v>
      </c>
      <c r="AJ892" t="s">
        <v>3130</v>
      </c>
      <c r="AL892" t="s">
        <v>3131</v>
      </c>
      <c r="AM892" t="s">
        <v>3132</v>
      </c>
      <c r="AQ892" t="s">
        <v>3133</v>
      </c>
      <c r="AR892" t="s">
        <v>3134</v>
      </c>
      <c r="AU892" t="s">
        <v>112</v>
      </c>
      <c r="AV892" t="s">
        <v>3135</v>
      </c>
      <c r="AW892" t="s">
        <v>114</v>
      </c>
      <c r="AX892" t="s">
        <v>1345</v>
      </c>
      <c r="AY892" t="s">
        <v>3136</v>
      </c>
      <c r="AZ892" t="s">
        <v>4</v>
      </c>
      <c r="BA892" s="3" t="s">
        <v>115</v>
      </c>
      <c r="BB892" t="s">
        <v>96</v>
      </c>
      <c r="BC892" s="3" t="s">
        <v>95</v>
      </c>
      <c r="BD892" t="s">
        <v>4</v>
      </c>
      <c r="BE892">
        <v>5014</v>
      </c>
      <c r="BF892" t="s">
        <v>282</v>
      </c>
      <c r="BG892">
        <v>98.6858</v>
      </c>
      <c r="BH892">
        <v>99.880499999999998</v>
      </c>
      <c r="BI892">
        <v>96.415800000000004</v>
      </c>
      <c r="BJ892">
        <v>87.574700000000007</v>
      </c>
      <c r="BK892">
        <v>85.543599999999998</v>
      </c>
      <c r="BL892">
        <v>81.959400000000002</v>
      </c>
      <c r="BM892">
        <v>81.720399999999998</v>
      </c>
      <c r="BN892">
        <v>85.424099999999996</v>
      </c>
      <c r="BO892" t="s">
        <v>9946</v>
      </c>
      <c r="BP892">
        <v>66.188800000000001</v>
      </c>
      <c r="BQ892" t="s">
        <v>9947</v>
      </c>
      <c r="BR892">
        <v>59.020299999999999</v>
      </c>
      <c r="BS892" t="s">
        <v>9948</v>
      </c>
      <c r="BT892">
        <v>30.824400000000001</v>
      </c>
      <c r="BU892">
        <v>52.688200000000002</v>
      </c>
      <c r="BV892" t="s">
        <v>9949</v>
      </c>
      <c r="BW892" t="s">
        <v>9950</v>
      </c>
      <c r="BX892" t="s">
        <v>9951</v>
      </c>
      <c r="BY892" t="s">
        <v>9952</v>
      </c>
      <c r="BZ892" t="s">
        <v>9953</v>
      </c>
      <c r="CA892">
        <v>52.090800000000002</v>
      </c>
      <c r="CB892">
        <v>40.382300000000001</v>
      </c>
      <c r="CC892">
        <v>35.006</v>
      </c>
      <c r="CD892">
        <v>44.444400000000002</v>
      </c>
      <c r="CG892" t="s">
        <v>9954</v>
      </c>
      <c r="CH892" t="s">
        <v>9955</v>
      </c>
      <c r="CI892" t="s">
        <v>9956</v>
      </c>
      <c r="CK892">
        <v>6</v>
      </c>
      <c r="CL892" t="s">
        <v>4</v>
      </c>
      <c r="CM892" t="s">
        <v>3147</v>
      </c>
      <c r="CN892" t="s">
        <v>9957</v>
      </c>
      <c r="CO892" t="s">
        <v>663</v>
      </c>
      <c r="CP892" s="7">
        <v>342</v>
      </c>
      <c r="CQ892" t="s">
        <v>100</v>
      </c>
      <c r="CR892" t="s">
        <v>100</v>
      </c>
      <c r="CS892" t="s">
        <v>101</v>
      </c>
      <c r="CT892" s="7" t="s">
        <v>152</v>
      </c>
      <c r="CU892" t="s">
        <v>102</v>
      </c>
      <c r="CV892" t="s">
        <v>100</v>
      </c>
    </row>
    <row r="893" spans="1:100">
      <c r="A893" s="3" t="s">
        <v>9958</v>
      </c>
      <c r="B893" s="4" t="s">
        <v>9959</v>
      </c>
      <c r="C893">
        <v>35.958759736856898</v>
      </c>
      <c r="D893">
        <v>6.4124259595841098</v>
      </c>
      <c r="E893">
        <v>2.4750362329821698</v>
      </c>
      <c r="F893">
        <v>1.0854675267003301E-2</v>
      </c>
      <c r="G893" t="s">
        <v>4</v>
      </c>
      <c r="H893">
        <v>35.958759736856898</v>
      </c>
      <c r="I893">
        <v>4.2197691830789097</v>
      </c>
      <c r="J893">
        <v>3.1068866174356602</v>
      </c>
      <c r="K893">
        <v>2.1840295432498801E-3</v>
      </c>
      <c r="L893" t="s">
        <v>4</v>
      </c>
      <c r="M893">
        <v>6.4124259595841098</v>
      </c>
      <c r="N893">
        <v>4.2197691830789097</v>
      </c>
      <c r="O893">
        <v>0.63185038445349395</v>
      </c>
      <c r="P893">
        <v>0.61047726302604699</v>
      </c>
      <c r="Q893" t="s">
        <v>4</v>
      </c>
      <c r="R893" s="4" t="s">
        <v>87</v>
      </c>
      <c r="S893" t="s">
        <v>4</v>
      </c>
      <c r="T893" t="s">
        <v>9960</v>
      </c>
      <c r="U893" t="s">
        <v>9961</v>
      </c>
      <c r="V893" t="s">
        <v>9962</v>
      </c>
      <c r="W893" t="s">
        <v>1845</v>
      </c>
      <c r="X893" t="s">
        <v>4</v>
      </c>
      <c r="Y893" t="s">
        <v>9963</v>
      </c>
      <c r="Z893" t="s">
        <v>9964</v>
      </c>
      <c r="AA893" t="s">
        <v>9965</v>
      </c>
      <c r="AB893" t="s">
        <v>4</v>
      </c>
      <c r="AC893" s="3" t="s">
        <v>9966</v>
      </c>
      <c r="AD893" t="s">
        <v>4</v>
      </c>
      <c r="AE893" t="s">
        <v>9967</v>
      </c>
      <c r="AF893" t="s">
        <v>9968</v>
      </c>
      <c r="AG893" t="s">
        <v>9969</v>
      </c>
      <c r="AH893" t="s">
        <v>112</v>
      </c>
      <c r="AJ893" t="s">
        <v>9970</v>
      </c>
      <c r="AL893" t="s">
        <v>9971</v>
      </c>
      <c r="AM893" t="s">
        <v>9972</v>
      </c>
      <c r="AQ893" t="s">
        <v>1584</v>
      </c>
      <c r="AU893" t="s">
        <v>112</v>
      </c>
      <c r="AV893" t="s">
        <v>9973</v>
      </c>
      <c r="AW893" t="s">
        <v>114</v>
      </c>
      <c r="AX893" t="s">
        <v>371</v>
      </c>
      <c r="AY893" t="s">
        <v>9648</v>
      </c>
      <c r="AZ893" t="s">
        <v>4</v>
      </c>
      <c r="BA893" s="3" t="s">
        <v>95</v>
      </c>
      <c r="BB893" s="6" t="s">
        <v>95</v>
      </c>
      <c r="BC893" s="3" t="s">
        <v>95</v>
      </c>
      <c r="BD893" t="s">
        <v>4</v>
      </c>
      <c r="BE893">
        <v>7171</v>
      </c>
      <c r="BF893" t="s">
        <v>213</v>
      </c>
      <c r="BG893">
        <v>96.333299999999994</v>
      </c>
      <c r="BI893">
        <v>55.333300000000001</v>
      </c>
      <c r="BJ893">
        <v>88</v>
      </c>
      <c r="BK893">
        <v>76.666700000000006</v>
      </c>
      <c r="BL893">
        <v>35</v>
      </c>
      <c r="BM893">
        <v>83</v>
      </c>
      <c r="BN893">
        <v>83</v>
      </c>
      <c r="BO893">
        <v>86</v>
      </c>
      <c r="BP893">
        <v>53.666699999999999</v>
      </c>
      <c r="BQ893">
        <v>38.666699999999999</v>
      </c>
      <c r="BR893">
        <v>33.333300000000001</v>
      </c>
      <c r="BS893">
        <v>5.3333300000000001</v>
      </c>
      <c r="BT893">
        <v>30.333300000000001</v>
      </c>
      <c r="BU893">
        <v>20.333300000000001</v>
      </c>
      <c r="BV893" t="s">
        <v>9974</v>
      </c>
      <c r="BW893">
        <v>38</v>
      </c>
      <c r="BX893">
        <v>41.333300000000001</v>
      </c>
      <c r="BZ893">
        <v>29</v>
      </c>
      <c r="CA893">
        <v>39.666699999999999</v>
      </c>
      <c r="CB893">
        <v>42</v>
      </c>
      <c r="CC893">
        <v>37</v>
      </c>
      <c r="CD893">
        <v>34.666699999999999</v>
      </c>
      <c r="CF893">
        <v>25.333300000000001</v>
      </c>
      <c r="CG893" t="s">
        <v>9975</v>
      </c>
      <c r="CH893" t="s">
        <v>9976</v>
      </c>
      <c r="CI893" t="s">
        <v>9977</v>
      </c>
      <c r="CK893">
        <v>8</v>
      </c>
      <c r="CL893" t="s">
        <v>4</v>
      </c>
      <c r="CM893" t="s">
        <v>9978</v>
      </c>
      <c r="CN893" t="s">
        <v>9979</v>
      </c>
      <c r="CO893" t="s">
        <v>99</v>
      </c>
      <c r="CP893" s="7">
        <v>343</v>
      </c>
      <c r="CQ893" t="s">
        <v>100</v>
      </c>
      <c r="CR893" t="s">
        <v>100</v>
      </c>
      <c r="CS893" t="s">
        <v>101</v>
      </c>
      <c r="CT893" t="s">
        <v>100</v>
      </c>
      <c r="CU893" t="s">
        <v>102</v>
      </c>
      <c r="CV893" t="s">
        <v>100</v>
      </c>
    </row>
    <row r="894" spans="1:100">
      <c r="A894" s="3" t="s">
        <v>9980</v>
      </c>
      <c r="B894" s="4" t="s">
        <v>9981</v>
      </c>
      <c r="C894">
        <v>85.573952775499393</v>
      </c>
      <c r="D894">
        <v>22.895711817229</v>
      </c>
      <c r="E894">
        <v>1.9071371281524001</v>
      </c>
      <c r="F894">
        <v>3.1459188887907497E-2</v>
      </c>
      <c r="G894" t="s">
        <v>4</v>
      </c>
      <c r="H894">
        <v>85.573952775499393</v>
      </c>
      <c r="I894">
        <v>10.0378570420146</v>
      </c>
      <c r="J894">
        <v>3.1037659450613799</v>
      </c>
      <c r="K894">
        <v>4.6168265703969201E-4</v>
      </c>
      <c r="L894" t="s">
        <v>4</v>
      </c>
      <c r="M894">
        <v>22.895711817229</v>
      </c>
      <c r="N894">
        <v>10.0378570420146</v>
      </c>
      <c r="O894">
        <v>1.19662881690898</v>
      </c>
      <c r="P894">
        <v>0.21733827137426801</v>
      </c>
      <c r="Q894" t="s">
        <v>4</v>
      </c>
      <c r="R894" s="4" t="s">
        <v>87</v>
      </c>
      <c r="S894" t="s">
        <v>4</v>
      </c>
      <c r="T894" t="s">
        <v>92</v>
      </c>
      <c r="U894" t="s">
        <v>92</v>
      </c>
      <c r="V894" t="s">
        <v>92</v>
      </c>
      <c r="W894" t="s">
        <v>92</v>
      </c>
      <c r="X894" t="s">
        <v>4</v>
      </c>
      <c r="Y894" t="s">
        <v>92</v>
      </c>
      <c r="Z894" t="s">
        <v>92</v>
      </c>
      <c r="AA894" t="s">
        <v>92</v>
      </c>
      <c r="AB894" t="s">
        <v>4</v>
      </c>
      <c r="AC894" s="3" t="s">
        <v>93</v>
      </c>
      <c r="AD894" t="s">
        <v>4</v>
      </c>
      <c r="AE894" s="4" t="s">
        <v>94</v>
      </c>
      <c r="AZ894" t="s">
        <v>4</v>
      </c>
      <c r="BA894" s="3" t="s">
        <v>115</v>
      </c>
      <c r="BB894" s="6" t="s">
        <v>95</v>
      </c>
      <c r="BC894" s="3" t="s">
        <v>95</v>
      </c>
      <c r="BD894" t="s">
        <v>4</v>
      </c>
      <c r="BE894">
        <v>2210</v>
      </c>
      <c r="BF894" t="s">
        <v>148</v>
      </c>
      <c r="BG894">
        <v>94.807400000000001</v>
      </c>
      <c r="BH894">
        <v>100</v>
      </c>
      <c r="BI894">
        <v>85.427099999999996</v>
      </c>
      <c r="BJ894">
        <v>54.2714</v>
      </c>
      <c r="BK894">
        <v>43.0486</v>
      </c>
      <c r="BL894" t="s">
        <v>9982</v>
      </c>
      <c r="BM894">
        <v>44.723599999999998</v>
      </c>
      <c r="BN894">
        <v>44.556100000000001</v>
      </c>
      <c r="CK894">
        <v>3</v>
      </c>
      <c r="CL894" t="s">
        <v>4</v>
      </c>
      <c r="CM894" t="s">
        <v>98</v>
      </c>
      <c r="CN894" t="s">
        <v>98</v>
      </c>
      <c r="CO894" t="s">
        <v>99</v>
      </c>
      <c r="CP894" s="7">
        <v>344</v>
      </c>
      <c r="CQ894" t="s">
        <v>100</v>
      </c>
      <c r="CR894" t="s">
        <v>100</v>
      </c>
      <c r="CS894" t="s">
        <v>101</v>
      </c>
      <c r="CT894" t="s">
        <v>100</v>
      </c>
      <c r="CU894" t="s">
        <v>102</v>
      </c>
      <c r="CV894" t="s">
        <v>100</v>
      </c>
    </row>
    <row r="895" spans="1:100">
      <c r="A895" s="3" t="s">
        <v>9983</v>
      </c>
      <c r="B895" s="4" t="s">
        <v>9984</v>
      </c>
      <c r="C895">
        <v>104.499257253864</v>
      </c>
      <c r="D895">
        <v>20.4119942572047</v>
      </c>
      <c r="E895">
        <v>2.3586348373711301</v>
      </c>
      <c r="F895">
        <v>2.28326197356407E-2</v>
      </c>
      <c r="G895" t="s">
        <v>4</v>
      </c>
      <c r="H895">
        <v>104.499257253864</v>
      </c>
      <c r="I895">
        <v>12.2981326507854</v>
      </c>
      <c r="J895">
        <v>3.08739404960563</v>
      </c>
      <c r="K895">
        <v>2.4447715033628602E-3</v>
      </c>
      <c r="L895" t="s">
        <v>4</v>
      </c>
      <c r="M895">
        <v>20.4119942572047</v>
      </c>
      <c r="N895">
        <v>12.2981326507854</v>
      </c>
      <c r="O895">
        <v>0.72875921223449902</v>
      </c>
      <c r="P895">
        <v>0.53632205258257204</v>
      </c>
      <c r="Q895" t="s">
        <v>4</v>
      </c>
      <c r="R895" s="4" t="s">
        <v>87</v>
      </c>
      <c r="S895" t="s">
        <v>4</v>
      </c>
      <c r="T895" t="s">
        <v>92</v>
      </c>
      <c r="U895" t="s">
        <v>92</v>
      </c>
      <c r="V895" t="s">
        <v>92</v>
      </c>
      <c r="W895" t="s">
        <v>92</v>
      </c>
      <c r="X895" t="s">
        <v>4</v>
      </c>
      <c r="Y895" t="s">
        <v>9985</v>
      </c>
      <c r="Z895" t="s">
        <v>9986</v>
      </c>
      <c r="AA895" t="s">
        <v>9986</v>
      </c>
      <c r="AB895" t="s">
        <v>4</v>
      </c>
      <c r="AC895" s="3" t="s">
        <v>9987</v>
      </c>
      <c r="AD895" t="s">
        <v>4</v>
      </c>
      <c r="AE895" t="s">
        <v>9988</v>
      </c>
      <c r="AF895" t="s">
        <v>9989</v>
      </c>
      <c r="AG895" t="s">
        <v>9990</v>
      </c>
      <c r="AH895" t="s">
        <v>112</v>
      </c>
      <c r="AU895" t="s">
        <v>112</v>
      </c>
      <c r="AV895" t="s">
        <v>9991</v>
      </c>
      <c r="AW895" t="s">
        <v>114</v>
      </c>
      <c r="AX895" t="s">
        <v>144</v>
      </c>
      <c r="AY895" t="s">
        <v>9992</v>
      </c>
      <c r="AZ895" t="s">
        <v>4</v>
      </c>
      <c r="BA895" s="3" t="s">
        <v>115</v>
      </c>
      <c r="BB895" s="6" t="s">
        <v>95</v>
      </c>
      <c r="BC895" s="3" t="s">
        <v>95</v>
      </c>
      <c r="BD895" t="s">
        <v>4</v>
      </c>
      <c r="BE895">
        <v>4830</v>
      </c>
      <c r="BF895" t="s">
        <v>282</v>
      </c>
      <c r="BG895">
        <v>81.074200000000005</v>
      </c>
      <c r="BH895">
        <v>38.363199999999999</v>
      </c>
      <c r="BJ895">
        <v>76.726299999999995</v>
      </c>
      <c r="BK895">
        <v>66.240399999999994</v>
      </c>
      <c r="BL895">
        <v>70.076700000000002</v>
      </c>
      <c r="BM895">
        <v>53.196899999999999</v>
      </c>
      <c r="BN895">
        <v>78.516599999999997</v>
      </c>
      <c r="BO895">
        <v>75.191800000000001</v>
      </c>
      <c r="BP895">
        <v>63.938600000000001</v>
      </c>
      <c r="BQ895">
        <v>48.8491</v>
      </c>
      <c r="BR895">
        <v>52.941200000000002</v>
      </c>
      <c r="BS895">
        <v>51.1509</v>
      </c>
      <c r="BT895">
        <v>50.895099999999999</v>
      </c>
      <c r="BU895">
        <v>34.526899999999998</v>
      </c>
      <c r="BV895" t="s">
        <v>9993</v>
      </c>
      <c r="BW895">
        <v>48.593299999999999</v>
      </c>
      <c r="BX895">
        <v>46.803100000000001</v>
      </c>
      <c r="BY895">
        <v>17.902799999999999</v>
      </c>
      <c r="BZ895">
        <v>40.920699999999997</v>
      </c>
      <c r="CA895">
        <v>50.895099999999999</v>
      </c>
      <c r="CB895" t="s">
        <v>9994</v>
      </c>
      <c r="CD895">
        <v>34.782600000000002</v>
      </c>
      <c r="CE895">
        <v>6.6496199999999996</v>
      </c>
      <c r="CF895" t="s">
        <v>9995</v>
      </c>
      <c r="CG895" t="s">
        <v>9996</v>
      </c>
      <c r="CH895" t="s">
        <v>9997</v>
      </c>
      <c r="CI895" t="s">
        <v>9998</v>
      </c>
      <c r="CK895">
        <v>6</v>
      </c>
      <c r="CL895" t="s">
        <v>4</v>
      </c>
      <c r="CM895" t="s">
        <v>9999</v>
      </c>
      <c r="CN895" t="s">
        <v>10000</v>
      </c>
      <c r="CO895" t="s">
        <v>219</v>
      </c>
      <c r="CP895" s="7">
        <v>345</v>
      </c>
      <c r="CQ895" t="s">
        <v>100</v>
      </c>
      <c r="CR895" t="s">
        <v>100</v>
      </c>
      <c r="CS895" t="s">
        <v>101</v>
      </c>
      <c r="CT895" t="s">
        <v>100</v>
      </c>
      <c r="CU895" t="s">
        <v>102</v>
      </c>
      <c r="CV895" t="s">
        <v>100</v>
      </c>
    </row>
    <row r="896" spans="1:100">
      <c r="A896" s="3" t="s">
        <v>10001</v>
      </c>
      <c r="B896" s="4" t="s">
        <v>10002</v>
      </c>
      <c r="C896">
        <v>73.552864725453205</v>
      </c>
      <c r="D896">
        <v>17.244853872364899</v>
      </c>
      <c r="E896">
        <v>2.09101180396874</v>
      </c>
      <c r="F896">
        <v>1.7944883866580701E-2</v>
      </c>
      <c r="G896" t="s">
        <v>4</v>
      </c>
      <c r="H896">
        <v>73.552864725453205</v>
      </c>
      <c r="I896">
        <v>8.61766119189382</v>
      </c>
      <c r="J896">
        <v>3.08455690412644</v>
      </c>
      <c r="K896">
        <v>5.34625737845134E-4</v>
      </c>
      <c r="L896" t="s">
        <v>4</v>
      </c>
      <c r="M896">
        <v>17.244853872364899</v>
      </c>
      <c r="N896">
        <v>8.61766119189382</v>
      </c>
      <c r="O896">
        <v>0.99354510015770303</v>
      </c>
      <c r="P896">
        <v>0.32047316364045603</v>
      </c>
      <c r="Q896" t="s">
        <v>4</v>
      </c>
      <c r="R896" s="4" t="s">
        <v>87</v>
      </c>
      <c r="S896" t="s">
        <v>4</v>
      </c>
      <c r="T896" t="s">
        <v>88</v>
      </c>
      <c r="U896" t="s">
        <v>89</v>
      </c>
      <c r="V896" t="s">
        <v>90</v>
      </c>
      <c r="W896" t="s">
        <v>91</v>
      </c>
      <c r="X896" t="s">
        <v>4</v>
      </c>
      <c r="Y896" t="s">
        <v>1801</v>
      </c>
      <c r="Z896" t="s">
        <v>1802</v>
      </c>
      <c r="AA896" t="s">
        <v>1803</v>
      </c>
      <c r="AB896" t="s">
        <v>4</v>
      </c>
      <c r="AC896" s="3" t="s">
        <v>10003</v>
      </c>
      <c r="AD896" t="s">
        <v>4</v>
      </c>
      <c r="AE896" t="s">
        <v>10004</v>
      </c>
      <c r="AF896" t="s">
        <v>10005</v>
      </c>
      <c r="AG896" t="s">
        <v>7597</v>
      </c>
      <c r="AH896" t="s">
        <v>638</v>
      </c>
      <c r="AU896" t="s">
        <v>112</v>
      </c>
      <c r="AV896" t="s">
        <v>10006</v>
      </c>
      <c r="AW896" t="s">
        <v>114</v>
      </c>
      <c r="AX896" t="s">
        <v>144</v>
      </c>
      <c r="AY896" t="s">
        <v>3750</v>
      </c>
      <c r="AZ896" t="s">
        <v>4</v>
      </c>
      <c r="BA896" s="3" t="s">
        <v>95</v>
      </c>
      <c r="BB896" t="s">
        <v>96</v>
      </c>
      <c r="BC896" s="3" t="s">
        <v>95</v>
      </c>
      <c r="BD896" t="s">
        <v>4</v>
      </c>
      <c r="BE896">
        <v>295</v>
      </c>
      <c r="BF896" t="s">
        <v>322</v>
      </c>
      <c r="CK896">
        <v>1</v>
      </c>
      <c r="CL896" t="s">
        <v>4</v>
      </c>
      <c r="CM896" t="s">
        <v>98</v>
      </c>
      <c r="CN896" t="s">
        <v>98</v>
      </c>
      <c r="CO896" t="s">
        <v>99</v>
      </c>
      <c r="CP896" s="7">
        <v>346</v>
      </c>
      <c r="CQ896" t="s">
        <v>100</v>
      </c>
      <c r="CR896" t="s">
        <v>100</v>
      </c>
      <c r="CS896" t="s">
        <v>101</v>
      </c>
      <c r="CT896" t="s">
        <v>100</v>
      </c>
      <c r="CU896" t="s">
        <v>102</v>
      </c>
      <c r="CV896" t="s">
        <v>100</v>
      </c>
    </row>
    <row r="897" spans="1:100">
      <c r="A897" s="3" t="s">
        <v>10007</v>
      </c>
      <c r="B897" s="4" t="s">
        <v>10008</v>
      </c>
      <c r="C897">
        <v>26.8558045880349</v>
      </c>
      <c r="D897">
        <v>8.0944682256148592</v>
      </c>
      <c r="E897">
        <v>1.7212810686937401</v>
      </c>
      <c r="F897">
        <v>2.12481616612635E-2</v>
      </c>
      <c r="G897" t="s">
        <v>4</v>
      </c>
      <c r="H897">
        <v>26.8558045880349</v>
      </c>
      <c r="I897">
        <v>3.2460616823237398</v>
      </c>
      <c r="J897">
        <v>3.0569847291702001</v>
      </c>
      <c r="K897">
        <v>4.4472899593922099E-4</v>
      </c>
      <c r="L897" t="s">
        <v>4</v>
      </c>
      <c r="M897">
        <v>8.0944682256148592</v>
      </c>
      <c r="N897">
        <v>3.2460616823237398</v>
      </c>
      <c r="O897">
        <v>1.3357036604764501</v>
      </c>
      <c r="P897">
        <v>0.16849829021082199</v>
      </c>
      <c r="Q897" t="s">
        <v>4</v>
      </c>
      <c r="R897" s="4" t="s">
        <v>87</v>
      </c>
      <c r="S897" t="s">
        <v>4</v>
      </c>
      <c r="T897" t="s">
        <v>92</v>
      </c>
      <c r="U897" t="s">
        <v>92</v>
      </c>
      <c r="V897" t="s">
        <v>92</v>
      </c>
      <c r="W897" t="s">
        <v>92</v>
      </c>
      <c r="X897" t="s">
        <v>4</v>
      </c>
      <c r="Y897" t="s">
        <v>10009</v>
      </c>
      <c r="Z897" t="s">
        <v>10010</v>
      </c>
      <c r="AA897" t="s">
        <v>10011</v>
      </c>
      <c r="AB897" t="s">
        <v>4</v>
      </c>
      <c r="AC897" s="3" t="s">
        <v>93</v>
      </c>
      <c r="AD897" t="s">
        <v>4</v>
      </c>
      <c r="AE897" t="s">
        <v>10012</v>
      </c>
      <c r="AF897" t="s">
        <v>10013</v>
      </c>
      <c r="AG897" t="s">
        <v>10014</v>
      </c>
      <c r="AH897" t="s">
        <v>112</v>
      </c>
      <c r="AK897" t="s">
        <v>10015</v>
      </c>
      <c r="AL897" t="s">
        <v>10016</v>
      </c>
      <c r="AM897" t="s">
        <v>10017</v>
      </c>
      <c r="AN897" t="s">
        <v>10018</v>
      </c>
      <c r="AO897" t="s">
        <v>10019</v>
      </c>
      <c r="AP897" t="s">
        <v>10020</v>
      </c>
      <c r="AQ897" t="s">
        <v>10021</v>
      </c>
      <c r="AU897" t="s">
        <v>112</v>
      </c>
      <c r="AV897" t="s">
        <v>10022</v>
      </c>
      <c r="AW897" t="s">
        <v>114</v>
      </c>
      <c r="AX897" t="s">
        <v>1096</v>
      </c>
      <c r="AY897" t="s">
        <v>10023</v>
      </c>
      <c r="AZ897" t="s">
        <v>4</v>
      </c>
      <c r="BA897" s="3" t="s">
        <v>95</v>
      </c>
      <c r="BB897" s="6" t="s">
        <v>95</v>
      </c>
      <c r="BC897" s="3" t="s">
        <v>95</v>
      </c>
      <c r="BD897" t="s">
        <v>4</v>
      </c>
      <c r="BE897">
        <v>1627</v>
      </c>
      <c r="BF897" t="s">
        <v>151</v>
      </c>
      <c r="BL897">
        <v>24.683499999999999</v>
      </c>
      <c r="BO897">
        <v>25.949400000000001</v>
      </c>
      <c r="CK897">
        <v>2</v>
      </c>
      <c r="CL897" t="s">
        <v>4</v>
      </c>
      <c r="CM897" t="s">
        <v>98</v>
      </c>
      <c r="CN897" t="s">
        <v>98</v>
      </c>
      <c r="CO897" t="s">
        <v>99</v>
      </c>
      <c r="CP897" s="7">
        <v>348</v>
      </c>
      <c r="CQ897" t="s">
        <v>100</v>
      </c>
      <c r="CR897" t="s">
        <v>100</v>
      </c>
      <c r="CS897" t="s">
        <v>101</v>
      </c>
      <c r="CT897" t="s">
        <v>100</v>
      </c>
      <c r="CU897" t="s">
        <v>102</v>
      </c>
      <c r="CV897" t="s">
        <v>100</v>
      </c>
    </row>
    <row r="898" spans="1:100">
      <c r="A898" s="3" t="s">
        <v>10024</v>
      </c>
      <c r="B898" s="4" t="s">
        <v>10025</v>
      </c>
      <c r="C898">
        <v>116.90809865864</v>
      </c>
      <c r="D898">
        <v>44.698964456216999</v>
      </c>
      <c r="E898">
        <v>1.3841903604391801</v>
      </c>
      <c r="F898">
        <v>3.4059784261171199E-3</v>
      </c>
      <c r="G898" t="s">
        <v>4</v>
      </c>
      <c r="H898">
        <v>116.90809865864</v>
      </c>
      <c r="I898">
        <v>14.557298220136801</v>
      </c>
      <c r="J898">
        <v>3.04115322534693</v>
      </c>
      <c r="K898" s="5">
        <v>1.6312892262956899E-9</v>
      </c>
      <c r="L898" t="s">
        <v>4</v>
      </c>
      <c r="M898">
        <v>44.698964456216999</v>
      </c>
      <c r="N898">
        <v>14.557298220136801</v>
      </c>
      <c r="O898">
        <v>1.6569628649077499</v>
      </c>
      <c r="P898">
        <v>1.69554551542488E-3</v>
      </c>
      <c r="Q898" t="s">
        <v>4</v>
      </c>
      <c r="R898" s="4" t="s">
        <v>87</v>
      </c>
      <c r="S898" t="s">
        <v>4</v>
      </c>
      <c r="T898" t="s">
        <v>10026</v>
      </c>
      <c r="U898" t="s">
        <v>10027</v>
      </c>
      <c r="V898" t="s">
        <v>10028</v>
      </c>
      <c r="W898" t="s">
        <v>507</v>
      </c>
      <c r="X898" t="s">
        <v>4</v>
      </c>
      <c r="Y898" t="s">
        <v>10029</v>
      </c>
      <c r="Z898" t="s">
        <v>10030</v>
      </c>
      <c r="AA898" t="s">
        <v>10031</v>
      </c>
      <c r="AB898" t="s">
        <v>4</v>
      </c>
      <c r="AC898" s="3" t="s">
        <v>10032</v>
      </c>
      <c r="AD898" t="s">
        <v>4</v>
      </c>
      <c r="AE898" t="s">
        <v>10033</v>
      </c>
      <c r="AF898" t="s">
        <v>10034</v>
      </c>
      <c r="AG898" t="s">
        <v>10035</v>
      </c>
      <c r="AH898" t="s">
        <v>10036</v>
      </c>
      <c r="AU898" t="s">
        <v>112</v>
      </c>
      <c r="AV898" t="s">
        <v>10037</v>
      </c>
      <c r="AW898" t="s">
        <v>114</v>
      </c>
      <c r="AX898" t="s">
        <v>144</v>
      </c>
      <c r="AY898" t="s">
        <v>10038</v>
      </c>
      <c r="AZ898" t="s">
        <v>4</v>
      </c>
      <c r="BA898" s="3" t="s">
        <v>95</v>
      </c>
      <c r="BB898" s="6" t="s">
        <v>95</v>
      </c>
      <c r="BC898" s="3" t="s">
        <v>95</v>
      </c>
      <c r="BD898" t="s">
        <v>4</v>
      </c>
      <c r="BE898">
        <v>8152</v>
      </c>
      <c r="BF898" t="s">
        <v>213</v>
      </c>
      <c r="BG898">
        <v>93.527500000000003</v>
      </c>
      <c r="BH898">
        <v>72.168300000000002</v>
      </c>
      <c r="BI898">
        <v>73.462800000000001</v>
      </c>
      <c r="BJ898" t="s">
        <v>10039</v>
      </c>
      <c r="BL898">
        <v>53.398099999999999</v>
      </c>
      <c r="BM898">
        <v>48.220100000000002</v>
      </c>
      <c r="BN898">
        <v>53.398099999999999</v>
      </c>
      <c r="BO898">
        <v>54.692599999999999</v>
      </c>
      <c r="BP898">
        <v>16.504899999999999</v>
      </c>
      <c r="BW898">
        <v>46.601900000000001</v>
      </c>
      <c r="BX898">
        <v>48.543700000000001</v>
      </c>
      <c r="BY898">
        <v>22.330100000000002</v>
      </c>
      <c r="CB898" t="s">
        <v>10040</v>
      </c>
      <c r="CE898">
        <v>39.482199999999999</v>
      </c>
      <c r="CF898">
        <v>45.954700000000003</v>
      </c>
      <c r="CG898">
        <v>45.631100000000004</v>
      </c>
      <c r="CH898">
        <v>45.631100000000004</v>
      </c>
      <c r="CI898">
        <v>45.307400000000001</v>
      </c>
      <c r="CK898">
        <v>8</v>
      </c>
      <c r="CL898" t="s">
        <v>4</v>
      </c>
      <c r="CM898" t="s">
        <v>98</v>
      </c>
      <c r="CN898" t="s">
        <v>98</v>
      </c>
      <c r="CO898" t="s">
        <v>99</v>
      </c>
      <c r="CP898" s="7">
        <v>349</v>
      </c>
      <c r="CQ898" t="s">
        <v>100</v>
      </c>
      <c r="CR898" t="s">
        <v>100</v>
      </c>
      <c r="CS898" t="s">
        <v>101</v>
      </c>
      <c r="CT898" s="7" t="s">
        <v>152</v>
      </c>
      <c r="CU898" t="s">
        <v>102</v>
      </c>
      <c r="CV898" t="s">
        <v>100</v>
      </c>
    </row>
    <row r="899" spans="1:100">
      <c r="A899" s="3" t="s">
        <v>10041</v>
      </c>
      <c r="B899" s="4" t="s">
        <v>10042</v>
      </c>
      <c r="C899">
        <v>35.052078981504202</v>
      </c>
      <c r="D899">
        <v>7.8155398396927902</v>
      </c>
      <c r="E899">
        <v>2.17610475493123</v>
      </c>
      <c r="F899">
        <v>1.52716306738127E-2</v>
      </c>
      <c r="G899" t="s">
        <v>4</v>
      </c>
      <c r="H899">
        <v>35.052078981504202</v>
      </c>
      <c r="I899">
        <v>4.36658553740115</v>
      </c>
      <c r="J899">
        <v>3.0400978524005402</v>
      </c>
      <c r="K899">
        <v>1.3868860143101101E-3</v>
      </c>
      <c r="L899" t="s">
        <v>4</v>
      </c>
      <c r="M899">
        <v>7.8155398396927902</v>
      </c>
      <c r="N899">
        <v>4.36658553740115</v>
      </c>
      <c r="O899">
        <v>0.86399309746930997</v>
      </c>
      <c r="P899">
        <v>0.43633753996503699</v>
      </c>
      <c r="Q899" t="s">
        <v>4</v>
      </c>
      <c r="R899" s="4" t="s">
        <v>87</v>
      </c>
      <c r="S899" t="s">
        <v>4</v>
      </c>
      <c r="T899" t="s">
        <v>92</v>
      </c>
      <c r="U899" t="s">
        <v>92</v>
      </c>
      <c r="V899" t="s">
        <v>92</v>
      </c>
      <c r="W899" t="s">
        <v>92</v>
      </c>
      <c r="X899" t="s">
        <v>4</v>
      </c>
      <c r="Y899" t="s">
        <v>92</v>
      </c>
      <c r="Z899" t="s">
        <v>92</v>
      </c>
      <c r="AA899" t="s">
        <v>92</v>
      </c>
      <c r="AB899" t="s">
        <v>4</v>
      </c>
      <c r="AC899" s="3" t="s">
        <v>93</v>
      </c>
      <c r="AD899" t="s">
        <v>4</v>
      </c>
      <c r="AE899" t="s">
        <v>10043</v>
      </c>
      <c r="AF899" t="s">
        <v>10044</v>
      </c>
      <c r="AG899" t="s">
        <v>10045</v>
      </c>
      <c r="AH899" t="s">
        <v>10046</v>
      </c>
      <c r="AU899" t="s">
        <v>112</v>
      </c>
      <c r="AV899" t="s">
        <v>10047</v>
      </c>
      <c r="AW899" t="s">
        <v>114</v>
      </c>
      <c r="AX899" t="s">
        <v>144</v>
      </c>
      <c r="AY899" t="s">
        <v>10048</v>
      </c>
      <c r="AZ899" t="s">
        <v>4</v>
      </c>
      <c r="BA899" s="3" t="s">
        <v>95</v>
      </c>
      <c r="BB899" s="6" t="s">
        <v>95</v>
      </c>
      <c r="BC899" s="3" t="s">
        <v>95</v>
      </c>
      <c r="BD899" t="s">
        <v>4</v>
      </c>
      <c r="BE899">
        <v>525</v>
      </c>
      <c r="BF899" t="s">
        <v>322</v>
      </c>
      <c r="CK899">
        <v>1</v>
      </c>
      <c r="CL899" t="s">
        <v>4</v>
      </c>
      <c r="CM899" t="s">
        <v>98</v>
      </c>
      <c r="CN899" t="s">
        <v>98</v>
      </c>
      <c r="CO899" t="s">
        <v>99</v>
      </c>
      <c r="CP899" s="7">
        <v>350</v>
      </c>
      <c r="CQ899" t="s">
        <v>100</v>
      </c>
      <c r="CR899" t="s">
        <v>100</v>
      </c>
      <c r="CS899" t="s">
        <v>101</v>
      </c>
      <c r="CT899" t="s">
        <v>100</v>
      </c>
      <c r="CU899" t="s">
        <v>102</v>
      </c>
      <c r="CV899" t="s">
        <v>100</v>
      </c>
    </row>
    <row r="900" spans="1:100">
      <c r="A900" s="3" t="s">
        <v>10049</v>
      </c>
      <c r="B900" s="4" t="s">
        <v>10050</v>
      </c>
      <c r="C900">
        <v>135.70938656948601</v>
      </c>
      <c r="D900">
        <v>34.286803435690899</v>
      </c>
      <c r="E900">
        <v>1.9887507608519399</v>
      </c>
      <c r="F900">
        <v>3.4814475380828901E-2</v>
      </c>
      <c r="G900" t="s">
        <v>4</v>
      </c>
      <c r="H900">
        <v>135.70938656948601</v>
      </c>
      <c r="I900">
        <v>16.627372430373999</v>
      </c>
      <c r="J900">
        <v>3.0377577263734001</v>
      </c>
      <c r="K900">
        <v>9.5668382985553602E-4</v>
      </c>
      <c r="L900" t="s">
        <v>4</v>
      </c>
      <c r="M900">
        <v>34.286803435690899</v>
      </c>
      <c r="N900">
        <v>16.627372430373999</v>
      </c>
      <c r="O900">
        <v>1.04900696552146</v>
      </c>
      <c r="P900">
        <v>0.30084372926004599</v>
      </c>
      <c r="Q900" t="s">
        <v>4</v>
      </c>
      <c r="R900" s="4" t="s">
        <v>87</v>
      </c>
      <c r="S900" t="s">
        <v>4</v>
      </c>
      <c r="T900" t="s">
        <v>92</v>
      </c>
      <c r="U900" t="s">
        <v>92</v>
      </c>
      <c r="V900" t="s">
        <v>92</v>
      </c>
      <c r="W900" t="s">
        <v>92</v>
      </c>
      <c r="X900" t="s">
        <v>4</v>
      </c>
      <c r="Y900" t="s">
        <v>92</v>
      </c>
      <c r="Z900" t="s">
        <v>92</v>
      </c>
      <c r="AA900" t="s">
        <v>92</v>
      </c>
      <c r="AB900" t="s">
        <v>4</v>
      </c>
      <c r="AC900" s="3" t="s">
        <v>93</v>
      </c>
      <c r="AD900" t="s">
        <v>4</v>
      </c>
      <c r="AE900" s="4" t="s">
        <v>94</v>
      </c>
      <c r="AZ900" t="s">
        <v>4</v>
      </c>
      <c r="BA900" s="3" t="s">
        <v>95</v>
      </c>
      <c r="BB900" s="6" t="s">
        <v>95</v>
      </c>
      <c r="BC900" s="3" t="s">
        <v>197</v>
      </c>
      <c r="BD900" t="s">
        <v>4</v>
      </c>
      <c r="BE900">
        <v>813</v>
      </c>
      <c r="BF900" t="s">
        <v>604</v>
      </c>
      <c r="BG900">
        <v>18.148099999999999</v>
      </c>
      <c r="BH900">
        <v>4.0740699999999999</v>
      </c>
      <c r="CK900">
        <v>1.5</v>
      </c>
      <c r="CL900" t="s">
        <v>4</v>
      </c>
      <c r="CM900" t="s">
        <v>98</v>
      </c>
      <c r="CN900" t="s">
        <v>98</v>
      </c>
      <c r="CO900" t="s">
        <v>99</v>
      </c>
      <c r="CP900" s="7">
        <v>352</v>
      </c>
      <c r="CQ900" t="s">
        <v>100</v>
      </c>
      <c r="CR900" t="s">
        <v>100</v>
      </c>
      <c r="CS900" t="s">
        <v>101</v>
      </c>
      <c r="CT900" t="s">
        <v>100</v>
      </c>
      <c r="CU900" t="s">
        <v>102</v>
      </c>
      <c r="CV900" t="s">
        <v>100</v>
      </c>
    </row>
    <row r="901" spans="1:100">
      <c r="A901" s="3" t="s">
        <v>10051</v>
      </c>
      <c r="B901" s="4" t="s">
        <v>10052</v>
      </c>
      <c r="C901">
        <v>46.148401046771397</v>
      </c>
      <c r="D901">
        <v>7.3350344048467502</v>
      </c>
      <c r="E901">
        <v>2.6691100543067998</v>
      </c>
      <c r="F901">
        <v>1.30871156514388E-2</v>
      </c>
      <c r="G901" t="s">
        <v>4</v>
      </c>
      <c r="H901">
        <v>46.148401046771397</v>
      </c>
      <c r="I901">
        <v>5.6591929318157197</v>
      </c>
      <c r="J901">
        <v>3.0261987163434201</v>
      </c>
      <c r="K901">
        <v>5.2303756737973398E-3</v>
      </c>
      <c r="L901" t="s">
        <v>4</v>
      </c>
      <c r="M901">
        <v>7.3350344048467502</v>
      </c>
      <c r="N901">
        <v>5.6591929318157197</v>
      </c>
      <c r="O901">
        <v>0.35708866203661799</v>
      </c>
      <c r="P901">
        <v>0.79595741336806503</v>
      </c>
      <c r="Q901" t="s">
        <v>4</v>
      </c>
      <c r="R901" s="4" t="s">
        <v>87</v>
      </c>
      <c r="S901" t="s">
        <v>4</v>
      </c>
      <c r="T901" t="s">
        <v>92</v>
      </c>
      <c r="U901" t="s">
        <v>92</v>
      </c>
      <c r="V901" t="s">
        <v>92</v>
      </c>
      <c r="W901" t="s">
        <v>92</v>
      </c>
      <c r="X901" t="s">
        <v>4</v>
      </c>
      <c r="Y901" t="s">
        <v>92</v>
      </c>
      <c r="Z901" t="s">
        <v>92</v>
      </c>
      <c r="AA901" t="s">
        <v>92</v>
      </c>
      <c r="AB901" t="s">
        <v>4</v>
      </c>
      <c r="AC901" s="3" t="s">
        <v>93</v>
      </c>
      <c r="AD901" t="s">
        <v>4</v>
      </c>
      <c r="AE901" s="4" t="s">
        <v>94</v>
      </c>
      <c r="AZ901" t="s">
        <v>4</v>
      </c>
      <c r="BA901" s="3" t="s">
        <v>95</v>
      </c>
      <c r="BB901" s="6" t="s">
        <v>95</v>
      </c>
      <c r="BC901" s="3" t="s">
        <v>197</v>
      </c>
      <c r="BD901" t="s">
        <v>4</v>
      </c>
      <c r="BE901">
        <v>1428</v>
      </c>
      <c r="BF901" t="s">
        <v>151</v>
      </c>
      <c r="BI901">
        <v>75.2</v>
      </c>
      <c r="CK901">
        <v>2</v>
      </c>
      <c r="CL901" t="s">
        <v>4</v>
      </c>
      <c r="CM901" t="s">
        <v>98</v>
      </c>
      <c r="CN901" t="s">
        <v>98</v>
      </c>
      <c r="CO901" t="s">
        <v>99</v>
      </c>
      <c r="CP901" s="7">
        <v>353</v>
      </c>
      <c r="CQ901" t="s">
        <v>100</v>
      </c>
      <c r="CR901" t="s">
        <v>100</v>
      </c>
      <c r="CS901" t="s">
        <v>101</v>
      </c>
      <c r="CT901" t="s">
        <v>100</v>
      </c>
      <c r="CU901" t="s">
        <v>102</v>
      </c>
      <c r="CV901" t="s">
        <v>100</v>
      </c>
    </row>
    <row r="902" spans="1:100">
      <c r="A902" s="3" t="s">
        <v>10053</v>
      </c>
      <c r="B902" s="4" t="s">
        <v>10054</v>
      </c>
      <c r="C902">
        <v>102.40417492733199</v>
      </c>
      <c r="D902">
        <v>47.829381109610402</v>
      </c>
      <c r="E902">
        <v>1.0941197523674699</v>
      </c>
      <c r="F902">
        <v>3.5069958343245798E-2</v>
      </c>
      <c r="G902" t="s">
        <v>4</v>
      </c>
      <c r="H902">
        <v>102.40417492733199</v>
      </c>
      <c r="I902">
        <v>12.4897906868277</v>
      </c>
      <c r="J902">
        <v>2.9820167293076199</v>
      </c>
      <c r="K902" s="5">
        <v>4.4907890198137E-8</v>
      </c>
      <c r="L902" t="s">
        <v>4</v>
      </c>
      <c r="M902">
        <v>47.829381109610402</v>
      </c>
      <c r="N902">
        <v>12.4897906868277</v>
      </c>
      <c r="O902">
        <v>1.8878969769401499</v>
      </c>
      <c r="P902">
        <v>7.8632693722517795E-4</v>
      </c>
      <c r="Q902" t="s">
        <v>4</v>
      </c>
      <c r="R902" s="4" t="s">
        <v>87</v>
      </c>
      <c r="S902" t="s">
        <v>4</v>
      </c>
      <c r="T902" t="s">
        <v>10055</v>
      </c>
      <c r="U902" t="s">
        <v>10056</v>
      </c>
      <c r="V902" t="s">
        <v>10057</v>
      </c>
      <c r="W902" t="s">
        <v>328</v>
      </c>
      <c r="X902" t="s">
        <v>4</v>
      </c>
      <c r="Y902" t="s">
        <v>10058</v>
      </c>
      <c r="Z902" t="s">
        <v>10059</v>
      </c>
      <c r="AA902" t="s">
        <v>10060</v>
      </c>
      <c r="AB902" t="s">
        <v>4</v>
      </c>
      <c r="AC902" s="3" t="s">
        <v>10061</v>
      </c>
      <c r="AD902" t="s">
        <v>4</v>
      </c>
      <c r="AE902" t="s">
        <v>10062</v>
      </c>
      <c r="AF902" t="s">
        <v>10063</v>
      </c>
      <c r="AG902" t="s">
        <v>10064</v>
      </c>
      <c r="AH902" t="s">
        <v>638</v>
      </c>
      <c r="AJ902" t="s">
        <v>10065</v>
      </c>
      <c r="AU902" t="s">
        <v>112</v>
      </c>
      <c r="AV902" t="s">
        <v>10066</v>
      </c>
      <c r="AW902" t="s">
        <v>114</v>
      </c>
      <c r="AX902" t="s">
        <v>132</v>
      </c>
      <c r="AY902" t="s">
        <v>644</v>
      </c>
      <c r="AZ902" t="s">
        <v>4</v>
      </c>
      <c r="BA902" s="3" t="s">
        <v>95</v>
      </c>
      <c r="BB902" t="s">
        <v>96</v>
      </c>
      <c r="BC902" s="3" t="s">
        <v>197</v>
      </c>
      <c r="BD902" t="s">
        <v>4</v>
      </c>
      <c r="BE902">
        <v>3918</v>
      </c>
      <c r="BF902" t="s">
        <v>112</v>
      </c>
      <c r="BG902">
        <v>79.667299999999997</v>
      </c>
      <c r="BH902">
        <v>80.591499999999996</v>
      </c>
      <c r="BI902">
        <v>20.8872</v>
      </c>
      <c r="BK902">
        <v>42.883499999999998</v>
      </c>
      <c r="BL902">
        <v>62.476900000000001</v>
      </c>
      <c r="BM902">
        <v>66.9131</v>
      </c>
      <c r="BN902">
        <v>66.9131</v>
      </c>
      <c r="BP902" t="s">
        <v>10067</v>
      </c>
      <c r="BQ902">
        <v>50.4621</v>
      </c>
      <c r="BR902">
        <v>52.865099999999998</v>
      </c>
      <c r="BS902" t="s">
        <v>10068</v>
      </c>
      <c r="BT902">
        <v>48.059199999999997</v>
      </c>
      <c r="BU902">
        <v>14.232900000000001</v>
      </c>
      <c r="BV902" t="s">
        <v>10069</v>
      </c>
      <c r="BX902">
        <v>52.495399999999997</v>
      </c>
      <c r="BY902">
        <v>46.210700000000003</v>
      </c>
      <c r="CA902">
        <v>54.898299999999999</v>
      </c>
      <c r="CK902">
        <v>5</v>
      </c>
      <c r="CL902" t="s">
        <v>4</v>
      </c>
      <c r="CM902" t="s">
        <v>10070</v>
      </c>
      <c r="CN902" t="s">
        <v>10071</v>
      </c>
      <c r="CO902" t="s">
        <v>663</v>
      </c>
      <c r="CP902" s="7">
        <v>355</v>
      </c>
      <c r="CQ902" t="s">
        <v>100</v>
      </c>
      <c r="CR902" t="s">
        <v>100</v>
      </c>
      <c r="CS902" t="s">
        <v>101</v>
      </c>
      <c r="CT902" s="7" t="s">
        <v>152</v>
      </c>
      <c r="CU902" t="s">
        <v>102</v>
      </c>
      <c r="CV902" t="s">
        <v>100</v>
      </c>
    </row>
    <row r="903" spans="1:100">
      <c r="A903" s="3" t="s">
        <v>10072</v>
      </c>
      <c r="B903" s="4" t="s">
        <v>10073</v>
      </c>
      <c r="C903">
        <v>48.780333709599802</v>
      </c>
      <c r="D903">
        <v>11.163578956882199</v>
      </c>
      <c r="E903">
        <v>2.12824112107123</v>
      </c>
      <c r="F903">
        <v>1.6565758211189999E-2</v>
      </c>
      <c r="G903" t="s">
        <v>4</v>
      </c>
      <c r="H903">
        <v>48.780333709599802</v>
      </c>
      <c r="I903">
        <v>6.3019219661137997</v>
      </c>
      <c r="J903">
        <v>2.97231304862146</v>
      </c>
      <c r="K903">
        <v>1.13979692284321E-3</v>
      </c>
      <c r="L903" t="s">
        <v>4</v>
      </c>
      <c r="M903">
        <v>11.163578956882199</v>
      </c>
      <c r="N903">
        <v>6.3019219661137997</v>
      </c>
      <c r="O903">
        <v>0.84407192755022997</v>
      </c>
      <c r="P903">
        <v>0.423131321526729</v>
      </c>
      <c r="Q903" t="s">
        <v>4</v>
      </c>
      <c r="R903" s="4" t="s">
        <v>87</v>
      </c>
      <c r="S903" t="s">
        <v>4</v>
      </c>
      <c r="T903" t="s">
        <v>10074</v>
      </c>
      <c r="U903" t="s">
        <v>10075</v>
      </c>
      <c r="V903" t="s">
        <v>10076</v>
      </c>
      <c r="W903" t="s">
        <v>328</v>
      </c>
      <c r="X903" t="s">
        <v>4</v>
      </c>
      <c r="Y903" t="s">
        <v>10077</v>
      </c>
      <c r="Z903" t="s">
        <v>10078</v>
      </c>
      <c r="AA903" t="s">
        <v>10079</v>
      </c>
      <c r="AB903" t="s">
        <v>4</v>
      </c>
      <c r="AC903" s="3" t="s">
        <v>10080</v>
      </c>
      <c r="AD903" t="s">
        <v>4</v>
      </c>
      <c r="AE903" t="s">
        <v>10081</v>
      </c>
      <c r="AF903" t="s">
        <v>10082</v>
      </c>
      <c r="AG903" t="s">
        <v>10083</v>
      </c>
      <c r="AH903" t="s">
        <v>112</v>
      </c>
      <c r="AJ903" t="s">
        <v>10084</v>
      </c>
      <c r="AL903" t="s">
        <v>10085</v>
      </c>
      <c r="AQ903" t="s">
        <v>10086</v>
      </c>
      <c r="AU903" t="s">
        <v>112</v>
      </c>
      <c r="AV903" t="s">
        <v>10087</v>
      </c>
      <c r="AW903" t="s">
        <v>114</v>
      </c>
      <c r="AX903" t="s">
        <v>8318</v>
      </c>
      <c r="AY903" t="s">
        <v>10088</v>
      </c>
      <c r="AZ903" t="s">
        <v>4</v>
      </c>
      <c r="BA903" s="3" t="s">
        <v>115</v>
      </c>
      <c r="BB903" s="6" t="s">
        <v>95</v>
      </c>
      <c r="BC903" s="3" t="s">
        <v>95</v>
      </c>
      <c r="BD903" t="s">
        <v>4</v>
      </c>
      <c r="BE903">
        <v>3332</v>
      </c>
      <c r="BF903" t="s">
        <v>112</v>
      </c>
      <c r="BG903">
        <v>100</v>
      </c>
      <c r="BH903">
        <v>95.786500000000004</v>
      </c>
      <c r="BI903">
        <v>97.471900000000005</v>
      </c>
      <c r="BJ903">
        <v>98.595500000000001</v>
      </c>
      <c r="BK903">
        <v>96.629199999999997</v>
      </c>
      <c r="BL903">
        <v>97.471900000000005</v>
      </c>
      <c r="BM903">
        <v>82.865200000000002</v>
      </c>
      <c r="BN903">
        <v>96.9101</v>
      </c>
      <c r="BO903">
        <v>97.471900000000005</v>
      </c>
      <c r="BP903">
        <v>67.977500000000006</v>
      </c>
      <c r="BQ903">
        <v>68.258399999999995</v>
      </c>
      <c r="BR903">
        <v>69.943799999999996</v>
      </c>
      <c r="BS903">
        <v>72.752799999999993</v>
      </c>
      <c r="BT903">
        <v>58.707900000000002</v>
      </c>
      <c r="BU903">
        <v>67.415700000000001</v>
      </c>
      <c r="BV903" t="s">
        <v>10089</v>
      </c>
      <c r="BW903" t="s">
        <v>10090</v>
      </c>
      <c r="BX903">
        <v>59.831499999999998</v>
      </c>
      <c r="BY903">
        <v>9.26966</v>
      </c>
      <c r="BZ903">
        <v>64.887600000000006</v>
      </c>
      <c r="CA903">
        <v>69.101100000000002</v>
      </c>
      <c r="CG903" t="s">
        <v>10091</v>
      </c>
      <c r="CH903" t="s">
        <v>10092</v>
      </c>
      <c r="CI903" t="s">
        <v>10093</v>
      </c>
      <c r="CJ903">
        <v>30.0562</v>
      </c>
      <c r="CK903">
        <v>5</v>
      </c>
      <c r="CL903" t="s">
        <v>4</v>
      </c>
      <c r="CM903" t="s">
        <v>10094</v>
      </c>
      <c r="CN903" t="s">
        <v>10095</v>
      </c>
      <c r="CO903" t="s">
        <v>99</v>
      </c>
      <c r="CP903" s="7">
        <v>356</v>
      </c>
      <c r="CQ903" t="s">
        <v>100</v>
      </c>
      <c r="CR903" t="s">
        <v>100</v>
      </c>
      <c r="CS903" t="s">
        <v>101</v>
      </c>
      <c r="CT903" t="s">
        <v>100</v>
      </c>
      <c r="CU903" t="s">
        <v>102</v>
      </c>
      <c r="CV903" t="s">
        <v>100</v>
      </c>
    </row>
    <row r="904" spans="1:100">
      <c r="A904" s="3" t="s">
        <v>10096</v>
      </c>
      <c r="B904" s="4" t="s">
        <v>10097</v>
      </c>
      <c r="C904">
        <v>1240.6676437316301</v>
      </c>
      <c r="D904">
        <v>361.23623836729303</v>
      </c>
      <c r="E904">
        <v>1.7796100220117801</v>
      </c>
      <c r="F904" s="5">
        <v>4.52171958016368E-11</v>
      </c>
      <c r="G904" t="s">
        <v>4</v>
      </c>
      <c r="H904">
        <v>1240.6676437316301</v>
      </c>
      <c r="I904">
        <v>160.20038065875201</v>
      </c>
      <c r="J904">
        <v>2.9501852852905102</v>
      </c>
      <c r="K904" s="5">
        <v>7.0740638828272199E-28</v>
      </c>
      <c r="L904" t="s">
        <v>4</v>
      </c>
      <c r="M904">
        <v>361.23623836729303</v>
      </c>
      <c r="N904">
        <v>160.20038065875201</v>
      </c>
      <c r="O904">
        <v>1.1705752632787301</v>
      </c>
      <c r="P904" s="5">
        <v>3.0181132297396499E-5</v>
      </c>
      <c r="Q904" t="s">
        <v>4</v>
      </c>
      <c r="R904" s="4" t="s">
        <v>87</v>
      </c>
      <c r="S904" t="s">
        <v>4</v>
      </c>
      <c r="T904" t="s">
        <v>10098</v>
      </c>
      <c r="U904" t="s">
        <v>10099</v>
      </c>
      <c r="V904" t="s">
        <v>10100</v>
      </c>
      <c r="W904" t="s">
        <v>203</v>
      </c>
      <c r="X904" t="s">
        <v>4</v>
      </c>
      <c r="Y904" t="s">
        <v>10101</v>
      </c>
      <c r="Z904" t="s">
        <v>10102</v>
      </c>
      <c r="AA904" t="s">
        <v>10103</v>
      </c>
      <c r="AB904" t="s">
        <v>4</v>
      </c>
      <c r="AC904" s="3" t="s">
        <v>10104</v>
      </c>
      <c r="AD904" t="s">
        <v>4</v>
      </c>
      <c r="AE904" t="s">
        <v>10105</v>
      </c>
      <c r="AF904" t="s">
        <v>834</v>
      </c>
      <c r="AG904" t="s">
        <v>10106</v>
      </c>
      <c r="AH904" t="s">
        <v>112</v>
      </c>
      <c r="AU904" t="s">
        <v>112</v>
      </c>
      <c r="AV904" t="s">
        <v>10107</v>
      </c>
      <c r="AW904" t="s">
        <v>114</v>
      </c>
      <c r="AX904" t="s">
        <v>2157</v>
      </c>
      <c r="AY904" t="s">
        <v>10108</v>
      </c>
      <c r="AZ904" t="s">
        <v>4</v>
      </c>
      <c r="BA904" s="3" t="s">
        <v>115</v>
      </c>
      <c r="BB904" s="6" t="s">
        <v>95</v>
      </c>
      <c r="BC904" s="3" t="s">
        <v>95</v>
      </c>
      <c r="BD904" t="s">
        <v>4</v>
      </c>
      <c r="BE904">
        <v>8940</v>
      </c>
      <c r="BF904" t="s">
        <v>169</v>
      </c>
      <c r="BG904">
        <v>94.746600000000001</v>
      </c>
      <c r="BH904" t="s">
        <v>10109</v>
      </c>
      <c r="BI904">
        <v>93.510499999999993</v>
      </c>
      <c r="BJ904">
        <v>79.789900000000003</v>
      </c>
      <c r="BK904">
        <v>79.666300000000007</v>
      </c>
      <c r="BM904">
        <v>81.953000000000003</v>
      </c>
      <c r="BN904">
        <v>82.076599999999999</v>
      </c>
      <c r="BO904">
        <v>80.964100000000002</v>
      </c>
      <c r="BP904">
        <v>54.140900000000002</v>
      </c>
      <c r="BQ904">
        <v>23.485800000000001</v>
      </c>
      <c r="BS904">
        <v>34.610599999999998</v>
      </c>
      <c r="BW904">
        <v>38.0717</v>
      </c>
      <c r="BX904" t="s">
        <v>10110</v>
      </c>
      <c r="BZ904" t="s">
        <v>10111</v>
      </c>
      <c r="CA904">
        <v>40.173099999999998</v>
      </c>
      <c r="CC904">
        <v>26.637799999999999</v>
      </c>
      <c r="CD904" t="s">
        <v>10112</v>
      </c>
      <c r="CK904">
        <v>9</v>
      </c>
      <c r="CL904" t="s">
        <v>4</v>
      </c>
      <c r="CM904" t="s">
        <v>10113</v>
      </c>
      <c r="CN904" t="s">
        <v>10114</v>
      </c>
      <c r="CO904" t="s">
        <v>219</v>
      </c>
      <c r="CP904" s="7">
        <v>357</v>
      </c>
      <c r="CQ904" t="s">
        <v>100</v>
      </c>
      <c r="CR904" t="s">
        <v>100</v>
      </c>
      <c r="CS904" t="s">
        <v>101</v>
      </c>
      <c r="CT904" s="7" t="s">
        <v>152</v>
      </c>
      <c r="CU904" t="s">
        <v>102</v>
      </c>
      <c r="CV904" t="s">
        <v>100</v>
      </c>
    </row>
    <row r="905" spans="1:100">
      <c r="A905" s="3" t="s">
        <v>10115</v>
      </c>
      <c r="B905" s="4" t="s">
        <v>10116</v>
      </c>
      <c r="C905">
        <v>58.381078905708598</v>
      </c>
      <c r="D905">
        <v>12.9996995025302</v>
      </c>
      <c r="E905">
        <v>2.1722951190186399</v>
      </c>
      <c r="F905">
        <v>4.51306212861654E-2</v>
      </c>
      <c r="G905" t="s">
        <v>4</v>
      </c>
      <c r="H905">
        <v>58.381078905708598</v>
      </c>
      <c r="I905">
        <v>7.8689341705567699</v>
      </c>
      <c r="J905">
        <v>2.92876027734764</v>
      </c>
      <c r="K905">
        <v>6.7093854046474301E-3</v>
      </c>
      <c r="L905" t="s">
        <v>4</v>
      </c>
      <c r="M905">
        <v>12.9996995025302</v>
      </c>
      <c r="N905">
        <v>7.8689341705567699</v>
      </c>
      <c r="O905">
        <v>0.75646515832899497</v>
      </c>
      <c r="P905">
        <v>0.546376704296618</v>
      </c>
      <c r="Q905" t="s">
        <v>4</v>
      </c>
      <c r="R905" s="4" t="s">
        <v>87</v>
      </c>
      <c r="S905" t="s">
        <v>4</v>
      </c>
      <c r="T905" t="s">
        <v>88</v>
      </c>
      <c r="U905" t="s">
        <v>89</v>
      </c>
      <c r="V905" t="s">
        <v>90</v>
      </c>
      <c r="W905" t="s">
        <v>91</v>
      </c>
      <c r="X905" t="s">
        <v>4</v>
      </c>
      <c r="Y905" t="s">
        <v>92</v>
      </c>
      <c r="Z905" t="s">
        <v>92</v>
      </c>
      <c r="AA905" t="s">
        <v>92</v>
      </c>
      <c r="AB905" t="s">
        <v>4</v>
      </c>
      <c r="AC905" s="3" t="s">
        <v>93</v>
      </c>
      <c r="AD905" t="s">
        <v>4</v>
      </c>
      <c r="AE905" s="4" t="s">
        <v>94</v>
      </c>
      <c r="AZ905" t="s">
        <v>4</v>
      </c>
      <c r="BA905" s="3" t="s">
        <v>95</v>
      </c>
      <c r="BB905" t="s">
        <v>96</v>
      </c>
      <c r="BC905" s="3" t="s">
        <v>95</v>
      </c>
      <c r="BD905" t="s">
        <v>4</v>
      </c>
      <c r="BE905">
        <v>4603</v>
      </c>
      <c r="BF905" t="s">
        <v>112</v>
      </c>
      <c r="BI905">
        <v>63.636400000000002</v>
      </c>
      <c r="BJ905">
        <v>30.909099999999999</v>
      </c>
      <c r="BL905">
        <v>52.121200000000002</v>
      </c>
      <c r="BM905">
        <v>53.333300000000001</v>
      </c>
      <c r="BN905">
        <v>53.333300000000001</v>
      </c>
      <c r="BO905">
        <v>70.909099999999995</v>
      </c>
      <c r="BP905">
        <v>33.333300000000001</v>
      </c>
      <c r="CK905">
        <v>5</v>
      </c>
      <c r="CL905" t="s">
        <v>4</v>
      </c>
      <c r="CM905" t="s">
        <v>98</v>
      </c>
      <c r="CN905" t="s">
        <v>98</v>
      </c>
      <c r="CO905" t="s">
        <v>99</v>
      </c>
      <c r="CP905" s="7">
        <v>358</v>
      </c>
      <c r="CQ905" t="s">
        <v>100</v>
      </c>
      <c r="CR905" t="s">
        <v>100</v>
      </c>
      <c r="CS905" t="s">
        <v>101</v>
      </c>
      <c r="CT905" t="s">
        <v>100</v>
      </c>
      <c r="CU905" t="s">
        <v>102</v>
      </c>
      <c r="CV905" t="s">
        <v>100</v>
      </c>
    </row>
    <row r="906" spans="1:100">
      <c r="A906" s="3" t="s">
        <v>10117</v>
      </c>
      <c r="B906" s="4" t="s">
        <v>10118</v>
      </c>
      <c r="C906">
        <v>35.789922713175997</v>
      </c>
      <c r="D906">
        <v>9.0796319468787399</v>
      </c>
      <c r="E906">
        <v>1.9850633772521999</v>
      </c>
      <c r="F906">
        <v>4.4629953837135201E-2</v>
      </c>
      <c r="G906" t="s">
        <v>4</v>
      </c>
      <c r="H906">
        <v>35.789922713175997</v>
      </c>
      <c r="I906">
        <v>5.00931457169923</v>
      </c>
      <c r="J906">
        <v>2.8892230415490001</v>
      </c>
      <c r="K906">
        <v>4.7114372549287697E-3</v>
      </c>
      <c r="L906" t="s">
        <v>4</v>
      </c>
      <c r="M906">
        <v>9.0796319468787399</v>
      </c>
      <c r="N906">
        <v>5.00931457169923</v>
      </c>
      <c r="O906">
        <v>0.90415966429680295</v>
      </c>
      <c r="P906">
        <v>0.44058651960026002</v>
      </c>
      <c r="Q906" t="s">
        <v>4</v>
      </c>
      <c r="R906" s="4" t="s">
        <v>87</v>
      </c>
      <c r="S906" t="s">
        <v>4</v>
      </c>
      <c r="T906" t="s">
        <v>10119</v>
      </c>
      <c r="U906" t="s">
        <v>10120</v>
      </c>
      <c r="V906" t="s">
        <v>10121</v>
      </c>
      <c r="W906" t="s">
        <v>328</v>
      </c>
      <c r="X906" t="s">
        <v>4</v>
      </c>
      <c r="Y906" t="s">
        <v>10122</v>
      </c>
      <c r="Z906" t="s">
        <v>10123</v>
      </c>
      <c r="AA906" t="s">
        <v>10124</v>
      </c>
      <c r="AB906" t="s">
        <v>4</v>
      </c>
      <c r="AC906" s="3" t="s">
        <v>10125</v>
      </c>
      <c r="AD906" t="s">
        <v>4</v>
      </c>
      <c r="AE906" t="s">
        <v>10126</v>
      </c>
      <c r="AF906" t="s">
        <v>10127</v>
      </c>
      <c r="AG906" t="s">
        <v>7655</v>
      </c>
      <c r="AH906" t="s">
        <v>112</v>
      </c>
      <c r="AJ906" t="s">
        <v>10128</v>
      </c>
      <c r="AL906" t="s">
        <v>10129</v>
      </c>
      <c r="AM906" t="s">
        <v>10130</v>
      </c>
      <c r="AQ906" t="s">
        <v>10131</v>
      </c>
      <c r="AU906" t="s">
        <v>112</v>
      </c>
      <c r="AV906" t="s">
        <v>10132</v>
      </c>
      <c r="AW906" t="s">
        <v>114</v>
      </c>
      <c r="AX906" t="s">
        <v>371</v>
      </c>
      <c r="AY906" t="s">
        <v>1275</v>
      </c>
      <c r="AZ906" t="s">
        <v>4</v>
      </c>
      <c r="BA906" s="3" t="s">
        <v>95</v>
      </c>
      <c r="BB906" s="6" t="s">
        <v>95</v>
      </c>
      <c r="BC906" s="3" t="s">
        <v>95</v>
      </c>
      <c r="BD906" t="s">
        <v>4</v>
      </c>
      <c r="BE906">
        <v>6029</v>
      </c>
      <c r="BF906" t="s">
        <v>213</v>
      </c>
      <c r="BG906">
        <v>95.962699999999998</v>
      </c>
      <c r="BI906">
        <v>95.962699999999998</v>
      </c>
      <c r="BJ906">
        <v>84.782600000000002</v>
      </c>
      <c r="BK906">
        <v>79.192499999999995</v>
      </c>
      <c r="BL906">
        <v>91.304299999999998</v>
      </c>
      <c r="BM906">
        <v>90.993799999999993</v>
      </c>
      <c r="BN906">
        <v>92.236000000000004</v>
      </c>
      <c r="BO906">
        <v>90.372699999999995</v>
      </c>
      <c r="BP906">
        <v>59.316800000000001</v>
      </c>
      <c r="BQ906">
        <v>40.9938</v>
      </c>
      <c r="BR906">
        <v>44.099400000000003</v>
      </c>
      <c r="BS906">
        <v>40.372700000000002</v>
      </c>
      <c r="CA906" t="s">
        <v>10133</v>
      </c>
      <c r="CB906">
        <v>39.130400000000002</v>
      </c>
      <c r="CC906">
        <v>40.683199999999999</v>
      </c>
      <c r="CD906">
        <v>40.683199999999999</v>
      </c>
      <c r="CF906">
        <v>37.577599999999997</v>
      </c>
      <c r="CG906">
        <v>36.024799999999999</v>
      </c>
      <c r="CH906">
        <v>36.956499999999998</v>
      </c>
      <c r="CI906">
        <v>36.956499999999998</v>
      </c>
      <c r="CK906">
        <v>8</v>
      </c>
      <c r="CL906" t="s">
        <v>4</v>
      </c>
      <c r="CM906" t="s">
        <v>10134</v>
      </c>
      <c r="CN906" t="s">
        <v>10135</v>
      </c>
      <c r="CO906" t="s">
        <v>1523</v>
      </c>
      <c r="CP906" s="7">
        <v>359</v>
      </c>
      <c r="CQ906" t="s">
        <v>100</v>
      </c>
      <c r="CR906" t="s">
        <v>100</v>
      </c>
      <c r="CS906" t="s">
        <v>101</v>
      </c>
      <c r="CT906" t="s">
        <v>100</v>
      </c>
      <c r="CU906" t="s">
        <v>102</v>
      </c>
      <c r="CV906" t="s">
        <v>100</v>
      </c>
    </row>
    <row r="907" spans="1:100">
      <c r="A907" s="3" t="s">
        <v>10136</v>
      </c>
      <c r="B907" s="4" t="s">
        <v>10137</v>
      </c>
      <c r="C907">
        <v>58.153519701232099</v>
      </c>
      <c r="D907">
        <v>14.155429338321699</v>
      </c>
      <c r="E907">
        <v>2.0458178308867798</v>
      </c>
      <c r="F907">
        <v>3.4645049243131297E-2</v>
      </c>
      <c r="G907" t="s">
        <v>4</v>
      </c>
      <c r="H907">
        <v>58.153519701232099</v>
      </c>
      <c r="I907">
        <v>8.0530962826916106</v>
      </c>
      <c r="J907">
        <v>2.8794648911290599</v>
      </c>
      <c r="K907">
        <v>3.0581262536254301E-3</v>
      </c>
      <c r="L907" t="s">
        <v>4</v>
      </c>
      <c r="M907">
        <v>14.155429338321699</v>
      </c>
      <c r="N907">
        <v>8.0530962826916106</v>
      </c>
      <c r="O907">
        <v>0.83364706024227797</v>
      </c>
      <c r="P907">
        <v>0.452194174315867</v>
      </c>
      <c r="Q907" t="s">
        <v>4</v>
      </c>
      <c r="R907" s="4" t="s">
        <v>87</v>
      </c>
      <c r="S907" t="s">
        <v>4</v>
      </c>
      <c r="T907" t="s">
        <v>92</v>
      </c>
      <c r="U907" t="s">
        <v>92</v>
      </c>
      <c r="V907" t="s">
        <v>92</v>
      </c>
      <c r="W907" t="s">
        <v>92</v>
      </c>
      <c r="X907" t="s">
        <v>4</v>
      </c>
      <c r="Y907" t="s">
        <v>92</v>
      </c>
      <c r="Z907" t="s">
        <v>92</v>
      </c>
      <c r="AA907" t="s">
        <v>92</v>
      </c>
      <c r="AB907" t="s">
        <v>4</v>
      </c>
      <c r="AC907" s="3" t="s">
        <v>93</v>
      </c>
      <c r="AD907" t="s">
        <v>4</v>
      </c>
      <c r="AE907" s="4" t="s">
        <v>94</v>
      </c>
      <c r="AZ907" t="s">
        <v>4</v>
      </c>
      <c r="BA907" s="3" t="s">
        <v>115</v>
      </c>
      <c r="BB907" s="6" t="s">
        <v>95</v>
      </c>
      <c r="BC907" s="3" t="s">
        <v>95</v>
      </c>
      <c r="BD907" t="s">
        <v>4</v>
      </c>
      <c r="BE907">
        <v>1555</v>
      </c>
      <c r="BF907" t="s">
        <v>151</v>
      </c>
      <c r="BG907">
        <v>15.915900000000001</v>
      </c>
      <c r="BI907">
        <v>25.225200000000001</v>
      </c>
      <c r="BJ907">
        <v>17.117100000000001</v>
      </c>
      <c r="CK907">
        <v>2</v>
      </c>
      <c r="CL907" t="s">
        <v>4</v>
      </c>
      <c r="CM907" t="s">
        <v>98</v>
      </c>
      <c r="CN907" t="s">
        <v>98</v>
      </c>
      <c r="CO907" t="s">
        <v>99</v>
      </c>
      <c r="CP907" s="7">
        <v>361</v>
      </c>
      <c r="CQ907" t="s">
        <v>100</v>
      </c>
      <c r="CR907" t="s">
        <v>100</v>
      </c>
      <c r="CS907" t="s">
        <v>101</v>
      </c>
      <c r="CT907" t="s">
        <v>100</v>
      </c>
      <c r="CU907" t="s">
        <v>102</v>
      </c>
      <c r="CV907" t="s">
        <v>100</v>
      </c>
    </row>
    <row r="908" spans="1:100">
      <c r="A908" s="3" t="s">
        <v>10138</v>
      </c>
      <c r="B908" s="4" t="s">
        <v>10139</v>
      </c>
      <c r="C908">
        <v>49.5867062995911</v>
      </c>
      <c r="D908">
        <v>13.0144045763567</v>
      </c>
      <c r="E908">
        <v>1.9391207246758699</v>
      </c>
      <c r="F908">
        <v>4.2250868543218601E-3</v>
      </c>
      <c r="G908" t="s">
        <v>4</v>
      </c>
      <c r="H908">
        <v>49.5867062995911</v>
      </c>
      <c r="I908">
        <v>6.2792214580270604</v>
      </c>
      <c r="J908">
        <v>2.8734895830775899</v>
      </c>
      <c r="K908" s="5">
        <v>7.4645232711649105E-5</v>
      </c>
      <c r="L908" t="s">
        <v>4</v>
      </c>
      <c r="M908">
        <v>13.0144045763567</v>
      </c>
      <c r="N908">
        <v>6.2792214580270604</v>
      </c>
      <c r="O908">
        <v>0.93436885840172501</v>
      </c>
      <c r="P908">
        <v>0.25822510501359502</v>
      </c>
      <c r="Q908" t="s">
        <v>4</v>
      </c>
      <c r="R908" s="4" t="s">
        <v>87</v>
      </c>
      <c r="S908" t="s">
        <v>4</v>
      </c>
      <c r="T908" t="s">
        <v>92</v>
      </c>
      <c r="U908" t="s">
        <v>92</v>
      </c>
      <c r="V908" t="s">
        <v>92</v>
      </c>
      <c r="W908" t="s">
        <v>92</v>
      </c>
      <c r="X908" t="s">
        <v>4</v>
      </c>
      <c r="Y908" t="s">
        <v>92</v>
      </c>
      <c r="Z908" t="s">
        <v>92</v>
      </c>
      <c r="AA908" t="s">
        <v>92</v>
      </c>
      <c r="AB908" t="s">
        <v>4</v>
      </c>
      <c r="AC908" s="3" t="s">
        <v>93</v>
      </c>
      <c r="AD908" t="s">
        <v>4</v>
      </c>
      <c r="AE908" s="4" t="s">
        <v>94</v>
      </c>
      <c r="AZ908" t="s">
        <v>4</v>
      </c>
      <c r="BA908" s="3" t="s">
        <v>95</v>
      </c>
      <c r="BB908" s="6" t="s">
        <v>95</v>
      </c>
      <c r="BC908" s="3" t="s">
        <v>95</v>
      </c>
      <c r="BD908" t="s">
        <v>4</v>
      </c>
      <c r="BE908">
        <v>634</v>
      </c>
      <c r="BF908" t="s">
        <v>322</v>
      </c>
      <c r="CK908">
        <v>1</v>
      </c>
      <c r="CL908" t="s">
        <v>4</v>
      </c>
      <c r="CM908" t="s">
        <v>98</v>
      </c>
      <c r="CN908" t="s">
        <v>98</v>
      </c>
      <c r="CO908" t="s">
        <v>99</v>
      </c>
      <c r="CP908" s="7">
        <v>362</v>
      </c>
      <c r="CQ908" t="s">
        <v>100</v>
      </c>
      <c r="CR908" t="s">
        <v>100</v>
      </c>
      <c r="CS908" t="s">
        <v>101</v>
      </c>
      <c r="CT908" t="s">
        <v>100</v>
      </c>
      <c r="CU908" t="s">
        <v>102</v>
      </c>
      <c r="CV908" t="s">
        <v>100</v>
      </c>
    </row>
    <row r="909" spans="1:100">
      <c r="A909" s="3" t="s">
        <v>10140</v>
      </c>
      <c r="B909" s="4" t="s">
        <v>10141</v>
      </c>
      <c r="C909">
        <v>56.034478408031497</v>
      </c>
      <c r="D909">
        <v>7.8401351113029101</v>
      </c>
      <c r="E909">
        <v>2.8463107920735502</v>
      </c>
      <c r="F909">
        <v>1.0296042714316301E-2</v>
      </c>
      <c r="G909" t="s">
        <v>4</v>
      </c>
      <c r="H909">
        <v>56.034478408031497</v>
      </c>
      <c r="I909">
        <v>7.87497345695561</v>
      </c>
      <c r="J909">
        <v>2.8708648824186098</v>
      </c>
      <c r="K909">
        <v>9.0594579196983799E-3</v>
      </c>
      <c r="L909" t="s">
        <v>4</v>
      </c>
      <c r="M909">
        <v>7.8401351113029101</v>
      </c>
      <c r="N909">
        <v>7.87497345695561</v>
      </c>
      <c r="O909">
        <v>2.4554090345059398E-2</v>
      </c>
      <c r="P909">
        <v>0.99085596749916505</v>
      </c>
      <c r="Q909" t="s">
        <v>4</v>
      </c>
      <c r="R909" s="4" t="s">
        <v>87</v>
      </c>
      <c r="S909" t="s">
        <v>4</v>
      </c>
      <c r="T909" t="s">
        <v>1974</v>
      </c>
      <c r="U909" t="s">
        <v>1975</v>
      </c>
      <c r="V909" t="s">
        <v>1976</v>
      </c>
      <c r="W909" t="s">
        <v>123</v>
      </c>
      <c r="X909" t="s">
        <v>4</v>
      </c>
      <c r="Y909" t="s">
        <v>9765</v>
      </c>
      <c r="Z909" t="s">
        <v>9766</v>
      </c>
      <c r="AA909" t="s">
        <v>9767</v>
      </c>
      <c r="AB909" t="s">
        <v>4</v>
      </c>
      <c r="AC909" s="3" t="s">
        <v>1318</v>
      </c>
      <c r="AD909" t="s">
        <v>4</v>
      </c>
      <c r="AE909" t="s">
        <v>10142</v>
      </c>
      <c r="AF909" t="s">
        <v>10143</v>
      </c>
      <c r="AG909" t="s">
        <v>130</v>
      </c>
      <c r="AH909" t="s">
        <v>112</v>
      </c>
      <c r="AK909" t="s">
        <v>1322</v>
      </c>
      <c r="AL909" t="s">
        <v>4707</v>
      </c>
      <c r="AM909" t="s">
        <v>1324</v>
      </c>
      <c r="AQ909" t="s">
        <v>1325</v>
      </c>
      <c r="AU909" t="s">
        <v>112</v>
      </c>
      <c r="AV909" t="s">
        <v>9770</v>
      </c>
      <c r="AW909" t="s">
        <v>114</v>
      </c>
      <c r="AX909" t="s">
        <v>132</v>
      </c>
      <c r="AY909" t="s">
        <v>1460</v>
      </c>
      <c r="AZ909" t="s">
        <v>4</v>
      </c>
      <c r="BA909" s="3" t="s">
        <v>95</v>
      </c>
      <c r="BB909" s="6" t="s">
        <v>95</v>
      </c>
      <c r="BC909" s="3" t="s">
        <v>95</v>
      </c>
      <c r="BD909" t="s">
        <v>4</v>
      </c>
      <c r="BE909">
        <v>5190</v>
      </c>
      <c r="BF909" t="s">
        <v>282</v>
      </c>
      <c r="BG909">
        <v>99.344300000000004</v>
      </c>
      <c r="BH909">
        <v>99.6721</v>
      </c>
      <c r="BI909">
        <v>98.688500000000005</v>
      </c>
      <c r="BJ909">
        <v>98.360699999999994</v>
      </c>
      <c r="BK909">
        <v>85.901600000000002</v>
      </c>
      <c r="BL909">
        <v>72.131100000000004</v>
      </c>
      <c r="BM909" t="s">
        <v>10144</v>
      </c>
      <c r="BN909" t="s">
        <v>10145</v>
      </c>
      <c r="BO909">
        <v>94.754099999999994</v>
      </c>
      <c r="BP909">
        <v>74.098399999999998</v>
      </c>
      <c r="BR909">
        <v>78.688500000000005</v>
      </c>
      <c r="BT909" t="s">
        <v>10146</v>
      </c>
      <c r="CK909">
        <v>6</v>
      </c>
      <c r="CL909" t="s">
        <v>4</v>
      </c>
      <c r="CM909" t="s">
        <v>98</v>
      </c>
      <c r="CN909" t="s">
        <v>98</v>
      </c>
      <c r="CO909" t="s">
        <v>99</v>
      </c>
      <c r="CP909" s="7">
        <v>363</v>
      </c>
      <c r="CQ909" t="s">
        <v>100</v>
      </c>
      <c r="CR909" t="s">
        <v>100</v>
      </c>
      <c r="CS909" t="s">
        <v>101</v>
      </c>
      <c r="CT909" t="s">
        <v>100</v>
      </c>
      <c r="CU909" t="s">
        <v>102</v>
      </c>
      <c r="CV909" t="s">
        <v>100</v>
      </c>
    </row>
    <row r="910" spans="1:100">
      <c r="A910" s="3" t="s">
        <v>10147</v>
      </c>
      <c r="B910" s="4" t="s">
        <v>10148</v>
      </c>
      <c r="C910">
        <v>45.198590441555702</v>
      </c>
      <c r="D910">
        <v>12.006337357396299</v>
      </c>
      <c r="E910">
        <v>1.9164445800171199</v>
      </c>
      <c r="F910">
        <v>2.7728533968894302E-3</v>
      </c>
      <c r="G910" t="s">
        <v>4</v>
      </c>
      <c r="H910">
        <v>45.198590441555702</v>
      </c>
      <c r="I910">
        <v>6.0456350152819303</v>
      </c>
      <c r="J910">
        <v>2.8582012597865298</v>
      </c>
      <c r="K910" s="5">
        <v>4.4723731589049898E-5</v>
      </c>
      <c r="L910" t="s">
        <v>4</v>
      </c>
      <c r="M910">
        <v>12.006337357396299</v>
      </c>
      <c r="N910">
        <v>6.0456350152819303</v>
      </c>
      <c r="O910">
        <v>0.94175667976941202</v>
      </c>
      <c r="P910">
        <v>0.24013429995087299</v>
      </c>
      <c r="Q910" t="s">
        <v>4</v>
      </c>
      <c r="R910" s="4" t="s">
        <v>87</v>
      </c>
      <c r="S910" t="s">
        <v>4</v>
      </c>
      <c r="T910" t="s">
        <v>10149</v>
      </c>
      <c r="U910" t="s">
        <v>10150</v>
      </c>
      <c r="V910" t="s">
        <v>10151</v>
      </c>
      <c r="W910" t="s">
        <v>328</v>
      </c>
      <c r="X910" t="s">
        <v>4</v>
      </c>
      <c r="Y910" t="s">
        <v>10152</v>
      </c>
      <c r="Z910" t="s">
        <v>10153</v>
      </c>
      <c r="AA910" t="s">
        <v>10154</v>
      </c>
      <c r="AB910" t="s">
        <v>4</v>
      </c>
      <c r="AC910" s="3" t="s">
        <v>10155</v>
      </c>
      <c r="AD910" t="s">
        <v>4</v>
      </c>
      <c r="AE910" t="s">
        <v>10156</v>
      </c>
      <c r="AF910" t="s">
        <v>10157</v>
      </c>
      <c r="AG910" t="s">
        <v>4425</v>
      </c>
      <c r="AH910" t="s">
        <v>112</v>
      </c>
      <c r="AL910" t="s">
        <v>10158</v>
      </c>
      <c r="AM910" t="s">
        <v>10159</v>
      </c>
      <c r="AQ910" t="s">
        <v>3868</v>
      </c>
      <c r="AR910" t="s">
        <v>10160</v>
      </c>
      <c r="AU910" t="s">
        <v>112</v>
      </c>
      <c r="AV910" t="s">
        <v>10161</v>
      </c>
      <c r="AW910" t="s">
        <v>114</v>
      </c>
      <c r="AX910" t="s">
        <v>909</v>
      </c>
      <c r="AY910" t="s">
        <v>10162</v>
      </c>
      <c r="AZ910" t="s">
        <v>4</v>
      </c>
      <c r="BA910" s="3" t="s">
        <v>115</v>
      </c>
      <c r="BB910" t="s">
        <v>96</v>
      </c>
      <c r="BC910" s="3" t="s">
        <v>95</v>
      </c>
      <c r="BD910" t="s">
        <v>4</v>
      </c>
      <c r="BE910">
        <v>7040</v>
      </c>
      <c r="BF910" t="s">
        <v>213</v>
      </c>
      <c r="BG910">
        <v>55.664999999999999</v>
      </c>
      <c r="BH910">
        <v>80.541899999999998</v>
      </c>
      <c r="BI910">
        <v>83.990200000000002</v>
      </c>
      <c r="BJ910">
        <v>71.674899999999994</v>
      </c>
      <c r="BK910">
        <v>66.009799999999998</v>
      </c>
      <c r="BM910">
        <v>46.798000000000002</v>
      </c>
      <c r="BN910" t="s">
        <v>10163</v>
      </c>
      <c r="BO910">
        <v>72.906400000000005</v>
      </c>
      <c r="BP910">
        <v>52.216700000000003</v>
      </c>
      <c r="BQ910" t="s">
        <v>10164</v>
      </c>
      <c r="BR910">
        <v>42.857100000000003</v>
      </c>
      <c r="BS910" t="s">
        <v>10165</v>
      </c>
      <c r="BW910" t="s">
        <v>10166</v>
      </c>
      <c r="BX910">
        <v>33.004899999999999</v>
      </c>
      <c r="BY910">
        <v>17.734000000000002</v>
      </c>
      <c r="BZ910" t="s">
        <v>10167</v>
      </c>
      <c r="CA910">
        <v>30.541899999999998</v>
      </c>
      <c r="CB910">
        <v>10.837400000000001</v>
      </c>
      <c r="CG910">
        <v>24.3842</v>
      </c>
      <c r="CH910">
        <v>24.137899999999998</v>
      </c>
      <c r="CI910">
        <v>23.8916</v>
      </c>
      <c r="CK910">
        <v>8</v>
      </c>
      <c r="CL910" t="s">
        <v>4</v>
      </c>
      <c r="CM910" t="s">
        <v>10168</v>
      </c>
      <c r="CN910" t="s">
        <v>10169</v>
      </c>
      <c r="CO910" t="s">
        <v>99</v>
      </c>
      <c r="CP910" s="7">
        <v>365</v>
      </c>
      <c r="CQ910" t="s">
        <v>100</v>
      </c>
      <c r="CR910" t="s">
        <v>100</v>
      </c>
      <c r="CS910" t="s">
        <v>101</v>
      </c>
      <c r="CT910" t="s">
        <v>100</v>
      </c>
      <c r="CU910" t="s">
        <v>102</v>
      </c>
      <c r="CV910" t="s">
        <v>100</v>
      </c>
    </row>
    <row r="911" spans="1:100">
      <c r="A911" s="3" t="s">
        <v>10170</v>
      </c>
      <c r="B911" s="4" t="s">
        <v>10171</v>
      </c>
      <c r="C911">
        <v>83.582230738237698</v>
      </c>
      <c r="D911">
        <v>22.318517069856</v>
      </c>
      <c r="E911">
        <v>1.91383273178354</v>
      </c>
      <c r="F911">
        <v>8.1755697350652298E-3</v>
      </c>
      <c r="G911" t="s">
        <v>4</v>
      </c>
      <c r="H911">
        <v>83.582230738237698</v>
      </c>
      <c r="I911">
        <v>11.5267051213616</v>
      </c>
      <c r="J911">
        <v>2.8568826278705899</v>
      </c>
      <c r="K911" s="5">
        <v>9.81468990713858E-5</v>
      </c>
      <c r="L911" t="s">
        <v>4</v>
      </c>
      <c r="M911">
        <v>22.318517069856</v>
      </c>
      <c r="N911">
        <v>11.5267051213616</v>
      </c>
      <c r="O911">
        <v>0.94304989608705203</v>
      </c>
      <c r="P911">
        <v>0.249706317935044</v>
      </c>
      <c r="Q911" t="s">
        <v>4</v>
      </c>
      <c r="R911" s="4" t="s">
        <v>87</v>
      </c>
      <c r="S911" t="s">
        <v>4</v>
      </c>
      <c r="T911" t="s">
        <v>92</v>
      </c>
      <c r="U911" t="s">
        <v>92</v>
      </c>
      <c r="V911" t="s">
        <v>92</v>
      </c>
      <c r="W911" t="s">
        <v>92</v>
      </c>
      <c r="X911" t="s">
        <v>4</v>
      </c>
      <c r="Y911" t="s">
        <v>92</v>
      </c>
      <c r="Z911" t="s">
        <v>92</v>
      </c>
      <c r="AA911" t="s">
        <v>92</v>
      </c>
      <c r="AB911" t="s">
        <v>4</v>
      </c>
      <c r="AC911" s="3" t="s">
        <v>93</v>
      </c>
      <c r="AD911" t="s">
        <v>4</v>
      </c>
      <c r="AE911" s="4" t="s">
        <v>94</v>
      </c>
      <c r="AZ911" t="s">
        <v>4</v>
      </c>
      <c r="BA911" s="3" t="s">
        <v>95</v>
      </c>
      <c r="BB911" s="6" t="s">
        <v>95</v>
      </c>
      <c r="BC911" s="3" t="s">
        <v>95</v>
      </c>
      <c r="BD911" t="s">
        <v>4</v>
      </c>
      <c r="BE911">
        <v>1337</v>
      </c>
      <c r="BF911" t="s">
        <v>151</v>
      </c>
      <c r="BG911" t="s">
        <v>10172</v>
      </c>
      <c r="BJ911">
        <v>41.3934</v>
      </c>
      <c r="BK911" t="s">
        <v>10173</v>
      </c>
      <c r="BO911">
        <v>31.557400000000001</v>
      </c>
      <c r="CK911">
        <v>2</v>
      </c>
      <c r="CL911" t="s">
        <v>4</v>
      </c>
      <c r="CM911" t="s">
        <v>98</v>
      </c>
      <c r="CN911" t="s">
        <v>98</v>
      </c>
      <c r="CO911" t="s">
        <v>99</v>
      </c>
      <c r="CP911" s="7">
        <v>366</v>
      </c>
      <c r="CQ911" t="s">
        <v>100</v>
      </c>
      <c r="CR911" t="s">
        <v>100</v>
      </c>
      <c r="CS911" t="s">
        <v>101</v>
      </c>
      <c r="CT911" t="s">
        <v>100</v>
      </c>
      <c r="CU911" t="s">
        <v>102</v>
      </c>
      <c r="CV911" t="s">
        <v>100</v>
      </c>
    </row>
    <row r="912" spans="1:100">
      <c r="A912" s="3" t="s">
        <v>10174</v>
      </c>
      <c r="B912" s="4" t="s">
        <v>10175</v>
      </c>
      <c r="C912">
        <v>74.532156643107299</v>
      </c>
      <c r="D912">
        <v>17.056199136183601</v>
      </c>
      <c r="E912">
        <v>2.1268530599486102</v>
      </c>
      <c r="F912">
        <v>1.50496497226946E-2</v>
      </c>
      <c r="G912" t="s">
        <v>4</v>
      </c>
      <c r="H912">
        <v>74.532156643107299</v>
      </c>
      <c r="I912">
        <v>10.484345391380099</v>
      </c>
      <c r="J912">
        <v>2.85545052286504</v>
      </c>
      <c r="K912">
        <v>1.09698947842157E-3</v>
      </c>
      <c r="L912" t="s">
        <v>4</v>
      </c>
      <c r="M912">
        <v>17.056199136183601</v>
      </c>
      <c r="N912">
        <v>10.484345391380099</v>
      </c>
      <c r="O912">
        <v>0.72859746291642702</v>
      </c>
      <c r="P912">
        <v>0.46954547697947802</v>
      </c>
      <c r="Q912" t="s">
        <v>4</v>
      </c>
      <c r="R912" s="4" t="s">
        <v>87</v>
      </c>
      <c r="S912" t="s">
        <v>4</v>
      </c>
      <c r="T912" t="s">
        <v>10176</v>
      </c>
      <c r="U912" t="s">
        <v>10177</v>
      </c>
      <c r="V912" t="s">
        <v>10178</v>
      </c>
      <c r="W912" t="s">
        <v>328</v>
      </c>
      <c r="X912" t="s">
        <v>4</v>
      </c>
      <c r="Y912" t="s">
        <v>10179</v>
      </c>
      <c r="Z912" t="s">
        <v>10180</v>
      </c>
      <c r="AA912" t="s">
        <v>10181</v>
      </c>
      <c r="AB912" t="s">
        <v>4</v>
      </c>
      <c r="AC912" s="3" t="s">
        <v>10182</v>
      </c>
      <c r="AD912" t="s">
        <v>4</v>
      </c>
      <c r="AE912" t="s">
        <v>10183</v>
      </c>
      <c r="AF912" t="s">
        <v>10184</v>
      </c>
      <c r="AG912" t="s">
        <v>10185</v>
      </c>
      <c r="AH912" t="s">
        <v>112</v>
      </c>
      <c r="AJ912" t="s">
        <v>10186</v>
      </c>
      <c r="AK912" t="s">
        <v>10187</v>
      </c>
      <c r="AL912" t="s">
        <v>10188</v>
      </c>
      <c r="AM912" t="s">
        <v>10189</v>
      </c>
      <c r="AN912" t="s">
        <v>10190</v>
      </c>
      <c r="AQ912" t="s">
        <v>10191</v>
      </c>
      <c r="AU912" t="s">
        <v>112</v>
      </c>
      <c r="AV912" t="s">
        <v>10192</v>
      </c>
      <c r="AW912" t="s">
        <v>114</v>
      </c>
      <c r="AX912" t="s">
        <v>1308</v>
      </c>
      <c r="AY912" t="s">
        <v>10193</v>
      </c>
      <c r="AZ912" t="s">
        <v>4</v>
      </c>
      <c r="BA912" s="3" t="s">
        <v>95</v>
      </c>
      <c r="BB912" t="s">
        <v>96</v>
      </c>
      <c r="BC912" s="3" t="s">
        <v>95</v>
      </c>
      <c r="BD912" t="s">
        <v>4</v>
      </c>
      <c r="BE912">
        <v>10342</v>
      </c>
      <c r="BF912" t="s">
        <v>169</v>
      </c>
      <c r="BG912">
        <v>94.238699999999994</v>
      </c>
      <c r="BH912">
        <v>96.296300000000002</v>
      </c>
      <c r="BI912">
        <v>90.9465</v>
      </c>
      <c r="BJ912">
        <v>73.662599999999998</v>
      </c>
      <c r="BL912">
        <v>64.609099999999998</v>
      </c>
      <c r="BM912">
        <v>66.255099999999999</v>
      </c>
      <c r="BN912">
        <v>65.843599999999995</v>
      </c>
      <c r="BO912">
        <v>67.489699999999999</v>
      </c>
      <c r="BP912" t="s">
        <v>10194</v>
      </c>
      <c r="BQ912">
        <v>45.267499999999998</v>
      </c>
      <c r="BR912">
        <v>40.3292</v>
      </c>
      <c r="BS912">
        <v>44.444400000000002</v>
      </c>
      <c r="BT912">
        <v>39.5062</v>
      </c>
      <c r="BU912">
        <v>41.152299999999997</v>
      </c>
      <c r="BV912" t="s">
        <v>10195</v>
      </c>
      <c r="BW912">
        <v>41.975299999999997</v>
      </c>
      <c r="BX912" t="s">
        <v>10196</v>
      </c>
      <c r="BY912">
        <v>38.271599999999999</v>
      </c>
      <c r="BZ912" t="s">
        <v>10197</v>
      </c>
      <c r="CA912">
        <v>41.975299999999997</v>
      </c>
      <c r="CB912">
        <v>34.156399999999998</v>
      </c>
      <c r="CC912">
        <v>38.271599999999999</v>
      </c>
      <c r="CD912">
        <v>38.271599999999999</v>
      </c>
      <c r="CE912">
        <v>35.802500000000002</v>
      </c>
      <c r="CF912">
        <v>35.390900000000002</v>
      </c>
      <c r="CG912">
        <v>37.448599999999999</v>
      </c>
      <c r="CH912">
        <v>36.625500000000002</v>
      </c>
      <c r="CI912">
        <v>40.3292</v>
      </c>
      <c r="CJ912">
        <v>32.098799999999997</v>
      </c>
      <c r="CK912">
        <v>9</v>
      </c>
      <c r="CL912" t="s">
        <v>4</v>
      </c>
      <c r="CM912" t="s">
        <v>10198</v>
      </c>
      <c r="CN912" t="s">
        <v>10199</v>
      </c>
      <c r="CO912" t="s">
        <v>219</v>
      </c>
      <c r="CP912" s="7">
        <v>368</v>
      </c>
      <c r="CQ912" t="s">
        <v>100</v>
      </c>
      <c r="CR912" t="s">
        <v>100</v>
      </c>
      <c r="CS912" t="s">
        <v>101</v>
      </c>
      <c r="CT912" t="s">
        <v>100</v>
      </c>
      <c r="CU912" t="s">
        <v>102</v>
      </c>
      <c r="CV912" t="s">
        <v>100</v>
      </c>
    </row>
    <row r="913" spans="1:100">
      <c r="A913" s="3" t="s">
        <v>10200</v>
      </c>
      <c r="B913" s="4" t="s">
        <v>10201</v>
      </c>
      <c r="C913">
        <v>34.619720128437102</v>
      </c>
      <c r="D913">
        <v>5.9958161417848697</v>
      </c>
      <c r="E913">
        <v>2.5277787437060901</v>
      </c>
      <c r="F913">
        <v>1.42367206544519E-2</v>
      </c>
      <c r="G913" t="s">
        <v>4</v>
      </c>
      <c r="H913">
        <v>34.619720128437102</v>
      </c>
      <c r="I913">
        <v>5.2716408089299502</v>
      </c>
      <c r="J913">
        <v>2.8388573661188299</v>
      </c>
      <c r="K913">
        <v>6.8169718469294803E-3</v>
      </c>
      <c r="L913" t="s">
        <v>4</v>
      </c>
      <c r="M913">
        <v>5.9958161417848697</v>
      </c>
      <c r="N913">
        <v>5.2716408089299502</v>
      </c>
      <c r="O913">
        <v>0.31107862241274098</v>
      </c>
      <c r="P913">
        <v>0.82065173621926801</v>
      </c>
      <c r="Q913" t="s">
        <v>4</v>
      </c>
      <c r="R913" s="4" t="s">
        <v>87</v>
      </c>
      <c r="S913" t="s">
        <v>4</v>
      </c>
      <c r="T913" t="s">
        <v>92</v>
      </c>
      <c r="U913" t="s">
        <v>92</v>
      </c>
      <c r="V913" t="s">
        <v>92</v>
      </c>
      <c r="W913" t="s">
        <v>92</v>
      </c>
      <c r="X913" t="s">
        <v>4</v>
      </c>
      <c r="Y913" t="s">
        <v>92</v>
      </c>
      <c r="Z913" t="s">
        <v>92</v>
      </c>
      <c r="AA913" t="s">
        <v>92</v>
      </c>
      <c r="AB913" t="s">
        <v>4</v>
      </c>
      <c r="AC913" s="3" t="s">
        <v>93</v>
      </c>
      <c r="AD913" t="s">
        <v>4</v>
      </c>
      <c r="AE913" s="4" t="s">
        <v>94</v>
      </c>
      <c r="AZ913" t="s">
        <v>4</v>
      </c>
      <c r="BA913" s="3" t="s">
        <v>95</v>
      </c>
      <c r="BB913" s="6" t="s">
        <v>95</v>
      </c>
      <c r="BC913" s="3" t="s">
        <v>95</v>
      </c>
      <c r="BD913" t="s">
        <v>4</v>
      </c>
      <c r="BE913">
        <v>832</v>
      </c>
      <c r="BF913" t="s">
        <v>604</v>
      </c>
      <c r="BH913">
        <v>100</v>
      </c>
      <c r="CK913">
        <v>1.5</v>
      </c>
      <c r="CL913" t="s">
        <v>4</v>
      </c>
      <c r="CM913" t="s">
        <v>98</v>
      </c>
      <c r="CN913" t="s">
        <v>98</v>
      </c>
      <c r="CO913" t="s">
        <v>99</v>
      </c>
      <c r="CP913" s="7">
        <v>370</v>
      </c>
      <c r="CQ913" t="s">
        <v>100</v>
      </c>
      <c r="CR913" t="s">
        <v>100</v>
      </c>
      <c r="CS913" t="s">
        <v>101</v>
      </c>
      <c r="CT913" t="s">
        <v>100</v>
      </c>
      <c r="CU913" t="s">
        <v>102</v>
      </c>
      <c r="CV913" t="s">
        <v>100</v>
      </c>
    </row>
    <row r="914" spans="1:100">
      <c r="A914" s="3" t="s">
        <v>10202</v>
      </c>
      <c r="B914" s="4" t="s">
        <v>10203</v>
      </c>
      <c r="C914">
        <v>55.339387461569899</v>
      </c>
      <c r="D914">
        <v>12.4276710640682</v>
      </c>
      <c r="E914">
        <v>2.1576964303170301</v>
      </c>
      <c r="F914">
        <v>1.09960891013474E-2</v>
      </c>
      <c r="G914" t="s">
        <v>4</v>
      </c>
      <c r="H914">
        <v>55.339387461569899</v>
      </c>
      <c r="I914">
        <v>7.9062799283693703</v>
      </c>
      <c r="J914">
        <v>2.8364594315545202</v>
      </c>
      <c r="K914">
        <v>1.02582083812207E-3</v>
      </c>
      <c r="L914" t="s">
        <v>4</v>
      </c>
      <c r="M914">
        <v>12.4276710640682</v>
      </c>
      <c r="N914">
        <v>7.9062799283693703</v>
      </c>
      <c r="O914">
        <v>0.67876300123748601</v>
      </c>
      <c r="P914">
        <v>0.50298027400617895</v>
      </c>
      <c r="Q914" t="s">
        <v>4</v>
      </c>
      <c r="R914" s="4" t="s">
        <v>87</v>
      </c>
      <c r="S914" t="s">
        <v>4</v>
      </c>
      <c r="T914" t="s">
        <v>10204</v>
      </c>
      <c r="U914" t="s">
        <v>10205</v>
      </c>
      <c r="V914" t="s">
        <v>10206</v>
      </c>
      <c r="W914" t="s">
        <v>123</v>
      </c>
      <c r="X914" t="s">
        <v>4</v>
      </c>
      <c r="Y914" t="s">
        <v>10207</v>
      </c>
      <c r="Z914" t="s">
        <v>10208</v>
      </c>
      <c r="AA914" t="s">
        <v>10209</v>
      </c>
      <c r="AB914" t="s">
        <v>4</v>
      </c>
      <c r="AC914" s="3" t="s">
        <v>10210</v>
      </c>
      <c r="AD914" t="s">
        <v>4</v>
      </c>
      <c r="AE914" t="s">
        <v>10211</v>
      </c>
      <c r="AF914" t="s">
        <v>10212</v>
      </c>
      <c r="AG914" t="s">
        <v>10213</v>
      </c>
      <c r="AH914" t="s">
        <v>112</v>
      </c>
      <c r="AU914" t="s">
        <v>112</v>
      </c>
      <c r="AV914" t="s">
        <v>10214</v>
      </c>
      <c r="AW914" t="s">
        <v>114</v>
      </c>
      <c r="AX914" t="s">
        <v>1308</v>
      </c>
      <c r="AY914" t="s">
        <v>10215</v>
      </c>
      <c r="AZ914" t="s">
        <v>4</v>
      </c>
      <c r="BA914" s="3" t="s">
        <v>95</v>
      </c>
      <c r="BB914" s="6" t="s">
        <v>95</v>
      </c>
      <c r="BC914" s="3" t="s">
        <v>95</v>
      </c>
      <c r="BD914" t="s">
        <v>4</v>
      </c>
      <c r="BE914">
        <v>3757</v>
      </c>
      <c r="BF914" t="s">
        <v>112</v>
      </c>
      <c r="BG914">
        <v>94.490399999999994</v>
      </c>
      <c r="BH914">
        <v>61.707999999999998</v>
      </c>
      <c r="BI914">
        <v>84.848500000000001</v>
      </c>
      <c r="BJ914">
        <v>58.402200000000001</v>
      </c>
      <c r="BL914">
        <v>63.360900000000001</v>
      </c>
      <c r="BM914">
        <v>63.0854</v>
      </c>
      <c r="BN914">
        <v>62.809899999999999</v>
      </c>
      <c r="BO914">
        <v>60.055100000000003</v>
      </c>
      <c r="BP914">
        <v>31.1295</v>
      </c>
      <c r="BQ914">
        <v>25.068899999999999</v>
      </c>
      <c r="BS914">
        <v>30.303000000000001</v>
      </c>
      <c r="BT914">
        <v>29.752099999999999</v>
      </c>
      <c r="BU914">
        <v>28.925599999999999</v>
      </c>
      <c r="BV914" t="s">
        <v>10216</v>
      </c>
      <c r="BW914">
        <v>22.038599999999999</v>
      </c>
      <c r="BX914">
        <v>27.823699999999999</v>
      </c>
      <c r="CA914">
        <v>27.823699999999999</v>
      </c>
      <c r="CK914">
        <v>5</v>
      </c>
      <c r="CL914" t="s">
        <v>4</v>
      </c>
      <c r="CM914" t="s">
        <v>10217</v>
      </c>
      <c r="CN914" t="s">
        <v>10218</v>
      </c>
      <c r="CO914" t="s">
        <v>99</v>
      </c>
      <c r="CP914" s="7">
        <v>371</v>
      </c>
      <c r="CQ914" t="s">
        <v>100</v>
      </c>
      <c r="CR914" t="s">
        <v>100</v>
      </c>
      <c r="CS914" t="s">
        <v>101</v>
      </c>
      <c r="CT914" t="s">
        <v>100</v>
      </c>
      <c r="CU914" t="s">
        <v>102</v>
      </c>
      <c r="CV914" t="s">
        <v>100</v>
      </c>
    </row>
    <row r="915" spans="1:100">
      <c r="A915" s="3" t="s">
        <v>10219</v>
      </c>
      <c r="B915" s="4" t="s">
        <v>10220</v>
      </c>
      <c r="C915">
        <v>51.880620647467303</v>
      </c>
      <c r="D915">
        <v>12.4798937222475</v>
      </c>
      <c r="E915">
        <v>2.0620479250013402</v>
      </c>
      <c r="F915">
        <v>4.5062910753543503E-2</v>
      </c>
      <c r="G915" t="s">
        <v>4</v>
      </c>
      <c r="H915">
        <v>51.880620647467303</v>
      </c>
      <c r="I915">
        <v>7.3069359382827299</v>
      </c>
      <c r="J915">
        <v>2.8183324106815899</v>
      </c>
      <c r="K915">
        <v>6.2749950160247703E-3</v>
      </c>
      <c r="L915" t="s">
        <v>4</v>
      </c>
      <c r="M915">
        <v>12.4798937222475</v>
      </c>
      <c r="N915">
        <v>7.3069359382827299</v>
      </c>
      <c r="O915">
        <v>0.75628448568025397</v>
      </c>
      <c r="P915">
        <v>0.526220686053403</v>
      </c>
      <c r="Q915" t="s">
        <v>4</v>
      </c>
      <c r="R915" s="4" t="s">
        <v>87</v>
      </c>
      <c r="S915" t="s">
        <v>4</v>
      </c>
      <c r="T915" t="s">
        <v>92</v>
      </c>
      <c r="U915" t="s">
        <v>92</v>
      </c>
      <c r="V915" t="s">
        <v>92</v>
      </c>
      <c r="W915" t="s">
        <v>92</v>
      </c>
      <c r="X915" t="s">
        <v>4</v>
      </c>
      <c r="Y915" t="s">
        <v>92</v>
      </c>
      <c r="Z915" t="s">
        <v>92</v>
      </c>
      <c r="AA915" t="s">
        <v>92</v>
      </c>
      <c r="AB915" t="s">
        <v>4</v>
      </c>
      <c r="AC915" s="3" t="s">
        <v>10221</v>
      </c>
      <c r="AD915" t="s">
        <v>4</v>
      </c>
      <c r="AE915" s="4" t="s">
        <v>94</v>
      </c>
      <c r="AZ915" t="s">
        <v>4</v>
      </c>
      <c r="BA915" s="3" t="s">
        <v>115</v>
      </c>
      <c r="BB915" t="s">
        <v>96</v>
      </c>
      <c r="BC915" s="3" t="s">
        <v>782</v>
      </c>
      <c r="BD915" t="s">
        <v>4</v>
      </c>
      <c r="BE915">
        <v>1167</v>
      </c>
      <c r="BF915" t="s">
        <v>151</v>
      </c>
      <c r="BG915">
        <v>93.632099999999994</v>
      </c>
      <c r="CK915">
        <v>2</v>
      </c>
      <c r="CL915" t="s">
        <v>4</v>
      </c>
      <c r="CM915" t="s">
        <v>98</v>
      </c>
      <c r="CN915" t="s">
        <v>98</v>
      </c>
      <c r="CO915" t="s">
        <v>99</v>
      </c>
      <c r="CP915" s="7">
        <v>372</v>
      </c>
      <c r="CQ915" t="s">
        <v>100</v>
      </c>
      <c r="CR915" t="s">
        <v>100</v>
      </c>
      <c r="CS915" t="s">
        <v>101</v>
      </c>
      <c r="CT915" t="s">
        <v>100</v>
      </c>
      <c r="CU915" t="s">
        <v>102</v>
      </c>
      <c r="CV915" t="s">
        <v>100</v>
      </c>
    </row>
    <row r="916" spans="1:100">
      <c r="A916" s="3" t="s">
        <v>10222</v>
      </c>
      <c r="B916" s="4" t="s">
        <v>10223</v>
      </c>
      <c r="C916">
        <v>58.293665148466197</v>
      </c>
      <c r="D916">
        <v>18.482658934027199</v>
      </c>
      <c r="E916">
        <v>1.6549169584316901</v>
      </c>
      <c r="F916">
        <v>4.45959949045355E-3</v>
      </c>
      <c r="G916" t="s">
        <v>4</v>
      </c>
      <c r="H916">
        <v>58.293665148466197</v>
      </c>
      <c r="I916">
        <v>8.1832514153259499</v>
      </c>
      <c r="J916">
        <v>2.7931612676798201</v>
      </c>
      <c r="K916" s="5">
        <v>8.9832983467210094E-6</v>
      </c>
      <c r="L916" t="s">
        <v>4</v>
      </c>
      <c r="M916">
        <v>18.482658934027199</v>
      </c>
      <c r="N916">
        <v>8.1832514153259499</v>
      </c>
      <c r="O916">
        <v>1.13824430924813</v>
      </c>
      <c r="P916">
        <v>0.10028316024973601</v>
      </c>
      <c r="Q916" t="s">
        <v>4</v>
      </c>
      <c r="R916" s="4" t="s">
        <v>87</v>
      </c>
      <c r="S916" t="s">
        <v>4</v>
      </c>
      <c r="T916" t="s">
        <v>9762</v>
      </c>
      <c r="U916" t="s">
        <v>9763</v>
      </c>
      <c r="V916" t="s">
        <v>9764</v>
      </c>
      <c r="W916" t="s">
        <v>203</v>
      </c>
      <c r="X916" t="s">
        <v>4</v>
      </c>
      <c r="Y916" t="s">
        <v>9765</v>
      </c>
      <c r="Z916" t="s">
        <v>9766</v>
      </c>
      <c r="AA916" t="s">
        <v>9767</v>
      </c>
      <c r="AB916" t="s">
        <v>4</v>
      </c>
      <c r="AC916" s="3" t="s">
        <v>1318</v>
      </c>
      <c r="AD916" t="s">
        <v>4</v>
      </c>
      <c r="AE916" t="s">
        <v>10224</v>
      </c>
      <c r="AF916" t="s">
        <v>10225</v>
      </c>
      <c r="AG916" t="s">
        <v>1361</v>
      </c>
      <c r="AH916" t="s">
        <v>112</v>
      </c>
      <c r="AU916" t="s">
        <v>112</v>
      </c>
      <c r="AV916" t="s">
        <v>9770</v>
      </c>
      <c r="AW916" t="s">
        <v>114</v>
      </c>
      <c r="AX916" t="s">
        <v>132</v>
      </c>
      <c r="AY916" t="s">
        <v>1460</v>
      </c>
      <c r="AZ916" t="s">
        <v>4</v>
      </c>
      <c r="BA916" s="3" t="s">
        <v>95</v>
      </c>
      <c r="BB916" s="6" t="s">
        <v>95</v>
      </c>
      <c r="BC916" s="3" t="s">
        <v>95</v>
      </c>
      <c r="BD916" t="s">
        <v>4</v>
      </c>
      <c r="BE916">
        <v>4767</v>
      </c>
      <c r="BF916" t="s">
        <v>282</v>
      </c>
      <c r="BG916">
        <v>96.8553</v>
      </c>
      <c r="BH916">
        <v>92.138400000000004</v>
      </c>
      <c r="BI916" t="s">
        <v>10226</v>
      </c>
      <c r="BJ916">
        <v>91.823899999999995</v>
      </c>
      <c r="BK916">
        <v>95.283000000000001</v>
      </c>
      <c r="BL916">
        <v>46.226399999999998</v>
      </c>
      <c r="BM916">
        <v>91.194999999999993</v>
      </c>
      <c r="BN916">
        <v>87.735799999999998</v>
      </c>
      <c r="BO916">
        <v>93.081800000000001</v>
      </c>
      <c r="BP916">
        <v>82.704400000000007</v>
      </c>
      <c r="BR916">
        <v>59.433999999999997</v>
      </c>
      <c r="BS916">
        <v>75.157200000000003</v>
      </c>
      <c r="BT916" t="s">
        <v>10227</v>
      </c>
      <c r="BW916">
        <v>69.496899999999997</v>
      </c>
      <c r="BX916" t="s">
        <v>10228</v>
      </c>
      <c r="BY916">
        <v>58.490600000000001</v>
      </c>
      <c r="BZ916" t="s">
        <v>10229</v>
      </c>
      <c r="CK916">
        <v>6</v>
      </c>
      <c r="CL916" t="s">
        <v>4</v>
      </c>
      <c r="CM916" t="s">
        <v>98</v>
      </c>
      <c r="CN916" t="s">
        <v>98</v>
      </c>
      <c r="CO916" t="s">
        <v>99</v>
      </c>
      <c r="CP916" s="7">
        <v>373</v>
      </c>
      <c r="CQ916" t="s">
        <v>100</v>
      </c>
      <c r="CR916" t="s">
        <v>100</v>
      </c>
      <c r="CS916" t="s">
        <v>101</v>
      </c>
      <c r="CT916" t="s">
        <v>100</v>
      </c>
      <c r="CU916" t="s">
        <v>102</v>
      </c>
      <c r="CV916" t="s">
        <v>100</v>
      </c>
    </row>
    <row r="917" spans="1:100">
      <c r="A917" s="3" t="s">
        <v>10230</v>
      </c>
      <c r="B917" s="4" t="s">
        <v>10231</v>
      </c>
      <c r="C917">
        <v>60.451789594233702</v>
      </c>
      <c r="D917">
        <v>10.240528091581201</v>
      </c>
      <c r="E917">
        <v>2.5639330357565702</v>
      </c>
      <c r="F917">
        <v>1.48022375463114E-2</v>
      </c>
      <c r="G917" t="s">
        <v>4</v>
      </c>
      <c r="H917">
        <v>60.451789594233702</v>
      </c>
      <c r="I917">
        <v>8.7705168326149003</v>
      </c>
      <c r="J917">
        <v>2.78461576987167</v>
      </c>
      <c r="K917">
        <v>7.6196022423164703E-3</v>
      </c>
      <c r="L917" t="s">
        <v>4</v>
      </c>
      <c r="M917">
        <v>10.240528091581201</v>
      </c>
      <c r="N917">
        <v>8.7705168326149003</v>
      </c>
      <c r="O917">
        <v>0.22068273411509701</v>
      </c>
      <c r="P917">
        <v>0.87143026519114997</v>
      </c>
      <c r="Q917" t="s">
        <v>4</v>
      </c>
      <c r="R917" s="4" t="s">
        <v>87</v>
      </c>
      <c r="S917" t="s">
        <v>4</v>
      </c>
      <c r="T917" t="s">
        <v>3600</v>
      </c>
      <c r="U917" t="s">
        <v>3601</v>
      </c>
      <c r="V917" t="s">
        <v>3602</v>
      </c>
      <c r="W917" t="s">
        <v>507</v>
      </c>
      <c r="X917" t="s">
        <v>4</v>
      </c>
      <c r="Y917" t="s">
        <v>3603</v>
      </c>
      <c r="Z917" t="s">
        <v>3604</v>
      </c>
      <c r="AA917" t="s">
        <v>3605</v>
      </c>
      <c r="AB917" t="s">
        <v>4</v>
      </c>
      <c r="AC917" s="3" t="s">
        <v>10232</v>
      </c>
      <c r="AD917" t="s">
        <v>4</v>
      </c>
      <c r="AE917" t="s">
        <v>10233</v>
      </c>
      <c r="AF917" t="s">
        <v>10234</v>
      </c>
      <c r="AG917" t="s">
        <v>10235</v>
      </c>
      <c r="AH917" t="s">
        <v>112</v>
      </c>
      <c r="AJ917" t="s">
        <v>10236</v>
      </c>
      <c r="AU917" t="s">
        <v>112</v>
      </c>
      <c r="AV917" t="s">
        <v>10237</v>
      </c>
      <c r="AW917" t="s">
        <v>114</v>
      </c>
      <c r="AX917" t="s">
        <v>2157</v>
      </c>
      <c r="AY917" t="s">
        <v>3610</v>
      </c>
      <c r="AZ917" t="s">
        <v>4</v>
      </c>
      <c r="BA917" s="3" t="s">
        <v>95</v>
      </c>
      <c r="BB917" t="s">
        <v>96</v>
      </c>
      <c r="BC917" s="3" t="s">
        <v>95</v>
      </c>
      <c r="BD917" t="s">
        <v>4</v>
      </c>
      <c r="BE917">
        <v>3418</v>
      </c>
      <c r="BF917" t="s">
        <v>112</v>
      </c>
      <c r="BG917">
        <v>73.529399999999995</v>
      </c>
      <c r="BH917">
        <v>100</v>
      </c>
      <c r="BK917">
        <v>55.392200000000003</v>
      </c>
      <c r="BL917">
        <v>36.764699999999998</v>
      </c>
      <c r="BM917">
        <v>57.352899999999998</v>
      </c>
      <c r="BN917">
        <v>57.352899999999998</v>
      </c>
      <c r="BO917">
        <v>80.882400000000004</v>
      </c>
      <c r="BP917">
        <v>53.431399999999996</v>
      </c>
      <c r="BS917">
        <v>25</v>
      </c>
      <c r="CK917">
        <v>5</v>
      </c>
      <c r="CL917" t="s">
        <v>4</v>
      </c>
      <c r="CM917" t="s">
        <v>98</v>
      </c>
      <c r="CN917" t="s">
        <v>98</v>
      </c>
      <c r="CO917" t="s">
        <v>99</v>
      </c>
      <c r="CP917" s="7">
        <v>374</v>
      </c>
      <c r="CQ917" t="s">
        <v>100</v>
      </c>
      <c r="CR917" t="s">
        <v>100</v>
      </c>
      <c r="CS917" t="s">
        <v>101</v>
      </c>
      <c r="CT917" t="s">
        <v>100</v>
      </c>
      <c r="CU917" t="s">
        <v>102</v>
      </c>
      <c r="CV917" t="s">
        <v>100</v>
      </c>
    </row>
    <row r="918" spans="1:100">
      <c r="A918" s="3" t="s">
        <v>10238</v>
      </c>
      <c r="B918" s="4" t="s">
        <v>10239</v>
      </c>
      <c r="C918">
        <v>41.040926427776398</v>
      </c>
      <c r="D918">
        <v>11.2585764954956</v>
      </c>
      <c r="E918">
        <v>1.87344460715521</v>
      </c>
      <c r="F918">
        <v>6.9589800213337204E-3</v>
      </c>
      <c r="G918" t="s">
        <v>4</v>
      </c>
      <c r="H918">
        <v>41.040926427776398</v>
      </c>
      <c r="I918">
        <v>5.6112252387140504</v>
      </c>
      <c r="J918">
        <v>2.77999985912742</v>
      </c>
      <c r="K918">
        <v>2.0329695480085901E-4</v>
      </c>
      <c r="L918" t="s">
        <v>4</v>
      </c>
      <c r="M918">
        <v>11.2585764954956</v>
      </c>
      <c r="N918">
        <v>5.6112252387140504</v>
      </c>
      <c r="O918">
        <v>0.90655525197220899</v>
      </c>
      <c r="P918">
        <v>0.290303712969672</v>
      </c>
      <c r="Q918" t="s">
        <v>4</v>
      </c>
      <c r="R918" s="4" t="s">
        <v>87</v>
      </c>
      <c r="S918" t="s">
        <v>4</v>
      </c>
      <c r="T918" t="s">
        <v>92</v>
      </c>
      <c r="U918" t="s">
        <v>92</v>
      </c>
      <c r="V918" t="s">
        <v>92</v>
      </c>
      <c r="W918" t="s">
        <v>92</v>
      </c>
      <c r="X918" t="s">
        <v>4</v>
      </c>
      <c r="Y918" t="s">
        <v>92</v>
      </c>
      <c r="Z918" t="s">
        <v>92</v>
      </c>
      <c r="AA918" t="s">
        <v>92</v>
      </c>
      <c r="AB918" t="s">
        <v>4</v>
      </c>
      <c r="AC918" s="3" t="s">
        <v>93</v>
      </c>
      <c r="AD918" t="s">
        <v>4</v>
      </c>
      <c r="AE918" s="4" t="s">
        <v>94</v>
      </c>
      <c r="AZ918" t="s">
        <v>4</v>
      </c>
      <c r="BA918" s="3" t="s">
        <v>95</v>
      </c>
      <c r="BB918" s="6" t="s">
        <v>95</v>
      </c>
      <c r="BC918" s="3" t="s">
        <v>197</v>
      </c>
      <c r="BD918" t="s">
        <v>4</v>
      </c>
      <c r="BE918">
        <v>1511</v>
      </c>
      <c r="BF918" t="s">
        <v>151</v>
      </c>
      <c r="BI918">
        <v>61.333300000000001</v>
      </c>
      <c r="CK918">
        <v>2</v>
      </c>
      <c r="CL918" t="s">
        <v>4</v>
      </c>
      <c r="CM918" t="s">
        <v>98</v>
      </c>
      <c r="CN918" t="s">
        <v>98</v>
      </c>
      <c r="CO918" t="s">
        <v>99</v>
      </c>
      <c r="CP918" s="7">
        <v>375</v>
      </c>
      <c r="CQ918" t="s">
        <v>100</v>
      </c>
      <c r="CR918" t="s">
        <v>100</v>
      </c>
      <c r="CS918" t="s">
        <v>101</v>
      </c>
      <c r="CT918" t="s">
        <v>100</v>
      </c>
      <c r="CU918" t="s">
        <v>102</v>
      </c>
      <c r="CV918" t="s">
        <v>100</v>
      </c>
    </row>
    <row r="919" spans="1:100">
      <c r="A919" s="3" t="s">
        <v>10240</v>
      </c>
      <c r="B919" s="4" t="s">
        <v>10241</v>
      </c>
      <c r="C919">
        <v>290.22116919329301</v>
      </c>
      <c r="D919">
        <v>81.329656745172599</v>
      </c>
      <c r="E919">
        <v>1.8346160445774</v>
      </c>
      <c r="F919">
        <v>2.43732944059591E-4</v>
      </c>
      <c r="G919" t="s">
        <v>4</v>
      </c>
      <c r="H919">
        <v>290.22116919329301</v>
      </c>
      <c r="I919">
        <v>42.486395292454297</v>
      </c>
      <c r="J919">
        <v>2.77285244960022</v>
      </c>
      <c r="K919" s="5">
        <v>1.9538552928290201E-8</v>
      </c>
      <c r="L919" t="s">
        <v>4</v>
      </c>
      <c r="M919">
        <v>81.329656745172599</v>
      </c>
      <c r="N919">
        <v>42.486395292454297</v>
      </c>
      <c r="O919">
        <v>0.93823640502282402</v>
      </c>
      <c r="P919">
        <v>7.9716219864091706E-2</v>
      </c>
      <c r="Q919" t="s">
        <v>4</v>
      </c>
      <c r="R919" s="4" t="s">
        <v>87</v>
      </c>
      <c r="S919" t="s">
        <v>4</v>
      </c>
      <c r="T919" t="s">
        <v>10242</v>
      </c>
      <c r="U919" t="s">
        <v>10243</v>
      </c>
      <c r="V919" t="s">
        <v>10244</v>
      </c>
      <c r="W919" t="s">
        <v>328</v>
      </c>
      <c r="X919" t="s">
        <v>4</v>
      </c>
      <c r="Y919" t="s">
        <v>10245</v>
      </c>
      <c r="Z919" t="s">
        <v>10246</v>
      </c>
      <c r="AA919" t="s">
        <v>10247</v>
      </c>
      <c r="AB919" t="s">
        <v>4</v>
      </c>
      <c r="AC919" s="3" t="s">
        <v>10248</v>
      </c>
      <c r="AD919" t="s">
        <v>4</v>
      </c>
      <c r="AE919" t="s">
        <v>10249</v>
      </c>
      <c r="AF919" t="s">
        <v>834</v>
      </c>
      <c r="AG919" t="s">
        <v>10250</v>
      </c>
      <c r="AH919" t="s">
        <v>112</v>
      </c>
      <c r="AJ919" t="s">
        <v>10251</v>
      </c>
      <c r="AK919" t="s">
        <v>10252</v>
      </c>
      <c r="AL919" t="s">
        <v>10253</v>
      </c>
      <c r="AM919" t="s">
        <v>10254</v>
      </c>
      <c r="AO919" t="s">
        <v>10255</v>
      </c>
      <c r="AP919" t="s">
        <v>10256</v>
      </c>
      <c r="AQ919" t="s">
        <v>342</v>
      </c>
      <c r="AU919" t="s">
        <v>112</v>
      </c>
      <c r="AV919" t="s">
        <v>10257</v>
      </c>
      <c r="AW919" t="s">
        <v>114</v>
      </c>
      <c r="AX919" t="s">
        <v>132</v>
      </c>
      <c r="AY919" t="s">
        <v>1346</v>
      </c>
      <c r="AZ919" t="s">
        <v>4</v>
      </c>
      <c r="BA919" s="3" t="s">
        <v>95</v>
      </c>
      <c r="BB919" t="s">
        <v>96</v>
      </c>
      <c r="BC919" s="3" t="s">
        <v>95</v>
      </c>
      <c r="BD919" t="s">
        <v>4</v>
      </c>
      <c r="BE919">
        <v>4160</v>
      </c>
      <c r="BF919" t="s">
        <v>112</v>
      </c>
      <c r="BG919">
        <v>98.630099999999999</v>
      </c>
      <c r="BH919">
        <v>93.248500000000007</v>
      </c>
      <c r="BI919">
        <v>95.596900000000005</v>
      </c>
      <c r="BJ919">
        <v>87.769099999999995</v>
      </c>
      <c r="BK919">
        <v>77.690799999999996</v>
      </c>
      <c r="BL919">
        <v>80.724100000000007</v>
      </c>
      <c r="BM919">
        <v>82.8767</v>
      </c>
      <c r="BN919">
        <v>82.778899999999993</v>
      </c>
      <c r="BO919">
        <v>86.888499999999993</v>
      </c>
      <c r="BP919">
        <v>60.469700000000003</v>
      </c>
      <c r="BR919">
        <v>57.436399999999999</v>
      </c>
      <c r="BS919">
        <v>58.414900000000003</v>
      </c>
      <c r="BT919">
        <v>31.898199999999999</v>
      </c>
      <c r="BU919" t="s">
        <v>10258</v>
      </c>
      <c r="BV919" t="s">
        <v>10259</v>
      </c>
      <c r="BY919" t="s">
        <v>10260</v>
      </c>
      <c r="CA919">
        <v>59.588999999999999</v>
      </c>
      <c r="CK919">
        <v>5</v>
      </c>
      <c r="CL919" t="s">
        <v>4</v>
      </c>
      <c r="CM919" t="s">
        <v>10261</v>
      </c>
      <c r="CN919" t="s">
        <v>10262</v>
      </c>
      <c r="CO919" t="s">
        <v>99</v>
      </c>
      <c r="CP919" s="7">
        <v>376</v>
      </c>
      <c r="CQ919" t="s">
        <v>100</v>
      </c>
      <c r="CR919" t="s">
        <v>100</v>
      </c>
      <c r="CS919" t="s">
        <v>101</v>
      </c>
      <c r="CT919" t="s">
        <v>100</v>
      </c>
      <c r="CU919" t="s">
        <v>102</v>
      </c>
      <c r="CV919" t="s">
        <v>100</v>
      </c>
    </row>
    <row r="920" spans="1:100">
      <c r="A920" s="3" t="s">
        <v>10263</v>
      </c>
      <c r="B920" s="4" t="s">
        <v>10264</v>
      </c>
      <c r="C920">
        <v>718.24184397532497</v>
      </c>
      <c r="D920">
        <v>304.00656326212101</v>
      </c>
      <c r="E920">
        <v>1.2395925643729699</v>
      </c>
      <c r="F920">
        <v>4.6851226769401601E-3</v>
      </c>
      <c r="G920" t="s">
        <v>4</v>
      </c>
      <c r="H920">
        <v>718.24184397532497</v>
      </c>
      <c r="I920">
        <v>104.99427632358601</v>
      </c>
      <c r="J920">
        <v>2.7570652382104401</v>
      </c>
      <c r="K920" s="5">
        <v>3.5500691743358102E-11</v>
      </c>
      <c r="L920" t="s">
        <v>4</v>
      </c>
      <c r="M920">
        <v>304.00656326212101</v>
      </c>
      <c r="N920">
        <v>104.99427632358601</v>
      </c>
      <c r="O920">
        <v>1.51747267383747</v>
      </c>
      <c r="P920">
        <v>3.8346682481091201E-4</v>
      </c>
      <c r="Q920" t="s">
        <v>4</v>
      </c>
      <c r="R920" s="4" t="s">
        <v>87</v>
      </c>
      <c r="S920" t="s">
        <v>4</v>
      </c>
      <c r="T920" t="s">
        <v>7129</v>
      </c>
      <c r="U920" t="s">
        <v>7130</v>
      </c>
      <c r="V920" t="s">
        <v>7131</v>
      </c>
      <c r="W920" t="s">
        <v>507</v>
      </c>
      <c r="X920" t="s">
        <v>4</v>
      </c>
      <c r="Y920" t="s">
        <v>7132</v>
      </c>
      <c r="Z920" t="s">
        <v>7133</v>
      </c>
      <c r="AA920" t="s">
        <v>7134</v>
      </c>
      <c r="AB920" t="s">
        <v>4</v>
      </c>
      <c r="AC920" s="3" t="s">
        <v>7135</v>
      </c>
      <c r="AD920" t="s">
        <v>4</v>
      </c>
      <c r="AE920" t="s">
        <v>10265</v>
      </c>
      <c r="AF920" t="s">
        <v>1918</v>
      </c>
      <c r="AG920" t="s">
        <v>10266</v>
      </c>
      <c r="AH920" t="s">
        <v>314</v>
      </c>
      <c r="AU920" t="s">
        <v>112</v>
      </c>
      <c r="AV920" t="s">
        <v>10267</v>
      </c>
      <c r="AW920" t="s">
        <v>114</v>
      </c>
      <c r="AX920" t="s">
        <v>144</v>
      </c>
      <c r="AY920" t="s">
        <v>10268</v>
      </c>
      <c r="AZ920" t="s">
        <v>4</v>
      </c>
      <c r="BA920" s="3" t="s">
        <v>95</v>
      </c>
      <c r="BB920" s="6" t="s">
        <v>95</v>
      </c>
      <c r="BC920" s="3" t="s">
        <v>95</v>
      </c>
      <c r="BD920" t="s">
        <v>4</v>
      </c>
      <c r="BE920">
        <v>8525</v>
      </c>
      <c r="BF920" t="s">
        <v>169</v>
      </c>
      <c r="BI920">
        <v>65.291300000000007</v>
      </c>
      <c r="BJ920">
        <v>37.014600000000002</v>
      </c>
      <c r="BK920">
        <v>33.980600000000003</v>
      </c>
      <c r="BM920">
        <v>31.796099999999999</v>
      </c>
      <c r="BN920">
        <v>34.101900000000001</v>
      </c>
      <c r="BO920">
        <v>46.844700000000003</v>
      </c>
      <c r="BQ920">
        <v>7.6456299999999997</v>
      </c>
      <c r="BR920">
        <v>14.927199999999999</v>
      </c>
      <c r="BS920">
        <v>8.8592200000000005</v>
      </c>
      <c r="BV920" t="s">
        <v>10269</v>
      </c>
      <c r="BX920">
        <v>14.320399999999999</v>
      </c>
      <c r="CA920">
        <v>13.1068</v>
      </c>
      <c r="CC920">
        <v>8.1310699999999994</v>
      </c>
      <c r="CD920">
        <v>10.3155</v>
      </c>
      <c r="CE920">
        <v>9.7087400000000006</v>
      </c>
      <c r="CG920">
        <v>11.4078</v>
      </c>
      <c r="CH920">
        <v>10.4369</v>
      </c>
      <c r="CI920">
        <v>9.7087400000000006</v>
      </c>
      <c r="CK920">
        <v>9</v>
      </c>
      <c r="CL920" t="s">
        <v>4</v>
      </c>
      <c r="CM920" t="s">
        <v>10270</v>
      </c>
      <c r="CN920" t="s">
        <v>10271</v>
      </c>
      <c r="CO920" t="s">
        <v>219</v>
      </c>
      <c r="CP920" s="7">
        <v>377</v>
      </c>
      <c r="CQ920" t="s">
        <v>100</v>
      </c>
      <c r="CR920" t="s">
        <v>100</v>
      </c>
      <c r="CS920" t="s">
        <v>101</v>
      </c>
      <c r="CT920" s="7" t="s">
        <v>152</v>
      </c>
      <c r="CU920" t="s">
        <v>102</v>
      </c>
      <c r="CV920" t="s">
        <v>100</v>
      </c>
    </row>
    <row r="921" spans="1:100">
      <c r="A921" s="3" t="s">
        <v>10272</v>
      </c>
      <c r="B921" s="4" t="s">
        <v>10273</v>
      </c>
      <c r="C921">
        <v>49.312805824137598</v>
      </c>
      <c r="D921">
        <v>10.227605778838599</v>
      </c>
      <c r="E921">
        <v>2.26523833009905</v>
      </c>
      <c r="F921">
        <v>1.4465780515935001E-2</v>
      </c>
      <c r="G921" t="s">
        <v>4</v>
      </c>
      <c r="H921">
        <v>49.312805824137598</v>
      </c>
      <c r="I921">
        <v>7.2276617737673003</v>
      </c>
      <c r="J921">
        <v>2.7508999029188401</v>
      </c>
      <c r="K921">
        <v>3.26155384520797E-3</v>
      </c>
      <c r="L921" t="s">
        <v>4</v>
      </c>
      <c r="M921">
        <v>10.227605778838599</v>
      </c>
      <c r="N921">
        <v>7.2276617737673003</v>
      </c>
      <c r="O921">
        <v>0.48566157281979</v>
      </c>
      <c r="P921">
        <v>0.67078931182710599</v>
      </c>
      <c r="Q921" t="s">
        <v>4</v>
      </c>
      <c r="R921" s="4" t="s">
        <v>87</v>
      </c>
      <c r="S921" t="s">
        <v>4</v>
      </c>
      <c r="T921" t="s">
        <v>88</v>
      </c>
      <c r="U921" t="s">
        <v>89</v>
      </c>
      <c r="V921" t="s">
        <v>90</v>
      </c>
      <c r="W921" t="s">
        <v>91</v>
      </c>
      <c r="X921" t="s">
        <v>4</v>
      </c>
      <c r="Y921" t="s">
        <v>92</v>
      </c>
      <c r="Z921" t="s">
        <v>92</v>
      </c>
      <c r="AA921" t="s">
        <v>92</v>
      </c>
      <c r="AB921" t="s">
        <v>4</v>
      </c>
      <c r="AC921" s="3" t="s">
        <v>93</v>
      </c>
      <c r="AD921" t="s">
        <v>4</v>
      </c>
      <c r="AE921" s="4" t="s">
        <v>94</v>
      </c>
      <c r="AZ921" t="s">
        <v>4</v>
      </c>
      <c r="BA921" s="3" t="s">
        <v>95</v>
      </c>
      <c r="BB921" t="s">
        <v>96</v>
      </c>
      <c r="BC921" s="3" t="s">
        <v>95</v>
      </c>
      <c r="BD921" t="s">
        <v>4</v>
      </c>
      <c r="BE921">
        <v>1838</v>
      </c>
      <c r="BF921" t="s">
        <v>148</v>
      </c>
      <c r="BG921">
        <v>98.598100000000002</v>
      </c>
      <c r="BH921">
        <v>98.598100000000002</v>
      </c>
      <c r="BI921">
        <v>96.261700000000005</v>
      </c>
      <c r="BJ921">
        <v>34.5794</v>
      </c>
      <c r="BL921">
        <v>49.532699999999998</v>
      </c>
      <c r="BM921">
        <v>57.476599999999998</v>
      </c>
      <c r="BN921">
        <v>65.420599999999993</v>
      </c>
      <c r="BO921">
        <v>72.897199999999998</v>
      </c>
      <c r="CK921">
        <v>3</v>
      </c>
      <c r="CL921" t="s">
        <v>4</v>
      </c>
      <c r="CM921" t="s">
        <v>98</v>
      </c>
      <c r="CN921" t="s">
        <v>98</v>
      </c>
      <c r="CO921" t="s">
        <v>99</v>
      </c>
      <c r="CP921" s="7">
        <v>379</v>
      </c>
      <c r="CQ921" t="s">
        <v>100</v>
      </c>
      <c r="CR921" t="s">
        <v>100</v>
      </c>
      <c r="CS921" t="s">
        <v>101</v>
      </c>
      <c r="CT921" t="s">
        <v>100</v>
      </c>
      <c r="CU921" t="s">
        <v>102</v>
      </c>
      <c r="CV921" t="s">
        <v>100</v>
      </c>
    </row>
    <row r="922" spans="1:100">
      <c r="A922" s="3" t="s">
        <v>10274</v>
      </c>
      <c r="B922" s="4" t="s">
        <v>10275</v>
      </c>
      <c r="C922">
        <v>20.864568066778201</v>
      </c>
      <c r="D922">
        <v>4.97910807891604</v>
      </c>
      <c r="E922">
        <v>2.0893770676727601</v>
      </c>
      <c r="F922">
        <v>2.4893536061764001E-2</v>
      </c>
      <c r="G922" t="s">
        <v>4</v>
      </c>
      <c r="H922">
        <v>20.864568066778201</v>
      </c>
      <c r="I922">
        <v>3.1052846144003401</v>
      </c>
      <c r="J922">
        <v>2.73166251703188</v>
      </c>
      <c r="K922">
        <v>6.5704739494127397E-3</v>
      </c>
      <c r="L922" t="s">
        <v>4</v>
      </c>
      <c r="M922">
        <v>4.97910807891604</v>
      </c>
      <c r="N922">
        <v>3.1052846144003401</v>
      </c>
      <c r="O922">
        <v>0.64228544935912002</v>
      </c>
      <c r="P922">
        <v>0.60298243687986097</v>
      </c>
      <c r="Q922" t="s">
        <v>4</v>
      </c>
      <c r="R922" s="4" t="s">
        <v>87</v>
      </c>
      <c r="S922" t="s">
        <v>4</v>
      </c>
      <c r="T922" t="s">
        <v>1765</v>
      </c>
      <c r="U922" t="s">
        <v>1766</v>
      </c>
      <c r="V922" t="s">
        <v>1767</v>
      </c>
      <c r="W922" t="s">
        <v>123</v>
      </c>
      <c r="X922" t="s">
        <v>4</v>
      </c>
      <c r="Y922" t="s">
        <v>10276</v>
      </c>
      <c r="Z922" t="s">
        <v>10277</v>
      </c>
      <c r="AA922" t="s">
        <v>10278</v>
      </c>
      <c r="AB922" t="s">
        <v>4</v>
      </c>
      <c r="AC922" s="3" t="s">
        <v>2424</v>
      </c>
      <c r="AD922" t="s">
        <v>4</v>
      </c>
      <c r="AE922" s="4" t="s">
        <v>94</v>
      </c>
      <c r="AZ922" t="s">
        <v>4</v>
      </c>
      <c r="BA922" s="3" t="s">
        <v>95</v>
      </c>
      <c r="BB922" s="6" t="s">
        <v>95</v>
      </c>
      <c r="BC922" s="3" t="s">
        <v>95</v>
      </c>
      <c r="BD922" t="s">
        <v>4</v>
      </c>
      <c r="BE922">
        <v>2080</v>
      </c>
      <c r="BF922" t="s">
        <v>148</v>
      </c>
      <c r="BG922">
        <v>52.083300000000001</v>
      </c>
      <c r="BI922">
        <v>51.3889</v>
      </c>
      <c r="BJ922">
        <v>79.166700000000006</v>
      </c>
      <c r="BK922">
        <v>72.222200000000001</v>
      </c>
      <c r="BL922">
        <v>75.694400000000002</v>
      </c>
      <c r="BM922">
        <v>75.694400000000002</v>
      </c>
      <c r="BN922">
        <v>76.388900000000007</v>
      </c>
      <c r="BO922">
        <v>72.222200000000001</v>
      </c>
      <c r="CK922">
        <v>3</v>
      </c>
      <c r="CL922" t="s">
        <v>4</v>
      </c>
      <c r="CM922" t="s">
        <v>98</v>
      </c>
      <c r="CN922" t="s">
        <v>98</v>
      </c>
      <c r="CO922" t="s">
        <v>99</v>
      </c>
      <c r="CP922" s="7">
        <v>382</v>
      </c>
      <c r="CQ922" t="s">
        <v>100</v>
      </c>
      <c r="CR922" t="s">
        <v>100</v>
      </c>
      <c r="CS922" t="s">
        <v>101</v>
      </c>
      <c r="CT922" t="s">
        <v>100</v>
      </c>
      <c r="CU922" t="s">
        <v>102</v>
      </c>
      <c r="CV922" t="s">
        <v>100</v>
      </c>
    </row>
    <row r="923" spans="1:100">
      <c r="A923" s="3" t="s">
        <v>10279</v>
      </c>
      <c r="B923" s="4" t="s">
        <v>10280</v>
      </c>
      <c r="C923">
        <v>6792.20017172386</v>
      </c>
      <c r="D923">
        <v>2367.60481851759</v>
      </c>
      <c r="E923">
        <v>1.52027372058206</v>
      </c>
      <c r="F923">
        <v>7.1970287382093197E-4</v>
      </c>
      <c r="G923" t="s">
        <v>4</v>
      </c>
      <c r="H923">
        <v>6792.20017172386</v>
      </c>
      <c r="I923">
        <v>1030.4079891521701</v>
      </c>
      <c r="J923">
        <v>2.7195360740049699</v>
      </c>
      <c r="K923" s="5">
        <v>1.3759829213498E-10</v>
      </c>
      <c r="L923" t="s">
        <v>4</v>
      </c>
      <c r="M923">
        <v>2367.60481851759</v>
      </c>
      <c r="N923">
        <v>1030.4079891521701</v>
      </c>
      <c r="O923">
        <v>1.1992623534229101</v>
      </c>
      <c r="P923">
        <v>6.3585034640739699E-3</v>
      </c>
      <c r="Q923" t="s">
        <v>4</v>
      </c>
      <c r="R923" s="4" t="s">
        <v>87</v>
      </c>
      <c r="S923" t="s">
        <v>4</v>
      </c>
      <c r="T923" t="s">
        <v>92</v>
      </c>
      <c r="U923" t="s">
        <v>92</v>
      </c>
      <c r="V923" t="s">
        <v>92</v>
      </c>
      <c r="W923" t="s">
        <v>92</v>
      </c>
      <c r="X923" t="s">
        <v>4</v>
      </c>
      <c r="Y923" t="s">
        <v>92</v>
      </c>
      <c r="Z923" t="s">
        <v>92</v>
      </c>
      <c r="AA923" t="s">
        <v>92</v>
      </c>
      <c r="AB923" t="s">
        <v>4</v>
      </c>
      <c r="AC923" s="3" t="s">
        <v>93</v>
      </c>
      <c r="AD923" t="s">
        <v>4</v>
      </c>
      <c r="AE923" s="4" t="s">
        <v>94</v>
      </c>
      <c r="AZ923" t="s">
        <v>4</v>
      </c>
      <c r="BA923" s="3" t="s">
        <v>115</v>
      </c>
      <c r="BB923" s="6" t="s">
        <v>95</v>
      </c>
      <c r="BC923" s="3" t="s">
        <v>95</v>
      </c>
      <c r="BD923" t="s">
        <v>4</v>
      </c>
      <c r="BE923">
        <v>2163</v>
      </c>
      <c r="BF923" t="s">
        <v>148</v>
      </c>
      <c r="BG923">
        <v>96.840699999999998</v>
      </c>
      <c r="BH923" t="s">
        <v>10281</v>
      </c>
      <c r="BI923">
        <v>86.813199999999995</v>
      </c>
      <c r="BJ923">
        <v>60.576900000000002</v>
      </c>
      <c r="BK923">
        <v>47.252699999999997</v>
      </c>
      <c r="BL923">
        <v>7.5549400000000002</v>
      </c>
      <c r="BM923">
        <v>57.142899999999997</v>
      </c>
      <c r="BN923">
        <v>57.005499999999998</v>
      </c>
      <c r="BO923">
        <v>54.670299999999997</v>
      </c>
      <c r="CK923">
        <v>3</v>
      </c>
      <c r="CL923" t="s">
        <v>4</v>
      </c>
      <c r="CM923" t="s">
        <v>98</v>
      </c>
      <c r="CN923" t="s">
        <v>98</v>
      </c>
      <c r="CO923" t="s">
        <v>99</v>
      </c>
      <c r="CP923" s="7">
        <v>383</v>
      </c>
      <c r="CQ923" t="s">
        <v>100</v>
      </c>
      <c r="CR923" t="s">
        <v>100</v>
      </c>
      <c r="CS923" t="s">
        <v>101</v>
      </c>
      <c r="CT923" s="7" t="s">
        <v>152</v>
      </c>
      <c r="CU923" t="s">
        <v>102</v>
      </c>
      <c r="CV923" t="s">
        <v>100</v>
      </c>
    </row>
    <row r="924" spans="1:100">
      <c r="A924" s="3" t="s">
        <v>10282</v>
      </c>
      <c r="B924" s="4" t="s">
        <v>10283</v>
      </c>
      <c r="C924">
        <v>35.872317876368299</v>
      </c>
      <c r="D924">
        <v>7.09584878439966</v>
      </c>
      <c r="E924">
        <v>2.3470425945713398</v>
      </c>
      <c r="F924">
        <v>1.63579483497623E-2</v>
      </c>
      <c r="G924" t="s">
        <v>4</v>
      </c>
      <c r="H924">
        <v>35.872317876368299</v>
      </c>
      <c r="I924">
        <v>5.2681681994592804</v>
      </c>
      <c r="J924">
        <v>2.7073692629563602</v>
      </c>
      <c r="K924">
        <v>6.4722615266382798E-3</v>
      </c>
      <c r="L924" t="s">
        <v>4</v>
      </c>
      <c r="M924">
        <v>7.09584878439966</v>
      </c>
      <c r="N924">
        <v>5.2681681994592804</v>
      </c>
      <c r="O924">
        <v>0.36032666838502703</v>
      </c>
      <c r="P924">
        <v>0.77645043526657898</v>
      </c>
      <c r="Q924" t="s">
        <v>4</v>
      </c>
      <c r="R924" s="4" t="s">
        <v>87</v>
      </c>
      <c r="S924" t="s">
        <v>4</v>
      </c>
      <c r="T924" t="s">
        <v>92</v>
      </c>
      <c r="U924" t="s">
        <v>92</v>
      </c>
      <c r="V924" t="s">
        <v>92</v>
      </c>
      <c r="W924" t="s">
        <v>92</v>
      </c>
      <c r="X924" t="s">
        <v>4</v>
      </c>
      <c r="Y924" t="s">
        <v>92</v>
      </c>
      <c r="Z924" t="s">
        <v>92</v>
      </c>
      <c r="AA924" t="s">
        <v>92</v>
      </c>
      <c r="AB924" t="s">
        <v>4</v>
      </c>
      <c r="AC924" s="3" t="s">
        <v>93</v>
      </c>
      <c r="AD924" t="s">
        <v>4</v>
      </c>
      <c r="AE924" s="4" t="s">
        <v>94</v>
      </c>
      <c r="AZ924" t="s">
        <v>4</v>
      </c>
      <c r="BA924" s="3" t="s">
        <v>95</v>
      </c>
      <c r="BB924" s="6" t="s">
        <v>95</v>
      </c>
      <c r="BC924" s="3" t="s">
        <v>95</v>
      </c>
      <c r="BD924" t="s">
        <v>4</v>
      </c>
      <c r="BE924">
        <v>612</v>
      </c>
      <c r="BF924" t="s">
        <v>322</v>
      </c>
      <c r="CK924">
        <v>1</v>
      </c>
      <c r="CL924" t="s">
        <v>4</v>
      </c>
      <c r="CM924" t="s">
        <v>98</v>
      </c>
      <c r="CN924" t="s">
        <v>98</v>
      </c>
      <c r="CO924" t="s">
        <v>99</v>
      </c>
      <c r="CP924" s="7">
        <v>385</v>
      </c>
      <c r="CQ924" t="s">
        <v>100</v>
      </c>
      <c r="CR924" t="s">
        <v>100</v>
      </c>
      <c r="CS924" t="s">
        <v>101</v>
      </c>
      <c r="CT924" t="s">
        <v>100</v>
      </c>
      <c r="CU924" t="s">
        <v>102</v>
      </c>
      <c r="CV924" t="s">
        <v>100</v>
      </c>
    </row>
    <row r="925" spans="1:100">
      <c r="A925" s="3" t="s">
        <v>10284</v>
      </c>
      <c r="B925" s="4" t="s">
        <v>10285</v>
      </c>
      <c r="C925">
        <v>74.362884271454703</v>
      </c>
      <c r="D925">
        <v>21.809134894565499</v>
      </c>
      <c r="E925">
        <v>1.77152927870534</v>
      </c>
      <c r="F925">
        <v>9.97403563880098E-4</v>
      </c>
      <c r="G925" t="s">
        <v>4</v>
      </c>
      <c r="H925">
        <v>74.362884271454703</v>
      </c>
      <c r="I925">
        <v>11.795070644991201</v>
      </c>
      <c r="J925">
        <v>2.7020283811388501</v>
      </c>
      <c r="K925" s="5">
        <v>2.2288390872190099E-6</v>
      </c>
      <c r="L925" t="s">
        <v>4</v>
      </c>
      <c r="M925">
        <v>21.809134894565499</v>
      </c>
      <c r="N925">
        <v>11.795070644991201</v>
      </c>
      <c r="O925">
        <v>0.93049910243351697</v>
      </c>
      <c r="P925">
        <v>0.14603598655820499</v>
      </c>
      <c r="Q925" t="s">
        <v>4</v>
      </c>
      <c r="R925" s="4" t="s">
        <v>87</v>
      </c>
      <c r="S925" t="s">
        <v>4</v>
      </c>
      <c r="T925" t="s">
        <v>92</v>
      </c>
      <c r="U925" t="s">
        <v>92</v>
      </c>
      <c r="V925" t="s">
        <v>92</v>
      </c>
      <c r="W925" t="s">
        <v>92</v>
      </c>
      <c r="X925" t="s">
        <v>4</v>
      </c>
      <c r="Y925" t="s">
        <v>10286</v>
      </c>
      <c r="Z925" t="s">
        <v>10287</v>
      </c>
      <c r="AA925" t="s">
        <v>10288</v>
      </c>
      <c r="AB925" t="s">
        <v>4</v>
      </c>
      <c r="AC925" s="3" t="s">
        <v>9744</v>
      </c>
      <c r="AD925" t="s">
        <v>4</v>
      </c>
      <c r="AE925" t="s">
        <v>10289</v>
      </c>
      <c r="AF925" t="s">
        <v>10290</v>
      </c>
      <c r="AG925" t="s">
        <v>10291</v>
      </c>
      <c r="AH925" t="s">
        <v>112</v>
      </c>
      <c r="AU925" t="s">
        <v>112</v>
      </c>
      <c r="AV925" t="s">
        <v>10292</v>
      </c>
      <c r="AW925" t="s">
        <v>114</v>
      </c>
      <c r="AX925" t="s">
        <v>132</v>
      </c>
      <c r="AY925" t="s">
        <v>10293</v>
      </c>
      <c r="AZ925" t="s">
        <v>4</v>
      </c>
      <c r="BA925" s="3" t="s">
        <v>95</v>
      </c>
      <c r="BB925" s="6" t="s">
        <v>95</v>
      </c>
      <c r="BC925" s="3" t="s">
        <v>197</v>
      </c>
      <c r="BD925" t="s">
        <v>4</v>
      </c>
      <c r="BE925">
        <v>3704</v>
      </c>
      <c r="BF925" t="s">
        <v>112</v>
      </c>
      <c r="BG925">
        <v>97.913600000000002</v>
      </c>
      <c r="BH925">
        <v>76.006</v>
      </c>
      <c r="BJ925">
        <v>44.262300000000003</v>
      </c>
      <c r="BM925">
        <v>60.506700000000002</v>
      </c>
      <c r="BN925">
        <v>61.251899999999999</v>
      </c>
      <c r="BO925">
        <v>68.4054</v>
      </c>
      <c r="BW925">
        <v>35.022399999999998</v>
      </c>
      <c r="BX925">
        <v>35.4694</v>
      </c>
      <c r="BY925">
        <v>22.354700000000001</v>
      </c>
      <c r="CA925">
        <v>36.810699999999997</v>
      </c>
      <c r="CK925">
        <v>5</v>
      </c>
      <c r="CL925" t="s">
        <v>4</v>
      </c>
      <c r="CM925" t="s">
        <v>10294</v>
      </c>
      <c r="CN925" t="s">
        <v>10295</v>
      </c>
      <c r="CO925" t="s">
        <v>663</v>
      </c>
      <c r="CP925" s="7">
        <v>386</v>
      </c>
      <c r="CQ925" t="s">
        <v>100</v>
      </c>
      <c r="CR925" t="s">
        <v>100</v>
      </c>
      <c r="CS925" t="s">
        <v>101</v>
      </c>
      <c r="CT925" t="s">
        <v>100</v>
      </c>
      <c r="CU925" t="s">
        <v>102</v>
      </c>
      <c r="CV925" t="s">
        <v>100</v>
      </c>
    </row>
    <row r="926" spans="1:100">
      <c r="A926" s="3" t="s">
        <v>10296</v>
      </c>
      <c r="B926" s="4" t="s">
        <v>10297</v>
      </c>
      <c r="C926">
        <v>355.408142886034</v>
      </c>
      <c r="D926">
        <v>91.070341426378903</v>
      </c>
      <c r="E926">
        <v>1.96316313199838</v>
      </c>
      <c r="F926" s="5">
        <v>1.31075464576267E-10</v>
      </c>
      <c r="G926" t="s">
        <v>4</v>
      </c>
      <c r="H926">
        <v>355.408142886034</v>
      </c>
      <c r="I926">
        <v>53.889881870635598</v>
      </c>
      <c r="J926">
        <v>2.6936428759875599</v>
      </c>
      <c r="K926" s="5">
        <v>1.4029419012238599E-17</v>
      </c>
      <c r="L926" t="s">
        <v>4</v>
      </c>
      <c r="M926">
        <v>91.070341426378903</v>
      </c>
      <c r="N926">
        <v>53.889881870635598</v>
      </c>
      <c r="O926">
        <v>0.73047974398918103</v>
      </c>
      <c r="P926">
        <v>3.6019460001088001E-2</v>
      </c>
      <c r="Q926" t="s">
        <v>4</v>
      </c>
      <c r="R926" s="4" t="s">
        <v>87</v>
      </c>
      <c r="S926" t="s">
        <v>4</v>
      </c>
      <c r="T926" t="s">
        <v>2243</v>
      </c>
      <c r="U926" t="s">
        <v>2244</v>
      </c>
      <c r="V926" t="s">
        <v>2245</v>
      </c>
      <c r="W926" t="s">
        <v>123</v>
      </c>
      <c r="X926" t="s">
        <v>4</v>
      </c>
      <c r="Y926" t="s">
        <v>10298</v>
      </c>
      <c r="Z926" t="s">
        <v>10299</v>
      </c>
      <c r="AA926" t="s">
        <v>10300</v>
      </c>
      <c r="AB926" t="s">
        <v>4</v>
      </c>
      <c r="AC926" s="3" t="s">
        <v>10301</v>
      </c>
      <c r="AD926" t="s">
        <v>4</v>
      </c>
      <c r="AE926" t="s">
        <v>10302</v>
      </c>
      <c r="AF926" t="s">
        <v>10303</v>
      </c>
      <c r="AG926" t="s">
        <v>10304</v>
      </c>
      <c r="AH926" t="s">
        <v>112</v>
      </c>
      <c r="AU926" t="s">
        <v>112</v>
      </c>
      <c r="AV926" t="s">
        <v>10305</v>
      </c>
      <c r="AW926" t="s">
        <v>114</v>
      </c>
      <c r="AX926" t="s">
        <v>536</v>
      </c>
      <c r="AY926" t="s">
        <v>10306</v>
      </c>
      <c r="AZ926" t="s">
        <v>4</v>
      </c>
      <c r="BA926" s="3" t="s">
        <v>95</v>
      </c>
      <c r="BB926" s="6" t="s">
        <v>95</v>
      </c>
      <c r="BC926" s="3" t="s">
        <v>95</v>
      </c>
      <c r="BD926" t="s">
        <v>4</v>
      </c>
      <c r="BE926">
        <v>3207</v>
      </c>
      <c r="BF926" t="s">
        <v>112</v>
      </c>
      <c r="BJ926">
        <v>85.371200000000002</v>
      </c>
      <c r="BN926">
        <v>82.096100000000007</v>
      </c>
      <c r="BO926">
        <v>80.349299999999999</v>
      </c>
      <c r="BX926">
        <v>19.213999999999999</v>
      </c>
      <c r="CA926">
        <v>22.925799999999999</v>
      </c>
      <c r="CK926">
        <v>5</v>
      </c>
      <c r="CL926" t="s">
        <v>4</v>
      </c>
      <c r="CM926" t="s">
        <v>10307</v>
      </c>
      <c r="CN926" t="s">
        <v>10308</v>
      </c>
      <c r="CO926" t="s">
        <v>99</v>
      </c>
      <c r="CP926" s="7">
        <v>387</v>
      </c>
      <c r="CQ926" t="s">
        <v>100</v>
      </c>
      <c r="CR926" t="s">
        <v>100</v>
      </c>
      <c r="CS926" t="s">
        <v>101</v>
      </c>
      <c r="CT926" t="s">
        <v>100</v>
      </c>
      <c r="CU926" t="s">
        <v>102</v>
      </c>
      <c r="CV926" t="s">
        <v>100</v>
      </c>
    </row>
    <row r="927" spans="1:100">
      <c r="A927" s="3" t="s">
        <v>10309</v>
      </c>
      <c r="B927" s="4" t="s">
        <v>10310</v>
      </c>
      <c r="C927">
        <v>518.00492406595197</v>
      </c>
      <c r="D927">
        <v>157.932938304115</v>
      </c>
      <c r="E927">
        <v>1.7140034571407099</v>
      </c>
      <c r="F927">
        <v>5.8266456204350602E-3</v>
      </c>
      <c r="G927" t="s">
        <v>4</v>
      </c>
      <c r="H927">
        <v>518.00492406595197</v>
      </c>
      <c r="I927">
        <v>79.686495896765507</v>
      </c>
      <c r="J927">
        <v>2.6903205260019498</v>
      </c>
      <c r="K927" s="5">
        <v>6.2645832050649404E-6</v>
      </c>
      <c r="L927" t="s">
        <v>4</v>
      </c>
      <c r="M927">
        <v>157.932938304115</v>
      </c>
      <c r="N927">
        <v>79.686495896765507</v>
      </c>
      <c r="O927">
        <v>0.97631706886123903</v>
      </c>
      <c r="P927">
        <v>0.12737226079456301</v>
      </c>
      <c r="Q927" t="s">
        <v>4</v>
      </c>
      <c r="R927" s="4" t="s">
        <v>87</v>
      </c>
      <c r="S927" t="s">
        <v>4</v>
      </c>
      <c r="T927" t="s">
        <v>92</v>
      </c>
      <c r="U927" t="s">
        <v>92</v>
      </c>
      <c r="V927" t="s">
        <v>92</v>
      </c>
      <c r="W927" t="s">
        <v>92</v>
      </c>
      <c r="X927" t="s">
        <v>4</v>
      </c>
      <c r="Y927" t="s">
        <v>92</v>
      </c>
      <c r="Z927" t="s">
        <v>92</v>
      </c>
      <c r="AA927" t="s">
        <v>92</v>
      </c>
      <c r="AB927" t="s">
        <v>4</v>
      </c>
      <c r="AC927" s="3" t="s">
        <v>10311</v>
      </c>
      <c r="AD927" t="s">
        <v>4</v>
      </c>
      <c r="AE927" s="4" t="s">
        <v>94</v>
      </c>
      <c r="AZ927" t="s">
        <v>4</v>
      </c>
      <c r="BA927" s="3" t="s">
        <v>115</v>
      </c>
      <c r="BB927" s="6" t="s">
        <v>95</v>
      </c>
      <c r="BC927" s="3" t="s">
        <v>95</v>
      </c>
      <c r="BD927" t="s">
        <v>4</v>
      </c>
      <c r="BE927">
        <v>1135</v>
      </c>
      <c r="BF927" t="s">
        <v>151</v>
      </c>
      <c r="BG927">
        <v>9.6999899999999997</v>
      </c>
      <c r="BH927">
        <v>6.4576900000000004</v>
      </c>
      <c r="BJ927">
        <v>3.75353</v>
      </c>
      <c r="BK927">
        <v>1.38571</v>
      </c>
      <c r="BL927" t="s">
        <v>10312</v>
      </c>
      <c r="BM927">
        <v>0.91483899999999996</v>
      </c>
      <c r="BN927">
        <v>2.4619900000000001</v>
      </c>
      <c r="BO927">
        <v>3.9418799999999998</v>
      </c>
      <c r="CK927">
        <v>2</v>
      </c>
      <c r="CL927" t="s">
        <v>4</v>
      </c>
      <c r="CM927" t="s">
        <v>98</v>
      </c>
      <c r="CN927" t="s">
        <v>98</v>
      </c>
      <c r="CO927" t="s">
        <v>99</v>
      </c>
      <c r="CP927" s="7">
        <v>388</v>
      </c>
      <c r="CQ927" t="s">
        <v>100</v>
      </c>
      <c r="CR927" t="s">
        <v>100</v>
      </c>
      <c r="CS927" t="s">
        <v>101</v>
      </c>
      <c r="CT927" t="s">
        <v>100</v>
      </c>
      <c r="CU927" t="s">
        <v>102</v>
      </c>
      <c r="CV927" t="s">
        <v>100</v>
      </c>
    </row>
    <row r="928" spans="1:100">
      <c r="A928" s="3" t="s">
        <v>10313</v>
      </c>
      <c r="B928" s="4" t="s">
        <v>10314</v>
      </c>
      <c r="C928">
        <v>66.699562880685505</v>
      </c>
      <c r="D928">
        <v>13.0998633500546</v>
      </c>
      <c r="E928">
        <v>2.3505571972048802</v>
      </c>
      <c r="F928">
        <v>1.7349901662749599E-2</v>
      </c>
      <c r="G928" t="s">
        <v>4</v>
      </c>
      <c r="H928">
        <v>66.699562880685505</v>
      </c>
      <c r="I928">
        <v>10.356756935673999</v>
      </c>
      <c r="J928">
        <v>2.6861712904618198</v>
      </c>
      <c r="K928">
        <v>6.0384452850346E-3</v>
      </c>
      <c r="L928" t="s">
        <v>4</v>
      </c>
      <c r="M928">
        <v>13.0998633500546</v>
      </c>
      <c r="N928">
        <v>10.356756935673999</v>
      </c>
      <c r="O928">
        <v>0.33561409325694003</v>
      </c>
      <c r="P928">
        <v>0.78500064646109302</v>
      </c>
      <c r="Q928" t="s">
        <v>4</v>
      </c>
      <c r="R928" s="4" t="s">
        <v>87</v>
      </c>
      <c r="S928" t="s">
        <v>4</v>
      </c>
      <c r="T928" t="s">
        <v>460</v>
      </c>
      <c r="U928" t="s">
        <v>461</v>
      </c>
      <c r="V928" t="s">
        <v>462</v>
      </c>
      <c r="W928" t="s">
        <v>123</v>
      </c>
      <c r="X928" t="s">
        <v>4</v>
      </c>
      <c r="Y928" t="s">
        <v>463</v>
      </c>
      <c r="Z928" t="s">
        <v>464</v>
      </c>
      <c r="AA928" t="s">
        <v>465</v>
      </c>
      <c r="AB928" t="s">
        <v>4</v>
      </c>
      <c r="AC928" s="3" t="s">
        <v>10315</v>
      </c>
      <c r="AD928" t="s">
        <v>4</v>
      </c>
      <c r="AE928" t="s">
        <v>6411</v>
      </c>
      <c r="AF928" t="s">
        <v>10316</v>
      </c>
      <c r="AG928" t="s">
        <v>10317</v>
      </c>
      <c r="AH928" t="s">
        <v>169</v>
      </c>
      <c r="AU928" t="s">
        <v>112</v>
      </c>
      <c r="AV928" t="s">
        <v>470</v>
      </c>
      <c r="AW928" t="s">
        <v>114</v>
      </c>
      <c r="AX928" t="s">
        <v>144</v>
      </c>
      <c r="AY928" t="s">
        <v>471</v>
      </c>
      <c r="AZ928" t="s">
        <v>4</v>
      </c>
      <c r="BA928" s="3" t="s">
        <v>95</v>
      </c>
      <c r="BB928" s="6" t="s">
        <v>95</v>
      </c>
      <c r="BC928" s="3" t="s">
        <v>95</v>
      </c>
      <c r="BD928" t="s">
        <v>4</v>
      </c>
      <c r="BE928">
        <v>827</v>
      </c>
      <c r="BF928" t="s">
        <v>604</v>
      </c>
      <c r="BH928">
        <v>40.863799999999998</v>
      </c>
      <c r="CK928">
        <v>1.5</v>
      </c>
      <c r="CL928" t="s">
        <v>4</v>
      </c>
      <c r="CM928" t="s">
        <v>98</v>
      </c>
      <c r="CN928" t="s">
        <v>98</v>
      </c>
      <c r="CO928" t="s">
        <v>99</v>
      </c>
      <c r="CP928" s="7">
        <v>389</v>
      </c>
      <c r="CQ928" t="s">
        <v>100</v>
      </c>
      <c r="CR928" t="s">
        <v>100</v>
      </c>
      <c r="CS928" t="s">
        <v>101</v>
      </c>
      <c r="CT928" t="s">
        <v>100</v>
      </c>
      <c r="CU928" t="s">
        <v>102</v>
      </c>
      <c r="CV928" t="s">
        <v>100</v>
      </c>
    </row>
    <row r="929" spans="1:100">
      <c r="A929" s="3" t="s">
        <v>10318</v>
      </c>
      <c r="B929" s="4" t="s">
        <v>10319</v>
      </c>
      <c r="C929">
        <v>102.726646451542</v>
      </c>
      <c r="D929">
        <v>26.738961443091</v>
      </c>
      <c r="E929">
        <v>1.9442012205702099</v>
      </c>
      <c r="F929">
        <v>4.0063086028824697E-3</v>
      </c>
      <c r="G929" t="s">
        <v>4</v>
      </c>
      <c r="H929">
        <v>102.726646451542</v>
      </c>
      <c r="I929">
        <v>16.199001940205001</v>
      </c>
      <c r="J929">
        <v>2.6757600802274601</v>
      </c>
      <c r="K929" s="5">
        <v>7.8040687432972896E-5</v>
      </c>
      <c r="L929" t="s">
        <v>4</v>
      </c>
      <c r="M929">
        <v>26.738961443091</v>
      </c>
      <c r="N929">
        <v>16.199001940205001</v>
      </c>
      <c r="O929">
        <v>0.73155885965724998</v>
      </c>
      <c r="P929">
        <v>0.342781777269687</v>
      </c>
      <c r="Q929" t="s">
        <v>4</v>
      </c>
      <c r="R929" s="4" t="s">
        <v>87</v>
      </c>
      <c r="S929" t="s">
        <v>4</v>
      </c>
      <c r="T929" t="s">
        <v>92</v>
      </c>
      <c r="U929" t="s">
        <v>92</v>
      </c>
      <c r="V929" t="s">
        <v>92</v>
      </c>
      <c r="W929" t="s">
        <v>92</v>
      </c>
      <c r="X929" t="s">
        <v>4</v>
      </c>
      <c r="Y929" t="s">
        <v>92</v>
      </c>
      <c r="Z929" t="s">
        <v>92</v>
      </c>
      <c r="AA929" t="s">
        <v>92</v>
      </c>
      <c r="AB929" t="s">
        <v>4</v>
      </c>
      <c r="AC929" s="3" t="s">
        <v>93</v>
      </c>
      <c r="AD929" t="s">
        <v>4</v>
      </c>
      <c r="AE929" s="4" t="s">
        <v>94</v>
      </c>
      <c r="AZ929" t="s">
        <v>4</v>
      </c>
      <c r="BA929" s="3" t="s">
        <v>115</v>
      </c>
      <c r="BB929" s="6" t="s">
        <v>95</v>
      </c>
      <c r="BC929" s="3" t="s">
        <v>95</v>
      </c>
      <c r="BD929" t="s">
        <v>4</v>
      </c>
      <c r="BE929">
        <v>2091</v>
      </c>
      <c r="BF929" t="s">
        <v>148</v>
      </c>
      <c r="BG929">
        <v>95.492999999999995</v>
      </c>
      <c r="BH929">
        <v>83.662000000000006</v>
      </c>
      <c r="BI929">
        <v>13.8028</v>
      </c>
      <c r="BK929">
        <v>45.070399999999999</v>
      </c>
      <c r="BM929">
        <v>48.450699999999998</v>
      </c>
      <c r="BN929">
        <v>57.464799999999997</v>
      </c>
      <c r="BO929">
        <v>58.873199999999997</v>
      </c>
      <c r="CK929">
        <v>3</v>
      </c>
      <c r="CL929" t="s">
        <v>4</v>
      </c>
      <c r="CM929" t="s">
        <v>98</v>
      </c>
      <c r="CN929" t="s">
        <v>98</v>
      </c>
      <c r="CO929" t="s">
        <v>99</v>
      </c>
      <c r="CP929" s="7">
        <v>391</v>
      </c>
      <c r="CQ929" t="s">
        <v>100</v>
      </c>
      <c r="CR929" t="s">
        <v>100</v>
      </c>
      <c r="CS929" t="s">
        <v>101</v>
      </c>
      <c r="CT929" t="s">
        <v>100</v>
      </c>
      <c r="CU929" t="s">
        <v>102</v>
      </c>
      <c r="CV929" t="s">
        <v>100</v>
      </c>
    </row>
    <row r="930" spans="1:100">
      <c r="A930" s="3" t="s">
        <v>10320</v>
      </c>
      <c r="B930" s="8" t="s">
        <v>811</v>
      </c>
      <c r="C930">
        <v>60.525291506412799</v>
      </c>
      <c r="D930">
        <v>15.200207207798099</v>
      </c>
      <c r="E930">
        <v>1.9932622765900101</v>
      </c>
      <c r="F930">
        <v>2.1801568812045501E-2</v>
      </c>
      <c r="G930" t="s">
        <v>4</v>
      </c>
      <c r="H930">
        <v>60.525291506412799</v>
      </c>
      <c r="I930">
        <v>9.7310357211528302</v>
      </c>
      <c r="J930">
        <v>2.6698628154441901</v>
      </c>
      <c r="K930">
        <v>2.20480835645791E-3</v>
      </c>
      <c r="L930" t="s">
        <v>4</v>
      </c>
      <c r="M930">
        <v>15.200207207798099</v>
      </c>
      <c r="N930">
        <v>9.7310357211528302</v>
      </c>
      <c r="O930">
        <v>0.67660053885418003</v>
      </c>
      <c r="P930">
        <v>0.50403140803591995</v>
      </c>
      <c r="Q930" t="s">
        <v>4</v>
      </c>
      <c r="R930" s="4" t="s">
        <v>95</v>
      </c>
      <c r="S930" t="s">
        <v>4</v>
      </c>
      <c r="T930" t="s">
        <v>92</v>
      </c>
      <c r="U930" t="s">
        <v>92</v>
      </c>
      <c r="V930" t="s">
        <v>92</v>
      </c>
      <c r="W930" t="s">
        <v>92</v>
      </c>
      <c r="X930" t="s">
        <v>4</v>
      </c>
      <c r="Y930" t="s">
        <v>92</v>
      </c>
      <c r="Z930" t="s">
        <v>92</v>
      </c>
      <c r="AA930" t="s">
        <v>92</v>
      </c>
      <c r="AB930" t="s">
        <v>4</v>
      </c>
      <c r="AC930" s="3" t="s">
        <v>93</v>
      </c>
      <c r="AD930" t="s">
        <v>4</v>
      </c>
      <c r="AE930" s="4" t="s">
        <v>94</v>
      </c>
      <c r="AZ930" t="s">
        <v>4</v>
      </c>
      <c r="BA930" s="3" t="s">
        <v>812</v>
      </c>
      <c r="BB930" s="3" t="s">
        <v>812</v>
      </c>
      <c r="BC930" s="3" t="s">
        <v>812</v>
      </c>
      <c r="BD930" t="s">
        <v>4</v>
      </c>
      <c r="BE930" s="3" t="s">
        <v>812</v>
      </c>
      <c r="BF930" s="3" t="s">
        <v>812</v>
      </c>
      <c r="BG930" s="3" t="s">
        <v>812</v>
      </c>
      <c r="BH930" s="3" t="s">
        <v>812</v>
      </c>
      <c r="BI930" s="3" t="s">
        <v>812</v>
      </c>
      <c r="BJ930" s="3" t="s">
        <v>812</v>
      </c>
      <c r="BK930" s="3" t="s">
        <v>812</v>
      </c>
      <c r="BL930" s="3" t="s">
        <v>812</v>
      </c>
      <c r="BM930" s="3" t="s">
        <v>812</v>
      </c>
      <c r="BN930" s="3" t="s">
        <v>812</v>
      </c>
      <c r="BO930" s="3" t="s">
        <v>812</v>
      </c>
      <c r="BP930" s="3" t="s">
        <v>812</v>
      </c>
      <c r="BQ930" s="3" t="s">
        <v>812</v>
      </c>
      <c r="BR930" s="3" t="s">
        <v>812</v>
      </c>
      <c r="BS930" s="3" t="s">
        <v>812</v>
      </c>
      <c r="BT930" s="3" t="s">
        <v>812</v>
      </c>
      <c r="BU930" s="3" t="s">
        <v>812</v>
      </c>
      <c r="BV930" s="3" t="s">
        <v>812</v>
      </c>
      <c r="BW930" s="3" t="s">
        <v>812</v>
      </c>
      <c r="BX930" s="3" t="s">
        <v>812</v>
      </c>
      <c r="BY930" s="3" t="s">
        <v>812</v>
      </c>
      <c r="BZ930" s="3" t="s">
        <v>812</v>
      </c>
      <c r="CA930" s="3" t="s">
        <v>812</v>
      </c>
      <c r="CB930" s="3" t="s">
        <v>812</v>
      </c>
      <c r="CC930" s="3" t="s">
        <v>812</v>
      </c>
      <c r="CD930" s="3" t="s">
        <v>812</v>
      </c>
      <c r="CE930" s="3" t="s">
        <v>812</v>
      </c>
      <c r="CF930" s="3" t="s">
        <v>812</v>
      </c>
      <c r="CG930" s="3" t="s">
        <v>812</v>
      </c>
      <c r="CH930" s="3" t="s">
        <v>812</v>
      </c>
      <c r="CI930" s="3" t="s">
        <v>812</v>
      </c>
      <c r="CJ930" s="3" t="s">
        <v>812</v>
      </c>
      <c r="CK930" s="3" t="s">
        <v>812</v>
      </c>
      <c r="CL930" t="s">
        <v>4</v>
      </c>
      <c r="CM930" s="3" t="s">
        <v>812</v>
      </c>
      <c r="CN930" s="3" t="s">
        <v>812</v>
      </c>
      <c r="CO930" s="3" t="s">
        <v>812</v>
      </c>
      <c r="CP930" s="7">
        <v>392</v>
      </c>
      <c r="CQ930" t="s">
        <v>100</v>
      </c>
      <c r="CR930" t="s">
        <v>100</v>
      </c>
      <c r="CS930" t="s">
        <v>101</v>
      </c>
      <c r="CT930" t="s">
        <v>100</v>
      </c>
      <c r="CU930" t="s">
        <v>102</v>
      </c>
      <c r="CV930" t="s">
        <v>100</v>
      </c>
    </row>
    <row r="931" spans="1:100">
      <c r="A931" s="3" t="s">
        <v>10321</v>
      </c>
      <c r="B931" s="4" t="s">
        <v>10322</v>
      </c>
      <c r="C931">
        <v>79.650959128290594</v>
      </c>
      <c r="D931">
        <v>23.2432597090705</v>
      </c>
      <c r="E931">
        <v>1.78384683253958</v>
      </c>
      <c r="F931">
        <v>2.79707147572433E-2</v>
      </c>
      <c r="G931" t="s">
        <v>4</v>
      </c>
      <c r="H931">
        <v>79.650959128290594</v>
      </c>
      <c r="I931">
        <v>12.9155945000686</v>
      </c>
      <c r="J931">
        <v>2.6512966139926699</v>
      </c>
      <c r="K931">
        <v>1.03067657288292E-3</v>
      </c>
      <c r="L931" t="s">
        <v>4</v>
      </c>
      <c r="M931">
        <v>23.2432597090705</v>
      </c>
      <c r="N931">
        <v>12.9155945000686</v>
      </c>
      <c r="O931">
        <v>0.86744978145308105</v>
      </c>
      <c r="P931">
        <v>0.33803441143813201</v>
      </c>
      <c r="Q931" t="s">
        <v>4</v>
      </c>
      <c r="R931" s="4" t="s">
        <v>87</v>
      </c>
      <c r="S931" t="s">
        <v>4</v>
      </c>
      <c r="T931" t="s">
        <v>10323</v>
      </c>
      <c r="U931" t="s">
        <v>10324</v>
      </c>
      <c r="V931" t="s">
        <v>10325</v>
      </c>
      <c r="W931" t="s">
        <v>328</v>
      </c>
      <c r="X931" t="s">
        <v>4</v>
      </c>
      <c r="Y931" t="s">
        <v>10326</v>
      </c>
      <c r="Z931" t="s">
        <v>10327</v>
      </c>
      <c r="AA931" t="s">
        <v>10328</v>
      </c>
      <c r="AB931" t="s">
        <v>4</v>
      </c>
      <c r="AC931" s="3" t="s">
        <v>93</v>
      </c>
      <c r="AD931" t="s">
        <v>4</v>
      </c>
      <c r="AE931" t="s">
        <v>10329</v>
      </c>
      <c r="AF931" t="s">
        <v>834</v>
      </c>
      <c r="AG931" t="s">
        <v>10330</v>
      </c>
      <c r="AH931" t="s">
        <v>112</v>
      </c>
      <c r="AI931" t="s">
        <v>10331</v>
      </c>
      <c r="AL931" t="s">
        <v>10332</v>
      </c>
      <c r="AQ931" t="s">
        <v>1693</v>
      </c>
      <c r="AR931" t="s">
        <v>10333</v>
      </c>
      <c r="AU931" t="s">
        <v>112</v>
      </c>
      <c r="AV931" t="s">
        <v>10334</v>
      </c>
      <c r="AW931" t="s">
        <v>114</v>
      </c>
      <c r="AX931" t="s">
        <v>909</v>
      </c>
      <c r="AY931" t="s">
        <v>10335</v>
      </c>
      <c r="AZ931" t="s">
        <v>4</v>
      </c>
      <c r="BA931" s="3" t="s">
        <v>115</v>
      </c>
      <c r="BB931" t="s">
        <v>96</v>
      </c>
      <c r="BC931" s="3" t="s">
        <v>95</v>
      </c>
      <c r="BD931" t="s">
        <v>4</v>
      </c>
      <c r="BE931">
        <v>10238</v>
      </c>
      <c r="BF931" t="s">
        <v>169</v>
      </c>
      <c r="BG931" t="s">
        <v>10336</v>
      </c>
      <c r="BH931">
        <v>41.755600000000001</v>
      </c>
      <c r="BI931">
        <v>53.9739</v>
      </c>
      <c r="BJ931">
        <v>79.952600000000004</v>
      </c>
      <c r="BK931">
        <v>75.088999999999999</v>
      </c>
      <c r="BL931">
        <v>64.531400000000005</v>
      </c>
      <c r="BM931">
        <v>72.716499999999996</v>
      </c>
      <c r="BN931">
        <v>76.749700000000004</v>
      </c>
      <c r="BO931">
        <v>83.036799999999999</v>
      </c>
      <c r="BQ931">
        <v>28.351099999999999</v>
      </c>
      <c r="BR931">
        <v>46.7378</v>
      </c>
      <c r="BS931">
        <v>44.246699999999997</v>
      </c>
      <c r="BX931">
        <v>43.890900000000002</v>
      </c>
      <c r="BZ931">
        <v>5.6939500000000001</v>
      </c>
      <c r="CA931">
        <v>38.671399999999998</v>
      </c>
      <c r="CC931">
        <v>25.504200000000001</v>
      </c>
      <c r="CD931" t="s">
        <v>10337</v>
      </c>
      <c r="CF931">
        <v>20.0474</v>
      </c>
      <c r="CG931" t="s">
        <v>10338</v>
      </c>
      <c r="CH931" t="s">
        <v>10339</v>
      </c>
      <c r="CI931" t="s">
        <v>10340</v>
      </c>
      <c r="CJ931">
        <v>15.8956</v>
      </c>
      <c r="CK931">
        <v>9</v>
      </c>
      <c r="CL931" t="s">
        <v>4</v>
      </c>
      <c r="CM931" t="s">
        <v>10341</v>
      </c>
      <c r="CN931" t="s">
        <v>10342</v>
      </c>
      <c r="CO931" t="s">
        <v>663</v>
      </c>
      <c r="CP931" s="7">
        <v>393</v>
      </c>
      <c r="CQ931" t="s">
        <v>100</v>
      </c>
      <c r="CR931" t="s">
        <v>100</v>
      </c>
      <c r="CS931" t="s">
        <v>101</v>
      </c>
      <c r="CT931" t="s">
        <v>100</v>
      </c>
      <c r="CU931" t="s">
        <v>102</v>
      </c>
      <c r="CV931" t="s">
        <v>100</v>
      </c>
    </row>
    <row r="932" spans="1:100">
      <c r="A932" s="3" t="s">
        <v>10343</v>
      </c>
      <c r="B932" s="4" t="s">
        <v>10344</v>
      </c>
      <c r="C932">
        <v>47.396461088814704</v>
      </c>
      <c r="D932">
        <v>13.794959133737599</v>
      </c>
      <c r="E932">
        <v>1.78718691985684</v>
      </c>
      <c r="F932">
        <v>1.13493260887417E-2</v>
      </c>
      <c r="G932" t="s">
        <v>4</v>
      </c>
      <c r="H932">
        <v>47.396461088814704</v>
      </c>
      <c r="I932">
        <v>7.7715421468448103</v>
      </c>
      <c r="J932">
        <v>2.64968222336433</v>
      </c>
      <c r="K932">
        <v>3.4114409975113702E-4</v>
      </c>
      <c r="L932" t="s">
        <v>4</v>
      </c>
      <c r="M932">
        <v>13.794959133737599</v>
      </c>
      <c r="N932">
        <v>7.7715421468448103</v>
      </c>
      <c r="O932">
        <v>0.86249530350749004</v>
      </c>
      <c r="P932">
        <v>0.30607164409743898</v>
      </c>
      <c r="Q932" t="s">
        <v>4</v>
      </c>
      <c r="R932" s="4" t="s">
        <v>87</v>
      </c>
      <c r="S932" t="s">
        <v>4</v>
      </c>
      <c r="T932" t="s">
        <v>6859</v>
      </c>
      <c r="U932" t="s">
        <v>6860</v>
      </c>
      <c r="V932" t="s">
        <v>6861</v>
      </c>
      <c r="W932" t="s">
        <v>328</v>
      </c>
      <c r="X932" t="s">
        <v>4</v>
      </c>
      <c r="Y932" t="s">
        <v>10245</v>
      </c>
      <c r="Z932" t="s">
        <v>10246</v>
      </c>
      <c r="AA932" t="s">
        <v>10247</v>
      </c>
      <c r="AB932" t="s">
        <v>4</v>
      </c>
      <c r="AC932" s="3" t="s">
        <v>10345</v>
      </c>
      <c r="AD932" t="s">
        <v>4</v>
      </c>
      <c r="AE932" t="s">
        <v>10346</v>
      </c>
      <c r="AF932" t="s">
        <v>834</v>
      </c>
      <c r="AG932" t="s">
        <v>10347</v>
      </c>
      <c r="AH932" t="s">
        <v>638</v>
      </c>
      <c r="AJ932" t="s">
        <v>10348</v>
      </c>
      <c r="AU932" t="s">
        <v>112</v>
      </c>
      <c r="AV932" t="s">
        <v>10349</v>
      </c>
      <c r="AW932" t="s">
        <v>114</v>
      </c>
      <c r="AX932" t="s">
        <v>132</v>
      </c>
      <c r="AY932" t="s">
        <v>10350</v>
      </c>
      <c r="AZ932" t="s">
        <v>4</v>
      </c>
      <c r="BA932" s="3" t="s">
        <v>95</v>
      </c>
      <c r="BB932" t="s">
        <v>96</v>
      </c>
      <c r="BC932" s="3" t="s">
        <v>197</v>
      </c>
      <c r="BD932" t="s">
        <v>4</v>
      </c>
      <c r="BE932">
        <v>4145</v>
      </c>
      <c r="BF932" t="s">
        <v>112</v>
      </c>
      <c r="BH932">
        <v>29.400600000000001</v>
      </c>
      <c r="BI932">
        <v>86.679400000000001</v>
      </c>
      <c r="BM932" t="s">
        <v>10351</v>
      </c>
      <c r="BN932">
        <v>84.015199999999993</v>
      </c>
      <c r="BO932">
        <v>68.411000000000001</v>
      </c>
      <c r="BP932">
        <v>50.808799999999998</v>
      </c>
      <c r="BQ932">
        <v>55.470999999999997</v>
      </c>
      <c r="BR932">
        <v>59.372</v>
      </c>
      <c r="BS932" t="s">
        <v>10352</v>
      </c>
      <c r="BT932" t="s">
        <v>10353</v>
      </c>
      <c r="BU932" t="s">
        <v>10354</v>
      </c>
      <c r="BV932">
        <v>58.325400000000002</v>
      </c>
      <c r="BW932">
        <v>57.278799999999997</v>
      </c>
      <c r="BY932">
        <v>40.723100000000002</v>
      </c>
      <c r="BZ932">
        <v>60.9895</v>
      </c>
      <c r="CA932">
        <v>59.942900000000002</v>
      </c>
      <c r="CK932">
        <v>5</v>
      </c>
      <c r="CL932" t="s">
        <v>4</v>
      </c>
      <c r="CM932" t="s">
        <v>10355</v>
      </c>
      <c r="CN932" t="s">
        <v>10356</v>
      </c>
      <c r="CO932" t="s">
        <v>663</v>
      </c>
      <c r="CP932" s="7">
        <v>394</v>
      </c>
      <c r="CQ932" t="s">
        <v>100</v>
      </c>
      <c r="CR932" t="s">
        <v>100</v>
      </c>
      <c r="CS932" t="s">
        <v>101</v>
      </c>
      <c r="CT932" t="s">
        <v>100</v>
      </c>
      <c r="CU932" t="s">
        <v>102</v>
      </c>
      <c r="CV932" t="s">
        <v>100</v>
      </c>
    </row>
    <row r="933" spans="1:100">
      <c r="A933" s="3" t="s">
        <v>10357</v>
      </c>
      <c r="B933" s="4" t="s">
        <v>10358</v>
      </c>
      <c r="C933">
        <v>87.494653055947694</v>
      </c>
      <c r="D933">
        <v>26.557698196942901</v>
      </c>
      <c r="E933">
        <v>1.7171504738786001</v>
      </c>
      <c r="F933">
        <v>3.2315364073174903E-2</v>
      </c>
      <c r="G933" t="s">
        <v>4</v>
      </c>
      <c r="H933">
        <v>87.494653055947694</v>
      </c>
      <c r="I933">
        <v>14.208201894483199</v>
      </c>
      <c r="J933">
        <v>2.6385324113420801</v>
      </c>
      <c r="K933">
        <v>9.1124191182409705E-4</v>
      </c>
      <c r="L933" t="s">
        <v>4</v>
      </c>
      <c r="M933">
        <v>26.557698196942901</v>
      </c>
      <c r="N933">
        <v>14.208201894483199</v>
      </c>
      <c r="O933">
        <v>0.92138193746347397</v>
      </c>
      <c r="P933">
        <v>0.29618252518466898</v>
      </c>
      <c r="Q933" t="s">
        <v>4</v>
      </c>
      <c r="R933" s="4" t="s">
        <v>87</v>
      </c>
      <c r="S933" t="s">
        <v>4</v>
      </c>
      <c r="T933" t="s">
        <v>92</v>
      </c>
      <c r="U933" t="s">
        <v>92</v>
      </c>
      <c r="V933" t="s">
        <v>92</v>
      </c>
      <c r="W933" t="s">
        <v>92</v>
      </c>
      <c r="X933" t="s">
        <v>4</v>
      </c>
      <c r="Y933" t="s">
        <v>10359</v>
      </c>
      <c r="Z933" t="s">
        <v>10360</v>
      </c>
      <c r="AA933" t="s">
        <v>10361</v>
      </c>
      <c r="AB933" t="s">
        <v>4</v>
      </c>
      <c r="AC933" s="3" t="s">
        <v>10362</v>
      </c>
      <c r="AD933" t="s">
        <v>4</v>
      </c>
      <c r="AE933" t="s">
        <v>901</v>
      </c>
      <c r="AF933" t="s">
        <v>10363</v>
      </c>
      <c r="AG933" t="s">
        <v>6301</v>
      </c>
      <c r="AH933" t="s">
        <v>112</v>
      </c>
      <c r="AI933" t="s">
        <v>904</v>
      </c>
      <c r="AJ933" t="s">
        <v>905</v>
      </c>
      <c r="AL933" t="s">
        <v>906</v>
      </c>
      <c r="AQ933" t="s">
        <v>641</v>
      </c>
      <c r="AR933" t="s">
        <v>907</v>
      </c>
      <c r="AU933" t="s">
        <v>112</v>
      </c>
      <c r="AV933" t="s">
        <v>908</v>
      </c>
      <c r="AW933" t="s">
        <v>114</v>
      </c>
      <c r="AX933" t="s">
        <v>909</v>
      </c>
      <c r="AY933" t="s">
        <v>910</v>
      </c>
      <c r="AZ933" t="s">
        <v>4</v>
      </c>
      <c r="BA933" s="3" t="s">
        <v>95</v>
      </c>
      <c r="BB933" s="6" t="s">
        <v>95</v>
      </c>
      <c r="BC933" s="3" t="s">
        <v>782</v>
      </c>
      <c r="BD933" t="s">
        <v>4</v>
      </c>
      <c r="BE933">
        <v>6375</v>
      </c>
      <c r="BF933" t="s">
        <v>213</v>
      </c>
      <c r="BJ933">
        <v>75.800700000000006</v>
      </c>
      <c r="BK933">
        <v>72.242000000000004</v>
      </c>
      <c r="BL933">
        <v>72.953699999999998</v>
      </c>
      <c r="BM933">
        <v>27.402100000000001</v>
      </c>
      <c r="BN933">
        <v>72.242000000000004</v>
      </c>
      <c r="BO933">
        <v>74.377200000000002</v>
      </c>
      <c r="BQ933">
        <v>57.651200000000003</v>
      </c>
      <c r="BR933">
        <v>55.1601</v>
      </c>
      <c r="BS933">
        <v>48.398600000000002</v>
      </c>
      <c r="BW933">
        <v>51.601399999999998</v>
      </c>
      <c r="BX933">
        <v>56.939500000000002</v>
      </c>
      <c r="BZ933">
        <v>40.9253</v>
      </c>
      <c r="CA933">
        <v>52.313200000000002</v>
      </c>
      <c r="CF933">
        <v>44.128100000000003</v>
      </c>
      <c r="CG933" t="s">
        <v>10364</v>
      </c>
      <c r="CH933" t="s">
        <v>10365</v>
      </c>
      <c r="CI933">
        <v>20.640599999999999</v>
      </c>
      <c r="CK933">
        <v>8</v>
      </c>
      <c r="CL933" t="s">
        <v>4</v>
      </c>
      <c r="CM933" t="s">
        <v>10366</v>
      </c>
      <c r="CN933" t="s">
        <v>10367</v>
      </c>
      <c r="CO933" t="s">
        <v>99</v>
      </c>
      <c r="CP933" s="7">
        <v>395</v>
      </c>
      <c r="CQ933" t="s">
        <v>100</v>
      </c>
      <c r="CR933" t="s">
        <v>100</v>
      </c>
      <c r="CS933" t="s">
        <v>101</v>
      </c>
      <c r="CT933" t="s">
        <v>100</v>
      </c>
      <c r="CU933" t="s">
        <v>102</v>
      </c>
      <c r="CV933" t="s">
        <v>100</v>
      </c>
    </row>
    <row r="934" spans="1:100">
      <c r="A934" s="3" t="s">
        <v>10368</v>
      </c>
      <c r="B934" s="4" t="s">
        <v>10369</v>
      </c>
      <c r="C934">
        <v>49.754412129313302</v>
      </c>
      <c r="D934">
        <v>19.210548413190299</v>
      </c>
      <c r="E934">
        <v>1.3721391022573499</v>
      </c>
      <c r="F934">
        <v>1.6992104643498498E-2</v>
      </c>
      <c r="G934" t="s">
        <v>4</v>
      </c>
      <c r="H934">
        <v>49.754412129313302</v>
      </c>
      <c r="I934">
        <v>7.8522729488688601</v>
      </c>
      <c r="J934">
        <v>2.63538758681173</v>
      </c>
      <c r="K934" s="5">
        <v>2.5705636819537199E-5</v>
      </c>
      <c r="L934" t="s">
        <v>4</v>
      </c>
      <c r="M934">
        <v>19.210548413190299</v>
      </c>
      <c r="N934">
        <v>7.8522729488688601</v>
      </c>
      <c r="O934">
        <v>1.2632484845543801</v>
      </c>
      <c r="P934">
        <v>6.2129276564492103E-2</v>
      </c>
      <c r="Q934" t="s">
        <v>4</v>
      </c>
      <c r="R934" s="4" t="s">
        <v>87</v>
      </c>
      <c r="S934" t="s">
        <v>4</v>
      </c>
      <c r="T934" t="s">
        <v>2358</v>
      </c>
      <c r="U934" t="s">
        <v>2359</v>
      </c>
      <c r="V934" t="s">
        <v>2360</v>
      </c>
      <c r="W934" t="s">
        <v>507</v>
      </c>
      <c r="X934" t="s">
        <v>4</v>
      </c>
      <c r="Y934" t="s">
        <v>2361</v>
      </c>
      <c r="Z934" t="s">
        <v>2362</v>
      </c>
      <c r="AA934" t="s">
        <v>2363</v>
      </c>
      <c r="AB934" t="s">
        <v>4</v>
      </c>
      <c r="AC934" s="3" t="s">
        <v>2364</v>
      </c>
      <c r="AD934" t="s">
        <v>4</v>
      </c>
      <c r="AE934" s="4" t="s">
        <v>94</v>
      </c>
      <c r="AZ934" t="s">
        <v>4</v>
      </c>
      <c r="BA934" s="3" t="s">
        <v>95</v>
      </c>
      <c r="BB934" s="6" t="s">
        <v>95</v>
      </c>
      <c r="BC934" s="3" t="s">
        <v>95</v>
      </c>
      <c r="BD934" t="s">
        <v>4</v>
      </c>
      <c r="BE934">
        <v>2674</v>
      </c>
      <c r="BF934" t="s">
        <v>97</v>
      </c>
      <c r="BG934">
        <v>96.621600000000001</v>
      </c>
      <c r="BH934">
        <v>70.495500000000007</v>
      </c>
      <c r="BI934">
        <v>91.891900000000007</v>
      </c>
      <c r="BJ934">
        <v>32.2072</v>
      </c>
      <c r="BK934">
        <v>65.315299999999993</v>
      </c>
      <c r="BL934">
        <v>25.9009</v>
      </c>
      <c r="BM934" t="s">
        <v>10370</v>
      </c>
      <c r="BN934">
        <v>72.297300000000007</v>
      </c>
      <c r="BO934">
        <v>76.351299999999995</v>
      </c>
      <c r="BP934">
        <v>42.342300000000002</v>
      </c>
      <c r="CK934">
        <v>4</v>
      </c>
      <c r="CL934" t="s">
        <v>4</v>
      </c>
      <c r="CM934" t="s">
        <v>98</v>
      </c>
      <c r="CN934" t="s">
        <v>98</v>
      </c>
      <c r="CO934" t="s">
        <v>99</v>
      </c>
      <c r="CP934" s="7">
        <v>396</v>
      </c>
      <c r="CQ934" t="s">
        <v>100</v>
      </c>
      <c r="CR934" t="s">
        <v>100</v>
      </c>
      <c r="CS934" t="s">
        <v>101</v>
      </c>
      <c r="CT934" t="s">
        <v>100</v>
      </c>
      <c r="CU934" t="s">
        <v>102</v>
      </c>
      <c r="CV934" t="s">
        <v>100</v>
      </c>
    </row>
    <row r="935" spans="1:100">
      <c r="A935" s="3" t="s">
        <v>10371</v>
      </c>
      <c r="B935" s="4" t="s">
        <v>10372</v>
      </c>
      <c r="C935">
        <v>342.96619588944202</v>
      </c>
      <c r="D935">
        <v>106.957979401199</v>
      </c>
      <c r="E935">
        <v>1.67874685833982</v>
      </c>
      <c r="F935" s="5">
        <v>3.5651085668459499E-6</v>
      </c>
      <c r="G935" t="s">
        <v>4</v>
      </c>
      <c r="H935">
        <v>342.96619588944202</v>
      </c>
      <c r="I935">
        <v>54.508453759338401</v>
      </c>
      <c r="J935">
        <v>2.63126064665629</v>
      </c>
      <c r="K935" s="5">
        <v>5.3721878992606703E-13</v>
      </c>
      <c r="L935" t="s">
        <v>4</v>
      </c>
      <c r="M935">
        <v>106.957979401199</v>
      </c>
      <c r="N935">
        <v>54.508453759338401</v>
      </c>
      <c r="O935">
        <v>0.95251378831646705</v>
      </c>
      <c r="P935">
        <v>1.47291298869765E-2</v>
      </c>
      <c r="Q935" t="s">
        <v>4</v>
      </c>
      <c r="R935" s="4" t="s">
        <v>87</v>
      </c>
      <c r="S935" t="s">
        <v>4</v>
      </c>
      <c r="T935" t="s">
        <v>10373</v>
      </c>
      <c r="U935" t="s">
        <v>10374</v>
      </c>
      <c r="V935" t="s">
        <v>10375</v>
      </c>
      <c r="W935" t="s">
        <v>203</v>
      </c>
      <c r="X935" t="s">
        <v>4</v>
      </c>
      <c r="Y935" t="s">
        <v>10376</v>
      </c>
      <c r="Z935" t="s">
        <v>10377</v>
      </c>
      <c r="AA935" t="s">
        <v>10378</v>
      </c>
      <c r="AB935" t="s">
        <v>4</v>
      </c>
      <c r="AC935" s="3" t="s">
        <v>93</v>
      </c>
      <c r="AD935" t="s">
        <v>4</v>
      </c>
      <c r="AE935" t="s">
        <v>10379</v>
      </c>
      <c r="AF935" t="s">
        <v>10380</v>
      </c>
      <c r="AG935" t="s">
        <v>10381</v>
      </c>
      <c r="AH935" t="s">
        <v>314</v>
      </c>
      <c r="AU935" t="s">
        <v>112</v>
      </c>
      <c r="AV935" t="s">
        <v>10382</v>
      </c>
      <c r="AW935" t="s">
        <v>114</v>
      </c>
      <c r="AX935" t="s">
        <v>1879</v>
      </c>
      <c r="AY935" t="s">
        <v>10383</v>
      </c>
      <c r="AZ935" t="s">
        <v>4</v>
      </c>
      <c r="BA935" s="3" t="s">
        <v>115</v>
      </c>
      <c r="BB935" s="6" t="s">
        <v>95</v>
      </c>
      <c r="BC935" s="3" t="s">
        <v>95</v>
      </c>
      <c r="BD935" t="s">
        <v>4</v>
      </c>
      <c r="BE935">
        <v>1087</v>
      </c>
      <c r="BF935" t="s">
        <v>151</v>
      </c>
      <c r="BG935">
        <v>49.289099999999998</v>
      </c>
      <c r="BH935">
        <v>57.819899999999997</v>
      </c>
      <c r="BI935">
        <v>42.180100000000003</v>
      </c>
      <c r="BL935">
        <v>18.4834</v>
      </c>
      <c r="CK935">
        <v>2</v>
      </c>
      <c r="CL935" t="s">
        <v>4</v>
      </c>
      <c r="CM935" t="s">
        <v>98</v>
      </c>
      <c r="CN935" t="s">
        <v>98</v>
      </c>
      <c r="CO935" t="s">
        <v>99</v>
      </c>
      <c r="CP935" s="7">
        <v>397</v>
      </c>
      <c r="CQ935" t="s">
        <v>100</v>
      </c>
      <c r="CR935" t="s">
        <v>100</v>
      </c>
      <c r="CS935" t="s">
        <v>101</v>
      </c>
      <c r="CT935" t="s">
        <v>100</v>
      </c>
      <c r="CU935" t="s">
        <v>102</v>
      </c>
      <c r="CV935" t="s">
        <v>100</v>
      </c>
    </row>
    <row r="936" spans="1:100">
      <c r="A936" s="3" t="s">
        <v>10384</v>
      </c>
      <c r="B936" s="4" t="s">
        <v>10385</v>
      </c>
      <c r="C936">
        <v>39.176981857982902</v>
      </c>
      <c r="D936">
        <v>6.9153924720884099</v>
      </c>
      <c r="E936">
        <v>2.5169345891701198</v>
      </c>
      <c r="F936">
        <v>1.0653047029666201E-2</v>
      </c>
      <c r="G936" t="s">
        <v>4</v>
      </c>
      <c r="H936">
        <v>39.176981857982902</v>
      </c>
      <c r="I936">
        <v>6.44873832043604</v>
      </c>
      <c r="J936">
        <v>2.6298287815874701</v>
      </c>
      <c r="K936">
        <v>7.9432889294061906E-3</v>
      </c>
      <c r="L936" t="s">
        <v>4</v>
      </c>
      <c r="M936">
        <v>6.9153924720884099</v>
      </c>
      <c r="N936">
        <v>6.44873832043604</v>
      </c>
      <c r="O936">
        <v>0.112894192417345</v>
      </c>
      <c r="P936">
        <v>0.935069957862535</v>
      </c>
      <c r="Q936" t="s">
        <v>4</v>
      </c>
      <c r="R936" s="4" t="s">
        <v>87</v>
      </c>
      <c r="S936" t="s">
        <v>4</v>
      </c>
      <c r="T936" t="s">
        <v>88</v>
      </c>
      <c r="U936" t="s">
        <v>89</v>
      </c>
      <c r="V936" t="s">
        <v>90</v>
      </c>
      <c r="W936" t="s">
        <v>91</v>
      </c>
      <c r="X936" t="s">
        <v>4</v>
      </c>
      <c r="Y936" t="s">
        <v>6345</v>
      </c>
      <c r="Z936" t="s">
        <v>6346</v>
      </c>
      <c r="AA936" t="s">
        <v>6347</v>
      </c>
      <c r="AB936" t="s">
        <v>4</v>
      </c>
      <c r="AC936" s="3" t="s">
        <v>93</v>
      </c>
      <c r="AD936" t="s">
        <v>4</v>
      </c>
      <c r="AE936" s="4" t="s">
        <v>94</v>
      </c>
      <c r="AZ936" t="s">
        <v>4</v>
      </c>
      <c r="BA936" s="3" t="s">
        <v>95</v>
      </c>
      <c r="BB936" t="s">
        <v>96</v>
      </c>
      <c r="BC936" s="3" t="s">
        <v>95</v>
      </c>
      <c r="BD936" t="s">
        <v>4</v>
      </c>
      <c r="BE936">
        <v>1090</v>
      </c>
      <c r="BF936" t="s">
        <v>151</v>
      </c>
      <c r="BG936">
        <v>51.641800000000003</v>
      </c>
      <c r="BI936">
        <v>60.298499999999997</v>
      </c>
      <c r="BJ936">
        <v>43.880600000000001</v>
      </c>
      <c r="BL936">
        <v>55.820900000000002</v>
      </c>
      <c r="BM936" t="s">
        <v>10386</v>
      </c>
      <c r="BN936" t="s">
        <v>10387</v>
      </c>
      <c r="BO936" t="s">
        <v>10388</v>
      </c>
      <c r="CK936">
        <v>2</v>
      </c>
      <c r="CL936" t="s">
        <v>4</v>
      </c>
      <c r="CM936" t="s">
        <v>98</v>
      </c>
      <c r="CN936" t="s">
        <v>98</v>
      </c>
      <c r="CO936" t="s">
        <v>99</v>
      </c>
      <c r="CP936" s="7">
        <v>398</v>
      </c>
      <c r="CQ936" t="s">
        <v>100</v>
      </c>
      <c r="CR936" t="s">
        <v>100</v>
      </c>
      <c r="CS936" t="s">
        <v>101</v>
      </c>
      <c r="CT936" t="s">
        <v>100</v>
      </c>
      <c r="CU936" t="s">
        <v>102</v>
      </c>
      <c r="CV936" t="s">
        <v>100</v>
      </c>
    </row>
    <row r="937" spans="1:100">
      <c r="A937" s="3" t="s">
        <v>10389</v>
      </c>
      <c r="B937" s="4" t="s">
        <v>10390</v>
      </c>
      <c r="C937">
        <v>70.976156651110202</v>
      </c>
      <c r="D937">
        <v>19.787300740525001</v>
      </c>
      <c r="E937">
        <v>1.84746984038224</v>
      </c>
      <c r="F937">
        <v>2.52900400763785E-2</v>
      </c>
      <c r="G937" t="s">
        <v>4</v>
      </c>
      <c r="H937">
        <v>70.976156651110202</v>
      </c>
      <c r="I937">
        <v>11.264378884130901</v>
      </c>
      <c r="J937">
        <v>2.6291179220981902</v>
      </c>
      <c r="K937">
        <v>1.43653921723382E-3</v>
      </c>
      <c r="L937" t="s">
        <v>4</v>
      </c>
      <c r="M937">
        <v>19.787300740525001</v>
      </c>
      <c r="N937">
        <v>11.264378884130901</v>
      </c>
      <c r="O937">
        <v>0.78164808171595301</v>
      </c>
      <c r="P937">
        <v>0.40465204649495301</v>
      </c>
      <c r="Q937" t="s">
        <v>4</v>
      </c>
      <c r="R937" s="4" t="s">
        <v>87</v>
      </c>
      <c r="S937" t="s">
        <v>4</v>
      </c>
      <c r="T937" t="s">
        <v>92</v>
      </c>
      <c r="U937" t="s">
        <v>92</v>
      </c>
      <c r="V937" t="s">
        <v>92</v>
      </c>
      <c r="W937" t="s">
        <v>92</v>
      </c>
      <c r="X937" t="s">
        <v>4</v>
      </c>
      <c r="Y937" t="s">
        <v>92</v>
      </c>
      <c r="Z937" t="s">
        <v>92</v>
      </c>
      <c r="AA937" t="s">
        <v>92</v>
      </c>
      <c r="AB937" t="s">
        <v>4</v>
      </c>
      <c r="AC937" s="3" t="s">
        <v>93</v>
      </c>
      <c r="AD937" t="s">
        <v>4</v>
      </c>
      <c r="AE937" s="4" t="s">
        <v>94</v>
      </c>
      <c r="AZ937" t="s">
        <v>4</v>
      </c>
      <c r="BA937" s="3" t="s">
        <v>95</v>
      </c>
      <c r="BB937" s="6" t="s">
        <v>95</v>
      </c>
      <c r="BC937" s="3" t="s">
        <v>95</v>
      </c>
      <c r="BD937" t="s">
        <v>4</v>
      </c>
      <c r="BE937">
        <v>806</v>
      </c>
      <c r="BF937" t="s">
        <v>604</v>
      </c>
      <c r="BG937">
        <v>100</v>
      </c>
      <c r="CK937">
        <v>1.5</v>
      </c>
      <c r="CL937" t="s">
        <v>4</v>
      </c>
      <c r="CM937" t="s">
        <v>98</v>
      </c>
      <c r="CN937" t="s">
        <v>98</v>
      </c>
      <c r="CO937" t="s">
        <v>99</v>
      </c>
      <c r="CP937" s="7">
        <v>399</v>
      </c>
      <c r="CQ937" t="s">
        <v>100</v>
      </c>
      <c r="CR937" t="s">
        <v>100</v>
      </c>
      <c r="CS937" t="s">
        <v>101</v>
      </c>
      <c r="CT937" t="s">
        <v>100</v>
      </c>
      <c r="CU937" t="s">
        <v>102</v>
      </c>
      <c r="CV937" t="s">
        <v>100</v>
      </c>
    </row>
    <row r="938" spans="1:100">
      <c r="A938" s="3" t="s">
        <v>10391</v>
      </c>
      <c r="B938" s="4" t="s">
        <v>10392</v>
      </c>
      <c r="C938">
        <v>3598.0769963584298</v>
      </c>
      <c r="D938">
        <v>1309.2692388143701</v>
      </c>
      <c r="E938">
        <v>1.4582381218504501</v>
      </c>
      <c r="F938">
        <v>7.52150650724806E-4</v>
      </c>
      <c r="G938" t="s">
        <v>4</v>
      </c>
      <c r="H938">
        <v>3598.0769963584298</v>
      </c>
      <c r="I938">
        <v>584.25611421118595</v>
      </c>
      <c r="J938">
        <v>2.6191651047764699</v>
      </c>
      <c r="K938" s="5">
        <v>1.4460691500187301E-10</v>
      </c>
      <c r="L938" t="s">
        <v>4</v>
      </c>
      <c r="M938">
        <v>1309.2692388143701</v>
      </c>
      <c r="N938">
        <v>584.25611421118595</v>
      </c>
      <c r="O938">
        <v>1.16092698292602</v>
      </c>
      <c r="P938">
        <v>6.1730221014700704E-3</v>
      </c>
      <c r="Q938" t="s">
        <v>4</v>
      </c>
      <c r="R938" s="4" t="s">
        <v>87</v>
      </c>
      <c r="S938" t="s">
        <v>4</v>
      </c>
      <c r="T938" t="s">
        <v>10393</v>
      </c>
      <c r="U938" t="s">
        <v>10394</v>
      </c>
      <c r="V938" t="s">
        <v>10395</v>
      </c>
      <c r="W938" t="s">
        <v>507</v>
      </c>
      <c r="X938" t="s">
        <v>4</v>
      </c>
      <c r="Y938" t="s">
        <v>10396</v>
      </c>
      <c r="Z938" t="s">
        <v>10397</v>
      </c>
      <c r="AA938" t="s">
        <v>10398</v>
      </c>
      <c r="AB938" t="s">
        <v>4</v>
      </c>
      <c r="AC938" s="3" t="s">
        <v>10399</v>
      </c>
      <c r="AD938" t="s">
        <v>4</v>
      </c>
      <c r="AE938" t="s">
        <v>10400</v>
      </c>
      <c r="AF938" t="s">
        <v>834</v>
      </c>
      <c r="AG938" t="s">
        <v>10401</v>
      </c>
      <c r="AH938" t="s">
        <v>112</v>
      </c>
      <c r="AI938" t="s">
        <v>10402</v>
      </c>
      <c r="AL938" t="s">
        <v>10403</v>
      </c>
      <c r="AM938" t="s">
        <v>8891</v>
      </c>
      <c r="AQ938" t="s">
        <v>5343</v>
      </c>
      <c r="AU938" t="s">
        <v>112</v>
      </c>
      <c r="AV938" t="s">
        <v>10404</v>
      </c>
      <c r="AW938" t="s">
        <v>114</v>
      </c>
      <c r="AX938" t="s">
        <v>1938</v>
      </c>
      <c r="AY938" t="s">
        <v>10405</v>
      </c>
      <c r="AZ938" t="s">
        <v>4</v>
      </c>
      <c r="BA938" s="3" t="s">
        <v>115</v>
      </c>
      <c r="BB938" s="6" t="s">
        <v>95</v>
      </c>
      <c r="BC938" s="3" t="s">
        <v>95</v>
      </c>
      <c r="BD938" t="s">
        <v>4</v>
      </c>
      <c r="BE938">
        <v>5496</v>
      </c>
      <c r="BF938" t="s">
        <v>386</v>
      </c>
      <c r="BG938">
        <v>98.0642</v>
      </c>
      <c r="BH938">
        <v>99.337699999999998</v>
      </c>
      <c r="BI938">
        <v>61.538499999999999</v>
      </c>
      <c r="BJ938">
        <v>87.57</v>
      </c>
      <c r="BK938">
        <v>78.960800000000006</v>
      </c>
      <c r="BL938">
        <v>48.8538</v>
      </c>
      <c r="BM938">
        <v>55.425400000000003</v>
      </c>
      <c r="BN938">
        <v>84.564400000000006</v>
      </c>
      <c r="BP938">
        <v>71.879800000000003</v>
      </c>
      <c r="BQ938">
        <v>68.313800000000001</v>
      </c>
      <c r="BS938">
        <v>63.372399999999999</v>
      </c>
      <c r="BT938" t="s">
        <v>10406</v>
      </c>
      <c r="BU938">
        <v>53.999000000000002</v>
      </c>
      <c r="BV938" t="s">
        <v>10407</v>
      </c>
      <c r="BW938">
        <v>62.302599999999998</v>
      </c>
      <c r="BX938">
        <v>65.7667</v>
      </c>
      <c r="BY938">
        <v>57.972499999999997</v>
      </c>
      <c r="BZ938">
        <v>58.125300000000003</v>
      </c>
      <c r="CA938">
        <v>67.244</v>
      </c>
      <c r="CB938" t="s">
        <v>10408</v>
      </c>
      <c r="CC938">
        <v>60.264899999999997</v>
      </c>
      <c r="CD938">
        <v>61.283700000000003</v>
      </c>
      <c r="CF938" t="s">
        <v>10409</v>
      </c>
      <c r="CG938" t="s">
        <v>10410</v>
      </c>
      <c r="CH938" t="s">
        <v>10411</v>
      </c>
      <c r="CI938" t="s">
        <v>10412</v>
      </c>
      <c r="CK938">
        <v>7</v>
      </c>
      <c r="CL938" t="s">
        <v>4</v>
      </c>
      <c r="CM938" t="s">
        <v>10413</v>
      </c>
      <c r="CN938" t="s">
        <v>10414</v>
      </c>
      <c r="CO938" t="s">
        <v>219</v>
      </c>
      <c r="CP938" s="7">
        <v>401</v>
      </c>
      <c r="CQ938" t="s">
        <v>100</v>
      </c>
      <c r="CR938" t="s">
        <v>100</v>
      </c>
      <c r="CS938" t="s">
        <v>101</v>
      </c>
      <c r="CT938" s="7" t="s">
        <v>152</v>
      </c>
      <c r="CU938" t="s">
        <v>102</v>
      </c>
      <c r="CV938" t="s">
        <v>100</v>
      </c>
    </row>
    <row r="939" spans="1:100">
      <c r="A939" s="3" t="s">
        <v>10415</v>
      </c>
      <c r="B939" s="4" t="s">
        <v>10416</v>
      </c>
      <c r="C939">
        <v>105.03319208682299</v>
      </c>
      <c r="D939">
        <v>27.863589357315899</v>
      </c>
      <c r="E939">
        <v>1.9175862930724299</v>
      </c>
      <c r="F939">
        <v>2.5284446371531301E-2</v>
      </c>
      <c r="G939" t="s">
        <v>4</v>
      </c>
      <c r="H939">
        <v>105.03319208682299</v>
      </c>
      <c r="I939">
        <v>17.391650633979399</v>
      </c>
      <c r="J939">
        <v>2.61840991866781</v>
      </c>
      <c r="K939">
        <v>1.8735539220933899E-3</v>
      </c>
      <c r="L939" t="s">
        <v>4</v>
      </c>
      <c r="M939">
        <v>27.863589357315899</v>
      </c>
      <c r="N939">
        <v>17.391650633979399</v>
      </c>
      <c r="O939">
        <v>0.70082362559538802</v>
      </c>
      <c r="P939">
        <v>0.46461011639595001</v>
      </c>
      <c r="Q939" t="s">
        <v>4</v>
      </c>
      <c r="R939" s="4" t="s">
        <v>87</v>
      </c>
      <c r="S939" t="s">
        <v>4</v>
      </c>
      <c r="T939" t="s">
        <v>460</v>
      </c>
      <c r="U939" t="s">
        <v>461</v>
      </c>
      <c r="V939" t="s">
        <v>462</v>
      </c>
      <c r="W939" t="s">
        <v>123</v>
      </c>
      <c r="X939" t="s">
        <v>4</v>
      </c>
      <c r="Y939" t="s">
        <v>463</v>
      </c>
      <c r="Z939" t="s">
        <v>464</v>
      </c>
      <c r="AA939" t="s">
        <v>465</v>
      </c>
      <c r="AB939" t="s">
        <v>4</v>
      </c>
      <c r="AC939" s="3" t="s">
        <v>93</v>
      </c>
      <c r="AD939" t="s">
        <v>4</v>
      </c>
      <c r="AE939" t="s">
        <v>467</v>
      </c>
      <c r="AF939" t="s">
        <v>10417</v>
      </c>
      <c r="AG939" t="s">
        <v>10418</v>
      </c>
      <c r="AH939" t="s">
        <v>169</v>
      </c>
      <c r="AU939" t="s">
        <v>112</v>
      </c>
      <c r="AV939" t="s">
        <v>470</v>
      </c>
      <c r="AW939" t="s">
        <v>114</v>
      </c>
      <c r="AX939" t="s">
        <v>144</v>
      </c>
      <c r="AY939" t="s">
        <v>471</v>
      </c>
      <c r="AZ939" t="s">
        <v>4</v>
      </c>
      <c r="BA939" s="3" t="s">
        <v>95</v>
      </c>
      <c r="BB939" s="6" t="s">
        <v>95</v>
      </c>
      <c r="BC939" s="3" t="s">
        <v>197</v>
      </c>
      <c r="BD939" t="s">
        <v>4</v>
      </c>
      <c r="BE939">
        <v>1693</v>
      </c>
      <c r="BF939" t="s">
        <v>151</v>
      </c>
      <c r="BG939">
        <v>63.871000000000002</v>
      </c>
      <c r="CK939">
        <v>2</v>
      </c>
      <c r="CL939" t="s">
        <v>4</v>
      </c>
      <c r="CM939" t="s">
        <v>98</v>
      </c>
      <c r="CN939" t="s">
        <v>98</v>
      </c>
      <c r="CO939" t="s">
        <v>99</v>
      </c>
      <c r="CP939" s="7">
        <v>402</v>
      </c>
      <c r="CQ939" t="s">
        <v>100</v>
      </c>
      <c r="CR939" t="s">
        <v>100</v>
      </c>
      <c r="CS939" t="s">
        <v>101</v>
      </c>
      <c r="CT939" t="s">
        <v>100</v>
      </c>
      <c r="CU939" t="s">
        <v>102</v>
      </c>
      <c r="CV939" t="s">
        <v>100</v>
      </c>
    </row>
    <row r="940" spans="1:100">
      <c r="A940" s="3" t="s">
        <v>10419</v>
      </c>
      <c r="B940" s="4" t="s">
        <v>10420</v>
      </c>
      <c r="C940">
        <v>42.720178522242399</v>
      </c>
      <c r="D940">
        <v>10.615703369992</v>
      </c>
      <c r="E940">
        <v>2.0215701347391999</v>
      </c>
      <c r="F940">
        <v>3.9333987150342899E-2</v>
      </c>
      <c r="G940" t="s">
        <v>4</v>
      </c>
      <c r="H940">
        <v>42.720178522242399</v>
      </c>
      <c r="I940">
        <v>6.9759574718256498</v>
      </c>
      <c r="J940">
        <v>2.61704623469599</v>
      </c>
      <c r="K940">
        <v>8.1028821742828005E-3</v>
      </c>
      <c r="L940" t="s">
        <v>4</v>
      </c>
      <c r="M940">
        <v>10.615703369992</v>
      </c>
      <c r="N940">
        <v>6.9759574718256498</v>
      </c>
      <c r="O940">
        <v>0.59547609995678996</v>
      </c>
      <c r="P940">
        <v>0.613589865436305</v>
      </c>
      <c r="Q940" t="s">
        <v>4</v>
      </c>
      <c r="R940" s="4" t="s">
        <v>87</v>
      </c>
      <c r="S940" t="s">
        <v>4</v>
      </c>
      <c r="T940" t="s">
        <v>9177</v>
      </c>
      <c r="U940" t="s">
        <v>9178</v>
      </c>
      <c r="V940" t="s">
        <v>9179</v>
      </c>
      <c r="W940" t="s">
        <v>328</v>
      </c>
      <c r="X940" t="s">
        <v>4</v>
      </c>
      <c r="Y940" t="s">
        <v>10421</v>
      </c>
      <c r="Z940" t="s">
        <v>10422</v>
      </c>
      <c r="AA940" t="s">
        <v>10423</v>
      </c>
      <c r="AB940" t="s">
        <v>4</v>
      </c>
      <c r="AC940" s="3" t="s">
        <v>10424</v>
      </c>
      <c r="AD940" t="s">
        <v>4</v>
      </c>
      <c r="AE940" t="s">
        <v>10425</v>
      </c>
      <c r="AF940" t="s">
        <v>10426</v>
      </c>
      <c r="AG940" t="s">
        <v>10427</v>
      </c>
      <c r="AH940" t="s">
        <v>112</v>
      </c>
      <c r="AU940" t="s">
        <v>112</v>
      </c>
      <c r="AV940" t="s">
        <v>10428</v>
      </c>
      <c r="AW940" t="s">
        <v>114</v>
      </c>
      <c r="AX940" t="s">
        <v>144</v>
      </c>
      <c r="AY940" t="s">
        <v>1795</v>
      </c>
      <c r="AZ940" t="s">
        <v>4</v>
      </c>
      <c r="BA940" s="3" t="s">
        <v>95</v>
      </c>
      <c r="BB940" t="s">
        <v>96</v>
      </c>
      <c r="BC940" s="3" t="s">
        <v>95</v>
      </c>
      <c r="BD940" t="s">
        <v>4</v>
      </c>
      <c r="BE940">
        <v>3554</v>
      </c>
      <c r="BF940" t="s">
        <v>112</v>
      </c>
      <c r="BG940" t="s">
        <v>10429</v>
      </c>
      <c r="BH940">
        <v>68.219200000000001</v>
      </c>
      <c r="BI940">
        <v>73.424700000000001</v>
      </c>
      <c r="BJ940">
        <v>87.9452</v>
      </c>
      <c r="BM940">
        <v>58.9041</v>
      </c>
      <c r="BN940">
        <v>84.9315</v>
      </c>
      <c r="BO940">
        <v>62.465800000000002</v>
      </c>
      <c r="BP940">
        <v>58.630099999999999</v>
      </c>
      <c r="BQ940">
        <v>43.287700000000001</v>
      </c>
      <c r="BR940">
        <v>49.588999999999999</v>
      </c>
      <c r="BS940">
        <v>43.561599999999999</v>
      </c>
      <c r="BT940">
        <v>39.178100000000001</v>
      </c>
      <c r="BU940">
        <v>40.274000000000001</v>
      </c>
      <c r="BV940" t="s">
        <v>10430</v>
      </c>
      <c r="BW940">
        <v>49.0411</v>
      </c>
      <c r="BX940">
        <v>51.232900000000001</v>
      </c>
      <c r="BY940">
        <v>49.588999999999999</v>
      </c>
      <c r="BZ940">
        <v>21.0959</v>
      </c>
      <c r="CA940">
        <v>48.767099999999999</v>
      </c>
      <c r="CK940">
        <v>5</v>
      </c>
      <c r="CL940" t="s">
        <v>4</v>
      </c>
      <c r="CM940" t="s">
        <v>10431</v>
      </c>
      <c r="CN940" t="s">
        <v>10432</v>
      </c>
      <c r="CO940" t="s">
        <v>99</v>
      </c>
      <c r="CP940" s="7">
        <v>403</v>
      </c>
      <c r="CQ940" t="s">
        <v>100</v>
      </c>
      <c r="CR940" t="s">
        <v>100</v>
      </c>
      <c r="CS940" t="s">
        <v>101</v>
      </c>
      <c r="CT940" t="s">
        <v>100</v>
      </c>
      <c r="CU940" t="s">
        <v>102</v>
      </c>
      <c r="CV940" t="s">
        <v>100</v>
      </c>
    </row>
    <row r="941" spans="1:100">
      <c r="A941" s="3" t="s">
        <v>10433</v>
      </c>
      <c r="B941" s="4" t="s">
        <v>10434</v>
      </c>
      <c r="C941">
        <v>89.324520324096298</v>
      </c>
      <c r="D941">
        <v>30.527854216821801</v>
      </c>
      <c r="E941">
        <v>1.5576864874693599</v>
      </c>
      <c r="F941">
        <v>8.5862372548209701E-4</v>
      </c>
      <c r="G941" t="s">
        <v>4</v>
      </c>
      <c r="H941">
        <v>89.324520324096298</v>
      </c>
      <c r="I941">
        <v>14.2349257170067</v>
      </c>
      <c r="J941">
        <v>2.6153673731635299</v>
      </c>
      <c r="K941" s="5">
        <v>1.42320180896953E-7</v>
      </c>
      <c r="L941" t="s">
        <v>4</v>
      </c>
      <c r="M941">
        <v>30.527854216821801</v>
      </c>
      <c r="N941">
        <v>14.2349257170067</v>
      </c>
      <c r="O941">
        <v>1.05768088569417</v>
      </c>
      <c r="P941">
        <v>5.1462468315523598E-2</v>
      </c>
      <c r="Q941" t="s">
        <v>4</v>
      </c>
      <c r="R941" s="4" t="s">
        <v>87</v>
      </c>
      <c r="S941" t="s">
        <v>4</v>
      </c>
      <c r="T941" t="s">
        <v>10435</v>
      </c>
      <c r="U941" t="s">
        <v>10436</v>
      </c>
      <c r="V941" t="s">
        <v>10437</v>
      </c>
      <c r="W941" t="s">
        <v>328</v>
      </c>
      <c r="X941" t="s">
        <v>4</v>
      </c>
      <c r="Y941" t="s">
        <v>10438</v>
      </c>
      <c r="Z941" t="s">
        <v>10439</v>
      </c>
      <c r="AA941" t="s">
        <v>10440</v>
      </c>
      <c r="AB941" t="s">
        <v>4</v>
      </c>
      <c r="AC941" s="3" t="s">
        <v>10441</v>
      </c>
      <c r="AD941" t="s">
        <v>4</v>
      </c>
      <c r="AE941" t="s">
        <v>10442</v>
      </c>
      <c r="AF941" t="s">
        <v>834</v>
      </c>
      <c r="AG941" t="s">
        <v>10443</v>
      </c>
      <c r="AH941" t="s">
        <v>112</v>
      </c>
      <c r="AL941" t="s">
        <v>10444</v>
      </c>
      <c r="AQ941" t="s">
        <v>861</v>
      </c>
      <c r="AU941" t="s">
        <v>112</v>
      </c>
      <c r="AV941" t="s">
        <v>10445</v>
      </c>
      <c r="AW941" t="s">
        <v>114</v>
      </c>
      <c r="AX941" t="s">
        <v>144</v>
      </c>
      <c r="AY941" t="s">
        <v>10446</v>
      </c>
      <c r="AZ941" t="s">
        <v>4</v>
      </c>
      <c r="BA941" s="3" t="s">
        <v>95</v>
      </c>
      <c r="BB941" s="6" t="s">
        <v>95</v>
      </c>
      <c r="BC941" s="3" t="s">
        <v>95</v>
      </c>
      <c r="BD941" t="s">
        <v>4</v>
      </c>
      <c r="BE941">
        <v>6129</v>
      </c>
      <c r="BF941" t="s">
        <v>213</v>
      </c>
      <c r="BG941" t="s">
        <v>10447</v>
      </c>
      <c r="BH941">
        <v>9.72851</v>
      </c>
      <c r="BI941">
        <v>45.248899999999999</v>
      </c>
      <c r="BK941">
        <v>74.660600000000002</v>
      </c>
      <c r="BL941" t="s">
        <v>10448</v>
      </c>
      <c r="BM941">
        <v>61.463000000000001</v>
      </c>
      <c r="BN941">
        <v>80.090500000000006</v>
      </c>
      <c r="BO941">
        <v>5.65611</v>
      </c>
      <c r="BP941" t="s">
        <v>10449</v>
      </c>
      <c r="BQ941">
        <v>35.2941</v>
      </c>
      <c r="BR941" t="s">
        <v>10450</v>
      </c>
      <c r="BS941">
        <v>41.176499999999997</v>
      </c>
      <c r="BT941">
        <v>39.969799999999999</v>
      </c>
      <c r="BU941" t="s">
        <v>10451</v>
      </c>
      <c r="BV941" t="s">
        <v>10452</v>
      </c>
      <c r="BW941">
        <v>35.444899999999997</v>
      </c>
      <c r="BX941">
        <v>42.081400000000002</v>
      </c>
      <c r="BY941">
        <v>11.8401</v>
      </c>
      <c r="BZ941" t="s">
        <v>10453</v>
      </c>
      <c r="CA941">
        <v>38.914000000000001</v>
      </c>
      <c r="CB941">
        <v>29.8643</v>
      </c>
      <c r="CC941">
        <v>28.1297</v>
      </c>
      <c r="CD941" t="s">
        <v>10454</v>
      </c>
      <c r="CE941">
        <v>29.7134</v>
      </c>
      <c r="CG941">
        <v>34.238300000000002</v>
      </c>
      <c r="CH941">
        <v>34.9925</v>
      </c>
      <c r="CI941">
        <v>34.766199999999998</v>
      </c>
      <c r="CK941">
        <v>8</v>
      </c>
      <c r="CL941" t="s">
        <v>4</v>
      </c>
      <c r="CM941" t="s">
        <v>10455</v>
      </c>
      <c r="CN941" t="s">
        <v>10456</v>
      </c>
      <c r="CO941" t="s">
        <v>99</v>
      </c>
      <c r="CP941" s="7">
        <v>404</v>
      </c>
      <c r="CQ941" t="s">
        <v>100</v>
      </c>
      <c r="CR941" t="s">
        <v>100</v>
      </c>
      <c r="CS941" t="s">
        <v>101</v>
      </c>
      <c r="CT941" t="s">
        <v>100</v>
      </c>
      <c r="CU941" t="s">
        <v>102</v>
      </c>
      <c r="CV941" t="s">
        <v>100</v>
      </c>
    </row>
    <row r="942" spans="1:100">
      <c r="A942" s="3" t="s">
        <v>10457</v>
      </c>
      <c r="B942" s="4" t="s">
        <v>10458</v>
      </c>
      <c r="C942">
        <v>56.186123761786902</v>
      </c>
      <c r="D942">
        <v>15.022783010445901</v>
      </c>
      <c r="E942">
        <v>1.9122806569704101</v>
      </c>
      <c r="F942">
        <v>1.0273182520842999E-2</v>
      </c>
      <c r="G942" t="s">
        <v>4</v>
      </c>
      <c r="H942">
        <v>56.186123761786902</v>
      </c>
      <c r="I942">
        <v>9.5166771770237801</v>
      </c>
      <c r="J942">
        <v>2.6023907069779999</v>
      </c>
      <c r="K942">
        <v>6.3601292363955897E-4</v>
      </c>
      <c r="L942" t="s">
        <v>4</v>
      </c>
      <c r="M942">
        <v>15.022783010445901</v>
      </c>
      <c r="N942">
        <v>9.5166771770237801</v>
      </c>
      <c r="O942">
        <v>0.69011005000758996</v>
      </c>
      <c r="P942">
        <v>0.43455244744361798</v>
      </c>
      <c r="Q942" t="s">
        <v>4</v>
      </c>
      <c r="R942" s="4" t="s">
        <v>87</v>
      </c>
      <c r="S942" t="s">
        <v>4</v>
      </c>
      <c r="T942" t="s">
        <v>92</v>
      </c>
      <c r="U942" t="s">
        <v>92</v>
      </c>
      <c r="V942" t="s">
        <v>92</v>
      </c>
      <c r="W942" t="s">
        <v>92</v>
      </c>
      <c r="X942" t="s">
        <v>4</v>
      </c>
      <c r="Y942" t="s">
        <v>10459</v>
      </c>
      <c r="Z942" t="s">
        <v>10460</v>
      </c>
      <c r="AA942" t="s">
        <v>10461</v>
      </c>
      <c r="AB942" t="s">
        <v>4</v>
      </c>
      <c r="AC942" s="3" t="s">
        <v>10462</v>
      </c>
      <c r="AD942" t="s">
        <v>4</v>
      </c>
      <c r="AE942" s="4" t="s">
        <v>94</v>
      </c>
      <c r="AZ942" t="s">
        <v>4</v>
      </c>
      <c r="BA942" s="3" t="s">
        <v>115</v>
      </c>
      <c r="BB942" s="6" t="s">
        <v>95</v>
      </c>
      <c r="BC942" s="3" t="s">
        <v>95</v>
      </c>
      <c r="BD942" t="s">
        <v>4</v>
      </c>
      <c r="BE942">
        <v>4334</v>
      </c>
      <c r="BF942" t="s">
        <v>112</v>
      </c>
      <c r="BH942">
        <v>59.597499999999997</v>
      </c>
      <c r="BJ942">
        <v>35.139299999999999</v>
      </c>
      <c r="BK942">
        <v>46.5944</v>
      </c>
      <c r="BL942">
        <v>26.470600000000001</v>
      </c>
      <c r="BN942">
        <v>51.238399999999999</v>
      </c>
      <c r="BO942" t="s">
        <v>10463</v>
      </c>
      <c r="BP942" t="s">
        <v>10464</v>
      </c>
      <c r="BR942" t="s">
        <v>10465</v>
      </c>
      <c r="CK942">
        <v>5</v>
      </c>
      <c r="CL942" t="s">
        <v>4</v>
      </c>
      <c r="CM942" t="s">
        <v>98</v>
      </c>
      <c r="CN942" t="s">
        <v>98</v>
      </c>
      <c r="CO942" t="s">
        <v>99</v>
      </c>
      <c r="CP942" s="7">
        <v>407</v>
      </c>
      <c r="CQ942" t="s">
        <v>100</v>
      </c>
      <c r="CR942" t="s">
        <v>100</v>
      </c>
      <c r="CS942" t="s">
        <v>101</v>
      </c>
      <c r="CT942" t="s">
        <v>100</v>
      </c>
      <c r="CU942" t="s">
        <v>102</v>
      </c>
      <c r="CV942" t="s">
        <v>100</v>
      </c>
    </row>
    <row r="943" spans="1:100">
      <c r="A943" s="3" t="s">
        <v>10466</v>
      </c>
      <c r="B943" s="4" t="s">
        <v>10467</v>
      </c>
      <c r="C943">
        <v>327.33749741786102</v>
      </c>
      <c r="D943">
        <v>158.65861511796899</v>
      </c>
      <c r="E943">
        <v>1.0455630114763701</v>
      </c>
      <c r="F943">
        <v>3.15163969297758E-2</v>
      </c>
      <c r="G943" t="s">
        <v>4</v>
      </c>
      <c r="H943">
        <v>327.33749741786102</v>
      </c>
      <c r="I943">
        <v>54.158798099231298</v>
      </c>
      <c r="J943">
        <v>2.5646283639287799</v>
      </c>
      <c r="K943" s="5">
        <v>3.4649318576160999E-8</v>
      </c>
      <c r="L943" t="s">
        <v>4</v>
      </c>
      <c r="M943">
        <v>158.65861511796899</v>
      </c>
      <c r="N943">
        <v>54.158798099231298</v>
      </c>
      <c r="O943">
        <v>1.51906535245241</v>
      </c>
      <c r="P943">
        <v>1.44398536443431E-3</v>
      </c>
      <c r="Q943" t="s">
        <v>4</v>
      </c>
      <c r="R943" s="4" t="s">
        <v>87</v>
      </c>
      <c r="S943" t="s">
        <v>4</v>
      </c>
      <c r="T943" t="s">
        <v>4897</v>
      </c>
      <c r="U943" t="s">
        <v>4898</v>
      </c>
      <c r="V943" t="s">
        <v>4899</v>
      </c>
      <c r="W943" t="s">
        <v>203</v>
      </c>
      <c r="X943" t="s">
        <v>4</v>
      </c>
      <c r="Y943" t="s">
        <v>4900</v>
      </c>
      <c r="Z943" t="s">
        <v>4901</v>
      </c>
      <c r="AA943" t="s">
        <v>4902</v>
      </c>
      <c r="AB943" t="s">
        <v>4</v>
      </c>
      <c r="AC943" s="3" t="s">
        <v>2294</v>
      </c>
      <c r="AD943" t="s">
        <v>4</v>
      </c>
      <c r="AE943" t="s">
        <v>10468</v>
      </c>
      <c r="AF943" t="s">
        <v>10469</v>
      </c>
      <c r="AG943" t="s">
        <v>10470</v>
      </c>
      <c r="AH943" t="s">
        <v>169</v>
      </c>
      <c r="AU943" t="s">
        <v>112</v>
      </c>
      <c r="AV943" t="s">
        <v>10471</v>
      </c>
      <c r="AW943" t="s">
        <v>114</v>
      </c>
      <c r="AX943" t="s">
        <v>132</v>
      </c>
      <c r="AY943" t="s">
        <v>8704</v>
      </c>
      <c r="AZ943" t="s">
        <v>4</v>
      </c>
      <c r="BA943" s="3" t="s">
        <v>95</v>
      </c>
      <c r="BB943" s="6" t="s">
        <v>95</v>
      </c>
      <c r="BC943" s="3" t="s">
        <v>95</v>
      </c>
      <c r="BD943" t="s">
        <v>4</v>
      </c>
      <c r="BE943">
        <v>5027</v>
      </c>
      <c r="BF943" t="s">
        <v>282</v>
      </c>
      <c r="BG943">
        <v>94.567400000000006</v>
      </c>
      <c r="BH943">
        <v>56.941699999999997</v>
      </c>
      <c r="BI943">
        <v>90.744500000000002</v>
      </c>
      <c r="BJ943">
        <v>60.965800000000002</v>
      </c>
      <c r="BK943">
        <v>70.020099999999999</v>
      </c>
      <c r="BO943">
        <v>56.941699999999997</v>
      </c>
      <c r="BP943">
        <v>38.631799999999998</v>
      </c>
      <c r="BQ943" t="s">
        <v>10472</v>
      </c>
      <c r="BR943">
        <v>31.992000000000001</v>
      </c>
      <c r="BS943">
        <v>21.126799999999999</v>
      </c>
      <c r="BX943">
        <v>15.8954</v>
      </c>
      <c r="BZ943">
        <v>13.4809</v>
      </c>
      <c r="CA943" t="s">
        <v>10473</v>
      </c>
      <c r="CK943">
        <v>6</v>
      </c>
      <c r="CL943" t="s">
        <v>4</v>
      </c>
      <c r="CM943" t="s">
        <v>10474</v>
      </c>
      <c r="CN943" t="s">
        <v>10475</v>
      </c>
      <c r="CO943" t="s">
        <v>1467</v>
      </c>
      <c r="CP943" s="7">
        <v>409</v>
      </c>
      <c r="CQ943" t="s">
        <v>100</v>
      </c>
      <c r="CR943" t="s">
        <v>100</v>
      </c>
      <c r="CS943" t="s">
        <v>101</v>
      </c>
      <c r="CT943" s="7" t="s">
        <v>152</v>
      </c>
      <c r="CU943" t="s">
        <v>102</v>
      </c>
      <c r="CV943" t="s">
        <v>100</v>
      </c>
    </row>
    <row r="944" spans="1:100">
      <c r="A944" s="3" t="s">
        <v>10476</v>
      </c>
      <c r="B944" s="4" t="s">
        <v>10477</v>
      </c>
      <c r="C944">
        <v>134.368494247939</v>
      </c>
      <c r="D944">
        <v>51.036980206591799</v>
      </c>
      <c r="E944">
        <v>1.3975321709912401</v>
      </c>
      <c r="F944">
        <v>4.4527148696123002E-2</v>
      </c>
      <c r="G944" t="s">
        <v>4</v>
      </c>
      <c r="H944">
        <v>134.368494247939</v>
      </c>
      <c r="I944">
        <v>22.594843320559999</v>
      </c>
      <c r="J944">
        <v>2.5623433704101899</v>
      </c>
      <c r="K944">
        <v>1.6603846693477101E-4</v>
      </c>
      <c r="L944" t="s">
        <v>4</v>
      </c>
      <c r="M944">
        <v>51.036980206591799</v>
      </c>
      <c r="N944">
        <v>22.594843320559999</v>
      </c>
      <c r="O944">
        <v>1.1648111994189601</v>
      </c>
      <c r="P944">
        <v>0.10787555702398</v>
      </c>
      <c r="Q944" t="s">
        <v>4</v>
      </c>
      <c r="R944" s="4" t="s">
        <v>87</v>
      </c>
      <c r="S944" t="s">
        <v>4</v>
      </c>
      <c r="T944" t="s">
        <v>92</v>
      </c>
      <c r="U944" t="s">
        <v>92</v>
      </c>
      <c r="V944" t="s">
        <v>92</v>
      </c>
      <c r="W944" t="s">
        <v>92</v>
      </c>
      <c r="X944" t="s">
        <v>4</v>
      </c>
      <c r="Y944" t="s">
        <v>10478</v>
      </c>
      <c r="Z944" t="s">
        <v>10479</v>
      </c>
      <c r="AA944" t="s">
        <v>10480</v>
      </c>
      <c r="AB944" t="s">
        <v>4</v>
      </c>
      <c r="AC944" s="3" t="s">
        <v>93</v>
      </c>
      <c r="AD944" t="s">
        <v>4</v>
      </c>
      <c r="AE944" t="s">
        <v>772</v>
      </c>
      <c r="AF944" t="s">
        <v>10481</v>
      </c>
      <c r="AG944" t="s">
        <v>1501</v>
      </c>
      <c r="AH944" t="s">
        <v>314</v>
      </c>
      <c r="AU944" t="s">
        <v>112</v>
      </c>
      <c r="AV944" t="s">
        <v>775</v>
      </c>
      <c r="AW944" t="s">
        <v>114</v>
      </c>
      <c r="AZ944" t="s">
        <v>4</v>
      </c>
      <c r="BA944" s="3" t="s">
        <v>95</v>
      </c>
      <c r="BB944" s="6" t="s">
        <v>95</v>
      </c>
      <c r="BC944" s="3" t="s">
        <v>95</v>
      </c>
      <c r="BD944" t="s">
        <v>4</v>
      </c>
      <c r="BE944">
        <v>5684</v>
      </c>
      <c r="BF944" t="s">
        <v>386</v>
      </c>
      <c r="BG944" t="s">
        <v>10482</v>
      </c>
      <c r="CK944">
        <v>7</v>
      </c>
      <c r="CL944" t="s">
        <v>4</v>
      </c>
      <c r="CM944" t="s">
        <v>98</v>
      </c>
      <c r="CN944" t="s">
        <v>98</v>
      </c>
      <c r="CO944" t="s">
        <v>99</v>
      </c>
      <c r="CP944" s="7">
        <v>410</v>
      </c>
      <c r="CQ944" t="s">
        <v>100</v>
      </c>
      <c r="CR944" t="s">
        <v>100</v>
      </c>
      <c r="CS944" t="s">
        <v>101</v>
      </c>
      <c r="CT944" t="s">
        <v>100</v>
      </c>
      <c r="CU944" t="s">
        <v>102</v>
      </c>
      <c r="CV944" t="s">
        <v>100</v>
      </c>
    </row>
    <row r="945" spans="1:100">
      <c r="A945" s="3" t="s">
        <v>10483</v>
      </c>
      <c r="B945" s="4" t="s">
        <v>10484</v>
      </c>
      <c r="C945">
        <v>196.73405734174901</v>
      </c>
      <c r="D945">
        <v>54.579829277050997</v>
      </c>
      <c r="E945">
        <v>1.8517154241159299</v>
      </c>
      <c r="F945" s="5">
        <v>9.6586177828121094E-6</v>
      </c>
      <c r="G945" t="s">
        <v>4</v>
      </c>
      <c r="H945">
        <v>196.73405734174901</v>
      </c>
      <c r="I945">
        <v>32.5261430410822</v>
      </c>
      <c r="J945">
        <v>2.5590057844125398</v>
      </c>
      <c r="K945" s="5">
        <v>1.8509973507197899E-9</v>
      </c>
      <c r="L945" t="s">
        <v>4</v>
      </c>
      <c r="M945">
        <v>54.579829277050997</v>
      </c>
      <c r="N945">
        <v>32.5261430410822</v>
      </c>
      <c r="O945">
        <v>0.70729036029660497</v>
      </c>
      <c r="P945">
        <v>0.138498289011009</v>
      </c>
      <c r="Q945" t="s">
        <v>4</v>
      </c>
      <c r="R945" s="4" t="s">
        <v>87</v>
      </c>
      <c r="S945" t="s">
        <v>4</v>
      </c>
      <c r="T945" t="s">
        <v>92</v>
      </c>
      <c r="U945" t="s">
        <v>92</v>
      </c>
      <c r="V945" t="s">
        <v>92</v>
      </c>
      <c r="W945" t="s">
        <v>92</v>
      </c>
      <c r="X945" t="s">
        <v>4</v>
      </c>
      <c r="Y945" t="s">
        <v>92</v>
      </c>
      <c r="Z945" t="s">
        <v>92</v>
      </c>
      <c r="AA945" t="s">
        <v>92</v>
      </c>
      <c r="AB945" t="s">
        <v>4</v>
      </c>
      <c r="AC945" s="3" t="s">
        <v>93</v>
      </c>
      <c r="AD945" t="s">
        <v>4</v>
      </c>
      <c r="AE945" s="4" t="s">
        <v>94</v>
      </c>
      <c r="AZ945" t="s">
        <v>4</v>
      </c>
      <c r="BA945" s="3" t="s">
        <v>95</v>
      </c>
      <c r="BB945" s="6" t="s">
        <v>95</v>
      </c>
      <c r="BC945" s="3" t="s">
        <v>95</v>
      </c>
      <c r="BD945" t="s">
        <v>4</v>
      </c>
      <c r="BE945">
        <v>15</v>
      </c>
      <c r="BF945" t="s">
        <v>322</v>
      </c>
      <c r="CK945">
        <v>1</v>
      </c>
      <c r="CL945" t="s">
        <v>4</v>
      </c>
      <c r="CM945" t="s">
        <v>98</v>
      </c>
      <c r="CN945" t="s">
        <v>98</v>
      </c>
      <c r="CO945" t="s">
        <v>99</v>
      </c>
      <c r="CP945" s="7">
        <v>411</v>
      </c>
      <c r="CQ945" t="s">
        <v>100</v>
      </c>
      <c r="CR945" t="s">
        <v>100</v>
      </c>
      <c r="CS945" t="s">
        <v>101</v>
      </c>
      <c r="CT945" t="s">
        <v>100</v>
      </c>
      <c r="CU945" t="s">
        <v>102</v>
      </c>
      <c r="CV945" t="s">
        <v>100</v>
      </c>
    </row>
    <row r="946" spans="1:100">
      <c r="A946" s="3" t="s">
        <v>10485</v>
      </c>
      <c r="B946" s="4" t="s">
        <v>10486</v>
      </c>
      <c r="C946">
        <v>46.494935548084001</v>
      </c>
      <c r="D946">
        <v>16.3823150762836</v>
      </c>
      <c r="E946">
        <v>1.5052283780120801</v>
      </c>
      <c r="F946">
        <v>4.1558863269538102E-2</v>
      </c>
      <c r="G946" t="s">
        <v>4</v>
      </c>
      <c r="H946">
        <v>46.494935548084001</v>
      </c>
      <c r="I946">
        <v>7.4431303573159102</v>
      </c>
      <c r="J946">
        <v>2.5586699681119498</v>
      </c>
      <c r="K946">
        <v>8.3570555166500205E-4</v>
      </c>
      <c r="L946" t="s">
        <v>4</v>
      </c>
      <c r="M946">
        <v>16.3823150762836</v>
      </c>
      <c r="N946">
        <v>7.4431303573159102</v>
      </c>
      <c r="O946">
        <v>1.0534415900998699</v>
      </c>
      <c r="P946">
        <v>0.21246103449873199</v>
      </c>
      <c r="Q946" t="s">
        <v>4</v>
      </c>
      <c r="R946" s="4" t="s">
        <v>87</v>
      </c>
      <c r="S946" t="s">
        <v>4</v>
      </c>
      <c r="T946" t="s">
        <v>88</v>
      </c>
      <c r="U946" t="s">
        <v>89</v>
      </c>
      <c r="V946" t="s">
        <v>90</v>
      </c>
      <c r="W946" t="s">
        <v>91</v>
      </c>
      <c r="X946" t="s">
        <v>4</v>
      </c>
      <c r="Y946" t="s">
        <v>10487</v>
      </c>
      <c r="Z946" t="s">
        <v>10488</v>
      </c>
      <c r="AA946" t="s">
        <v>10489</v>
      </c>
      <c r="AB946" t="s">
        <v>4</v>
      </c>
      <c r="AC946" s="3" t="s">
        <v>10490</v>
      </c>
      <c r="AD946" t="s">
        <v>4</v>
      </c>
      <c r="AE946" t="s">
        <v>10491</v>
      </c>
      <c r="AF946" t="s">
        <v>10492</v>
      </c>
      <c r="AG946" t="s">
        <v>3264</v>
      </c>
      <c r="AH946" t="s">
        <v>112</v>
      </c>
      <c r="AU946" t="s">
        <v>112</v>
      </c>
      <c r="AV946" t="s">
        <v>10493</v>
      </c>
      <c r="AW946" t="s">
        <v>114</v>
      </c>
      <c r="AX946" t="s">
        <v>144</v>
      </c>
      <c r="AY946" t="s">
        <v>10494</v>
      </c>
      <c r="AZ946" t="s">
        <v>4</v>
      </c>
      <c r="BA946" s="3" t="s">
        <v>95</v>
      </c>
      <c r="BB946" t="s">
        <v>96</v>
      </c>
      <c r="BC946" s="3" t="s">
        <v>95</v>
      </c>
      <c r="BD946" t="s">
        <v>4</v>
      </c>
      <c r="BE946">
        <v>3137</v>
      </c>
      <c r="BF946" t="s">
        <v>112</v>
      </c>
      <c r="BG946">
        <v>98.230099999999993</v>
      </c>
      <c r="BH946">
        <v>46.902700000000003</v>
      </c>
      <c r="BI946">
        <v>92.477900000000005</v>
      </c>
      <c r="BK946">
        <v>67.699100000000001</v>
      </c>
      <c r="BL946">
        <v>53.5398</v>
      </c>
      <c r="BM946">
        <v>68.584100000000007</v>
      </c>
      <c r="BN946">
        <v>68.584100000000007</v>
      </c>
      <c r="BO946">
        <v>67.699100000000001</v>
      </c>
      <c r="BP946">
        <v>39.823</v>
      </c>
      <c r="BQ946">
        <v>34.070799999999998</v>
      </c>
      <c r="BR946">
        <v>33.628300000000003</v>
      </c>
      <c r="BS946">
        <v>29.203499999999998</v>
      </c>
      <c r="BT946">
        <v>30.530999999999999</v>
      </c>
      <c r="BV946" t="s">
        <v>10495</v>
      </c>
      <c r="BX946" t="s">
        <v>10496</v>
      </c>
      <c r="BZ946">
        <v>34.513300000000001</v>
      </c>
      <c r="CA946">
        <v>25.2212</v>
      </c>
      <c r="CK946">
        <v>5</v>
      </c>
      <c r="CL946" t="s">
        <v>4</v>
      </c>
      <c r="CM946" t="s">
        <v>10497</v>
      </c>
      <c r="CN946" t="s">
        <v>10498</v>
      </c>
      <c r="CO946" t="s">
        <v>219</v>
      </c>
      <c r="CP946" s="7">
        <v>412</v>
      </c>
      <c r="CQ946" t="s">
        <v>100</v>
      </c>
      <c r="CR946" t="s">
        <v>100</v>
      </c>
      <c r="CS946" t="s">
        <v>101</v>
      </c>
      <c r="CT946" t="s">
        <v>100</v>
      </c>
      <c r="CU946" t="s">
        <v>102</v>
      </c>
      <c r="CV946" t="s">
        <v>100</v>
      </c>
    </row>
    <row r="947" spans="1:100">
      <c r="A947" s="3" t="s">
        <v>10499</v>
      </c>
      <c r="B947" s="4" t="s">
        <v>10500</v>
      </c>
      <c r="C947">
        <v>86.502307246045405</v>
      </c>
      <c r="D947">
        <v>34.233331423636301</v>
      </c>
      <c r="E947">
        <v>1.33831665554568</v>
      </c>
      <c r="F947">
        <v>3.1202539276444199E-2</v>
      </c>
      <c r="G947" t="s">
        <v>4</v>
      </c>
      <c r="H947">
        <v>86.502307246045405</v>
      </c>
      <c r="I947">
        <v>15.168720783021101</v>
      </c>
      <c r="J947">
        <v>2.5575117091670698</v>
      </c>
      <c r="K947" s="5">
        <v>4.6494312013265897E-5</v>
      </c>
      <c r="L947" t="s">
        <v>4</v>
      </c>
      <c r="M947">
        <v>34.233331423636301</v>
      </c>
      <c r="N947">
        <v>15.168720783021101</v>
      </c>
      <c r="O947">
        <v>1.2191950536214</v>
      </c>
      <c r="P947">
        <v>6.8601408784473197E-2</v>
      </c>
      <c r="Q947" t="s">
        <v>4</v>
      </c>
      <c r="R947" s="4" t="s">
        <v>87</v>
      </c>
      <c r="S947" t="s">
        <v>4</v>
      </c>
      <c r="T947" t="s">
        <v>88</v>
      </c>
      <c r="U947" t="s">
        <v>89</v>
      </c>
      <c r="V947" t="s">
        <v>90</v>
      </c>
      <c r="W947" t="s">
        <v>91</v>
      </c>
      <c r="X947" t="s">
        <v>4</v>
      </c>
      <c r="Y947" t="s">
        <v>92</v>
      </c>
      <c r="Z947" t="s">
        <v>92</v>
      </c>
      <c r="AA947" t="s">
        <v>92</v>
      </c>
      <c r="AB947" t="s">
        <v>4</v>
      </c>
      <c r="AC947" s="3" t="s">
        <v>93</v>
      </c>
      <c r="AD947" t="s">
        <v>4</v>
      </c>
      <c r="AE947" s="4" t="s">
        <v>94</v>
      </c>
      <c r="AZ947" t="s">
        <v>4</v>
      </c>
      <c r="BA947" s="3" t="s">
        <v>95</v>
      </c>
      <c r="BB947" t="s">
        <v>96</v>
      </c>
      <c r="BC947" s="3" t="s">
        <v>95</v>
      </c>
      <c r="BD947" t="s">
        <v>4</v>
      </c>
      <c r="BE947">
        <v>2265</v>
      </c>
      <c r="BF947" t="s">
        <v>148</v>
      </c>
      <c r="BG947">
        <v>78.903000000000006</v>
      </c>
      <c r="BH947">
        <v>77.637100000000004</v>
      </c>
      <c r="BI947">
        <v>85.232100000000003</v>
      </c>
      <c r="BJ947">
        <v>35.865000000000002</v>
      </c>
      <c r="BK947">
        <v>39.662399999999998</v>
      </c>
      <c r="BL947">
        <v>48.945099999999996</v>
      </c>
      <c r="BM947">
        <v>50.632899999999999</v>
      </c>
      <c r="BN947">
        <v>50.210999999999999</v>
      </c>
      <c r="BO947">
        <v>48.101300000000002</v>
      </c>
      <c r="CK947">
        <v>3</v>
      </c>
      <c r="CL947" t="s">
        <v>4</v>
      </c>
      <c r="CM947" t="s">
        <v>98</v>
      </c>
      <c r="CN947" t="s">
        <v>98</v>
      </c>
      <c r="CO947" t="s">
        <v>99</v>
      </c>
      <c r="CP947" s="7">
        <v>413</v>
      </c>
      <c r="CQ947" t="s">
        <v>100</v>
      </c>
      <c r="CR947" t="s">
        <v>100</v>
      </c>
      <c r="CS947" t="s">
        <v>101</v>
      </c>
      <c r="CT947" t="s">
        <v>100</v>
      </c>
      <c r="CU947" t="s">
        <v>102</v>
      </c>
      <c r="CV947" t="s">
        <v>100</v>
      </c>
    </row>
    <row r="948" spans="1:100">
      <c r="A948" s="3" t="s">
        <v>10501</v>
      </c>
      <c r="B948" s="4" t="s">
        <v>10502</v>
      </c>
      <c r="C948">
        <v>1745.5833876260599</v>
      </c>
      <c r="D948">
        <v>645.84880459686201</v>
      </c>
      <c r="E948">
        <v>1.43447217325821</v>
      </c>
      <c r="F948" s="5">
        <v>7.3021615768456804E-11</v>
      </c>
      <c r="G948" t="s">
        <v>4</v>
      </c>
      <c r="H948">
        <v>1745.5833876260599</v>
      </c>
      <c r="I948">
        <v>295.47552489195101</v>
      </c>
      <c r="J948">
        <v>2.5560876744278702</v>
      </c>
      <c r="K948" s="5">
        <v>8.6198556214121401E-32</v>
      </c>
      <c r="L948" t="s">
        <v>4</v>
      </c>
      <c r="M948">
        <v>645.84880459686201</v>
      </c>
      <c r="N948">
        <v>295.47552489195101</v>
      </c>
      <c r="O948">
        <v>1.12161550116966</v>
      </c>
      <c r="P948" s="5">
        <v>6.0335942395800305E-7</v>
      </c>
      <c r="Q948" t="s">
        <v>4</v>
      </c>
      <c r="R948" s="4" t="s">
        <v>87</v>
      </c>
      <c r="S948" t="s">
        <v>4</v>
      </c>
      <c r="T948" t="s">
        <v>10503</v>
      </c>
      <c r="U948" t="s">
        <v>10504</v>
      </c>
      <c r="V948" t="s">
        <v>10505</v>
      </c>
      <c r="W948" t="s">
        <v>203</v>
      </c>
      <c r="X948" t="s">
        <v>4</v>
      </c>
      <c r="Y948" t="s">
        <v>10506</v>
      </c>
      <c r="Z948" t="s">
        <v>10507</v>
      </c>
      <c r="AA948" t="s">
        <v>10508</v>
      </c>
      <c r="AB948" t="s">
        <v>4</v>
      </c>
      <c r="AC948" s="3" t="s">
        <v>10509</v>
      </c>
      <c r="AD948" t="s">
        <v>4</v>
      </c>
      <c r="AE948" t="s">
        <v>10510</v>
      </c>
      <c r="AF948" t="s">
        <v>10511</v>
      </c>
      <c r="AG948" t="s">
        <v>10512</v>
      </c>
      <c r="AH948" t="s">
        <v>112</v>
      </c>
      <c r="AJ948" t="s">
        <v>10513</v>
      </c>
      <c r="AK948" t="s">
        <v>10514</v>
      </c>
      <c r="AL948" t="s">
        <v>10515</v>
      </c>
      <c r="AM948" t="s">
        <v>10516</v>
      </c>
      <c r="AN948" t="s">
        <v>7163</v>
      </c>
      <c r="AO948" t="s">
        <v>10517</v>
      </c>
      <c r="AP948" t="s">
        <v>10518</v>
      </c>
      <c r="AQ948" t="s">
        <v>10191</v>
      </c>
      <c r="AU948" t="s">
        <v>112</v>
      </c>
      <c r="AV948" t="s">
        <v>10519</v>
      </c>
      <c r="AW948" t="s">
        <v>114</v>
      </c>
      <c r="AX948" t="s">
        <v>700</v>
      </c>
      <c r="AY948" t="s">
        <v>10520</v>
      </c>
      <c r="AZ948" t="s">
        <v>4</v>
      </c>
      <c r="BA948" s="3" t="s">
        <v>95</v>
      </c>
      <c r="BB948" s="6" t="s">
        <v>95</v>
      </c>
      <c r="BC948" s="3" t="s">
        <v>95</v>
      </c>
      <c r="BD948" t="s">
        <v>4</v>
      </c>
      <c r="BE948">
        <v>10017</v>
      </c>
      <c r="BF948" t="s">
        <v>169</v>
      </c>
      <c r="BG948">
        <v>98.039199999999994</v>
      </c>
      <c r="BH948">
        <v>51.307200000000002</v>
      </c>
      <c r="BJ948">
        <v>89.542500000000004</v>
      </c>
      <c r="BK948">
        <v>84.640500000000003</v>
      </c>
      <c r="BL948">
        <v>88.562100000000001</v>
      </c>
      <c r="BM948">
        <v>89.542500000000004</v>
      </c>
      <c r="BN948">
        <v>89.542500000000004</v>
      </c>
      <c r="BO948">
        <v>85.620900000000006</v>
      </c>
      <c r="BP948">
        <v>73.202600000000004</v>
      </c>
      <c r="BQ948">
        <v>63.398699999999998</v>
      </c>
      <c r="BR948" t="s">
        <v>10521</v>
      </c>
      <c r="BS948">
        <v>66.666700000000006</v>
      </c>
      <c r="BT948" t="s">
        <v>10522</v>
      </c>
      <c r="BU948">
        <v>57.8431</v>
      </c>
      <c r="BV948" t="s">
        <v>10523</v>
      </c>
      <c r="BW948">
        <v>61.1111</v>
      </c>
      <c r="BX948">
        <v>66.666700000000006</v>
      </c>
      <c r="BY948">
        <v>31.372499999999999</v>
      </c>
      <c r="BZ948">
        <v>66.013099999999994</v>
      </c>
      <c r="CA948">
        <v>61.437899999999999</v>
      </c>
      <c r="CB948" t="s">
        <v>10524</v>
      </c>
      <c r="CC948">
        <v>55.555599999999998</v>
      </c>
      <c r="CD948">
        <v>56.862699999999997</v>
      </c>
      <c r="CE948">
        <v>55.555599999999998</v>
      </c>
      <c r="CF948">
        <v>56.209200000000003</v>
      </c>
      <c r="CG948">
        <v>61.437899999999999</v>
      </c>
      <c r="CH948">
        <v>61.437899999999999</v>
      </c>
      <c r="CI948">
        <v>60.784300000000002</v>
      </c>
      <c r="CJ948">
        <v>52.287599999999998</v>
      </c>
      <c r="CK948">
        <v>9</v>
      </c>
      <c r="CL948" t="s">
        <v>4</v>
      </c>
      <c r="CM948" t="s">
        <v>10525</v>
      </c>
      <c r="CN948" t="s">
        <v>10526</v>
      </c>
      <c r="CO948" t="s">
        <v>1218</v>
      </c>
      <c r="CP948" s="7">
        <v>414</v>
      </c>
      <c r="CQ948" t="s">
        <v>100</v>
      </c>
      <c r="CR948" t="s">
        <v>100</v>
      </c>
      <c r="CS948" t="s">
        <v>101</v>
      </c>
      <c r="CT948" s="7" t="s">
        <v>152</v>
      </c>
      <c r="CU948" t="s">
        <v>102</v>
      </c>
      <c r="CV948" t="s">
        <v>100</v>
      </c>
    </row>
    <row r="949" spans="1:100">
      <c r="A949" s="3" t="s">
        <v>10527</v>
      </c>
      <c r="B949" s="4" t="s">
        <v>10528</v>
      </c>
      <c r="C949">
        <v>37.868931820613199</v>
      </c>
      <c r="D949">
        <v>9.9435110840055394</v>
      </c>
      <c r="E949">
        <v>1.9403692444868199</v>
      </c>
      <c r="F949">
        <v>3.1560641243898201E-2</v>
      </c>
      <c r="G949" t="s">
        <v>4</v>
      </c>
      <c r="H949">
        <v>37.868931820613199</v>
      </c>
      <c r="I949">
        <v>6.5102412238440097</v>
      </c>
      <c r="J949">
        <v>2.5550867295955402</v>
      </c>
      <c r="K949">
        <v>5.5619419884693896E-3</v>
      </c>
      <c r="L949" t="s">
        <v>4</v>
      </c>
      <c r="M949">
        <v>9.9435110840055394</v>
      </c>
      <c r="N949">
        <v>6.5102412238440097</v>
      </c>
      <c r="O949">
        <v>0.61471748510872304</v>
      </c>
      <c r="P949">
        <v>0.57511197371216205</v>
      </c>
      <c r="Q949" t="s">
        <v>4</v>
      </c>
      <c r="R949" s="4" t="s">
        <v>87</v>
      </c>
      <c r="S949" t="s">
        <v>4</v>
      </c>
      <c r="T949" t="s">
        <v>92</v>
      </c>
      <c r="U949" t="s">
        <v>92</v>
      </c>
      <c r="V949" t="s">
        <v>92</v>
      </c>
      <c r="W949" t="s">
        <v>92</v>
      </c>
      <c r="X949" t="s">
        <v>4</v>
      </c>
      <c r="Y949" t="s">
        <v>1801</v>
      </c>
      <c r="Z949" t="s">
        <v>1802</v>
      </c>
      <c r="AA949" t="s">
        <v>1803</v>
      </c>
      <c r="AB949" t="s">
        <v>4</v>
      </c>
      <c r="AC949" s="3" t="s">
        <v>10529</v>
      </c>
      <c r="AD949" t="s">
        <v>4</v>
      </c>
      <c r="AE949" t="s">
        <v>10530</v>
      </c>
      <c r="AF949" t="s">
        <v>10531</v>
      </c>
      <c r="AG949" t="s">
        <v>10532</v>
      </c>
      <c r="AH949" t="s">
        <v>112</v>
      </c>
      <c r="AU949" t="s">
        <v>112</v>
      </c>
      <c r="AV949" t="s">
        <v>10533</v>
      </c>
      <c r="AW949" t="s">
        <v>114</v>
      </c>
      <c r="AX949" t="s">
        <v>144</v>
      </c>
      <c r="AY949" t="s">
        <v>3750</v>
      </c>
      <c r="AZ949" t="s">
        <v>4</v>
      </c>
      <c r="BA949" s="3" t="s">
        <v>95</v>
      </c>
      <c r="BB949" s="6" t="s">
        <v>95</v>
      </c>
      <c r="BC949" s="3" t="s">
        <v>197</v>
      </c>
      <c r="BD949" t="s">
        <v>4</v>
      </c>
      <c r="BE949">
        <v>215</v>
      </c>
      <c r="BF949" t="s">
        <v>322</v>
      </c>
      <c r="CK949">
        <v>1</v>
      </c>
      <c r="CL949" t="s">
        <v>4</v>
      </c>
      <c r="CM949" t="s">
        <v>98</v>
      </c>
      <c r="CN949" t="s">
        <v>98</v>
      </c>
      <c r="CO949" t="s">
        <v>99</v>
      </c>
      <c r="CP949" s="7">
        <v>415</v>
      </c>
      <c r="CQ949" t="s">
        <v>100</v>
      </c>
      <c r="CR949" t="s">
        <v>100</v>
      </c>
      <c r="CS949" t="s">
        <v>101</v>
      </c>
      <c r="CT949" t="s">
        <v>100</v>
      </c>
      <c r="CU949" t="s">
        <v>102</v>
      </c>
      <c r="CV949" t="s">
        <v>100</v>
      </c>
    </row>
    <row r="950" spans="1:100">
      <c r="A950" s="3" t="s">
        <v>10534</v>
      </c>
      <c r="B950" s="4" t="s">
        <v>10535</v>
      </c>
      <c r="C950">
        <v>315.929095217579</v>
      </c>
      <c r="D950">
        <v>96.426043030990996</v>
      </c>
      <c r="E950">
        <v>1.7072909477578599</v>
      </c>
      <c r="F950" s="5">
        <v>1.3355094868528401E-6</v>
      </c>
      <c r="G950" t="s">
        <v>4</v>
      </c>
      <c r="H950">
        <v>315.929095217579</v>
      </c>
      <c r="I950">
        <v>53.215846364923799</v>
      </c>
      <c r="J950">
        <v>2.54685101037551</v>
      </c>
      <c r="K950" s="5">
        <v>9.9843909652486402E-13</v>
      </c>
      <c r="L950" t="s">
        <v>4</v>
      </c>
      <c r="M950">
        <v>96.426043030990996</v>
      </c>
      <c r="N950">
        <v>53.215846364923799</v>
      </c>
      <c r="O950">
        <v>0.83956006261765004</v>
      </c>
      <c r="P950">
        <v>3.0035814400451999E-2</v>
      </c>
      <c r="Q950" t="s">
        <v>4</v>
      </c>
      <c r="R950" s="4" t="s">
        <v>87</v>
      </c>
      <c r="S950" t="s">
        <v>4</v>
      </c>
      <c r="T950" t="s">
        <v>10204</v>
      </c>
      <c r="U950" t="s">
        <v>10205</v>
      </c>
      <c r="V950" t="s">
        <v>10206</v>
      </c>
      <c r="W950" t="s">
        <v>123</v>
      </c>
      <c r="X950" t="s">
        <v>4</v>
      </c>
      <c r="Y950" t="s">
        <v>10207</v>
      </c>
      <c r="Z950" t="s">
        <v>10208</v>
      </c>
      <c r="AA950" t="s">
        <v>10209</v>
      </c>
      <c r="AB950" t="s">
        <v>4</v>
      </c>
      <c r="AC950" s="3" t="s">
        <v>10536</v>
      </c>
      <c r="AD950" t="s">
        <v>4</v>
      </c>
      <c r="AE950" t="s">
        <v>10537</v>
      </c>
      <c r="AF950" t="s">
        <v>10538</v>
      </c>
      <c r="AG950" t="s">
        <v>10539</v>
      </c>
      <c r="AH950" t="s">
        <v>112</v>
      </c>
      <c r="AU950" t="s">
        <v>112</v>
      </c>
      <c r="AV950" t="s">
        <v>10540</v>
      </c>
      <c r="AW950" t="s">
        <v>114</v>
      </c>
      <c r="AX950" t="s">
        <v>1308</v>
      </c>
      <c r="AY950" t="s">
        <v>10215</v>
      </c>
      <c r="AZ950" t="s">
        <v>4</v>
      </c>
      <c r="BA950" s="3" t="s">
        <v>95</v>
      </c>
      <c r="BB950" s="6" t="s">
        <v>95</v>
      </c>
      <c r="BC950" s="3" t="s">
        <v>95</v>
      </c>
      <c r="BD950" t="s">
        <v>4</v>
      </c>
      <c r="BE950">
        <v>3587</v>
      </c>
      <c r="BF950" t="s">
        <v>112</v>
      </c>
      <c r="BG950">
        <v>77.282899999999998</v>
      </c>
      <c r="BH950">
        <v>81.737200000000001</v>
      </c>
      <c r="BJ950">
        <v>55.011099999999999</v>
      </c>
      <c r="BK950">
        <v>54.5657</v>
      </c>
      <c r="BL950">
        <v>28.2851</v>
      </c>
      <c r="BM950">
        <v>49.220500000000001</v>
      </c>
      <c r="BN950">
        <v>54.343000000000004</v>
      </c>
      <c r="BO950">
        <v>7.3496699999999997</v>
      </c>
      <c r="BP950">
        <v>43.4298</v>
      </c>
      <c r="BQ950">
        <v>36.7483</v>
      </c>
      <c r="BR950">
        <v>33.407600000000002</v>
      </c>
      <c r="BS950">
        <v>37.193800000000003</v>
      </c>
      <c r="BT950">
        <v>32.9621</v>
      </c>
      <c r="BU950">
        <v>29.844100000000001</v>
      </c>
      <c r="BV950" t="s">
        <v>10541</v>
      </c>
      <c r="BW950">
        <v>33.853000000000002</v>
      </c>
      <c r="BZ950">
        <v>20.044499999999999</v>
      </c>
      <c r="CA950">
        <v>34.298400000000001</v>
      </c>
      <c r="CK950">
        <v>5</v>
      </c>
      <c r="CL950" t="s">
        <v>4</v>
      </c>
      <c r="CM950" t="s">
        <v>10542</v>
      </c>
      <c r="CN950" t="s">
        <v>10543</v>
      </c>
      <c r="CO950" t="s">
        <v>99</v>
      </c>
      <c r="CP950" s="7">
        <v>418</v>
      </c>
      <c r="CQ950" t="s">
        <v>100</v>
      </c>
      <c r="CR950" t="s">
        <v>100</v>
      </c>
      <c r="CS950" t="s">
        <v>101</v>
      </c>
      <c r="CT950" t="s">
        <v>100</v>
      </c>
      <c r="CU950" t="s">
        <v>102</v>
      </c>
      <c r="CV950" t="s">
        <v>100</v>
      </c>
    </row>
    <row r="951" spans="1:100">
      <c r="A951" s="3" t="s">
        <v>10544</v>
      </c>
      <c r="B951" s="4" t="s">
        <v>10545</v>
      </c>
      <c r="C951">
        <v>61.286248995065897</v>
      </c>
      <c r="D951">
        <v>17.459444221201899</v>
      </c>
      <c r="E951">
        <v>1.81081399745743</v>
      </c>
      <c r="F951">
        <v>2.6502262567092299E-2</v>
      </c>
      <c r="G951" t="s">
        <v>4</v>
      </c>
      <c r="H951">
        <v>61.286248995065897</v>
      </c>
      <c r="I951">
        <v>10.6745467899138</v>
      </c>
      <c r="J951">
        <v>2.5398572380899598</v>
      </c>
      <c r="K951">
        <v>1.9425387141974199E-3</v>
      </c>
      <c r="L951" t="s">
        <v>4</v>
      </c>
      <c r="M951">
        <v>17.459444221201899</v>
      </c>
      <c r="N951">
        <v>10.6745467899138</v>
      </c>
      <c r="O951">
        <v>0.72904324063252601</v>
      </c>
      <c r="P951">
        <v>0.436657027841935</v>
      </c>
      <c r="Q951" t="s">
        <v>4</v>
      </c>
      <c r="R951" s="4" t="s">
        <v>87</v>
      </c>
      <c r="S951" t="s">
        <v>4</v>
      </c>
      <c r="T951" t="s">
        <v>10546</v>
      </c>
      <c r="U951" t="s">
        <v>10547</v>
      </c>
      <c r="V951" t="s">
        <v>10548</v>
      </c>
      <c r="W951" t="s">
        <v>203</v>
      </c>
      <c r="X951" t="s">
        <v>4</v>
      </c>
      <c r="Y951" t="s">
        <v>10549</v>
      </c>
      <c r="Z951" t="s">
        <v>10550</v>
      </c>
      <c r="AA951" t="s">
        <v>10551</v>
      </c>
      <c r="AB951" t="s">
        <v>4</v>
      </c>
      <c r="AC951" s="3" t="s">
        <v>10552</v>
      </c>
      <c r="AD951" t="s">
        <v>4</v>
      </c>
      <c r="AE951" t="s">
        <v>10553</v>
      </c>
      <c r="AF951" t="s">
        <v>10554</v>
      </c>
      <c r="AG951" t="s">
        <v>10555</v>
      </c>
      <c r="AH951" t="s">
        <v>112</v>
      </c>
      <c r="AU951" t="s">
        <v>112</v>
      </c>
      <c r="AV951" t="s">
        <v>10556</v>
      </c>
      <c r="AW951" t="s">
        <v>114</v>
      </c>
      <c r="AX951" t="s">
        <v>144</v>
      </c>
      <c r="AY951" t="s">
        <v>10557</v>
      </c>
      <c r="AZ951" t="s">
        <v>4</v>
      </c>
      <c r="BA951" s="3" t="s">
        <v>95</v>
      </c>
      <c r="BB951" s="6" t="s">
        <v>95</v>
      </c>
      <c r="BC951" s="3" t="s">
        <v>95</v>
      </c>
      <c r="BD951" t="s">
        <v>4</v>
      </c>
      <c r="BE951">
        <v>4161</v>
      </c>
      <c r="BF951" t="s">
        <v>112</v>
      </c>
      <c r="BG951">
        <v>99.130399999999995</v>
      </c>
      <c r="BI951">
        <v>91.304299999999998</v>
      </c>
      <c r="BK951">
        <v>61.739100000000001</v>
      </c>
      <c r="BN951" t="s">
        <v>10558</v>
      </c>
      <c r="BO951">
        <v>60.869599999999998</v>
      </c>
      <c r="BP951">
        <v>48.695700000000002</v>
      </c>
      <c r="BQ951">
        <v>40</v>
      </c>
      <c r="BR951">
        <v>40</v>
      </c>
      <c r="BS951">
        <v>40.869599999999998</v>
      </c>
      <c r="BX951">
        <v>45.217399999999998</v>
      </c>
      <c r="BZ951">
        <v>43.478299999999997</v>
      </c>
      <c r="CA951" t="s">
        <v>10559</v>
      </c>
      <c r="CK951">
        <v>5</v>
      </c>
      <c r="CL951" t="s">
        <v>4</v>
      </c>
      <c r="CM951" t="s">
        <v>10560</v>
      </c>
      <c r="CN951" t="s">
        <v>10561</v>
      </c>
      <c r="CO951" t="s">
        <v>1467</v>
      </c>
      <c r="CP951" s="7">
        <v>419</v>
      </c>
      <c r="CQ951" t="s">
        <v>100</v>
      </c>
      <c r="CR951" t="s">
        <v>100</v>
      </c>
      <c r="CS951" t="s">
        <v>101</v>
      </c>
      <c r="CT951" t="s">
        <v>100</v>
      </c>
      <c r="CU951" t="s">
        <v>102</v>
      </c>
      <c r="CV951" t="s">
        <v>100</v>
      </c>
    </row>
    <row r="952" spans="1:100">
      <c r="A952" s="3" t="s">
        <v>10562</v>
      </c>
      <c r="B952" s="4" t="s">
        <v>10563</v>
      </c>
      <c r="C952">
        <v>56.289861115710202</v>
      </c>
      <c r="D952">
        <v>17.5034684555112</v>
      </c>
      <c r="E952">
        <v>1.69035642066328</v>
      </c>
      <c r="F952">
        <v>2.1880155409971298E-2</v>
      </c>
      <c r="G952" t="s">
        <v>4</v>
      </c>
      <c r="H952">
        <v>56.289861115710202</v>
      </c>
      <c r="I952">
        <v>9.7502636197689103</v>
      </c>
      <c r="J952">
        <v>2.5368128006351398</v>
      </c>
      <c r="K952">
        <v>7.4665822155697999E-4</v>
      </c>
      <c r="L952" t="s">
        <v>4</v>
      </c>
      <c r="M952">
        <v>17.5034684555112</v>
      </c>
      <c r="N952">
        <v>9.7502636197689103</v>
      </c>
      <c r="O952">
        <v>0.84645637997185996</v>
      </c>
      <c r="P952">
        <v>0.31851814006553297</v>
      </c>
      <c r="Q952" t="s">
        <v>4</v>
      </c>
      <c r="R952" s="4" t="s">
        <v>87</v>
      </c>
      <c r="S952" t="s">
        <v>4</v>
      </c>
      <c r="T952" t="s">
        <v>88</v>
      </c>
      <c r="U952" t="s">
        <v>89</v>
      </c>
      <c r="V952" t="s">
        <v>90</v>
      </c>
      <c r="W952" t="s">
        <v>91</v>
      </c>
      <c r="X952" t="s">
        <v>4</v>
      </c>
      <c r="Y952" t="s">
        <v>1801</v>
      </c>
      <c r="Z952" t="s">
        <v>1802</v>
      </c>
      <c r="AA952" t="s">
        <v>1803</v>
      </c>
      <c r="AB952" t="s">
        <v>4</v>
      </c>
      <c r="AC952" s="3" t="s">
        <v>10564</v>
      </c>
      <c r="AD952" t="s">
        <v>4</v>
      </c>
      <c r="AE952" t="s">
        <v>10565</v>
      </c>
      <c r="AF952" t="s">
        <v>10566</v>
      </c>
      <c r="AG952" t="s">
        <v>10567</v>
      </c>
      <c r="AH952" t="s">
        <v>112</v>
      </c>
      <c r="AU952" t="s">
        <v>112</v>
      </c>
      <c r="AV952" t="s">
        <v>10568</v>
      </c>
      <c r="AW952" t="s">
        <v>114</v>
      </c>
      <c r="AX952" t="s">
        <v>144</v>
      </c>
      <c r="AY952" t="s">
        <v>3750</v>
      </c>
      <c r="AZ952" t="s">
        <v>4</v>
      </c>
      <c r="BA952" s="3" t="s">
        <v>95</v>
      </c>
      <c r="BB952" t="s">
        <v>96</v>
      </c>
      <c r="BC952" s="3" t="s">
        <v>197</v>
      </c>
      <c r="BD952" t="s">
        <v>4</v>
      </c>
      <c r="BE952">
        <v>200</v>
      </c>
      <c r="BF952" t="s">
        <v>322</v>
      </c>
      <c r="CK952">
        <v>1</v>
      </c>
      <c r="CL952" t="s">
        <v>4</v>
      </c>
      <c r="CM952" t="s">
        <v>98</v>
      </c>
      <c r="CN952" t="s">
        <v>98</v>
      </c>
      <c r="CO952" t="s">
        <v>99</v>
      </c>
      <c r="CP952" s="7">
        <v>420</v>
      </c>
      <c r="CQ952" t="s">
        <v>100</v>
      </c>
      <c r="CR952" t="s">
        <v>100</v>
      </c>
      <c r="CS952" t="s">
        <v>101</v>
      </c>
      <c r="CT952" t="s">
        <v>100</v>
      </c>
      <c r="CU952" t="s">
        <v>102</v>
      </c>
      <c r="CV952" t="s">
        <v>100</v>
      </c>
    </row>
    <row r="953" spans="1:100">
      <c r="A953" s="3" t="s">
        <v>10569</v>
      </c>
      <c r="B953" s="4" t="s">
        <v>10570</v>
      </c>
      <c r="C953">
        <v>3862.3748704562199</v>
      </c>
      <c r="D953">
        <v>1393.0304035423201</v>
      </c>
      <c r="E953">
        <v>1.4708048927573401</v>
      </c>
      <c r="F953" s="5">
        <v>2.2547552655003399E-8</v>
      </c>
      <c r="G953" t="s">
        <v>4</v>
      </c>
      <c r="H953">
        <v>3862.3748704562199</v>
      </c>
      <c r="I953">
        <v>666.81665238142898</v>
      </c>
      <c r="J953">
        <v>2.5321858333914502</v>
      </c>
      <c r="K953" s="5">
        <v>2.4533522979311399E-23</v>
      </c>
      <c r="L953" t="s">
        <v>4</v>
      </c>
      <c r="M953">
        <v>1393.0304035423201</v>
      </c>
      <c r="N953">
        <v>666.81665238142898</v>
      </c>
      <c r="O953">
        <v>1.0613809406341099</v>
      </c>
      <c r="P953" s="5">
        <v>5.3433448249330498E-5</v>
      </c>
      <c r="Q953" t="s">
        <v>4</v>
      </c>
      <c r="R953" s="4" t="s">
        <v>87</v>
      </c>
      <c r="S953" t="s">
        <v>4</v>
      </c>
      <c r="T953" t="s">
        <v>10571</v>
      </c>
      <c r="U953" t="s">
        <v>10572</v>
      </c>
      <c r="V953" t="s">
        <v>10573</v>
      </c>
      <c r="W953" t="s">
        <v>7033</v>
      </c>
      <c r="X953" t="s">
        <v>4</v>
      </c>
      <c r="Y953" t="s">
        <v>10574</v>
      </c>
      <c r="Z953" t="s">
        <v>10575</v>
      </c>
      <c r="AA953" t="s">
        <v>10576</v>
      </c>
      <c r="AB953" t="s">
        <v>4</v>
      </c>
      <c r="AC953" s="3" t="s">
        <v>10577</v>
      </c>
      <c r="AD953" t="s">
        <v>4</v>
      </c>
      <c r="AE953" t="s">
        <v>10578</v>
      </c>
      <c r="AF953" t="s">
        <v>834</v>
      </c>
      <c r="AG953" t="s">
        <v>10579</v>
      </c>
      <c r="AH953" t="s">
        <v>112</v>
      </c>
      <c r="AJ953" t="s">
        <v>10580</v>
      </c>
      <c r="AL953" t="s">
        <v>10581</v>
      </c>
      <c r="AM953" t="s">
        <v>7140</v>
      </c>
      <c r="AQ953" t="s">
        <v>10582</v>
      </c>
      <c r="AU953" t="s">
        <v>112</v>
      </c>
      <c r="AV953" t="s">
        <v>10583</v>
      </c>
      <c r="AW953" t="s">
        <v>114</v>
      </c>
      <c r="AX953" t="s">
        <v>144</v>
      </c>
      <c r="AY953" t="s">
        <v>10584</v>
      </c>
      <c r="AZ953" t="s">
        <v>4</v>
      </c>
      <c r="BA953" s="3" t="s">
        <v>95</v>
      </c>
      <c r="BB953" s="6" t="s">
        <v>95</v>
      </c>
      <c r="BC953" s="3" t="s">
        <v>95</v>
      </c>
      <c r="BD953" t="s">
        <v>4</v>
      </c>
      <c r="BE953">
        <v>7407</v>
      </c>
      <c r="BF953" t="s">
        <v>213</v>
      </c>
      <c r="BG953">
        <v>98.162700000000001</v>
      </c>
      <c r="BH953">
        <v>95.341200000000001</v>
      </c>
      <c r="BI953">
        <v>81.561700000000002</v>
      </c>
      <c r="BJ953">
        <v>78.740200000000002</v>
      </c>
      <c r="BK953">
        <v>71.391099999999994</v>
      </c>
      <c r="BM953">
        <v>70.669300000000007</v>
      </c>
      <c r="BN953">
        <v>74.343800000000002</v>
      </c>
      <c r="BO953">
        <v>72.834599999999995</v>
      </c>
      <c r="BP953">
        <v>15.157500000000001</v>
      </c>
      <c r="BW953">
        <v>23.3596</v>
      </c>
      <c r="BX953">
        <v>23.4908</v>
      </c>
      <c r="BY953">
        <v>22.0472</v>
      </c>
      <c r="BZ953">
        <v>8.3989499999999992</v>
      </c>
      <c r="CA953">
        <v>22.703399999999998</v>
      </c>
      <c r="CB953">
        <v>3.54331</v>
      </c>
      <c r="CC953" t="s">
        <v>10585</v>
      </c>
      <c r="CD953" t="s">
        <v>10586</v>
      </c>
      <c r="CE953">
        <v>12.270300000000001</v>
      </c>
      <c r="CF953">
        <v>13.057700000000001</v>
      </c>
      <c r="CG953">
        <v>14.6982</v>
      </c>
      <c r="CH953">
        <v>15.4856</v>
      </c>
      <c r="CI953">
        <v>15.6168</v>
      </c>
      <c r="CK953">
        <v>8</v>
      </c>
      <c r="CL953" t="s">
        <v>4</v>
      </c>
      <c r="CM953" t="s">
        <v>10587</v>
      </c>
      <c r="CN953" t="s">
        <v>10588</v>
      </c>
      <c r="CO953" t="s">
        <v>219</v>
      </c>
      <c r="CP953" s="7">
        <v>422</v>
      </c>
      <c r="CQ953" t="s">
        <v>100</v>
      </c>
      <c r="CR953" t="s">
        <v>100</v>
      </c>
      <c r="CS953" t="s">
        <v>101</v>
      </c>
      <c r="CT953" s="7" t="s">
        <v>152</v>
      </c>
      <c r="CU953" t="s">
        <v>102</v>
      </c>
      <c r="CV953" t="s">
        <v>100</v>
      </c>
    </row>
    <row r="954" spans="1:100">
      <c r="A954" s="3" t="s">
        <v>10589</v>
      </c>
      <c r="B954" s="4" t="s">
        <v>10590</v>
      </c>
      <c r="C954">
        <v>92.271643529167306</v>
      </c>
      <c r="D954">
        <v>18.675595139042802</v>
      </c>
      <c r="E954">
        <v>2.3091445451452</v>
      </c>
      <c r="F954">
        <v>1.8657193335231099E-2</v>
      </c>
      <c r="G954" t="s">
        <v>4</v>
      </c>
      <c r="H954">
        <v>92.271643529167306</v>
      </c>
      <c r="I954">
        <v>16.143538323195799</v>
      </c>
      <c r="J954">
        <v>2.5226769332293899</v>
      </c>
      <c r="K954">
        <v>8.7777419641296792E-3</v>
      </c>
      <c r="L954" t="s">
        <v>4</v>
      </c>
      <c r="M954">
        <v>18.675595139042802</v>
      </c>
      <c r="N954">
        <v>16.143538323195799</v>
      </c>
      <c r="O954">
        <v>0.213532388084195</v>
      </c>
      <c r="P954">
        <v>0.862792969352424</v>
      </c>
      <c r="Q954" t="s">
        <v>4</v>
      </c>
      <c r="R954" s="4" t="s">
        <v>87</v>
      </c>
      <c r="S954" t="s">
        <v>4</v>
      </c>
      <c r="T954" t="s">
        <v>10591</v>
      </c>
      <c r="U954" t="s">
        <v>10592</v>
      </c>
      <c r="V954" t="s">
        <v>10593</v>
      </c>
      <c r="W954" t="s">
        <v>1915</v>
      </c>
      <c r="X954" t="s">
        <v>4</v>
      </c>
      <c r="Y954" t="s">
        <v>10594</v>
      </c>
      <c r="Z954" t="s">
        <v>10595</v>
      </c>
      <c r="AA954" t="s">
        <v>10596</v>
      </c>
      <c r="AB954" t="s">
        <v>4</v>
      </c>
      <c r="AC954" s="3" t="s">
        <v>10597</v>
      </c>
      <c r="AD954" t="s">
        <v>4</v>
      </c>
      <c r="AE954" t="s">
        <v>10598</v>
      </c>
      <c r="AF954" t="s">
        <v>10599</v>
      </c>
      <c r="AG954" t="s">
        <v>10600</v>
      </c>
      <c r="AH954" t="s">
        <v>112</v>
      </c>
      <c r="AU954" t="s">
        <v>112</v>
      </c>
      <c r="AV954" t="s">
        <v>10601</v>
      </c>
      <c r="AW954" t="s">
        <v>114</v>
      </c>
      <c r="AX954" t="s">
        <v>371</v>
      </c>
      <c r="AY954" t="s">
        <v>10602</v>
      </c>
      <c r="AZ954" t="s">
        <v>4</v>
      </c>
      <c r="BA954" s="3" t="s">
        <v>115</v>
      </c>
      <c r="BB954" s="6" t="s">
        <v>95</v>
      </c>
      <c r="BC954" s="3" t="s">
        <v>95</v>
      </c>
      <c r="BD954" t="s">
        <v>4</v>
      </c>
      <c r="BE954">
        <v>6440</v>
      </c>
      <c r="BF954" t="s">
        <v>213</v>
      </c>
      <c r="BG954">
        <v>86.956500000000005</v>
      </c>
      <c r="BH954">
        <v>94.565200000000004</v>
      </c>
      <c r="BI954">
        <v>90.217399999999998</v>
      </c>
      <c r="BJ954">
        <v>74.637699999999995</v>
      </c>
      <c r="BK954">
        <v>56.159399999999998</v>
      </c>
      <c r="BN954">
        <v>67.391300000000001</v>
      </c>
      <c r="BO954">
        <v>75.362300000000005</v>
      </c>
      <c r="BP954">
        <v>33.695700000000002</v>
      </c>
      <c r="BW954">
        <v>14.8551</v>
      </c>
      <c r="BX954">
        <v>25.724599999999999</v>
      </c>
      <c r="BY954">
        <v>26.811599999999999</v>
      </c>
      <c r="CA954">
        <v>27.1739</v>
      </c>
      <c r="CB954" t="s">
        <v>10603</v>
      </c>
      <c r="CC954">
        <v>23.188400000000001</v>
      </c>
      <c r="CD954">
        <v>24.637699999999999</v>
      </c>
      <c r="CF954">
        <v>19.2029</v>
      </c>
      <c r="CG954" t="s">
        <v>10604</v>
      </c>
      <c r="CH954" t="s">
        <v>10605</v>
      </c>
      <c r="CI954" t="s">
        <v>10606</v>
      </c>
      <c r="CK954">
        <v>8</v>
      </c>
      <c r="CL954" t="s">
        <v>4</v>
      </c>
      <c r="CM954" t="s">
        <v>10607</v>
      </c>
      <c r="CN954" t="s">
        <v>6028</v>
      </c>
      <c r="CO954" t="s">
        <v>99</v>
      </c>
      <c r="CP954" s="7">
        <v>424</v>
      </c>
      <c r="CQ954" t="s">
        <v>100</v>
      </c>
      <c r="CR954" t="s">
        <v>100</v>
      </c>
      <c r="CS954" t="s">
        <v>101</v>
      </c>
      <c r="CT954" t="s">
        <v>100</v>
      </c>
      <c r="CU954" t="s">
        <v>102</v>
      </c>
      <c r="CV954" t="s">
        <v>100</v>
      </c>
    </row>
    <row r="955" spans="1:100">
      <c r="A955" s="3" t="s">
        <v>10608</v>
      </c>
      <c r="B955" s="4" t="s">
        <v>10609</v>
      </c>
      <c r="C955">
        <v>30.294795753336899</v>
      </c>
      <c r="D955">
        <v>7.3876994830644103</v>
      </c>
      <c r="E955">
        <v>2.0432435657233698</v>
      </c>
      <c r="F955">
        <v>2.6476723321971301E-2</v>
      </c>
      <c r="G955" t="s">
        <v>4</v>
      </c>
      <c r="H955">
        <v>30.294795753336899</v>
      </c>
      <c r="I955">
        <v>5.4871093924785601</v>
      </c>
      <c r="J955">
        <v>2.5118184228970901</v>
      </c>
      <c r="K955">
        <v>7.9887616432529496E-3</v>
      </c>
      <c r="L955" t="s">
        <v>4</v>
      </c>
      <c r="M955">
        <v>7.3876994830644103</v>
      </c>
      <c r="N955">
        <v>5.4871093924785601</v>
      </c>
      <c r="O955">
        <v>0.468574857173713</v>
      </c>
      <c r="P955">
        <v>0.68827686337017502</v>
      </c>
      <c r="Q955" t="s">
        <v>4</v>
      </c>
      <c r="R955" s="4" t="s">
        <v>87</v>
      </c>
      <c r="S955" t="s">
        <v>4</v>
      </c>
      <c r="T955" t="s">
        <v>92</v>
      </c>
      <c r="U955" t="s">
        <v>92</v>
      </c>
      <c r="V955" t="s">
        <v>92</v>
      </c>
      <c r="W955" t="s">
        <v>92</v>
      </c>
      <c r="X955" t="s">
        <v>4</v>
      </c>
      <c r="Y955" t="s">
        <v>92</v>
      </c>
      <c r="Z955" t="s">
        <v>92</v>
      </c>
      <c r="AA955" t="s">
        <v>92</v>
      </c>
      <c r="AB955" t="s">
        <v>4</v>
      </c>
      <c r="AC955" s="3" t="s">
        <v>93</v>
      </c>
      <c r="AD955" t="s">
        <v>4</v>
      </c>
      <c r="AE955" s="4" t="s">
        <v>94</v>
      </c>
      <c r="AZ955" t="s">
        <v>4</v>
      </c>
      <c r="BA955" s="3" t="s">
        <v>95</v>
      </c>
      <c r="BB955" s="6" t="s">
        <v>95</v>
      </c>
      <c r="BC955" s="3" t="s">
        <v>95</v>
      </c>
      <c r="BD955" t="s">
        <v>4</v>
      </c>
      <c r="BE955">
        <v>606</v>
      </c>
      <c r="BF955" t="s">
        <v>322</v>
      </c>
      <c r="CK955">
        <v>1</v>
      </c>
      <c r="CL955" t="s">
        <v>4</v>
      </c>
      <c r="CM955" t="s">
        <v>98</v>
      </c>
      <c r="CN955" t="s">
        <v>98</v>
      </c>
      <c r="CO955" t="s">
        <v>99</v>
      </c>
      <c r="CP955" s="7">
        <v>426</v>
      </c>
      <c r="CQ955" t="s">
        <v>100</v>
      </c>
      <c r="CR955" t="s">
        <v>100</v>
      </c>
      <c r="CS955" t="s">
        <v>101</v>
      </c>
      <c r="CT955" t="s">
        <v>100</v>
      </c>
      <c r="CU955" t="s">
        <v>102</v>
      </c>
      <c r="CV955" t="s">
        <v>100</v>
      </c>
    </row>
    <row r="956" spans="1:100">
      <c r="A956" s="3" t="s">
        <v>10610</v>
      </c>
      <c r="B956" s="4" t="s">
        <v>10611</v>
      </c>
      <c r="C956">
        <v>3243.3690990761902</v>
      </c>
      <c r="D956">
        <v>989.42759858754903</v>
      </c>
      <c r="E956">
        <v>1.71254566393866</v>
      </c>
      <c r="F956" s="5">
        <v>9.2573353306494395E-5</v>
      </c>
      <c r="G956" t="s">
        <v>4</v>
      </c>
      <c r="H956">
        <v>3243.3690990761902</v>
      </c>
      <c r="I956">
        <v>577.68860613473498</v>
      </c>
      <c r="J956">
        <v>2.4858642336875798</v>
      </c>
      <c r="K956" s="5">
        <v>3.0726036898958001E-9</v>
      </c>
      <c r="L956" t="s">
        <v>4</v>
      </c>
      <c r="M956">
        <v>989.42759858754903</v>
      </c>
      <c r="N956">
        <v>577.68860613473498</v>
      </c>
      <c r="O956">
        <v>0.773318569748915</v>
      </c>
      <c r="P956">
        <v>8.6546687318607596E-2</v>
      </c>
      <c r="Q956" t="s">
        <v>4</v>
      </c>
      <c r="R956" s="4" t="s">
        <v>87</v>
      </c>
      <c r="S956" t="s">
        <v>4</v>
      </c>
      <c r="T956" t="s">
        <v>4635</v>
      </c>
      <c r="U956" t="s">
        <v>4636</v>
      </c>
      <c r="V956" t="s">
        <v>4637</v>
      </c>
      <c r="W956" t="s">
        <v>507</v>
      </c>
      <c r="X956" t="s">
        <v>4</v>
      </c>
      <c r="Y956" t="s">
        <v>10612</v>
      </c>
      <c r="Z956" t="s">
        <v>10613</v>
      </c>
      <c r="AA956" t="s">
        <v>10614</v>
      </c>
      <c r="AB956" t="s">
        <v>4</v>
      </c>
      <c r="AC956" s="3" t="s">
        <v>2650</v>
      </c>
      <c r="AD956" t="s">
        <v>4</v>
      </c>
      <c r="AE956" t="s">
        <v>10615</v>
      </c>
      <c r="AF956" t="s">
        <v>10616</v>
      </c>
      <c r="AG956" t="s">
        <v>10617</v>
      </c>
      <c r="AH956" t="s">
        <v>112</v>
      </c>
      <c r="AU956" t="s">
        <v>112</v>
      </c>
      <c r="AV956" t="s">
        <v>10618</v>
      </c>
      <c r="AW956" t="s">
        <v>114</v>
      </c>
      <c r="AX956" t="s">
        <v>132</v>
      </c>
      <c r="AY956" t="s">
        <v>10619</v>
      </c>
      <c r="AZ956" t="s">
        <v>4</v>
      </c>
      <c r="BA956" s="3" t="s">
        <v>95</v>
      </c>
      <c r="BB956" t="s">
        <v>96</v>
      </c>
      <c r="BC956" s="3" t="s">
        <v>197</v>
      </c>
      <c r="BD956" t="s">
        <v>4</v>
      </c>
      <c r="BE956">
        <v>8361</v>
      </c>
      <c r="BF956" t="s">
        <v>213</v>
      </c>
      <c r="BG956">
        <v>95.776300000000006</v>
      </c>
      <c r="BI956">
        <v>88.470299999999995</v>
      </c>
      <c r="BJ956">
        <v>78.767099999999999</v>
      </c>
      <c r="BK956">
        <v>69.178100000000001</v>
      </c>
      <c r="BP956">
        <v>4.6803699999999999</v>
      </c>
      <c r="BR956">
        <v>5.1369899999999999</v>
      </c>
      <c r="BS956">
        <v>5.3653000000000004</v>
      </c>
      <c r="BU956">
        <v>6.39269</v>
      </c>
      <c r="BV956" t="s">
        <v>10620</v>
      </c>
      <c r="BZ956">
        <v>6.2785399999999996</v>
      </c>
      <c r="CK956">
        <v>8</v>
      </c>
      <c r="CL956" t="s">
        <v>4</v>
      </c>
      <c r="CM956" t="s">
        <v>98</v>
      </c>
      <c r="CN956" t="s">
        <v>98</v>
      </c>
      <c r="CO956" t="s">
        <v>99</v>
      </c>
      <c r="CP956" s="7">
        <v>428</v>
      </c>
      <c r="CQ956" t="s">
        <v>100</v>
      </c>
      <c r="CR956" t="s">
        <v>100</v>
      </c>
      <c r="CS956" t="s">
        <v>101</v>
      </c>
      <c r="CT956" t="s">
        <v>100</v>
      </c>
      <c r="CU956" t="s">
        <v>102</v>
      </c>
      <c r="CV956" t="s">
        <v>100</v>
      </c>
    </row>
    <row r="957" spans="1:100">
      <c r="A957" s="3" t="s">
        <v>10621</v>
      </c>
      <c r="B957" s="4" t="s">
        <v>10622</v>
      </c>
      <c r="C957">
        <v>818.98780764882304</v>
      </c>
      <c r="D957">
        <v>250.357735909474</v>
      </c>
      <c r="E957">
        <v>1.7084582705676901</v>
      </c>
      <c r="F957" s="5">
        <v>5.9010934198958099E-12</v>
      </c>
      <c r="G957" t="s">
        <v>4</v>
      </c>
      <c r="H957">
        <v>818.98780764882304</v>
      </c>
      <c r="I957">
        <v>147.33713239379799</v>
      </c>
      <c r="J957">
        <v>2.4812005700781201</v>
      </c>
      <c r="K957" s="5">
        <v>2.8155824315826E-23</v>
      </c>
      <c r="L957" t="s">
        <v>4</v>
      </c>
      <c r="M957">
        <v>250.357735909474</v>
      </c>
      <c r="N957">
        <v>147.33713239379799</v>
      </c>
      <c r="O957">
        <v>0.77274229951043305</v>
      </c>
      <c r="P957">
        <v>3.7306564333769799E-3</v>
      </c>
      <c r="Q957" t="s">
        <v>4</v>
      </c>
      <c r="R957" s="4" t="s">
        <v>87</v>
      </c>
      <c r="S957" t="s">
        <v>4</v>
      </c>
      <c r="T957" t="s">
        <v>9444</v>
      </c>
      <c r="U957" t="s">
        <v>9445</v>
      </c>
      <c r="V957" t="s">
        <v>9446</v>
      </c>
      <c r="W957" t="s">
        <v>976</v>
      </c>
      <c r="X957" t="s">
        <v>4</v>
      </c>
      <c r="Y957" t="s">
        <v>4041</v>
      </c>
      <c r="Z957" t="s">
        <v>4042</v>
      </c>
      <c r="AA957" t="s">
        <v>4042</v>
      </c>
      <c r="AB957" t="s">
        <v>4</v>
      </c>
      <c r="AC957" s="3" t="s">
        <v>10623</v>
      </c>
      <c r="AD957" t="s">
        <v>4</v>
      </c>
      <c r="AE957" t="s">
        <v>10624</v>
      </c>
      <c r="AF957" t="s">
        <v>10625</v>
      </c>
      <c r="AG957" t="s">
        <v>10626</v>
      </c>
      <c r="AH957" t="s">
        <v>386</v>
      </c>
      <c r="AU957" t="s">
        <v>112</v>
      </c>
      <c r="AV957" t="s">
        <v>10627</v>
      </c>
      <c r="AW957" t="s">
        <v>114</v>
      </c>
      <c r="AX957" t="s">
        <v>909</v>
      </c>
      <c r="AY957" t="s">
        <v>10628</v>
      </c>
      <c r="AZ957" t="s">
        <v>4</v>
      </c>
      <c r="BA957" s="3" t="s">
        <v>95</v>
      </c>
      <c r="BB957" s="6" t="s">
        <v>95</v>
      </c>
      <c r="BC957" s="3" t="s">
        <v>95</v>
      </c>
      <c r="BD957" t="s">
        <v>4</v>
      </c>
      <c r="BE957">
        <v>5300</v>
      </c>
      <c r="BF957" t="s">
        <v>386</v>
      </c>
      <c r="BG957">
        <v>96.657399999999996</v>
      </c>
      <c r="BH957">
        <v>98.885800000000003</v>
      </c>
      <c r="BJ957">
        <v>74.930400000000006</v>
      </c>
      <c r="BK957">
        <v>69.359300000000005</v>
      </c>
      <c r="BM957">
        <v>76.323099999999997</v>
      </c>
      <c r="BN957">
        <v>71.866299999999995</v>
      </c>
      <c r="BP957" t="s">
        <v>10629</v>
      </c>
      <c r="BR957" t="s">
        <v>10630</v>
      </c>
      <c r="BW957">
        <v>27.297999999999998</v>
      </c>
      <c r="BX957">
        <v>30.640699999999999</v>
      </c>
      <c r="BY957">
        <v>20.055700000000002</v>
      </c>
      <c r="CF957" t="s">
        <v>10631</v>
      </c>
      <c r="CK957">
        <v>7</v>
      </c>
      <c r="CL957" t="s">
        <v>4</v>
      </c>
      <c r="CM957" t="s">
        <v>98</v>
      </c>
      <c r="CN957" t="s">
        <v>98</v>
      </c>
      <c r="CO957" t="s">
        <v>99</v>
      </c>
      <c r="CP957" s="7">
        <v>431</v>
      </c>
      <c r="CQ957" t="s">
        <v>100</v>
      </c>
      <c r="CR957" t="s">
        <v>100</v>
      </c>
      <c r="CS957" t="s">
        <v>101</v>
      </c>
      <c r="CT957" t="s">
        <v>100</v>
      </c>
      <c r="CU957" t="s">
        <v>102</v>
      </c>
      <c r="CV957" t="s">
        <v>100</v>
      </c>
    </row>
    <row r="958" spans="1:100">
      <c r="A958" s="3" t="s">
        <v>10632</v>
      </c>
      <c r="B958" s="4" t="s">
        <v>10633</v>
      </c>
      <c r="C958">
        <v>73.661975061446498</v>
      </c>
      <c r="D958">
        <v>27.096932939924699</v>
      </c>
      <c r="E958">
        <v>1.4410129950875801</v>
      </c>
      <c r="F958">
        <v>4.2681611613143301E-2</v>
      </c>
      <c r="G958" t="s">
        <v>4</v>
      </c>
      <c r="H958">
        <v>73.661975061446498</v>
      </c>
      <c r="I958">
        <v>12.802651294088299</v>
      </c>
      <c r="J958">
        <v>2.4780762196738002</v>
      </c>
      <c r="K958">
        <v>5.1542336382253697E-4</v>
      </c>
      <c r="L958" t="s">
        <v>4</v>
      </c>
      <c r="M958">
        <v>27.096932939924699</v>
      </c>
      <c r="N958">
        <v>12.802651294088299</v>
      </c>
      <c r="O958">
        <v>1.0370632245862199</v>
      </c>
      <c r="P958">
        <v>0.181755372480706</v>
      </c>
      <c r="Q958" t="s">
        <v>4</v>
      </c>
      <c r="R958" s="4" t="s">
        <v>87</v>
      </c>
      <c r="S958" t="s">
        <v>4</v>
      </c>
      <c r="T958" t="s">
        <v>88</v>
      </c>
      <c r="U958" t="s">
        <v>89</v>
      </c>
      <c r="V958" t="s">
        <v>90</v>
      </c>
      <c r="W958" t="s">
        <v>91</v>
      </c>
      <c r="X958" t="s">
        <v>4</v>
      </c>
      <c r="Y958" t="s">
        <v>10634</v>
      </c>
      <c r="Z958" t="s">
        <v>10635</v>
      </c>
      <c r="AA958" t="s">
        <v>10636</v>
      </c>
      <c r="AB958" t="s">
        <v>4</v>
      </c>
      <c r="AC958" s="3" t="s">
        <v>10637</v>
      </c>
      <c r="AD958" t="s">
        <v>4</v>
      </c>
      <c r="AE958" t="s">
        <v>10638</v>
      </c>
      <c r="AF958" t="s">
        <v>10639</v>
      </c>
      <c r="AG958" t="s">
        <v>161</v>
      </c>
      <c r="AH958" t="s">
        <v>112</v>
      </c>
      <c r="AU958" t="s">
        <v>112</v>
      </c>
      <c r="AV958" t="s">
        <v>10640</v>
      </c>
      <c r="AW958" t="s">
        <v>114</v>
      </c>
      <c r="AX958" t="s">
        <v>144</v>
      </c>
      <c r="AY958" t="s">
        <v>10641</v>
      </c>
      <c r="AZ958" t="s">
        <v>4</v>
      </c>
      <c r="BA958" s="3" t="s">
        <v>95</v>
      </c>
      <c r="BB958" s="6" t="s">
        <v>95</v>
      </c>
      <c r="BC958" s="3" t="s">
        <v>95</v>
      </c>
      <c r="BD958" t="s">
        <v>4</v>
      </c>
      <c r="BE958">
        <v>4437</v>
      </c>
      <c r="BF958" t="s">
        <v>112</v>
      </c>
      <c r="BG958">
        <v>74.036500000000004</v>
      </c>
      <c r="BH958">
        <v>77.079099999999997</v>
      </c>
      <c r="BI958">
        <v>81.541600000000003</v>
      </c>
      <c r="BJ958">
        <v>61.4604</v>
      </c>
      <c r="BK958">
        <v>30.831600000000002</v>
      </c>
      <c r="BO958">
        <v>58.0122</v>
      </c>
      <c r="BR958" t="s">
        <v>10642</v>
      </c>
      <c r="BX958">
        <v>27.586200000000002</v>
      </c>
      <c r="BZ958">
        <v>17.038499999999999</v>
      </c>
      <c r="CA958">
        <v>25.5578</v>
      </c>
      <c r="CB958">
        <v>15.415800000000001</v>
      </c>
      <c r="CC958" t="s">
        <v>10643</v>
      </c>
      <c r="CG958" t="s">
        <v>10644</v>
      </c>
      <c r="CH958" t="s">
        <v>10645</v>
      </c>
      <c r="CI958" t="s">
        <v>10646</v>
      </c>
      <c r="CK958">
        <v>5</v>
      </c>
      <c r="CL958" t="s">
        <v>4</v>
      </c>
      <c r="CM958" t="s">
        <v>10647</v>
      </c>
      <c r="CN958" t="s">
        <v>10648</v>
      </c>
      <c r="CO958" t="s">
        <v>663</v>
      </c>
      <c r="CP958" s="7">
        <v>432</v>
      </c>
      <c r="CQ958" t="s">
        <v>100</v>
      </c>
      <c r="CR958" t="s">
        <v>100</v>
      </c>
      <c r="CS958" t="s">
        <v>101</v>
      </c>
      <c r="CT958" t="s">
        <v>100</v>
      </c>
      <c r="CU958" t="s">
        <v>102</v>
      </c>
      <c r="CV958" t="s">
        <v>100</v>
      </c>
    </row>
    <row r="959" spans="1:100">
      <c r="A959" s="3" t="s">
        <v>10649</v>
      </c>
      <c r="B959" s="4" t="s">
        <v>10650</v>
      </c>
      <c r="C959">
        <v>121.097392615761</v>
      </c>
      <c r="D959">
        <v>36.679440412137502</v>
      </c>
      <c r="E959">
        <v>1.7258489193677</v>
      </c>
      <c r="F959">
        <v>2.1388150996927799E-2</v>
      </c>
      <c r="G959" t="s">
        <v>4</v>
      </c>
      <c r="H959">
        <v>121.097392615761</v>
      </c>
      <c r="I959">
        <v>21.748724275511002</v>
      </c>
      <c r="J959">
        <v>2.4764024474448099</v>
      </c>
      <c r="K959">
        <v>7.6111292424752897E-4</v>
      </c>
      <c r="L959" t="s">
        <v>4</v>
      </c>
      <c r="M959">
        <v>36.679440412137502</v>
      </c>
      <c r="N959">
        <v>21.748724275511002</v>
      </c>
      <c r="O959">
        <v>0.75055352807710995</v>
      </c>
      <c r="P959">
        <v>0.36356728505536201</v>
      </c>
      <c r="Q959" t="s">
        <v>4</v>
      </c>
      <c r="R959" s="4" t="s">
        <v>87</v>
      </c>
      <c r="S959" t="s">
        <v>4</v>
      </c>
      <c r="T959" t="s">
        <v>92</v>
      </c>
      <c r="U959" t="s">
        <v>92</v>
      </c>
      <c r="V959" t="s">
        <v>92</v>
      </c>
      <c r="W959" t="s">
        <v>92</v>
      </c>
      <c r="X959" t="s">
        <v>4</v>
      </c>
      <c r="Y959" t="s">
        <v>292</v>
      </c>
      <c r="Z959" t="s">
        <v>293</v>
      </c>
      <c r="AA959" t="s">
        <v>294</v>
      </c>
      <c r="AB959" t="s">
        <v>4</v>
      </c>
      <c r="AC959" s="3" t="s">
        <v>93</v>
      </c>
      <c r="AD959" t="s">
        <v>4</v>
      </c>
      <c r="AE959" t="s">
        <v>296</v>
      </c>
      <c r="AF959" t="s">
        <v>10651</v>
      </c>
      <c r="AG959" t="s">
        <v>5279</v>
      </c>
      <c r="AH959" t="s">
        <v>112</v>
      </c>
      <c r="AI959" t="s">
        <v>299</v>
      </c>
      <c r="AJ959" t="s">
        <v>300</v>
      </c>
      <c r="AL959" t="s">
        <v>301</v>
      </c>
      <c r="AM959" t="s">
        <v>302</v>
      </c>
      <c r="AQ959" t="s">
        <v>303</v>
      </c>
      <c r="AU959" t="s">
        <v>112</v>
      </c>
      <c r="AV959" t="s">
        <v>304</v>
      </c>
      <c r="AW959" t="s">
        <v>114</v>
      </c>
      <c r="AX959" t="s">
        <v>132</v>
      </c>
      <c r="AY959" t="s">
        <v>305</v>
      </c>
      <c r="AZ959" t="s">
        <v>4</v>
      </c>
      <c r="BA959" s="3" t="s">
        <v>95</v>
      </c>
      <c r="BB959" s="6" t="s">
        <v>95</v>
      </c>
      <c r="BC959" s="3" t="s">
        <v>95</v>
      </c>
      <c r="BD959" t="s">
        <v>4</v>
      </c>
      <c r="BE959">
        <v>1461</v>
      </c>
      <c r="BF959" t="s">
        <v>151</v>
      </c>
      <c r="BG959">
        <v>92.788499999999999</v>
      </c>
      <c r="BH959">
        <v>53.685899999999997</v>
      </c>
      <c r="BI959">
        <v>81.089699999999993</v>
      </c>
      <c r="BJ959">
        <v>21.1538</v>
      </c>
      <c r="BK959" t="s">
        <v>10652</v>
      </c>
      <c r="BL959">
        <v>19.070499999999999</v>
      </c>
      <c r="BM959">
        <v>16.826899999999998</v>
      </c>
      <c r="BN959">
        <v>32.852600000000002</v>
      </c>
      <c r="BO959">
        <v>18.269200000000001</v>
      </c>
      <c r="CK959">
        <v>2</v>
      </c>
      <c r="CL959" t="s">
        <v>4</v>
      </c>
      <c r="CM959" t="s">
        <v>98</v>
      </c>
      <c r="CN959" t="s">
        <v>98</v>
      </c>
      <c r="CO959" t="s">
        <v>99</v>
      </c>
      <c r="CP959" s="7">
        <v>433</v>
      </c>
      <c r="CQ959" t="s">
        <v>100</v>
      </c>
      <c r="CR959" t="s">
        <v>100</v>
      </c>
      <c r="CS959" t="s">
        <v>101</v>
      </c>
      <c r="CT959" t="s">
        <v>100</v>
      </c>
      <c r="CU959" t="s">
        <v>102</v>
      </c>
      <c r="CV959" t="s">
        <v>100</v>
      </c>
    </row>
    <row r="960" spans="1:100">
      <c r="A960" s="3" t="s">
        <v>10653</v>
      </c>
      <c r="B960" s="4" t="s">
        <v>10654</v>
      </c>
      <c r="C960">
        <v>85.940045158164395</v>
      </c>
      <c r="D960">
        <v>36.945004065278503</v>
      </c>
      <c r="E960">
        <v>1.2208356261634199</v>
      </c>
      <c r="F960">
        <v>4.9651978366691198E-2</v>
      </c>
      <c r="G960" t="s">
        <v>4</v>
      </c>
      <c r="H960">
        <v>85.940045158164395</v>
      </c>
      <c r="I960">
        <v>15.8246384295364</v>
      </c>
      <c r="J960">
        <v>2.4719535065419498</v>
      </c>
      <c r="K960" s="5">
        <v>7.8025548148091397E-5</v>
      </c>
      <c r="L960" t="s">
        <v>4</v>
      </c>
      <c r="M960">
        <v>36.945004065278503</v>
      </c>
      <c r="N960">
        <v>15.8246384295364</v>
      </c>
      <c r="O960">
        <v>1.2511178803785299</v>
      </c>
      <c r="P960">
        <v>5.8984024870619801E-2</v>
      </c>
      <c r="Q960" t="s">
        <v>4</v>
      </c>
      <c r="R960" s="4" t="s">
        <v>87</v>
      </c>
      <c r="S960" t="s">
        <v>4</v>
      </c>
      <c r="T960" t="s">
        <v>92</v>
      </c>
      <c r="U960" t="s">
        <v>92</v>
      </c>
      <c r="V960" t="s">
        <v>92</v>
      </c>
      <c r="W960" t="s">
        <v>92</v>
      </c>
      <c r="X960" t="s">
        <v>4</v>
      </c>
      <c r="Y960" t="s">
        <v>10655</v>
      </c>
      <c r="Z960" t="s">
        <v>10656</v>
      </c>
      <c r="AA960" t="s">
        <v>10657</v>
      </c>
      <c r="AB960" t="s">
        <v>4</v>
      </c>
      <c r="AC960" s="3" t="s">
        <v>10658</v>
      </c>
      <c r="AD960" t="s">
        <v>4</v>
      </c>
      <c r="AE960" t="s">
        <v>10659</v>
      </c>
      <c r="AF960" t="s">
        <v>834</v>
      </c>
      <c r="AG960" t="s">
        <v>10660</v>
      </c>
      <c r="AH960" t="s">
        <v>112</v>
      </c>
      <c r="AJ960" t="s">
        <v>10661</v>
      </c>
      <c r="AL960" t="s">
        <v>10662</v>
      </c>
      <c r="AM960" t="s">
        <v>10663</v>
      </c>
      <c r="AQ960" t="s">
        <v>10582</v>
      </c>
      <c r="AU960" t="s">
        <v>112</v>
      </c>
      <c r="AV960" t="s">
        <v>10664</v>
      </c>
      <c r="AW960" t="s">
        <v>114</v>
      </c>
      <c r="AX960" t="s">
        <v>371</v>
      </c>
      <c r="AY960" t="s">
        <v>10665</v>
      </c>
      <c r="AZ960" t="s">
        <v>4</v>
      </c>
      <c r="BA960" s="3" t="s">
        <v>95</v>
      </c>
      <c r="BB960" s="6" t="s">
        <v>95</v>
      </c>
      <c r="BC960" s="3" t="s">
        <v>95</v>
      </c>
      <c r="BD960" t="s">
        <v>4</v>
      </c>
      <c r="BE960">
        <v>5474</v>
      </c>
      <c r="BF960" t="s">
        <v>386</v>
      </c>
      <c r="BG960">
        <v>99.263800000000003</v>
      </c>
      <c r="BJ960">
        <v>80.245400000000004</v>
      </c>
      <c r="BK960">
        <v>80.245400000000004</v>
      </c>
      <c r="BN960">
        <v>81.717799999999997</v>
      </c>
      <c r="BO960">
        <v>80.736199999999997</v>
      </c>
      <c r="BP960">
        <v>40</v>
      </c>
      <c r="BR960">
        <v>16.073599999999999</v>
      </c>
      <c r="BW960">
        <v>18.036799999999999</v>
      </c>
      <c r="BX960">
        <v>21.840499999999999</v>
      </c>
      <c r="BY960">
        <v>18.650300000000001</v>
      </c>
      <c r="CA960">
        <v>19.2638</v>
      </c>
      <c r="CD960">
        <v>11.7791</v>
      </c>
      <c r="CF960">
        <v>13.9877</v>
      </c>
      <c r="CG960" t="s">
        <v>10666</v>
      </c>
      <c r="CH960" t="s">
        <v>10667</v>
      </c>
      <c r="CI960" t="s">
        <v>10668</v>
      </c>
      <c r="CK960">
        <v>7</v>
      </c>
      <c r="CL960" t="s">
        <v>4</v>
      </c>
      <c r="CM960" t="s">
        <v>10669</v>
      </c>
      <c r="CN960" t="s">
        <v>10670</v>
      </c>
      <c r="CO960" t="s">
        <v>1218</v>
      </c>
      <c r="CP960" s="7">
        <v>434</v>
      </c>
      <c r="CQ960" t="s">
        <v>100</v>
      </c>
      <c r="CR960" t="s">
        <v>100</v>
      </c>
      <c r="CS960" t="s">
        <v>101</v>
      </c>
      <c r="CT960" t="s">
        <v>100</v>
      </c>
      <c r="CU960" t="s">
        <v>102</v>
      </c>
      <c r="CV960" t="s">
        <v>100</v>
      </c>
    </row>
    <row r="961" spans="1:100">
      <c r="A961" s="3" t="s">
        <v>10671</v>
      </c>
      <c r="B961" s="4" t="s">
        <v>10672</v>
      </c>
      <c r="C961">
        <v>237.70277253543401</v>
      </c>
      <c r="D961">
        <v>96.304056146235197</v>
      </c>
      <c r="E961">
        <v>1.30634984715408</v>
      </c>
      <c r="F961">
        <v>6.07228789848482E-4</v>
      </c>
      <c r="G961" t="s">
        <v>4</v>
      </c>
      <c r="H961">
        <v>237.70277253543401</v>
      </c>
      <c r="I961">
        <v>42.014080423620399</v>
      </c>
      <c r="J961">
        <v>2.4677902488548802</v>
      </c>
      <c r="K961" s="5">
        <v>1.0914702846269899E-10</v>
      </c>
      <c r="L961" t="s">
        <v>4</v>
      </c>
      <c r="M961">
        <v>96.304056146235197</v>
      </c>
      <c r="N961">
        <v>42.014080423620399</v>
      </c>
      <c r="O961">
        <v>1.1614404017008</v>
      </c>
      <c r="P961">
        <v>3.84197136601023E-3</v>
      </c>
      <c r="Q961" t="s">
        <v>4</v>
      </c>
      <c r="R961" s="4" t="s">
        <v>87</v>
      </c>
      <c r="S961" t="s">
        <v>4</v>
      </c>
      <c r="T961" t="s">
        <v>1312</v>
      </c>
      <c r="U961" t="s">
        <v>1313</v>
      </c>
      <c r="V961" t="s">
        <v>1314</v>
      </c>
      <c r="W961" t="s">
        <v>203</v>
      </c>
      <c r="X961" t="s">
        <v>4</v>
      </c>
      <c r="Y961" t="s">
        <v>1315</v>
      </c>
      <c r="Z961" t="s">
        <v>1316</v>
      </c>
      <c r="AA961" t="s">
        <v>1317</v>
      </c>
      <c r="AB961" t="s">
        <v>4</v>
      </c>
      <c r="AC961" s="3" t="s">
        <v>93</v>
      </c>
      <c r="AD961" t="s">
        <v>4</v>
      </c>
      <c r="AE961" t="s">
        <v>10673</v>
      </c>
      <c r="AF961" t="s">
        <v>10674</v>
      </c>
      <c r="AG961" t="s">
        <v>10675</v>
      </c>
      <c r="AH961" t="s">
        <v>112</v>
      </c>
      <c r="AU961" t="s">
        <v>112</v>
      </c>
      <c r="AV961" t="s">
        <v>9770</v>
      </c>
      <c r="AW961" t="s">
        <v>114</v>
      </c>
      <c r="AX961" t="s">
        <v>132</v>
      </c>
      <c r="AY961" t="s">
        <v>1460</v>
      </c>
      <c r="AZ961" t="s">
        <v>4</v>
      </c>
      <c r="BA961" s="3" t="s">
        <v>95</v>
      </c>
      <c r="BB961" s="6" t="s">
        <v>95</v>
      </c>
      <c r="BC961" s="3" t="s">
        <v>95</v>
      </c>
      <c r="BD961" t="s">
        <v>4</v>
      </c>
      <c r="BE961">
        <v>5292</v>
      </c>
      <c r="BF961" t="s">
        <v>282</v>
      </c>
      <c r="BG961">
        <v>97.337299999999999</v>
      </c>
      <c r="BH961">
        <v>97.929000000000002</v>
      </c>
      <c r="BI961">
        <v>95.562100000000001</v>
      </c>
      <c r="BJ961">
        <v>91.124300000000005</v>
      </c>
      <c r="BK961">
        <v>87.573999999999998</v>
      </c>
      <c r="BL961">
        <v>84.911199999999994</v>
      </c>
      <c r="BM961">
        <v>80.473399999999998</v>
      </c>
      <c r="BN961">
        <v>88.165700000000001</v>
      </c>
      <c r="BO961">
        <v>86.982200000000006</v>
      </c>
      <c r="BP961">
        <v>61.538499999999999</v>
      </c>
      <c r="BQ961">
        <v>56.213000000000001</v>
      </c>
      <c r="BR961" t="s">
        <v>10676</v>
      </c>
      <c r="BS961">
        <v>59.763300000000001</v>
      </c>
      <c r="BT961" t="s">
        <v>10677</v>
      </c>
      <c r="BU961">
        <v>26.923100000000002</v>
      </c>
      <c r="BV961" t="s">
        <v>10678</v>
      </c>
      <c r="BW961">
        <v>19.822500000000002</v>
      </c>
      <c r="BX961">
        <v>55.029600000000002</v>
      </c>
      <c r="BY961">
        <v>53.846200000000003</v>
      </c>
      <c r="BZ961">
        <v>48.520699999999998</v>
      </c>
      <c r="CA961" t="s">
        <v>10679</v>
      </c>
      <c r="CB961">
        <v>14.792899999999999</v>
      </c>
      <c r="CK961">
        <v>6</v>
      </c>
      <c r="CL961" t="s">
        <v>4</v>
      </c>
      <c r="CM961" t="s">
        <v>10680</v>
      </c>
      <c r="CN961" t="s">
        <v>10681</v>
      </c>
      <c r="CO961" t="s">
        <v>663</v>
      </c>
      <c r="CP961" s="7">
        <v>435</v>
      </c>
      <c r="CQ961" t="s">
        <v>100</v>
      </c>
      <c r="CR961" t="s">
        <v>100</v>
      </c>
      <c r="CS961" t="s">
        <v>101</v>
      </c>
      <c r="CT961" s="7" t="s">
        <v>152</v>
      </c>
      <c r="CU961" t="s">
        <v>102</v>
      </c>
      <c r="CV961" t="s">
        <v>100</v>
      </c>
    </row>
    <row r="962" spans="1:100">
      <c r="A962" s="3" t="s">
        <v>10682</v>
      </c>
      <c r="B962" s="4" t="s">
        <v>10683</v>
      </c>
      <c r="C962">
        <v>33.339630401766101</v>
      </c>
      <c r="D962">
        <v>7.2875356355400402</v>
      </c>
      <c r="E962">
        <v>2.21641871005707</v>
      </c>
      <c r="F962">
        <v>1.0063902309227799E-2</v>
      </c>
      <c r="G962" t="s">
        <v>4</v>
      </c>
      <c r="H962">
        <v>33.339630401766101</v>
      </c>
      <c r="I962">
        <v>6.1732234709880798</v>
      </c>
      <c r="J962">
        <v>2.4674534495936502</v>
      </c>
      <c r="K962">
        <v>5.1035092770643099E-3</v>
      </c>
      <c r="L962" t="s">
        <v>4</v>
      </c>
      <c r="M962">
        <v>7.2875356355400402</v>
      </c>
      <c r="N962">
        <v>6.1732234709880798</v>
      </c>
      <c r="O962">
        <v>0.25103473953658101</v>
      </c>
      <c r="P962">
        <v>0.82995166803120801</v>
      </c>
      <c r="Q962" t="s">
        <v>4</v>
      </c>
      <c r="R962" s="4" t="s">
        <v>87</v>
      </c>
      <c r="S962" t="s">
        <v>4</v>
      </c>
      <c r="T962" t="s">
        <v>10684</v>
      </c>
      <c r="U962" t="s">
        <v>10685</v>
      </c>
      <c r="V962" t="s">
        <v>10686</v>
      </c>
      <c r="W962" t="s">
        <v>328</v>
      </c>
      <c r="X962" t="s">
        <v>4</v>
      </c>
      <c r="Y962" t="s">
        <v>10687</v>
      </c>
      <c r="Z962" t="s">
        <v>10688</v>
      </c>
      <c r="AA962" t="s">
        <v>10689</v>
      </c>
      <c r="AB962" t="s">
        <v>4</v>
      </c>
      <c r="AC962" s="3" t="s">
        <v>10690</v>
      </c>
      <c r="AD962" t="s">
        <v>4</v>
      </c>
      <c r="AE962" t="s">
        <v>10691</v>
      </c>
      <c r="AF962" t="s">
        <v>10692</v>
      </c>
      <c r="AG962" t="s">
        <v>7425</v>
      </c>
      <c r="AH962" t="s">
        <v>638</v>
      </c>
      <c r="AK962" t="s">
        <v>10693</v>
      </c>
      <c r="AL962" t="s">
        <v>10694</v>
      </c>
      <c r="AM962" t="s">
        <v>10695</v>
      </c>
      <c r="AN962" t="s">
        <v>10696</v>
      </c>
      <c r="AO962" t="s">
        <v>10697</v>
      </c>
      <c r="AQ962" t="s">
        <v>10698</v>
      </c>
      <c r="AS962" t="s">
        <v>10699</v>
      </c>
      <c r="AU962" t="s">
        <v>112</v>
      </c>
      <c r="AV962" t="s">
        <v>10700</v>
      </c>
      <c r="AW962" t="s">
        <v>114</v>
      </c>
      <c r="AX962" t="s">
        <v>345</v>
      </c>
      <c r="AY962" t="s">
        <v>10701</v>
      </c>
      <c r="AZ962" t="s">
        <v>4</v>
      </c>
      <c r="BA962" s="3" t="s">
        <v>95</v>
      </c>
      <c r="BB962" s="6" t="s">
        <v>95</v>
      </c>
      <c r="BC962" s="3" t="s">
        <v>95</v>
      </c>
      <c r="BD962" t="s">
        <v>4</v>
      </c>
      <c r="BE962">
        <v>7957</v>
      </c>
      <c r="BF962" t="s">
        <v>213</v>
      </c>
      <c r="BG962">
        <v>97.7273</v>
      </c>
      <c r="BK962">
        <v>59.740299999999998</v>
      </c>
      <c r="BO962">
        <v>73.376599999999996</v>
      </c>
      <c r="BR962">
        <v>20.779199999999999</v>
      </c>
      <c r="BS962" t="s">
        <v>10702</v>
      </c>
      <c r="BT962" t="s">
        <v>10703</v>
      </c>
      <c r="BU962" t="s">
        <v>10704</v>
      </c>
      <c r="BV962" t="s">
        <v>10705</v>
      </c>
      <c r="BX962">
        <v>27.2727</v>
      </c>
      <c r="BZ962" t="s">
        <v>10706</v>
      </c>
      <c r="CA962">
        <v>21.103899999999999</v>
      </c>
      <c r="CF962" t="s">
        <v>10707</v>
      </c>
      <c r="CG962">
        <v>17.532499999999999</v>
      </c>
      <c r="CH962">
        <v>18.506499999999999</v>
      </c>
      <c r="CI962">
        <v>20.129899999999999</v>
      </c>
      <c r="CK962">
        <v>8</v>
      </c>
      <c r="CL962" t="s">
        <v>4</v>
      </c>
      <c r="CM962" t="s">
        <v>10708</v>
      </c>
      <c r="CN962" t="s">
        <v>10709</v>
      </c>
      <c r="CO962" t="s">
        <v>99</v>
      </c>
      <c r="CP962" s="7">
        <v>436</v>
      </c>
      <c r="CQ962" t="s">
        <v>100</v>
      </c>
      <c r="CR962" t="s">
        <v>100</v>
      </c>
      <c r="CS962" t="s">
        <v>101</v>
      </c>
      <c r="CT962" t="s">
        <v>100</v>
      </c>
      <c r="CU962" t="s">
        <v>102</v>
      </c>
      <c r="CV962" t="s">
        <v>100</v>
      </c>
    </row>
    <row r="963" spans="1:100">
      <c r="A963" s="3" t="s">
        <v>10710</v>
      </c>
      <c r="B963" s="4" t="s">
        <v>10711</v>
      </c>
      <c r="C963">
        <v>54.1925390778935</v>
      </c>
      <c r="D963">
        <v>14.4097624526337</v>
      </c>
      <c r="E963">
        <v>1.91332093723358</v>
      </c>
      <c r="F963">
        <v>1.2574048870814E-3</v>
      </c>
      <c r="G963" t="s">
        <v>4</v>
      </c>
      <c r="H963">
        <v>54.1925390778935</v>
      </c>
      <c r="I963">
        <v>9.7876093775815107</v>
      </c>
      <c r="J963">
        <v>2.4489772115433301</v>
      </c>
      <c r="K963" s="5">
        <v>8.3154406722027297E-5</v>
      </c>
      <c r="L963" t="s">
        <v>4</v>
      </c>
      <c r="M963">
        <v>14.4097624526337</v>
      </c>
      <c r="N963">
        <v>9.7876093775815107</v>
      </c>
      <c r="O963">
        <v>0.53565627430975304</v>
      </c>
      <c r="P963">
        <v>0.47151190929172598</v>
      </c>
      <c r="Q963" t="s">
        <v>4</v>
      </c>
      <c r="R963" s="4" t="s">
        <v>87</v>
      </c>
      <c r="S963" t="s">
        <v>4</v>
      </c>
      <c r="T963" t="s">
        <v>10712</v>
      </c>
      <c r="U963" t="s">
        <v>10713</v>
      </c>
      <c r="V963" t="s">
        <v>10714</v>
      </c>
      <c r="W963" t="s">
        <v>203</v>
      </c>
      <c r="X963" t="s">
        <v>4</v>
      </c>
      <c r="Y963" t="s">
        <v>10715</v>
      </c>
      <c r="Z963" t="s">
        <v>10716</v>
      </c>
      <c r="AA963" t="s">
        <v>10717</v>
      </c>
      <c r="AB963" t="s">
        <v>4</v>
      </c>
      <c r="AC963" s="3" t="s">
        <v>10718</v>
      </c>
      <c r="AD963" t="s">
        <v>4</v>
      </c>
      <c r="AE963" t="s">
        <v>10012</v>
      </c>
      <c r="AF963" t="s">
        <v>10719</v>
      </c>
      <c r="AG963" t="s">
        <v>9792</v>
      </c>
      <c r="AH963" t="s">
        <v>112</v>
      </c>
      <c r="AK963" t="s">
        <v>10015</v>
      </c>
      <c r="AL963" t="s">
        <v>10016</v>
      </c>
      <c r="AM963" t="s">
        <v>10017</v>
      </c>
      <c r="AN963" t="s">
        <v>10018</v>
      </c>
      <c r="AO963" t="s">
        <v>10019</v>
      </c>
      <c r="AP963" t="s">
        <v>10020</v>
      </c>
      <c r="AQ963" t="s">
        <v>10021</v>
      </c>
      <c r="AU963" t="s">
        <v>112</v>
      </c>
      <c r="AV963" t="s">
        <v>10022</v>
      </c>
      <c r="AW963" t="s">
        <v>114</v>
      </c>
      <c r="AX963" t="s">
        <v>1096</v>
      </c>
      <c r="AY963" t="s">
        <v>10023</v>
      </c>
      <c r="AZ963" t="s">
        <v>4</v>
      </c>
      <c r="BA963" s="3" t="s">
        <v>95</v>
      </c>
      <c r="BB963" s="6" t="s">
        <v>95</v>
      </c>
      <c r="BC963" s="3" t="s">
        <v>95</v>
      </c>
      <c r="BD963" t="s">
        <v>4</v>
      </c>
      <c r="BE963">
        <v>7886</v>
      </c>
      <c r="BF963" t="s">
        <v>213</v>
      </c>
      <c r="BG963">
        <v>96.707099999999997</v>
      </c>
      <c r="BH963">
        <v>28.0763</v>
      </c>
      <c r="BI963" t="s">
        <v>10720</v>
      </c>
      <c r="BM963" t="s">
        <v>10721</v>
      </c>
      <c r="BN963">
        <v>69.497399999999999</v>
      </c>
      <c r="BO963">
        <v>53.726199999999999</v>
      </c>
      <c r="BQ963">
        <v>45.580599999999997</v>
      </c>
      <c r="BR963">
        <v>42.460999999999999</v>
      </c>
      <c r="BS963" t="s">
        <v>10722</v>
      </c>
      <c r="BT963">
        <v>43.500900000000001</v>
      </c>
      <c r="BU963" t="s">
        <v>10723</v>
      </c>
      <c r="BV963" t="s">
        <v>10724</v>
      </c>
      <c r="BW963">
        <v>41.594499999999996</v>
      </c>
      <c r="BX963">
        <v>47.1404</v>
      </c>
      <c r="BY963">
        <v>18.197600000000001</v>
      </c>
      <c r="BZ963">
        <v>18.197600000000001</v>
      </c>
      <c r="CA963">
        <v>46.620399999999997</v>
      </c>
      <c r="CB963">
        <v>10.9185</v>
      </c>
      <c r="CC963">
        <v>33.1023</v>
      </c>
      <c r="CG963" t="s">
        <v>10725</v>
      </c>
      <c r="CH963" t="s">
        <v>10726</v>
      </c>
      <c r="CI963" t="s">
        <v>10727</v>
      </c>
      <c r="CK963">
        <v>8</v>
      </c>
      <c r="CL963" t="s">
        <v>4</v>
      </c>
      <c r="CM963" t="s">
        <v>10728</v>
      </c>
      <c r="CN963" t="s">
        <v>10729</v>
      </c>
      <c r="CO963" t="s">
        <v>219</v>
      </c>
      <c r="CP963" s="7">
        <v>437</v>
      </c>
      <c r="CQ963" t="s">
        <v>100</v>
      </c>
      <c r="CR963" t="s">
        <v>100</v>
      </c>
      <c r="CS963" t="s">
        <v>101</v>
      </c>
      <c r="CT963" t="s">
        <v>100</v>
      </c>
      <c r="CU963" t="s">
        <v>102</v>
      </c>
      <c r="CV963" t="s">
        <v>100</v>
      </c>
    </row>
    <row r="964" spans="1:100">
      <c r="A964" s="3" t="s">
        <v>10730</v>
      </c>
      <c r="B964" s="4" t="s">
        <v>10731</v>
      </c>
      <c r="C964">
        <v>120.373837793806</v>
      </c>
      <c r="D964">
        <v>35.148183865067203</v>
      </c>
      <c r="E964">
        <v>1.77938585041858</v>
      </c>
      <c r="F964">
        <v>4.4388977591718302E-3</v>
      </c>
      <c r="G964" t="s">
        <v>4</v>
      </c>
      <c r="H964">
        <v>120.373837793806</v>
      </c>
      <c r="I964">
        <v>22.117048499780701</v>
      </c>
      <c r="J964">
        <v>2.43530593926649</v>
      </c>
      <c r="K964" s="5">
        <v>8.9394181858672495E-5</v>
      </c>
      <c r="L964" t="s">
        <v>4</v>
      </c>
      <c r="M964">
        <v>35.148183865067203</v>
      </c>
      <c r="N964">
        <v>22.117048499780701</v>
      </c>
      <c r="O964">
        <v>0.65592008884791397</v>
      </c>
      <c r="P964">
        <v>0.35344321698368902</v>
      </c>
      <c r="Q964" t="s">
        <v>4</v>
      </c>
      <c r="R964" s="4" t="s">
        <v>87</v>
      </c>
      <c r="S964" t="s">
        <v>4</v>
      </c>
      <c r="T964" t="s">
        <v>92</v>
      </c>
      <c r="U964" t="s">
        <v>92</v>
      </c>
      <c r="V964" t="s">
        <v>92</v>
      </c>
      <c r="W964" t="s">
        <v>92</v>
      </c>
      <c r="X964" t="s">
        <v>4</v>
      </c>
      <c r="Y964" t="s">
        <v>92</v>
      </c>
      <c r="Z964" t="s">
        <v>92</v>
      </c>
      <c r="AA964" t="s">
        <v>92</v>
      </c>
      <c r="AB964" t="s">
        <v>4</v>
      </c>
      <c r="AC964" s="3" t="s">
        <v>93</v>
      </c>
      <c r="AD964" t="s">
        <v>4</v>
      </c>
      <c r="AE964" t="s">
        <v>10732</v>
      </c>
      <c r="AF964" t="s">
        <v>10733</v>
      </c>
      <c r="AG964" t="s">
        <v>10734</v>
      </c>
      <c r="AH964" t="s">
        <v>112</v>
      </c>
      <c r="AU964" t="s">
        <v>112</v>
      </c>
      <c r="AV964" t="s">
        <v>10735</v>
      </c>
      <c r="AW964" t="s">
        <v>114</v>
      </c>
      <c r="AZ964" t="s">
        <v>4</v>
      </c>
      <c r="BA964" s="3" t="s">
        <v>95</v>
      </c>
      <c r="BB964" s="6" t="s">
        <v>95</v>
      </c>
      <c r="BC964" s="3" t="s">
        <v>197</v>
      </c>
      <c r="BD964" t="s">
        <v>4</v>
      </c>
      <c r="BE964">
        <v>4926</v>
      </c>
      <c r="BF964" t="s">
        <v>282</v>
      </c>
      <c r="BG964">
        <v>95.399199999999993</v>
      </c>
      <c r="BH964">
        <v>96.887699999999995</v>
      </c>
      <c r="BI964">
        <v>87.550700000000006</v>
      </c>
      <c r="BL964">
        <v>59.134</v>
      </c>
      <c r="BM964">
        <v>62.5169</v>
      </c>
      <c r="BN964">
        <v>67.523700000000005</v>
      </c>
      <c r="BO964">
        <v>68.200299999999999</v>
      </c>
      <c r="BP964">
        <v>39.242199999999997</v>
      </c>
      <c r="BQ964">
        <v>22.056799999999999</v>
      </c>
      <c r="BX964">
        <v>26.792999999999999</v>
      </c>
      <c r="CA964">
        <v>19.3505</v>
      </c>
      <c r="CB964">
        <v>17.997299999999999</v>
      </c>
      <c r="CC964">
        <v>18.538599999999999</v>
      </c>
      <c r="CD964">
        <v>18.403199999999998</v>
      </c>
      <c r="CK964">
        <v>6</v>
      </c>
      <c r="CL964" t="s">
        <v>4</v>
      </c>
      <c r="CM964" t="s">
        <v>10736</v>
      </c>
      <c r="CN964" t="s">
        <v>10737</v>
      </c>
      <c r="CO964" t="s">
        <v>219</v>
      </c>
      <c r="CP964" s="7">
        <v>440</v>
      </c>
      <c r="CQ964" t="s">
        <v>100</v>
      </c>
      <c r="CR964" t="s">
        <v>100</v>
      </c>
      <c r="CS964" t="s">
        <v>101</v>
      </c>
      <c r="CT964" t="s">
        <v>100</v>
      </c>
      <c r="CU964" t="s">
        <v>102</v>
      </c>
      <c r="CV964" t="s">
        <v>100</v>
      </c>
    </row>
    <row r="965" spans="1:100">
      <c r="A965" s="3" t="s">
        <v>10738</v>
      </c>
      <c r="B965" s="4" t="s">
        <v>10739</v>
      </c>
      <c r="C965">
        <v>73.522011774974899</v>
      </c>
      <c r="D965">
        <v>18.082003543929702</v>
      </c>
      <c r="E965">
        <v>2.0316668840765799</v>
      </c>
      <c r="F965">
        <v>2.0967346204702302E-2</v>
      </c>
      <c r="G965" t="s">
        <v>4</v>
      </c>
      <c r="H965">
        <v>73.522011774974899</v>
      </c>
      <c r="I965">
        <v>13.865144855228399</v>
      </c>
      <c r="J965">
        <v>2.4220875666543402</v>
      </c>
      <c r="K965">
        <v>5.3533850881798701E-3</v>
      </c>
      <c r="L965" t="s">
        <v>4</v>
      </c>
      <c r="M965">
        <v>18.082003543929702</v>
      </c>
      <c r="N965">
        <v>13.865144855228399</v>
      </c>
      <c r="O965">
        <v>0.39042068257776502</v>
      </c>
      <c r="P965">
        <v>0.71234908893951698</v>
      </c>
      <c r="Q965" t="s">
        <v>4</v>
      </c>
      <c r="R965" s="4" t="s">
        <v>87</v>
      </c>
      <c r="S965" t="s">
        <v>4</v>
      </c>
      <c r="T965" t="s">
        <v>2606</v>
      </c>
      <c r="U965" t="s">
        <v>2607</v>
      </c>
      <c r="V965" t="s">
        <v>2608</v>
      </c>
      <c r="W965" t="s">
        <v>203</v>
      </c>
      <c r="X965" t="s">
        <v>4</v>
      </c>
      <c r="Y965" t="s">
        <v>2609</v>
      </c>
      <c r="Z965" t="s">
        <v>2610</v>
      </c>
      <c r="AA965" t="s">
        <v>2611</v>
      </c>
      <c r="AB965" t="s">
        <v>4</v>
      </c>
      <c r="AC965" s="3" t="s">
        <v>2612</v>
      </c>
      <c r="AD965" t="s">
        <v>4</v>
      </c>
      <c r="AE965" t="s">
        <v>10740</v>
      </c>
      <c r="AF965" t="s">
        <v>10741</v>
      </c>
      <c r="AG965" t="s">
        <v>10742</v>
      </c>
      <c r="AH965" t="s">
        <v>314</v>
      </c>
      <c r="AU965" t="s">
        <v>112</v>
      </c>
      <c r="AV965" t="s">
        <v>10743</v>
      </c>
      <c r="AW965" t="s">
        <v>114</v>
      </c>
      <c r="AX965" t="s">
        <v>536</v>
      </c>
      <c r="AY965" t="s">
        <v>10744</v>
      </c>
      <c r="AZ965" t="s">
        <v>4</v>
      </c>
      <c r="BA965" s="3" t="s">
        <v>95</v>
      </c>
      <c r="BB965" s="6" t="s">
        <v>95</v>
      </c>
      <c r="BC965" s="3" t="s">
        <v>197</v>
      </c>
      <c r="BD965" t="s">
        <v>4</v>
      </c>
      <c r="BE965">
        <v>3893</v>
      </c>
      <c r="BF965" t="s">
        <v>112</v>
      </c>
      <c r="BI965">
        <v>95.757599999999996</v>
      </c>
      <c r="BR965" t="s">
        <v>10745</v>
      </c>
      <c r="BS965">
        <v>19.090900000000001</v>
      </c>
      <c r="BY965">
        <v>18.7879</v>
      </c>
      <c r="CA965">
        <v>23.333300000000001</v>
      </c>
      <c r="CB965">
        <v>6.0606099999999996</v>
      </c>
      <c r="CD965">
        <v>9.6969700000000003</v>
      </c>
      <c r="CF965" t="s">
        <v>10746</v>
      </c>
      <c r="CG965" t="s">
        <v>10747</v>
      </c>
      <c r="CH965" t="s">
        <v>10748</v>
      </c>
      <c r="CI965" t="s">
        <v>10749</v>
      </c>
      <c r="CK965">
        <v>5</v>
      </c>
      <c r="CL965" t="s">
        <v>4</v>
      </c>
      <c r="CM965" t="s">
        <v>10750</v>
      </c>
      <c r="CN965" t="s">
        <v>3392</v>
      </c>
      <c r="CO965" t="s">
        <v>99</v>
      </c>
      <c r="CP965" s="7">
        <v>442</v>
      </c>
      <c r="CQ965" t="s">
        <v>100</v>
      </c>
      <c r="CR965" t="s">
        <v>100</v>
      </c>
      <c r="CS965" t="s">
        <v>101</v>
      </c>
      <c r="CT965" t="s">
        <v>100</v>
      </c>
      <c r="CU965" t="s">
        <v>102</v>
      </c>
      <c r="CV965" t="s">
        <v>100</v>
      </c>
    </row>
    <row r="966" spans="1:100">
      <c r="A966" s="3" t="s">
        <v>10751</v>
      </c>
      <c r="B966" s="4" t="s">
        <v>10752</v>
      </c>
      <c r="C966">
        <v>26.250562013990798</v>
      </c>
      <c r="D966">
        <v>8.2269833485810793</v>
      </c>
      <c r="E966">
        <v>1.69386056551072</v>
      </c>
      <c r="F966">
        <v>3.5441469436687301E-2</v>
      </c>
      <c r="G966" t="s">
        <v>4</v>
      </c>
      <c r="H966">
        <v>26.250562013990798</v>
      </c>
      <c r="I966">
        <v>5.0466603295118402</v>
      </c>
      <c r="J966">
        <v>2.3894322754473198</v>
      </c>
      <c r="K966">
        <v>5.0919796267188599E-3</v>
      </c>
      <c r="L966" t="s">
        <v>4</v>
      </c>
      <c r="M966">
        <v>8.2269833485810793</v>
      </c>
      <c r="N966">
        <v>5.0466603295118402</v>
      </c>
      <c r="O966">
        <v>0.69557170993659501</v>
      </c>
      <c r="P966">
        <v>0.48786531841890002</v>
      </c>
      <c r="Q966" t="s">
        <v>4</v>
      </c>
      <c r="R966" s="4" t="s">
        <v>87</v>
      </c>
      <c r="S966" t="s">
        <v>4</v>
      </c>
      <c r="T966" t="s">
        <v>92</v>
      </c>
      <c r="U966" t="s">
        <v>92</v>
      </c>
      <c r="V966" t="s">
        <v>92</v>
      </c>
      <c r="W966" t="s">
        <v>92</v>
      </c>
      <c r="X966" t="s">
        <v>4</v>
      </c>
      <c r="Y966" t="s">
        <v>769</v>
      </c>
      <c r="Z966" t="s">
        <v>770</v>
      </c>
      <c r="AA966" t="s">
        <v>771</v>
      </c>
      <c r="AB966" t="s">
        <v>4</v>
      </c>
      <c r="AC966" s="3" t="s">
        <v>93</v>
      </c>
      <c r="AD966" t="s">
        <v>4</v>
      </c>
      <c r="AE966" t="s">
        <v>772</v>
      </c>
      <c r="AF966" t="s">
        <v>10753</v>
      </c>
      <c r="AG966" t="s">
        <v>10754</v>
      </c>
      <c r="AH966" t="s">
        <v>314</v>
      </c>
      <c r="AU966" t="s">
        <v>112</v>
      </c>
      <c r="AV966" t="s">
        <v>775</v>
      </c>
      <c r="AW966" t="s">
        <v>114</v>
      </c>
      <c r="AZ966" t="s">
        <v>4</v>
      </c>
      <c r="BA966" s="3" t="s">
        <v>95</v>
      </c>
      <c r="BB966" s="6" t="s">
        <v>95</v>
      </c>
      <c r="BC966" s="3" t="s">
        <v>95</v>
      </c>
      <c r="BD966" t="s">
        <v>4</v>
      </c>
      <c r="BE966">
        <v>8386</v>
      </c>
      <c r="BF966" t="s">
        <v>213</v>
      </c>
      <c r="BH966">
        <v>20.2667</v>
      </c>
      <c r="BJ966">
        <v>9.0666700000000002</v>
      </c>
      <c r="BR966">
        <v>8</v>
      </c>
      <c r="BS966">
        <v>14.2667</v>
      </c>
      <c r="BU966">
        <v>6.6666699999999999</v>
      </c>
      <c r="BV966">
        <v>6.4</v>
      </c>
      <c r="BW966" t="s">
        <v>10755</v>
      </c>
      <c r="BX966">
        <v>1.2</v>
      </c>
      <c r="BY966">
        <v>1.3333299999999999</v>
      </c>
      <c r="BZ966">
        <v>0.93333299999999997</v>
      </c>
      <c r="CK966">
        <v>8</v>
      </c>
      <c r="CL966" t="s">
        <v>4</v>
      </c>
      <c r="CM966" t="s">
        <v>98</v>
      </c>
      <c r="CN966" t="s">
        <v>98</v>
      </c>
      <c r="CO966" t="s">
        <v>99</v>
      </c>
      <c r="CP966" s="7">
        <v>445</v>
      </c>
      <c r="CQ966" t="s">
        <v>100</v>
      </c>
      <c r="CR966" t="s">
        <v>100</v>
      </c>
      <c r="CS966" t="s">
        <v>101</v>
      </c>
      <c r="CT966" t="s">
        <v>100</v>
      </c>
      <c r="CU966" t="s">
        <v>102</v>
      </c>
      <c r="CV966" t="s">
        <v>100</v>
      </c>
    </row>
    <row r="967" spans="1:100">
      <c r="A967" s="3" t="s">
        <v>10756</v>
      </c>
      <c r="B967" s="4" t="s">
        <v>10757</v>
      </c>
      <c r="C967">
        <v>101.97406852867699</v>
      </c>
      <c r="D967">
        <v>27.786771427526499</v>
      </c>
      <c r="E967">
        <v>1.87749271630762</v>
      </c>
      <c r="F967">
        <v>2.55702896653323E-3</v>
      </c>
      <c r="G967" t="s">
        <v>4</v>
      </c>
      <c r="H967">
        <v>101.97406852867699</v>
      </c>
      <c r="I967">
        <v>19.768892763167401</v>
      </c>
      <c r="J967">
        <v>2.38806794843424</v>
      </c>
      <c r="K967">
        <v>1.26812384377385E-4</v>
      </c>
      <c r="L967" t="s">
        <v>4</v>
      </c>
      <c r="M967">
        <v>27.786771427526499</v>
      </c>
      <c r="N967">
        <v>19.768892763167401</v>
      </c>
      <c r="O967">
        <v>0.51057523212662603</v>
      </c>
      <c r="P967">
        <v>0.48309052432983801</v>
      </c>
      <c r="Q967" t="s">
        <v>4</v>
      </c>
      <c r="R967" s="4" t="s">
        <v>87</v>
      </c>
      <c r="S967" t="s">
        <v>4</v>
      </c>
      <c r="T967" t="s">
        <v>10758</v>
      </c>
      <c r="U967" t="s">
        <v>10759</v>
      </c>
      <c r="V967" t="s">
        <v>10760</v>
      </c>
      <c r="W967" t="s">
        <v>123</v>
      </c>
      <c r="X967" t="s">
        <v>4</v>
      </c>
      <c r="Y967" t="s">
        <v>10761</v>
      </c>
      <c r="Z967" t="s">
        <v>10762</v>
      </c>
      <c r="AA967" t="s">
        <v>10763</v>
      </c>
      <c r="AB967" t="s">
        <v>4</v>
      </c>
      <c r="AC967" s="3" t="s">
        <v>10764</v>
      </c>
      <c r="AD967" t="s">
        <v>4</v>
      </c>
      <c r="AE967" t="s">
        <v>10765</v>
      </c>
      <c r="AF967" t="s">
        <v>10766</v>
      </c>
      <c r="AG967" t="s">
        <v>10767</v>
      </c>
      <c r="AH967" t="s">
        <v>638</v>
      </c>
      <c r="AJ967" t="s">
        <v>10768</v>
      </c>
      <c r="AU967" t="s">
        <v>112</v>
      </c>
      <c r="AV967" t="s">
        <v>10769</v>
      </c>
      <c r="AW967" t="s">
        <v>114</v>
      </c>
      <c r="AX967" t="s">
        <v>536</v>
      </c>
      <c r="AY967" t="s">
        <v>10770</v>
      </c>
      <c r="AZ967" t="s">
        <v>4</v>
      </c>
      <c r="BA967" s="3" t="s">
        <v>115</v>
      </c>
      <c r="BB967" s="6" t="s">
        <v>95</v>
      </c>
      <c r="BC967" s="3" t="s">
        <v>95</v>
      </c>
      <c r="BD967" t="s">
        <v>4</v>
      </c>
      <c r="BE967">
        <v>6275</v>
      </c>
      <c r="BF967" t="s">
        <v>213</v>
      </c>
      <c r="BG967">
        <v>75.895799999999994</v>
      </c>
      <c r="BM967">
        <v>12.215</v>
      </c>
      <c r="BO967">
        <v>16.612400000000001</v>
      </c>
      <c r="CE967">
        <v>8.4690600000000007</v>
      </c>
      <c r="CG967" t="s">
        <v>10771</v>
      </c>
      <c r="CH967" t="s">
        <v>10772</v>
      </c>
      <c r="CI967">
        <v>13.1922</v>
      </c>
      <c r="CK967">
        <v>8</v>
      </c>
      <c r="CL967" t="s">
        <v>4</v>
      </c>
      <c r="CM967" t="s">
        <v>98</v>
      </c>
      <c r="CN967" t="s">
        <v>98</v>
      </c>
      <c r="CO967" t="s">
        <v>99</v>
      </c>
      <c r="CP967" s="7">
        <v>447</v>
      </c>
      <c r="CQ967" t="s">
        <v>100</v>
      </c>
      <c r="CR967" t="s">
        <v>100</v>
      </c>
      <c r="CS967" t="s">
        <v>101</v>
      </c>
      <c r="CT967" t="s">
        <v>100</v>
      </c>
      <c r="CU967" t="s">
        <v>102</v>
      </c>
      <c r="CV967" t="s">
        <v>100</v>
      </c>
    </row>
    <row r="968" spans="1:100">
      <c r="A968" s="3" t="s">
        <v>10773</v>
      </c>
      <c r="B968" s="4" t="s">
        <v>10774</v>
      </c>
      <c r="C968">
        <v>27.922978407965601</v>
      </c>
      <c r="D968">
        <v>7.9433310737863696</v>
      </c>
      <c r="E968">
        <v>1.8332512875270199</v>
      </c>
      <c r="F968">
        <v>3.1431275740579301E-2</v>
      </c>
      <c r="G968" t="s">
        <v>4</v>
      </c>
      <c r="H968">
        <v>27.922978407965601</v>
      </c>
      <c r="I968">
        <v>5.6460043195984797</v>
      </c>
      <c r="J968">
        <v>2.38501471475946</v>
      </c>
      <c r="K968">
        <v>7.1344222253887897E-3</v>
      </c>
      <c r="L968" t="s">
        <v>4</v>
      </c>
      <c r="M968">
        <v>7.9433310737863696</v>
      </c>
      <c r="N968">
        <v>5.6460043195984797</v>
      </c>
      <c r="O968">
        <v>0.55176342723244498</v>
      </c>
      <c r="P968">
        <v>0.60826581802659996</v>
      </c>
      <c r="Q968" t="s">
        <v>4</v>
      </c>
      <c r="R968" s="4" t="s">
        <v>87</v>
      </c>
      <c r="S968" t="s">
        <v>4</v>
      </c>
      <c r="T968" t="s">
        <v>92</v>
      </c>
      <c r="U968" t="s">
        <v>92</v>
      </c>
      <c r="V968" t="s">
        <v>92</v>
      </c>
      <c r="W968" t="s">
        <v>92</v>
      </c>
      <c r="X968" t="s">
        <v>4</v>
      </c>
      <c r="Y968" t="s">
        <v>92</v>
      </c>
      <c r="Z968" t="s">
        <v>92</v>
      </c>
      <c r="AA968" t="s">
        <v>92</v>
      </c>
      <c r="AB968" t="s">
        <v>4</v>
      </c>
      <c r="AC968" s="3" t="s">
        <v>93</v>
      </c>
      <c r="AD968" t="s">
        <v>4</v>
      </c>
      <c r="AE968" s="4" t="s">
        <v>94</v>
      </c>
      <c r="AZ968" t="s">
        <v>4</v>
      </c>
      <c r="BA968" s="3" t="s">
        <v>95</v>
      </c>
      <c r="BB968" s="6" t="s">
        <v>95</v>
      </c>
      <c r="BC968" s="3" t="s">
        <v>95</v>
      </c>
      <c r="BD968" t="s">
        <v>4</v>
      </c>
      <c r="BE968">
        <v>979</v>
      </c>
      <c r="BF968" t="s">
        <v>151</v>
      </c>
      <c r="BG968">
        <v>99.401200000000003</v>
      </c>
      <c r="BI968">
        <v>73.652699999999996</v>
      </c>
      <c r="CK968">
        <v>2</v>
      </c>
      <c r="CL968" t="s">
        <v>4</v>
      </c>
      <c r="CM968" t="s">
        <v>98</v>
      </c>
      <c r="CN968" t="s">
        <v>98</v>
      </c>
      <c r="CO968" t="s">
        <v>99</v>
      </c>
      <c r="CP968" s="7">
        <v>448</v>
      </c>
      <c r="CQ968" t="s">
        <v>100</v>
      </c>
      <c r="CR968" t="s">
        <v>100</v>
      </c>
      <c r="CS968" t="s">
        <v>101</v>
      </c>
      <c r="CT968" t="s">
        <v>100</v>
      </c>
      <c r="CU968" t="s">
        <v>102</v>
      </c>
      <c r="CV968" t="s">
        <v>100</v>
      </c>
    </row>
    <row r="969" spans="1:100">
      <c r="A969" s="3" t="s">
        <v>10775</v>
      </c>
      <c r="B969" s="4" t="s">
        <v>10776</v>
      </c>
      <c r="C969">
        <v>34.657213875516</v>
      </c>
      <c r="D969">
        <v>11.663513354427399</v>
      </c>
      <c r="E969">
        <v>1.5804502252516499</v>
      </c>
      <c r="F969">
        <v>4.77925486689664E-2</v>
      </c>
      <c r="G969" t="s">
        <v>4</v>
      </c>
      <c r="H969">
        <v>34.657213875516</v>
      </c>
      <c r="I969">
        <v>6.9446510004118904</v>
      </c>
      <c r="J969">
        <v>2.3655468717089398</v>
      </c>
      <c r="K969">
        <v>4.2608920315376402E-3</v>
      </c>
      <c r="L969" t="s">
        <v>4</v>
      </c>
      <c r="M969">
        <v>11.663513354427399</v>
      </c>
      <c r="N969">
        <v>6.9446510004118904</v>
      </c>
      <c r="O969">
        <v>0.78509664645728505</v>
      </c>
      <c r="P969">
        <v>0.407573630194282</v>
      </c>
      <c r="Q969" t="s">
        <v>4</v>
      </c>
      <c r="R969" s="4" t="s">
        <v>87</v>
      </c>
      <c r="S969" t="s">
        <v>4</v>
      </c>
      <c r="T969" t="s">
        <v>460</v>
      </c>
      <c r="U969" t="s">
        <v>461</v>
      </c>
      <c r="V969" t="s">
        <v>462</v>
      </c>
      <c r="W969" t="s">
        <v>123</v>
      </c>
      <c r="X969" t="s">
        <v>4</v>
      </c>
      <c r="Y969" t="s">
        <v>6643</v>
      </c>
      <c r="Z969" t="s">
        <v>6644</v>
      </c>
      <c r="AA969" t="s">
        <v>6645</v>
      </c>
      <c r="AB969" t="s">
        <v>4</v>
      </c>
      <c r="AC969" s="3" t="s">
        <v>93</v>
      </c>
      <c r="AD969" t="s">
        <v>4</v>
      </c>
      <c r="AE969" s="4" t="s">
        <v>94</v>
      </c>
      <c r="AZ969" t="s">
        <v>4</v>
      </c>
      <c r="BA969" s="3" t="s">
        <v>95</v>
      </c>
      <c r="BB969" s="6" t="s">
        <v>95</v>
      </c>
      <c r="BC969" s="3" t="s">
        <v>95</v>
      </c>
      <c r="BD969" t="s">
        <v>4</v>
      </c>
      <c r="BE969">
        <v>2223</v>
      </c>
      <c r="BF969" t="s">
        <v>148</v>
      </c>
      <c r="BG969">
        <v>70.833299999999994</v>
      </c>
      <c r="BI969">
        <v>33.928600000000003</v>
      </c>
      <c r="BJ969">
        <v>36.3095</v>
      </c>
      <c r="CK969">
        <v>3</v>
      </c>
      <c r="CL969" t="s">
        <v>4</v>
      </c>
      <c r="CM969" t="s">
        <v>98</v>
      </c>
      <c r="CN969" t="s">
        <v>98</v>
      </c>
      <c r="CO969" t="s">
        <v>99</v>
      </c>
      <c r="CP969" s="7">
        <v>449</v>
      </c>
      <c r="CQ969" t="s">
        <v>100</v>
      </c>
      <c r="CR969" t="s">
        <v>100</v>
      </c>
      <c r="CS969" t="s">
        <v>101</v>
      </c>
      <c r="CT969" t="s">
        <v>100</v>
      </c>
      <c r="CU969" t="s">
        <v>102</v>
      </c>
      <c r="CV969" t="s">
        <v>100</v>
      </c>
    </row>
    <row r="970" spans="1:100">
      <c r="A970" s="3" t="s">
        <v>10777</v>
      </c>
      <c r="B970" s="4" t="s">
        <v>10778</v>
      </c>
      <c r="C970">
        <v>52.866553361721998</v>
      </c>
      <c r="D970">
        <v>19.557653884993499</v>
      </c>
      <c r="E970">
        <v>1.4444681609847501</v>
      </c>
      <c r="F970">
        <v>3.8973070390264299E-2</v>
      </c>
      <c r="G970" t="s">
        <v>4</v>
      </c>
      <c r="H970">
        <v>52.866553361721998</v>
      </c>
      <c r="I970">
        <v>10.3688355084716</v>
      </c>
      <c r="J970">
        <v>2.3603481992602999</v>
      </c>
      <c r="K970">
        <v>9.5951770634317005E-4</v>
      </c>
      <c r="L970" t="s">
        <v>4</v>
      </c>
      <c r="M970">
        <v>19.557653884993499</v>
      </c>
      <c r="N970">
        <v>10.3688355084716</v>
      </c>
      <c r="O970">
        <v>0.91588003827554498</v>
      </c>
      <c r="P970">
        <v>0.24815298702209901</v>
      </c>
      <c r="Q970" t="s">
        <v>4</v>
      </c>
      <c r="R970" s="4" t="s">
        <v>87</v>
      </c>
      <c r="S970" t="s">
        <v>4</v>
      </c>
      <c r="T970" t="s">
        <v>460</v>
      </c>
      <c r="U970" t="s">
        <v>461</v>
      </c>
      <c r="V970" t="s">
        <v>462</v>
      </c>
      <c r="W970" t="s">
        <v>123</v>
      </c>
      <c r="X970" t="s">
        <v>4</v>
      </c>
      <c r="Y970" t="s">
        <v>463</v>
      </c>
      <c r="Z970" t="s">
        <v>464</v>
      </c>
      <c r="AA970" t="s">
        <v>465</v>
      </c>
      <c r="AB970" t="s">
        <v>4</v>
      </c>
      <c r="AC970" s="3" t="s">
        <v>93</v>
      </c>
      <c r="AD970" t="s">
        <v>4</v>
      </c>
      <c r="AE970" t="s">
        <v>6411</v>
      </c>
      <c r="AF970" t="s">
        <v>10779</v>
      </c>
      <c r="AG970" t="s">
        <v>7868</v>
      </c>
      <c r="AH970" t="s">
        <v>169</v>
      </c>
      <c r="AU970" t="s">
        <v>112</v>
      </c>
      <c r="AV970" t="s">
        <v>470</v>
      </c>
      <c r="AW970" t="s">
        <v>114</v>
      </c>
      <c r="AX970" t="s">
        <v>144</v>
      </c>
      <c r="AY970" t="s">
        <v>471</v>
      </c>
      <c r="AZ970" t="s">
        <v>4</v>
      </c>
      <c r="BA970" s="3" t="s">
        <v>95</v>
      </c>
      <c r="BB970" s="6" t="s">
        <v>95</v>
      </c>
      <c r="BC970" s="3" t="s">
        <v>197</v>
      </c>
      <c r="BD970" t="s">
        <v>4</v>
      </c>
      <c r="BE970">
        <v>1570</v>
      </c>
      <c r="BF970" t="s">
        <v>151</v>
      </c>
      <c r="CK970">
        <v>2</v>
      </c>
      <c r="CL970" t="s">
        <v>4</v>
      </c>
      <c r="CM970" t="s">
        <v>98</v>
      </c>
      <c r="CN970" t="s">
        <v>98</v>
      </c>
      <c r="CO970" t="s">
        <v>99</v>
      </c>
      <c r="CP970" s="7">
        <v>450</v>
      </c>
      <c r="CQ970" t="s">
        <v>100</v>
      </c>
      <c r="CR970" t="s">
        <v>100</v>
      </c>
      <c r="CS970" t="s">
        <v>101</v>
      </c>
      <c r="CT970" t="s">
        <v>100</v>
      </c>
      <c r="CU970" t="s">
        <v>102</v>
      </c>
      <c r="CV970" t="s">
        <v>100</v>
      </c>
    </row>
    <row r="971" spans="1:100">
      <c r="A971" s="3" t="s">
        <v>10780</v>
      </c>
      <c r="B971" s="4" t="s">
        <v>10781</v>
      </c>
      <c r="C971">
        <v>101.435388342812</v>
      </c>
      <c r="D971">
        <v>29.71191626904</v>
      </c>
      <c r="E971">
        <v>1.7690683368486499</v>
      </c>
      <c r="F971">
        <v>5.2596580133849305E-4</v>
      </c>
      <c r="G971" t="s">
        <v>4</v>
      </c>
      <c r="H971">
        <v>101.435388342812</v>
      </c>
      <c r="I971">
        <v>20.375386079072399</v>
      </c>
      <c r="J971">
        <v>2.3403544756285499</v>
      </c>
      <c r="K971" s="5">
        <v>6.9050479660919002E-6</v>
      </c>
      <c r="L971" t="s">
        <v>4</v>
      </c>
      <c r="M971">
        <v>29.71191626904</v>
      </c>
      <c r="N971">
        <v>20.375386079072399</v>
      </c>
      <c r="O971">
        <v>0.57128613877990098</v>
      </c>
      <c r="P971">
        <v>0.34345064501280798</v>
      </c>
      <c r="Q971" t="s">
        <v>4</v>
      </c>
      <c r="R971" s="4" t="s">
        <v>87</v>
      </c>
      <c r="S971" t="s">
        <v>4</v>
      </c>
      <c r="T971" t="s">
        <v>7772</v>
      </c>
      <c r="U971" t="s">
        <v>7773</v>
      </c>
      <c r="V971" t="s">
        <v>7774</v>
      </c>
      <c r="W971" t="s">
        <v>123</v>
      </c>
      <c r="X971" t="s">
        <v>4</v>
      </c>
      <c r="Y971" t="s">
        <v>10782</v>
      </c>
      <c r="Z971" t="s">
        <v>10783</v>
      </c>
      <c r="AA971" t="s">
        <v>10784</v>
      </c>
      <c r="AB971" t="s">
        <v>4</v>
      </c>
      <c r="AC971" s="3" t="s">
        <v>10785</v>
      </c>
      <c r="AD971" t="s">
        <v>4</v>
      </c>
      <c r="AE971" t="s">
        <v>10786</v>
      </c>
      <c r="AF971" t="s">
        <v>10787</v>
      </c>
      <c r="AG971" t="s">
        <v>10788</v>
      </c>
      <c r="AH971" t="s">
        <v>638</v>
      </c>
      <c r="AU971" t="s">
        <v>112</v>
      </c>
      <c r="AV971" t="s">
        <v>10789</v>
      </c>
      <c r="AW971" t="s">
        <v>114</v>
      </c>
      <c r="AX971" t="s">
        <v>596</v>
      </c>
      <c r="AY971" t="s">
        <v>10790</v>
      </c>
      <c r="AZ971" t="s">
        <v>4</v>
      </c>
      <c r="BA971" s="3" t="s">
        <v>95</v>
      </c>
      <c r="BB971" s="6" t="s">
        <v>95</v>
      </c>
      <c r="BC971" s="3" t="s">
        <v>95</v>
      </c>
      <c r="BD971" t="s">
        <v>4</v>
      </c>
      <c r="BE971">
        <v>5898</v>
      </c>
      <c r="BF971" t="s">
        <v>213</v>
      </c>
      <c r="BG971">
        <v>62</v>
      </c>
      <c r="BH971">
        <v>76.5</v>
      </c>
      <c r="BI971">
        <v>70</v>
      </c>
      <c r="BL971" t="s">
        <v>10791</v>
      </c>
      <c r="BM971">
        <v>36.25</v>
      </c>
      <c r="BN971">
        <v>53.25</v>
      </c>
      <c r="BO971">
        <v>50</v>
      </c>
      <c r="BP971">
        <v>35.5</v>
      </c>
      <c r="BQ971">
        <v>32.75</v>
      </c>
      <c r="BR971">
        <v>37.75</v>
      </c>
      <c r="BS971">
        <v>36.5</v>
      </c>
      <c r="BT971">
        <v>37</v>
      </c>
      <c r="BV971" t="s">
        <v>10792</v>
      </c>
      <c r="BW971">
        <v>39.5</v>
      </c>
      <c r="BX971">
        <v>39.25</v>
      </c>
      <c r="BZ971">
        <v>39</v>
      </c>
      <c r="CA971">
        <v>39.25</v>
      </c>
      <c r="CB971">
        <v>21.75</v>
      </c>
      <c r="CC971">
        <v>16.5</v>
      </c>
      <c r="CD971">
        <v>26.25</v>
      </c>
      <c r="CI971">
        <v>13.25</v>
      </c>
      <c r="CK971">
        <v>8</v>
      </c>
      <c r="CL971" t="s">
        <v>4</v>
      </c>
      <c r="CM971" t="s">
        <v>10793</v>
      </c>
      <c r="CN971" t="s">
        <v>10794</v>
      </c>
      <c r="CO971" t="s">
        <v>99</v>
      </c>
      <c r="CP971" s="7">
        <v>451</v>
      </c>
      <c r="CQ971" t="s">
        <v>100</v>
      </c>
      <c r="CR971" t="s">
        <v>100</v>
      </c>
      <c r="CS971" t="s">
        <v>101</v>
      </c>
      <c r="CT971" t="s">
        <v>100</v>
      </c>
      <c r="CU971" t="s">
        <v>102</v>
      </c>
      <c r="CV971" t="s">
        <v>100</v>
      </c>
    </row>
    <row r="972" spans="1:100">
      <c r="A972" s="3" t="s">
        <v>10795</v>
      </c>
      <c r="B972" s="4" t="s">
        <v>10796</v>
      </c>
      <c r="C972">
        <v>75.380378525303001</v>
      </c>
      <c r="D972">
        <v>27.475049346124202</v>
      </c>
      <c r="E972">
        <v>1.46046691080883</v>
      </c>
      <c r="F972">
        <v>4.4619508084177799E-2</v>
      </c>
      <c r="G972" t="s">
        <v>4</v>
      </c>
      <c r="H972">
        <v>75.380378525303001</v>
      </c>
      <c r="I972">
        <v>14.9256224444065</v>
      </c>
      <c r="J972">
        <v>2.33983131803285</v>
      </c>
      <c r="K972">
        <v>1.2281930409861E-3</v>
      </c>
      <c r="L972" t="s">
        <v>4</v>
      </c>
      <c r="M972">
        <v>27.475049346124202</v>
      </c>
      <c r="N972">
        <v>14.9256224444065</v>
      </c>
      <c r="O972">
        <v>0.87936440722402398</v>
      </c>
      <c r="P972">
        <v>0.27107677604406599</v>
      </c>
      <c r="Q972" t="s">
        <v>4</v>
      </c>
      <c r="R972" s="4" t="s">
        <v>87</v>
      </c>
      <c r="S972" t="s">
        <v>4</v>
      </c>
      <c r="T972" t="s">
        <v>92</v>
      </c>
      <c r="U972" t="s">
        <v>92</v>
      </c>
      <c r="V972" t="s">
        <v>92</v>
      </c>
      <c r="W972" t="s">
        <v>92</v>
      </c>
      <c r="X972" t="s">
        <v>4</v>
      </c>
      <c r="Y972" t="s">
        <v>10797</v>
      </c>
      <c r="Z972" t="s">
        <v>10798</v>
      </c>
      <c r="AA972" t="s">
        <v>10799</v>
      </c>
      <c r="AB972" t="s">
        <v>4</v>
      </c>
      <c r="AC972" s="3" t="s">
        <v>93</v>
      </c>
      <c r="AD972" t="s">
        <v>4</v>
      </c>
      <c r="AE972" t="s">
        <v>296</v>
      </c>
      <c r="AF972" t="s">
        <v>10800</v>
      </c>
      <c r="AG972" t="s">
        <v>1793</v>
      </c>
      <c r="AH972" t="s">
        <v>112</v>
      </c>
      <c r="AI972" t="s">
        <v>299</v>
      </c>
      <c r="AJ972" t="s">
        <v>300</v>
      </c>
      <c r="AL972" t="s">
        <v>301</v>
      </c>
      <c r="AM972" t="s">
        <v>302</v>
      </c>
      <c r="AQ972" t="s">
        <v>303</v>
      </c>
      <c r="AU972" t="s">
        <v>112</v>
      </c>
      <c r="AV972" t="s">
        <v>304</v>
      </c>
      <c r="AW972" t="s">
        <v>114</v>
      </c>
      <c r="AX972" t="s">
        <v>132</v>
      </c>
      <c r="AY972" t="s">
        <v>305</v>
      </c>
      <c r="AZ972" t="s">
        <v>4</v>
      </c>
      <c r="BA972" s="3" t="s">
        <v>95</v>
      </c>
      <c r="BB972" s="6" t="s">
        <v>95</v>
      </c>
      <c r="BC972" s="3" t="s">
        <v>95</v>
      </c>
      <c r="BD972" t="s">
        <v>4</v>
      </c>
      <c r="BE972">
        <v>1221</v>
      </c>
      <c r="BF972" t="s">
        <v>151</v>
      </c>
      <c r="BG972">
        <v>86.802999999999997</v>
      </c>
      <c r="BH972">
        <v>60.966500000000003</v>
      </c>
      <c r="BI972">
        <v>77.509299999999996</v>
      </c>
      <c r="BJ972">
        <v>23.977699999999999</v>
      </c>
      <c r="BK972" t="s">
        <v>10801</v>
      </c>
      <c r="BL972">
        <v>13.011200000000001</v>
      </c>
      <c r="BM972">
        <v>11.3383</v>
      </c>
      <c r="BN972">
        <v>28.624500000000001</v>
      </c>
      <c r="BO972">
        <v>12.6394</v>
      </c>
      <c r="CK972">
        <v>2</v>
      </c>
      <c r="CL972" t="s">
        <v>4</v>
      </c>
      <c r="CM972" t="s">
        <v>98</v>
      </c>
      <c r="CN972" t="s">
        <v>98</v>
      </c>
      <c r="CO972" t="s">
        <v>99</v>
      </c>
      <c r="CP972" s="7">
        <v>452</v>
      </c>
      <c r="CQ972" t="s">
        <v>100</v>
      </c>
      <c r="CR972" t="s">
        <v>100</v>
      </c>
      <c r="CS972" t="s">
        <v>101</v>
      </c>
      <c r="CT972" t="s">
        <v>100</v>
      </c>
      <c r="CU972" t="s">
        <v>102</v>
      </c>
      <c r="CV972" t="s">
        <v>100</v>
      </c>
    </row>
    <row r="973" spans="1:100">
      <c r="A973" s="3" t="s">
        <v>10802</v>
      </c>
      <c r="B973" s="4" t="s">
        <v>10803</v>
      </c>
      <c r="C973">
        <v>107.33489116838599</v>
      </c>
      <c r="D973">
        <v>30.201869481631299</v>
      </c>
      <c r="E973">
        <v>1.8304936177750599</v>
      </c>
      <c r="F973">
        <v>5.3802820995628902E-3</v>
      </c>
      <c r="G973" t="s">
        <v>4</v>
      </c>
      <c r="H973">
        <v>107.33489116838599</v>
      </c>
      <c r="I973">
        <v>21.264890168332901</v>
      </c>
      <c r="J973">
        <v>2.33416733121584</v>
      </c>
      <c r="K973">
        <v>3.50999761017988E-4</v>
      </c>
      <c r="L973" t="s">
        <v>4</v>
      </c>
      <c r="M973">
        <v>30.201869481631299</v>
      </c>
      <c r="N973">
        <v>21.264890168332901</v>
      </c>
      <c r="O973">
        <v>0.50367371344077605</v>
      </c>
      <c r="P973">
        <v>0.50906813417654995</v>
      </c>
      <c r="Q973" t="s">
        <v>4</v>
      </c>
      <c r="R973" s="4" t="s">
        <v>87</v>
      </c>
      <c r="S973" t="s">
        <v>4</v>
      </c>
      <c r="T973" t="s">
        <v>1995</v>
      </c>
      <c r="U973" t="s">
        <v>1996</v>
      </c>
      <c r="V973" t="s">
        <v>1997</v>
      </c>
      <c r="W973" t="s">
        <v>203</v>
      </c>
      <c r="X973" t="s">
        <v>4</v>
      </c>
      <c r="Y973" t="s">
        <v>1998</v>
      </c>
      <c r="Z973" t="s">
        <v>1999</v>
      </c>
      <c r="AA973" t="s">
        <v>2000</v>
      </c>
      <c r="AB973" t="s">
        <v>4</v>
      </c>
      <c r="AC973" s="3" t="s">
        <v>2001</v>
      </c>
      <c r="AD973" t="s">
        <v>4</v>
      </c>
      <c r="AE973" t="s">
        <v>10804</v>
      </c>
      <c r="AF973" t="s">
        <v>834</v>
      </c>
      <c r="AG973" t="s">
        <v>10805</v>
      </c>
      <c r="AH973" t="s">
        <v>112</v>
      </c>
      <c r="AI973" t="s">
        <v>3178</v>
      </c>
      <c r="AK973" t="s">
        <v>2005</v>
      </c>
      <c r="AL973" t="s">
        <v>2006</v>
      </c>
      <c r="AM973" t="s">
        <v>2007</v>
      </c>
      <c r="AO973" t="s">
        <v>2008</v>
      </c>
      <c r="AP973" t="s">
        <v>2009</v>
      </c>
      <c r="AQ973" t="s">
        <v>2010</v>
      </c>
      <c r="AS973" t="s">
        <v>2011</v>
      </c>
      <c r="AU973" t="s">
        <v>112</v>
      </c>
      <c r="AV973" t="s">
        <v>2012</v>
      </c>
      <c r="AW973" t="s">
        <v>114</v>
      </c>
      <c r="AX973" t="s">
        <v>345</v>
      </c>
      <c r="AY973" t="s">
        <v>2013</v>
      </c>
      <c r="AZ973" t="s">
        <v>4</v>
      </c>
      <c r="BA973" s="3" t="s">
        <v>95</v>
      </c>
      <c r="BB973" s="6" t="s">
        <v>95</v>
      </c>
      <c r="BC973" s="3" t="s">
        <v>197</v>
      </c>
      <c r="BD973" t="s">
        <v>4</v>
      </c>
      <c r="BE973">
        <v>9672</v>
      </c>
      <c r="BF973" t="s">
        <v>169</v>
      </c>
      <c r="BG973">
        <v>99.677400000000006</v>
      </c>
      <c r="BH973">
        <v>100</v>
      </c>
      <c r="BJ973">
        <v>85.967699999999994</v>
      </c>
      <c r="BK973">
        <v>78.225800000000007</v>
      </c>
      <c r="BL973">
        <v>58.548400000000001</v>
      </c>
      <c r="BM973">
        <v>78.709699999999998</v>
      </c>
      <c r="BN973">
        <v>79.516099999999994</v>
      </c>
      <c r="BO973">
        <v>81.290300000000002</v>
      </c>
      <c r="BP973" t="s">
        <v>10806</v>
      </c>
      <c r="BQ973" t="s">
        <v>10807</v>
      </c>
      <c r="BR973" t="s">
        <v>10808</v>
      </c>
      <c r="BW973">
        <v>52.419400000000003</v>
      </c>
      <c r="BX973">
        <v>47.903199999999998</v>
      </c>
      <c r="CA973">
        <v>48.548400000000001</v>
      </c>
      <c r="CB973" t="s">
        <v>10809</v>
      </c>
      <c r="CF973" t="s">
        <v>10810</v>
      </c>
      <c r="CG973">
        <v>36.451599999999999</v>
      </c>
      <c r="CH973">
        <v>35.806399999999996</v>
      </c>
      <c r="CI973">
        <v>25.483899999999998</v>
      </c>
      <c r="CJ973" t="s">
        <v>10811</v>
      </c>
      <c r="CK973">
        <v>9</v>
      </c>
      <c r="CL973" t="s">
        <v>4</v>
      </c>
      <c r="CM973" t="s">
        <v>3185</v>
      </c>
      <c r="CN973" t="s">
        <v>10812</v>
      </c>
      <c r="CO973" t="s">
        <v>663</v>
      </c>
      <c r="CP973" s="7">
        <v>454</v>
      </c>
      <c r="CQ973" t="s">
        <v>100</v>
      </c>
      <c r="CR973" t="s">
        <v>100</v>
      </c>
      <c r="CS973" t="s">
        <v>101</v>
      </c>
      <c r="CT973" t="s">
        <v>100</v>
      </c>
      <c r="CU973" t="s">
        <v>102</v>
      </c>
      <c r="CV973" t="s">
        <v>100</v>
      </c>
    </row>
    <row r="974" spans="1:100">
      <c r="A974" s="3" t="s">
        <v>10813</v>
      </c>
      <c r="B974" s="4" t="s">
        <v>10814</v>
      </c>
      <c r="C974">
        <v>117.54754241177299</v>
      </c>
      <c r="D974">
        <v>35.8578937354064</v>
      </c>
      <c r="E974">
        <v>1.7178449737305701</v>
      </c>
      <c r="F974">
        <v>4.2027946804379501E-3</v>
      </c>
      <c r="G974" t="s">
        <v>4</v>
      </c>
      <c r="H974">
        <v>117.54754241177299</v>
      </c>
      <c r="I974">
        <v>23.191061299265101</v>
      </c>
      <c r="J974">
        <v>2.31299387883407</v>
      </c>
      <c r="K974">
        <v>1.06205670327416E-4</v>
      </c>
      <c r="L974" t="s">
        <v>4</v>
      </c>
      <c r="M974">
        <v>35.8578937354064</v>
      </c>
      <c r="N974">
        <v>23.191061299265101</v>
      </c>
      <c r="O974">
        <v>0.59514890510350504</v>
      </c>
      <c r="P974">
        <v>0.38372576534529201</v>
      </c>
      <c r="Q974" t="s">
        <v>4</v>
      </c>
      <c r="R974" s="4" t="s">
        <v>87</v>
      </c>
      <c r="S974" t="s">
        <v>4</v>
      </c>
      <c r="T974" t="s">
        <v>504</v>
      </c>
      <c r="U974" t="s">
        <v>505</v>
      </c>
      <c r="V974" t="s">
        <v>506</v>
      </c>
      <c r="W974" t="s">
        <v>507</v>
      </c>
      <c r="X974" t="s">
        <v>4</v>
      </c>
      <c r="Y974" t="s">
        <v>508</v>
      </c>
      <c r="Z974" t="s">
        <v>509</v>
      </c>
      <c r="AA974" t="s">
        <v>510</v>
      </c>
      <c r="AB974" t="s">
        <v>4</v>
      </c>
      <c r="AC974" s="3" t="s">
        <v>10815</v>
      </c>
      <c r="AD974" t="s">
        <v>4</v>
      </c>
      <c r="AE974" t="s">
        <v>10816</v>
      </c>
      <c r="AF974" t="s">
        <v>10817</v>
      </c>
      <c r="AG974" t="s">
        <v>369</v>
      </c>
      <c r="AH974" t="s">
        <v>112</v>
      </c>
      <c r="AU974" t="s">
        <v>112</v>
      </c>
      <c r="AV974" t="s">
        <v>10818</v>
      </c>
      <c r="AW974" t="s">
        <v>114</v>
      </c>
      <c r="AX974" t="s">
        <v>1907</v>
      </c>
      <c r="AY974" t="s">
        <v>10819</v>
      </c>
      <c r="AZ974" t="s">
        <v>4</v>
      </c>
      <c r="BA974" s="3" t="s">
        <v>95</v>
      </c>
      <c r="BB974" t="s">
        <v>96</v>
      </c>
      <c r="BC974" s="3" t="s">
        <v>95</v>
      </c>
      <c r="BD974" t="s">
        <v>4</v>
      </c>
      <c r="BE974">
        <v>4171</v>
      </c>
      <c r="BF974" t="s">
        <v>112</v>
      </c>
      <c r="BG974">
        <v>92.966399999999993</v>
      </c>
      <c r="BI974">
        <v>92.354699999999994</v>
      </c>
      <c r="BJ974">
        <v>79.816500000000005</v>
      </c>
      <c r="BK974">
        <v>74.006100000000004</v>
      </c>
      <c r="BM974">
        <v>48.317999999999998</v>
      </c>
      <c r="BN974">
        <v>76.758399999999995</v>
      </c>
      <c r="BO974">
        <v>53.210999999999999</v>
      </c>
      <c r="BP974" t="s">
        <v>10820</v>
      </c>
      <c r="BQ974" t="s">
        <v>10821</v>
      </c>
      <c r="BR974">
        <v>48.0122</v>
      </c>
      <c r="BS974">
        <v>51.682000000000002</v>
      </c>
      <c r="BU974">
        <v>48.929699999999997</v>
      </c>
      <c r="BV974" t="s">
        <v>10822</v>
      </c>
      <c r="BZ974">
        <v>53.822600000000001</v>
      </c>
      <c r="CA974">
        <v>51.9878</v>
      </c>
      <c r="CK974">
        <v>5</v>
      </c>
      <c r="CL974" t="s">
        <v>4</v>
      </c>
      <c r="CM974" t="s">
        <v>10823</v>
      </c>
      <c r="CN974" t="s">
        <v>10824</v>
      </c>
      <c r="CO974" t="s">
        <v>99</v>
      </c>
      <c r="CP974" s="7">
        <v>457</v>
      </c>
      <c r="CQ974" t="s">
        <v>100</v>
      </c>
      <c r="CR974" t="s">
        <v>100</v>
      </c>
      <c r="CS974" t="s">
        <v>101</v>
      </c>
      <c r="CT974" t="s">
        <v>100</v>
      </c>
      <c r="CU974" t="s">
        <v>102</v>
      </c>
      <c r="CV974" t="s">
        <v>100</v>
      </c>
    </row>
    <row r="975" spans="1:100">
      <c r="A975" s="3" t="s">
        <v>10825</v>
      </c>
      <c r="B975" s="4" t="s">
        <v>10826</v>
      </c>
      <c r="C975">
        <v>192.95525361861101</v>
      </c>
      <c r="D975">
        <v>93.693965599402603</v>
      </c>
      <c r="E975">
        <v>1.0394742054349599</v>
      </c>
      <c r="F975">
        <v>3.3200413676521298E-3</v>
      </c>
      <c r="G975" t="s">
        <v>4</v>
      </c>
      <c r="H975">
        <v>192.95525361861101</v>
      </c>
      <c r="I975">
        <v>40.133656906950698</v>
      </c>
      <c r="J975">
        <v>2.27857430097799</v>
      </c>
      <c r="K975" s="5">
        <v>1.9427712587534099E-10</v>
      </c>
      <c r="L975" t="s">
        <v>4</v>
      </c>
      <c r="M975">
        <v>93.693965599402603</v>
      </c>
      <c r="N975">
        <v>40.133656906950698</v>
      </c>
      <c r="O975">
        <v>1.23910009554303</v>
      </c>
      <c r="P975">
        <v>8.96702743613275E-4</v>
      </c>
      <c r="Q975" t="s">
        <v>4</v>
      </c>
      <c r="R975" s="4" t="s">
        <v>87</v>
      </c>
      <c r="S975" t="s">
        <v>4</v>
      </c>
      <c r="T975" t="s">
        <v>10827</v>
      </c>
      <c r="U975" t="s">
        <v>10828</v>
      </c>
      <c r="V975" t="s">
        <v>10829</v>
      </c>
      <c r="W975" t="s">
        <v>328</v>
      </c>
      <c r="X975" t="s">
        <v>4</v>
      </c>
      <c r="Y975" t="s">
        <v>10830</v>
      </c>
      <c r="Z975" t="s">
        <v>10831</v>
      </c>
      <c r="AA975" t="s">
        <v>10832</v>
      </c>
      <c r="AB975" t="s">
        <v>4</v>
      </c>
      <c r="AC975" s="3" t="s">
        <v>10833</v>
      </c>
      <c r="AD975" t="s">
        <v>4</v>
      </c>
      <c r="AE975" t="s">
        <v>10834</v>
      </c>
      <c r="AF975" t="s">
        <v>10835</v>
      </c>
      <c r="AG975" t="s">
        <v>5838</v>
      </c>
      <c r="AH975" t="s">
        <v>112</v>
      </c>
      <c r="AI975" t="s">
        <v>2070</v>
      </c>
      <c r="AU975" t="s">
        <v>112</v>
      </c>
      <c r="AV975" t="s">
        <v>2071</v>
      </c>
      <c r="AW975" t="s">
        <v>114</v>
      </c>
      <c r="AX975" t="s">
        <v>536</v>
      </c>
      <c r="AY975" t="s">
        <v>2072</v>
      </c>
      <c r="AZ975" t="s">
        <v>4</v>
      </c>
      <c r="BA975" s="3" t="s">
        <v>95</v>
      </c>
      <c r="BB975" s="6" t="s">
        <v>95</v>
      </c>
      <c r="BC975" s="3" t="s">
        <v>95</v>
      </c>
      <c r="BD975" t="s">
        <v>4</v>
      </c>
      <c r="BE975">
        <v>7637</v>
      </c>
      <c r="BF975" t="s">
        <v>213</v>
      </c>
      <c r="BG975">
        <v>97.019900000000007</v>
      </c>
      <c r="BH975">
        <v>96.192099999999996</v>
      </c>
      <c r="BI975">
        <v>93.2119</v>
      </c>
      <c r="BJ975">
        <v>81.456999999999994</v>
      </c>
      <c r="BK975">
        <v>50.662300000000002</v>
      </c>
      <c r="BL975">
        <v>43.377499999999998</v>
      </c>
      <c r="BM975">
        <v>72.682100000000005</v>
      </c>
      <c r="BN975">
        <v>72.516599999999997</v>
      </c>
      <c r="BO975">
        <v>51.3245</v>
      </c>
      <c r="BP975">
        <v>37.913899999999998</v>
      </c>
      <c r="BR975">
        <v>44.8675</v>
      </c>
      <c r="BS975">
        <v>15.2318</v>
      </c>
      <c r="BT975">
        <v>43.874200000000002</v>
      </c>
      <c r="BW975">
        <v>36.589399999999998</v>
      </c>
      <c r="BX975">
        <v>49.668900000000001</v>
      </c>
      <c r="BY975">
        <v>16.0596</v>
      </c>
      <c r="CA975">
        <v>44.370899999999999</v>
      </c>
      <c r="CB975">
        <v>17.715199999999999</v>
      </c>
      <c r="CD975">
        <v>19.8675</v>
      </c>
      <c r="CF975">
        <v>11.4238</v>
      </c>
      <c r="CK975">
        <v>8</v>
      </c>
      <c r="CL975" t="s">
        <v>4</v>
      </c>
      <c r="CM975" t="s">
        <v>10836</v>
      </c>
      <c r="CN975" t="s">
        <v>10837</v>
      </c>
      <c r="CO975" t="s">
        <v>99</v>
      </c>
      <c r="CP975" s="7">
        <v>461</v>
      </c>
      <c r="CQ975" t="s">
        <v>100</v>
      </c>
      <c r="CR975" t="s">
        <v>100</v>
      </c>
      <c r="CS975" t="s">
        <v>101</v>
      </c>
      <c r="CT975" s="7" t="s">
        <v>152</v>
      </c>
      <c r="CU975" t="s">
        <v>102</v>
      </c>
      <c r="CV975" t="s">
        <v>100</v>
      </c>
    </row>
    <row r="976" spans="1:100">
      <c r="A976" s="3" t="s">
        <v>10838</v>
      </c>
      <c r="B976" s="4" t="s">
        <v>10839</v>
      </c>
      <c r="C976">
        <v>78.972237318700394</v>
      </c>
      <c r="D976">
        <v>37.163068949112898</v>
      </c>
      <c r="E976">
        <v>1.09301631225847</v>
      </c>
      <c r="F976">
        <v>1.28049671728384E-2</v>
      </c>
      <c r="G976" t="s">
        <v>4</v>
      </c>
      <c r="H976">
        <v>78.972237318700394</v>
      </c>
      <c r="I976">
        <v>16.865888120098401</v>
      </c>
      <c r="J976">
        <v>2.2721912970611</v>
      </c>
      <c r="K976" s="5">
        <v>9.855230795780931E-7</v>
      </c>
      <c r="L976" t="s">
        <v>4</v>
      </c>
      <c r="M976">
        <v>37.163068949112898</v>
      </c>
      <c r="N976">
        <v>16.865888120098401</v>
      </c>
      <c r="O976">
        <v>1.1791749848026301</v>
      </c>
      <c r="P976">
        <v>1.6781363598070798E-2</v>
      </c>
      <c r="Q976" t="s">
        <v>4</v>
      </c>
      <c r="R976" s="4" t="s">
        <v>87</v>
      </c>
      <c r="S976" t="s">
        <v>4</v>
      </c>
      <c r="T976" t="s">
        <v>88</v>
      </c>
      <c r="U976" t="s">
        <v>89</v>
      </c>
      <c r="V976" t="s">
        <v>90</v>
      </c>
      <c r="W976" t="s">
        <v>91</v>
      </c>
      <c r="X976" t="s">
        <v>4</v>
      </c>
      <c r="Y976" t="s">
        <v>92</v>
      </c>
      <c r="Z976" t="s">
        <v>92</v>
      </c>
      <c r="AA976" t="s">
        <v>92</v>
      </c>
      <c r="AB976" t="s">
        <v>4</v>
      </c>
      <c r="AC976" s="3" t="s">
        <v>93</v>
      </c>
      <c r="AD976" t="s">
        <v>4</v>
      </c>
      <c r="AE976" s="4" t="s">
        <v>94</v>
      </c>
      <c r="AZ976" t="s">
        <v>4</v>
      </c>
      <c r="BA976" s="3" t="s">
        <v>95</v>
      </c>
      <c r="BB976" t="s">
        <v>96</v>
      </c>
      <c r="BC976" s="3" t="s">
        <v>95</v>
      </c>
      <c r="BD976" t="s">
        <v>4</v>
      </c>
      <c r="BE976">
        <v>723</v>
      </c>
      <c r="BF976" t="s">
        <v>604</v>
      </c>
      <c r="BH976">
        <v>75</v>
      </c>
      <c r="CK976">
        <v>1.5</v>
      </c>
      <c r="CL976" t="s">
        <v>4</v>
      </c>
      <c r="CM976" t="s">
        <v>98</v>
      </c>
      <c r="CN976" t="s">
        <v>98</v>
      </c>
      <c r="CO976" t="s">
        <v>99</v>
      </c>
      <c r="CP976" s="7">
        <v>462</v>
      </c>
      <c r="CQ976" t="s">
        <v>100</v>
      </c>
      <c r="CR976" t="s">
        <v>100</v>
      </c>
      <c r="CS976" t="s">
        <v>101</v>
      </c>
      <c r="CT976" s="7" t="s">
        <v>152</v>
      </c>
      <c r="CU976" t="s">
        <v>102</v>
      </c>
      <c r="CV976" t="s">
        <v>100</v>
      </c>
    </row>
    <row r="977" spans="1:100">
      <c r="A977" s="3" t="s">
        <v>10840</v>
      </c>
      <c r="B977" s="4" t="s">
        <v>10841</v>
      </c>
      <c r="C977">
        <v>74.766242700245598</v>
      </c>
      <c r="D977">
        <v>24.8026770499186</v>
      </c>
      <c r="E977">
        <v>1.5958109810280801</v>
      </c>
      <c r="F977">
        <v>1.3540314420774101E-2</v>
      </c>
      <c r="G977" t="s">
        <v>4</v>
      </c>
      <c r="H977">
        <v>74.766242700245598</v>
      </c>
      <c r="I977">
        <v>15.458880882194901</v>
      </c>
      <c r="J977">
        <v>2.26963630963867</v>
      </c>
      <c r="K977">
        <v>4.76166519825834E-4</v>
      </c>
      <c r="L977" t="s">
        <v>4</v>
      </c>
      <c r="M977">
        <v>24.8026770499186</v>
      </c>
      <c r="N977">
        <v>15.458880882194901</v>
      </c>
      <c r="O977">
        <v>0.67382532861058198</v>
      </c>
      <c r="P977">
        <v>0.36220945137661698</v>
      </c>
      <c r="Q977" t="s">
        <v>4</v>
      </c>
      <c r="R977" s="4" t="s">
        <v>87</v>
      </c>
      <c r="S977" t="s">
        <v>4</v>
      </c>
      <c r="T977" t="s">
        <v>360</v>
      </c>
      <c r="U977" t="s">
        <v>361</v>
      </c>
      <c r="V977" t="s">
        <v>362</v>
      </c>
      <c r="W977" t="s">
        <v>328</v>
      </c>
      <c r="X977" t="s">
        <v>4</v>
      </c>
      <c r="Y977" t="s">
        <v>1044</v>
      </c>
      <c r="Z977" t="s">
        <v>1045</v>
      </c>
      <c r="AA977" t="s">
        <v>1046</v>
      </c>
      <c r="AB977" t="s">
        <v>4</v>
      </c>
      <c r="AC977" s="3" t="s">
        <v>10842</v>
      </c>
      <c r="AD977" t="s">
        <v>4</v>
      </c>
      <c r="AE977" t="s">
        <v>10843</v>
      </c>
      <c r="AF977" t="s">
        <v>10844</v>
      </c>
      <c r="AG977" t="s">
        <v>10845</v>
      </c>
      <c r="AH977" t="s">
        <v>112</v>
      </c>
      <c r="AU977" t="s">
        <v>112</v>
      </c>
      <c r="AV977" t="s">
        <v>10846</v>
      </c>
      <c r="AW977" t="s">
        <v>114</v>
      </c>
      <c r="AX977" t="s">
        <v>371</v>
      </c>
      <c r="AY977" t="s">
        <v>573</v>
      </c>
      <c r="AZ977" t="s">
        <v>4</v>
      </c>
      <c r="BA977" s="3" t="s">
        <v>95</v>
      </c>
      <c r="BB977" s="6" t="s">
        <v>95</v>
      </c>
      <c r="BC977" s="3" t="s">
        <v>95</v>
      </c>
      <c r="BD977" t="s">
        <v>4</v>
      </c>
      <c r="BE977">
        <v>6548</v>
      </c>
      <c r="BF977" t="s">
        <v>213</v>
      </c>
      <c r="BG977">
        <v>93.214299999999994</v>
      </c>
      <c r="BH977">
        <v>46.785699999999999</v>
      </c>
      <c r="BI977" t="s">
        <v>10847</v>
      </c>
      <c r="BJ977">
        <v>73.928600000000003</v>
      </c>
      <c r="BK977">
        <v>69.642899999999997</v>
      </c>
      <c r="BM977">
        <v>36.428600000000003</v>
      </c>
      <c r="BN977">
        <v>48.214300000000001</v>
      </c>
      <c r="BO977">
        <v>42.142899999999997</v>
      </c>
      <c r="BP977">
        <v>40</v>
      </c>
      <c r="BQ977">
        <v>27.142900000000001</v>
      </c>
      <c r="BR977">
        <v>35</v>
      </c>
      <c r="BS977">
        <v>29.642900000000001</v>
      </c>
      <c r="BT977">
        <v>27.142900000000001</v>
      </c>
      <c r="BV977" t="s">
        <v>10848</v>
      </c>
      <c r="BW977">
        <v>12.142899999999999</v>
      </c>
      <c r="BX977">
        <v>37.857100000000003</v>
      </c>
      <c r="BY977">
        <v>35.714300000000001</v>
      </c>
      <c r="BZ977">
        <v>35.714300000000001</v>
      </c>
      <c r="CA977">
        <v>32.142899999999997</v>
      </c>
      <c r="CC977">
        <v>29.642900000000001</v>
      </c>
      <c r="CD977">
        <v>26.428599999999999</v>
      </c>
      <c r="CE977">
        <v>25</v>
      </c>
      <c r="CF977">
        <v>28.928599999999999</v>
      </c>
      <c r="CG977" t="s">
        <v>10849</v>
      </c>
      <c r="CH977" t="s">
        <v>10850</v>
      </c>
      <c r="CI977" t="s">
        <v>10851</v>
      </c>
      <c r="CK977">
        <v>8</v>
      </c>
      <c r="CL977" t="s">
        <v>4</v>
      </c>
      <c r="CM977" t="s">
        <v>10852</v>
      </c>
      <c r="CN977" t="s">
        <v>10853</v>
      </c>
      <c r="CO977" t="s">
        <v>99</v>
      </c>
      <c r="CP977" s="7">
        <v>463</v>
      </c>
      <c r="CQ977" t="s">
        <v>100</v>
      </c>
      <c r="CR977" t="s">
        <v>100</v>
      </c>
      <c r="CS977" t="s">
        <v>101</v>
      </c>
      <c r="CT977" t="s">
        <v>100</v>
      </c>
      <c r="CU977" t="s">
        <v>102</v>
      </c>
      <c r="CV977" t="s">
        <v>100</v>
      </c>
    </row>
    <row r="978" spans="1:100">
      <c r="A978" s="3" t="s">
        <v>10854</v>
      </c>
      <c r="B978" s="4" t="s">
        <v>10855</v>
      </c>
      <c r="C978">
        <v>63.535021482747503</v>
      </c>
      <c r="D978">
        <v>19.2023499893203</v>
      </c>
      <c r="E978">
        <v>1.7247487127052901</v>
      </c>
      <c r="F978">
        <v>3.4766462394344902E-2</v>
      </c>
      <c r="G978" t="s">
        <v>4</v>
      </c>
      <c r="H978">
        <v>63.535021482747503</v>
      </c>
      <c r="I978">
        <v>13.1563302686321</v>
      </c>
      <c r="J978">
        <v>2.25928123023033</v>
      </c>
      <c r="K978">
        <v>5.3665647786654896E-3</v>
      </c>
      <c r="L978" t="s">
        <v>4</v>
      </c>
      <c r="M978">
        <v>19.2023499893203</v>
      </c>
      <c r="N978">
        <v>13.1563302686321</v>
      </c>
      <c r="O978">
        <v>0.53453251752503195</v>
      </c>
      <c r="P978">
        <v>0.57510851467505297</v>
      </c>
      <c r="Q978" t="s">
        <v>4</v>
      </c>
      <c r="R978" s="4" t="s">
        <v>87</v>
      </c>
      <c r="S978" t="s">
        <v>4</v>
      </c>
      <c r="T978" t="s">
        <v>92</v>
      </c>
      <c r="U978" t="s">
        <v>92</v>
      </c>
      <c r="V978" t="s">
        <v>92</v>
      </c>
      <c r="W978" t="s">
        <v>92</v>
      </c>
      <c r="X978" t="s">
        <v>4</v>
      </c>
      <c r="Y978" t="s">
        <v>92</v>
      </c>
      <c r="Z978" t="s">
        <v>92</v>
      </c>
      <c r="AA978" t="s">
        <v>92</v>
      </c>
      <c r="AB978" t="s">
        <v>4</v>
      </c>
      <c r="AC978" s="3" t="s">
        <v>93</v>
      </c>
      <c r="AD978" t="s">
        <v>4</v>
      </c>
      <c r="AE978" t="s">
        <v>10856</v>
      </c>
      <c r="AF978" t="s">
        <v>10857</v>
      </c>
      <c r="AG978" t="s">
        <v>10858</v>
      </c>
      <c r="AH978" t="s">
        <v>112</v>
      </c>
      <c r="AU978" t="s">
        <v>112</v>
      </c>
      <c r="AV978" t="s">
        <v>10859</v>
      </c>
      <c r="AW978" t="s">
        <v>114</v>
      </c>
      <c r="AZ978" t="s">
        <v>4</v>
      </c>
      <c r="BA978" s="3" t="s">
        <v>95</v>
      </c>
      <c r="BB978" s="6" t="s">
        <v>95</v>
      </c>
      <c r="BC978" s="3" t="s">
        <v>95</v>
      </c>
      <c r="BD978" t="s">
        <v>4</v>
      </c>
      <c r="BE978">
        <v>4363</v>
      </c>
      <c r="BF978" t="s">
        <v>112</v>
      </c>
      <c r="BG978">
        <v>95.0959</v>
      </c>
      <c r="BH978">
        <v>36.460599999999999</v>
      </c>
      <c r="BI978">
        <v>85.287800000000004</v>
      </c>
      <c r="BJ978">
        <v>85.287800000000004</v>
      </c>
      <c r="BK978">
        <v>80.810199999999995</v>
      </c>
      <c r="BL978">
        <v>83.795299999999997</v>
      </c>
      <c r="BM978">
        <v>83.582099999999997</v>
      </c>
      <c r="BN978">
        <v>84.008499999999998</v>
      </c>
      <c r="BO978">
        <v>87.846500000000006</v>
      </c>
      <c r="BP978">
        <v>45.415799999999997</v>
      </c>
      <c r="BR978">
        <v>33.262300000000003</v>
      </c>
      <c r="BS978">
        <v>28.784600000000001</v>
      </c>
      <c r="CK978">
        <v>5</v>
      </c>
      <c r="CL978" t="s">
        <v>4</v>
      </c>
      <c r="CM978" t="s">
        <v>98</v>
      </c>
      <c r="CN978" t="s">
        <v>98</v>
      </c>
      <c r="CO978" t="s">
        <v>99</v>
      </c>
      <c r="CP978" s="7">
        <v>466</v>
      </c>
      <c r="CQ978" t="s">
        <v>100</v>
      </c>
      <c r="CR978" t="s">
        <v>100</v>
      </c>
      <c r="CS978" t="s">
        <v>101</v>
      </c>
      <c r="CT978" t="s">
        <v>100</v>
      </c>
      <c r="CU978" t="s">
        <v>102</v>
      </c>
      <c r="CV978" t="s">
        <v>100</v>
      </c>
    </row>
    <row r="979" spans="1:100">
      <c r="A979" s="3" t="s">
        <v>10860</v>
      </c>
      <c r="B979" s="4" t="s">
        <v>10861</v>
      </c>
      <c r="C979">
        <v>87.491851309624593</v>
      </c>
      <c r="D979">
        <v>22.041813865056099</v>
      </c>
      <c r="E979">
        <v>1.9930048846292201</v>
      </c>
      <c r="F979">
        <v>9.5002103074886103E-4</v>
      </c>
      <c r="G979" t="s">
        <v>4</v>
      </c>
      <c r="H979">
        <v>87.491851309624593</v>
      </c>
      <c r="I979">
        <v>17.777186784903101</v>
      </c>
      <c r="J979">
        <v>2.2459515141268902</v>
      </c>
      <c r="K979">
        <v>2.1572463862788499E-4</v>
      </c>
      <c r="L979" t="s">
        <v>4</v>
      </c>
      <c r="M979">
        <v>22.041813865056099</v>
      </c>
      <c r="N979">
        <v>17.777186784903101</v>
      </c>
      <c r="O979">
        <v>0.25294662949766999</v>
      </c>
      <c r="P979">
        <v>0.74194008625601804</v>
      </c>
      <c r="Q979" t="s">
        <v>4</v>
      </c>
      <c r="R979" s="4" t="s">
        <v>87</v>
      </c>
      <c r="S979" t="s">
        <v>4</v>
      </c>
      <c r="T979" t="s">
        <v>10862</v>
      </c>
      <c r="U979" t="s">
        <v>10863</v>
      </c>
      <c r="V979" t="s">
        <v>10864</v>
      </c>
      <c r="W979" t="s">
        <v>123</v>
      </c>
      <c r="X979" t="s">
        <v>4</v>
      </c>
      <c r="Y979" t="s">
        <v>10865</v>
      </c>
      <c r="Z979" t="s">
        <v>10866</v>
      </c>
      <c r="AA979" t="s">
        <v>10867</v>
      </c>
      <c r="AB979" t="s">
        <v>4</v>
      </c>
      <c r="AC979" s="3" t="s">
        <v>4714</v>
      </c>
      <c r="AD979" t="s">
        <v>4</v>
      </c>
      <c r="AE979" t="s">
        <v>10868</v>
      </c>
      <c r="AF979" t="s">
        <v>10869</v>
      </c>
      <c r="AG979" t="s">
        <v>10870</v>
      </c>
      <c r="AH979" t="s">
        <v>112</v>
      </c>
      <c r="AJ979" t="s">
        <v>10871</v>
      </c>
      <c r="AU979" t="s">
        <v>112</v>
      </c>
      <c r="AV979" t="s">
        <v>10872</v>
      </c>
      <c r="AW979" t="s">
        <v>114</v>
      </c>
      <c r="AX979" t="s">
        <v>144</v>
      </c>
      <c r="AY979" t="s">
        <v>6505</v>
      </c>
      <c r="AZ979" t="s">
        <v>4</v>
      </c>
      <c r="BA979" s="3" t="s">
        <v>95</v>
      </c>
      <c r="BB979" s="6" t="s">
        <v>95</v>
      </c>
      <c r="BC979" s="3" t="s">
        <v>95</v>
      </c>
      <c r="BD979" t="s">
        <v>4</v>
      </c>
      <c r="BE979">
        <v>5225</v>
      </c>
      <c r="BF979" t="s">
        <v>282</v>
      </c>
      <c r="BG979">
        <v>32.051299999999998</v>
      </c>
      <c r="BH979">
        <v>29.059799999999999</v>
      </c>
      <c r="BI979">
        <v>88.888900000000007</v>
      </c>
      <c r="BJ979">
        <v>68.589699999999993</v>
      </c>
      <c r="BK979">
        <v>64.102599999999995</v>
      </c>
      <c r="BL979">
        <v>63.675199999999997</v>
      </c>
      <c r="BM979">
        <v>63.034199999999998</v>
      </c>
      <c r="BN979">
        <v>66.025599999999997</v>
      </c>
      <c r="BO979">
        <v>74.145300000000006</v>
      </c>
      <c r="BP979">
        <v>26.495699999999999</v>
      </c>
      <c r="BQ979">
        <v>25</v>
      </c>
      <c r="BS979">
        <v>28.418800000000001</v>
      </c>
      <c r="BV979" t="s">
        <v>10873</v>
      </c>
      <c r="BZ979">
        <v>30.555599999999998</v>
      </c>
      <c r="CA979">
        <v>32.4786</v>
      </c>
      <c r="CB979">
        <v>26.709399999999999</v>
      </c>
      <c r="CK979">
        <v>6</v>
      </c>
      <c r="CL979" t="s">
        <v>4</v>
      </c>
      <c r="CM979" t="s">
        <v>10874</v>
      </c>
      <c r="CN979" t="s">
        <v>10875</v>
      </c>
      <c r="CO979" t="s">
        <v>99</v>
      </c>
      <c r="CP979" s="7">
        <v>469</v>
      </c>
      <c r="CQ979" t="s">
        <v>100</v>
      </c>
      <c r="CR979" t="s">
        <v>100</v>
      </c>
      <c r="CS979" t="s">
        <v>101</v>
      </c>
      <c r="CT979" t="s">
        <v>100</v>
      </c>
      <c r="CU979" t="s">
        <v>102</v>
      </c>
      <c r="CV979" t="s">
        <v>100</v>
      </c>
    </row>
    <row r="980" spans="1:100">
      <c r="A980" s="3" t="s">
        <v>10876</v>
      </c>
      <c r="B980" s="4" t="s">
        <v>10877</v>
      </c>
      <c r="C980">
        <v>140.96467742546301</v>
      </c>
      <c r="D980">
        <v>40.847425419314703</v>
      </c>
      <c r="E980">
        <v>1.78752888260697</v>
      </c>
      <c r="F980">
        <v>2.0737834309079899E-4</v>
      </c>
      <c r="G980" t="s">
        <v>4</v>
      </c>
      <c r="H980">
        <v>140.96467742546301</v>
      </c>
      <c r="I980">
        <v>30.016179102331702</v>
      </c>
      <c r="J980">
        <v>2.23918796525134</v>
      </c>
      <c r="K980" s="5">
        <v>3.8489511067607103E-6</v>
      </c>
      <c r="L980" t="s">
        <v>4</v>
      </c>
      <c r="M980">
        <v>40.847425419314703</v>
      </c>
      <c r="N980">
        <v>30.016179102331702</v>
      </c>
      <c r="O980">
        <v>0.45165908264437798</v>
      </c>
      <c r="P980">
        <v>0.42648493050368402</v>
      </c>
      <c r="Q980" t="s">
        <v>4</v>
      </c>
      <c r="R980" s="4" t="s">
        <v>87</v>
      </c>
      <c r="S980" t="s">
        <v>4</v>
      </c>
      <c r="T980" t="s">
        <v>88</v>
      </c>
      <c r="U980" t="s">
        <v>89</v>
      </c>
      <c r="V980" t="s">
        <v>90</v>
      </c>
      <c r="W980" t="s">
        <v>91</v>
      </c>
      <c r="X980" t="s">
        <v>4</v>
      </c>
      <c r="Y980" t="s">
        <v>3742</v>
      </c>
      <c r="Z980" t="s">
        <v>3743</v>
      </c>
      <c r="AA980" t="s">
        <v>3744</v>
      </c>
      <c r="AB980" t="s">
        <v>4</v>
      </c>
      <c r="AC980" s="3" t="s">
        <v>10878</v>
      </c>
      <c r="AD980" t="s">
        <v>4</v>
      </c>
      <c r="AE980" t="s">
        <v>10879</v>
      </c>
      <c r="AF980" t="s">
        <v>10880</v>
      </c>
      <c r="AG980" t="s">
        <v>5102</v>
      </c>
      <c r="AH980" t="s">
        <v>112</v>
      </c>
      <c r="AU980" t="s">
        <v>112</v>
      </c>
      <c r="AV980" t="s">
        <v>10881</v>
      </c>
      <c r="AW980" t="s">
        <v>114</v>
      </c>
      <c r="AX980" t="s">
        <v>144</v>
      </c>
      <c r="AY980" t="s">
        <v>3750</v>
      </c>
      <c r="AZ980" t="s">
        <v>4</v>
      </c>
      <c r="BA980" s="3" t="s">
        <v>115</v>
      </c>
      <c r="BB980" t="s">
        <v>96</v>
      </c>
      <c r="BC980" s="3" t="s">
        <v>95</v>
      </c>
      <c r="BD980" t="s">
        <v>4</v>
      </c>
      <c r="BE980">
        <v>3557</v>
      </c>
      <c r="BF980" t="s">
        <v>112</v>
      </c>
      <c r="BG980">
        <v>97.754499999999993</v>
      </c>
      <c r="BH980">
        <v>87.5749</v>
      </c>
      <c r="BI980">
        <v>64.221599999999995</v>
      </c>
      <c r="BJ980" t="s">
        <v>10882</v>
      </c>
      <c r="BK980">
        <v>43.712600000000002</v>
      </c>
      <c r="BL980" t="s">
        <v>10883</v>
      </c>
      <c r="BM980">
        <v>74.850300000000004</v>
      </c>
      <c r="BN980">
        <v>75.898200000000003</v>
      </c>
      <c r="BO980">
        <v>73.802400000000006</v>
      </c>
      <c r="BP980">
        <v>16.467099999999999</v>
      </c>
      <c r="BQ980">
        <v>19.9102</v>
      </c>
      <c r="BR980">
        <v>30.688600000000001</v>
      </c>
      <c r="BS980">
        <v>28.892199999999999</v>
      </c>
      <c r="CK980">
        <v>5</v>
      </c>
      <c r="CL980" t="s">
        <v>4</v>
      </c>
      <c r="CM980" t="s">
        <v>98</v>
      </c>
      <c r="CN980" t="s">
        <v>98</v>
      </c>
      <c r="CO980" t="s">
        <v>99</v>
      </c>
      <c r="CP980" s="7">
        <v>471</v>
      </c>
      <c r="CQ980" t="s">
        <v>100</v>
      </c>
      <c r="CR980" t="s">
        <v>100</v>
      </c>
      <c r="CS980" t="s">
        <v>101</v>
      </c>
      <c r="CT980" t="s">
        <v>100</v>
      </c>
      <c r="CU980" t="s">
        <v>102</v>
      </c>
      <c r="CV980" t="s">
        <v>100</v>
      </c>
    </row>
    <row r="981" spans="1:100">
      <c r="A981" s="3" t="s">
        <v>10884</v>
      </c>
      <c r="B981" s="4" t="s">
        <v>10885</v>
      </c>
      <c r="C981">
        <v>107.924323830974</v>
      </c>
      <c r="D981">
        <v>37.637510154040797</v>
      </c>
      <c r="E981">
        <v>1.51933431735534</v>
      </c>
      <c r="F981">
        <v>3.68216286954975E-3</v>
      </c>
      <c r="G981" t="s">
        <v>4</v>
      </c>
      <c r="H981">
        <v>107.924323830974</v>
      </c>
      <c r="I981">
        <v>23.455403508457799</v>
      </c>
      <c r="J981">
        <v>2.2312288227352699</v>
      </c>
      <c r="K981" s="5">
        <v>2.2475106380773599E-5</v>
      </c>
      <c r="L981" t="s">
        <v>4</v>
      </c>
      <c r="M981">
        <v>37.637510154040797</v>
      </c>
      <c r="N981">
        <v>23.455403508457799</v>
      </c>
      <c r="O981">
        <v>0.71189450537993204</v>
      </c>
      <c r="P981">
        <v>0.226465458123882</v>
      </c>
      <c r="Q981" t="s">
        <v>4</v>
      </c>
      <c r="R981" s="4" t="s">
        <v>87</v>
      </c>
      <c r="S981" t="s">
        <v>4</v>
      </c>
      <c r="T981" t="s">
        <v>1552</v>
      </c>
      <c r="U981" t="s">
        <v>1553</v>
      </c>
      <c r="V981" t="s">
        <v>1554</v>
      </c>
      <c r="W981" t="s">
        <v>328</v>
      </c>
      <c r="X981" t="s">
        <v>4</v>
      </c>
      <c r="Y981" t="s">
        <v>1555</v>
      </c>
      <c r="Z981" t="s">
        <v>1556</v>
      </c>
      <c r="AA981" t="s">
        <v>1557</v>
      </c>
      <c r="AB981" t="s">
        <v>4</v>
      </c>
      <c r="AC981" s="3" t="s">
        <v>10886</v>
      </c>
      <c r="AD981" t="s">
        <v>4</v>
      </c>
      <c r="AE981" t="s">
        <v>10887</v>
      </c>
      <c r="AF981" t="s">
        <v>10888</v>
      </c>
      <c r="AG981" t="s">
        <v>10889</v>
      </c>
      <c r="AH981" t="s">
        <v>112</v>
      </c>
      <c r="AU981" t="s">
        <v>112</v>
      </c>
      <c r="AV981" t="s">
        <v>10890</v>
      </c>
      <c r="AW981" t="s">
        <v>114</v>
      </c>
      <c r="AX981" t="s">
        <v>144</v>
      </c>
      <c r="AY981" t="s">
        <v>1563</v>
      </c>
      <c r="AZ981" t="s">
        <v>4</v>
      </c>
      <c r="BA981" s="3" t="s">
        <v>95</v>
      </c>
      <c r="BB981" t="s">
        <v>96</v>
      </c>
      <c r="BC981" s="3" t="s">
        <v>95</v>
      </c>
      <c r="BD981" t="s">
        <v>4</v>
      </c>
      <c r="BE981">
        <v>4838</v>
      </c>
      <c r="BF981" t="s">
        <v>282</v>
      </c>
      <c r="BG981">
        <v>83.486199999999997</v>
      </c>
      <c r="BH981">
        <v>67.201800000000006</v>
      </c>
      <c r="BI981">
        <v>90.137600000000006</v>
      </c>
      <c r="BJ981">
        <v>68.119299999999996</v>
      </c>
      <c r="BM981">
        <v>51.834899999999998</v>
      </c>
      <c r="BN981">
        <v>74.770600000000002</v>
      </c>
      <c r="BO981">
        <v>73.623900000000006</v>
      </c>
      <c r="BP981">
        <v>33.256900000000002</v>
      </c>
      <c r="BQ981">
        <v>51.605499999999999</v>
      </c>
      <c r="BR981">
        <v>52.981699999999996</v>
      </c>
      <c r="BS981">
        <v>55.504600000000003</v>
      </c>
      <c r="BT981">
        <v>53.440399999999997</v>
      </c>
      <c r="BV981" t="s">
        <v>10891</v>
      </c>
      <c r="BW981">
        <v>52.293599999999998</v>
      </c>
      <c r="BY981">
        <v>6.8807299999999998</v>
      </c>
      <c r="BZ981" t="s">
        <v>10892</v>
      </c>
      <c r="CA981">
        <v>50.688099999999999</v>
      </c>
      <c r="CB981">
        <v>32.568800000000003</v>
      </c>
      <c r="CF981" t="s">
        <v>10893</v>
      </c>
      <c r="CG981" t="s">
        <v>10894</v>
      </c>
      <c r="CH981" t="s">
        <v>10895</v>
      </c>
      <c r="CI981" t="s">
        <v>10896</v>
      </c>
      <c r="CK981">
        <v>6</v>
      </c>
      <c r="CL981" t="s">
        <v>4</v>
      </c>
      <c r="CM981" t="s">
        <v>10897</v>
      </c>
      <c r="CN981" t="s">
        <v>10898</v>
      </c>
      <c r="CO981" t="s">
        <v>99</v>
      </c>
      <c r="CP981" s="7">
        <v>474</v>
      </c>
      <c r="CQ981" t="s">
        <v>100</v>
      </c>
      <c r="CR981" t="s">
        <v>100</v>
      </c>
      <c r="CS981" t="s">
        <v>101</v>
      </c>
      <c r="CT981" t="s">
        <v>100</v>
      </c>
      <c r="CU981" t="s">
        <v>102</v>
      </c>
      <c r="CV981" t="s">
        <v>100</v>
      </c>
    </row>
    <row r="982" spans="1:100">
      <c r="A982" s="3" t="s">
        <v>10899</v>
      </c>
      <c r="B982" s="4" t="s">
        <v>10900</v>
      </c>
      <c r="C982">
        <v>37.665858198082603</v>
      </c>
      <c r="D982">
        <v>11.0064685623059</v>
      </c>
      <c r="E982">
        <v>1.7639574534996101</v>
      </c>
      <c r="F982">
        <v>1.31616024195344E-2</v>
      </c>
      <c r="G982" t="s">
        <v>4</v>
      </c>
      <c r="H982">
        <v>37.665858198082603</v>
      </c>
      <c r="I982">
        <v>7.9930500167922602</v>
      </c>
      <c r="J982">
        <v>2.2216044018763101</v>
      </c>
      <c r="K982">
        <v>2.4905679058644702E-3</v>
      </c>
      <c r="L982" t="s">
        <v>4</v>
      </c>
      <c r="M982">
        <v>11.0064685623059</v>
      </c>
      <c r="N982">
        <v>7.9930500167922602</v>
      </c>
      <c r="O982">
        <v>0.4576469483767</v>
      </c>
      <c r="P982">
        <v>0.61006729065013898</v>
      </c>
      <c r="Q982" t="s">
        <v>4</v>
      </c>
      <c r="R982" s="4" t="s">
        <v>87</v>
      </c>
      <c r="S982" t="s">
        <v>4</v>
      </c>
      <c r="T982" t="s">
        <v>5973</v>
      </c>
      <c r="U982" t="s">
        <v>5974</v>
      </c>
      <c r="V982" t="s">
        <v>5975</v>
      </c>
      <c r="W982" t="s">
        <v>91</v>
      </c>
      <c r="X982" t="s">
        <v>4</v>
      </c>
      <c r="Y982" t="s">
        <v>870</v>
      </c>
      <c r="Z982" t="s">
        <v>871</v>
      </c>
      <c r="AA982" t="s">
        <v>872</v>
      </c>
      <c r="AB982" t="s">
        <v>4</v>
      </c>
      <c r="AC982" s="3" t="s">
        <v>5976</v>
      </c>
      <c r="AD982" t="s">
        <v>4</v>
      </c>
      <c r="AE982" t="s">
        <v>873</v>
      </c>
      <c r="AF982" t="s">
        <v>10901</v>
      </c>
      <c r="AG982" t="s">
        <v>10902</v>
      </c>
      <c r="AH982" t="s">
        <v>112</v>
      </c>
      <c r="AJ982" t="s">
        <v>876</v>
      </c>
      <c r="AL982" t="s">
        <v>877</v>
      </c>
      <c r="AM982" t="s">
        <v>878</v>
      </c>
      <c r="AQ982" t="s">
        <v>879</v>
      </c>
      <c r="AU982" t="s">
        <v>112</v>
      </c>
      <c r="AV982" t="s">
        <v>880</v>
      </c>
      <c r="AW982" t="s">
        <v>114</v>
      </c>
      <c r="AX982" t="s">
        <v>881</v>
      </c>
      <c r="AY982" t="s">
        <v>882</v>
      </c>
      <c r="AZ982" t="s">
        <v>4</v>
      </c>
      <c r="BA982" s="3" t="s">
        <v>95</v>
      </c>
      <c r="BB982" s="6" t="s">
        <v>95</v>
      </c>
      <c r="BC982" s="3" t="s">
        <v>197</v>
      </c>
      <c r="BD982" t="s">
        <v>4</v>
      </c>
      <c r="BE982">
        <v>7872</v>
      </c>
      <c r="BF982" t="s">
        <v>213</v>
      </c>
      <c r="BI982">
        <v>72.705299999999994</v>
      </c>
      <c r="BM982">
        <v>47.826099999999997</v>
      </c>
      <c r="BN982" t="s">
        <v>10903</v>
      </c>
      <c r="BO982">
        <v>47.343000000000004</v>
      </c>
      <c r="CC982" t="s">
        <v>10904</v>
      </c>
      <c r="CD982" t="s">
        <v>10905</v>
      </c>
      <c r="CG982" t="s">
        <v>10906</v>
      </c>
      <c r="CH982" t="s">
        <v>10907</v>
      </c>
      <c r="CI982" t="s">
        <v>10908</v>
      </c>
      <c r="CK982">
        <v>8</v>
      </c>
      <c r="CL982" t="s">
        <v>4</v>
      </c>
      <c r="CM982" t="s">
        <v>98</v>
      </c>
      <c r="CN982" t="s">
        <v>98</v>
      </c>
      <c r="CO982" t="s">
        <v>99</v>
      </c>
      <c r="CP982" s="7">
        <v>475</v>
      </c>
      <c r="CQ982" t="s">
        <v>100</v>
      </c>
      <c r="CR982" t="s">
        <v>100</v>
      </c>
      <c r="CS982" t="s">
        <v>101</v>
      </c>
      <c r="CT982" t="s">
        <v>100</v>
      </c>
      <c r="CU982" t="s">
        <v>102</v>
      </c>
      <c r="CV982" t="s">
        <v>100</v>
      </c>
    </row>
    <row r="983" spans="1:100">
      <c r="A983" s="3" t="s">
        <v>10909</v>
      </c>
      <c r="B983" s="4" t="s">
        <v>10910</v>
      </c>
      <c r="C983">
        <v>79.200550652482804</v>
      </c>
      <c r="D983">
        <v>21.9234704087078</v>
      </c>
      <c r="E983">
        <v>1.8597935241282699</v>
      </c>
      <c r="F983">
        <v>2.4691829026576802E-2</v>
      </c>
      <c r="G983" t="s">
        <v>4</v>
      </c>
      <c r="H983">
        <v>79.200550652482804</v>
      </c>
      <c r="I983">
        <v>16.8322190786335</v>
      </c>
      <c r="J983">
        <v>2.2164631482280202</v>
      </c>
      <c r="K983">
        <v>6.5977576931848603E-3</v>
      </c>
      <c r="L983" t="s">
        <v>4</v>
      </c>
      <c r="M983">
        <v>21.9234704087078</v>
      </c>
      <c r="N983">
        <v>16.8322190786335</v>
      </c>
      <c r="O983">
        <v>0.356669624099755</v>
      </c>
      <c r="P983">
        <v>0.71933003053803701</v>
      </c>
      <c r="Q983" t="s">
        <v>4</v>
      </c>
      <c r="R983" s="4" t="s">
        <v>87</v>
      </c>
      <c r="S983" t="s">
        <v>4</v>
      </c>
      <c r="T983" t="s">
        <v>2325</v>
      </c>
      <c r="U983" t="s">
        <v>2326</v>
      </c>
      <c r="V983" t="s">
        <v>2327</v>
      </c>
      <c r="W983" t="s">
        <v>203</v>
      </c>
      <c r="X983" t="s">
        <v>4</v>
      </c>
      <c r="Y983" t="s">
        <v>2328</v>
      </c>
      <c r="Z983" t="s">
        <v>2329</v>
      </c>
      <c r="AA983" t="s">
        <v>2330</v>
      </c>
      <c r="AB983" t="s">
        <v>4</v>
      </c>
      <c r="AC983" s="3" t="s">
        <v>207</v>
      </c>
      <c r="AD983" t="s">
        <v>4</v>
      </c>
      <c r="AE983" t="s">
        <v>10911</v>
      </c>
      <c r="AF983" t="s">
        <v>10912</v>
      </c>
      <c r="AG983" t="s">
        <v>10913</v>
      </c>
      <c r="AH983" t="s">
        <v>112</v>
      </c>
      <c r="AK983" t="s">
        <v>9691</v>
      </c>
      <c r="AL983" t="s">
        <v>10914</v>
      </c>
      <c r="AQ983" t="s">
        <v>8402</v>
      </c>
      <c r="AU983" t="s">
        <v>112</v>
      </c>
      <c r="AV983" t="s">
        <v>10915</v>
      </c>
      <c r="AW983" t="s">
        <v>114</v>
      </c>
      <c r="AX983" t="s">
        <v>132</v>
      </c>
      <c r="AY983" t="s">
        <v>9696</v>
      </c>
      <c r="AZ983" t="s">
        <v>4</v>
      </c>
      <c r="BA983" s="3" t="s">
        <v>95</v>
      </c>
      <c r="BB983" s="6" t="s">
        <v>95</v>
      </c>
      <c r="BC983" s="3" t="s">
        <v>95</v>
      </c>
      <c r="BD983" t="s">
        <v>4</v>
      </c>
      <c r="BE983">
        <v>3315</v>
      </c>
      <c r="BF983" t="s">
        <v>112</v>
      </c>
      <c r="BG983">
        <v>100</v>
      </c>
      <c r="BH983">
        <v>51.886800000000001</v>
      </c>
      <c r="BI983">
        <v>83.962299999999999</v>
      </c>
      <c r="BJ983">
        <v>66.666700000000006</v>
      </c>
      <c r="BK983">
        <v>98.113200000000006</v>
      </c>
      <c r="BL983">
        <v>50.628900000000002</v>
      </c>
      <c r="BM983">
        <v>94.025199999999998</v>
      </c>
      <c r="BO983">
        <v>94.968599999999995</v>
      </c>
      <c r="BP983" t="s">
        <v>10916</v>
      </c>
      <c r="BQ983">
        <v>61.9497</v>
      </c>
      <c r="BR983" t="s">
        <v>10917</v>
      </c>
      <c r="BS983" t="s">
        <v>10918</v>
      </c>
      <c r="BU983">
        <v>38.0503</v>
      </c>
      <c r="BV983" t="s">
        <v>10919</v>
      </c>
      <c r="BW983" t="s">
        <v>10920</v>
      </c>
      <c r="BX983" t="s">
        <v>10921</v>
      </c>
      <c r="BZ983" t="s">
        <v>10922</v>
      </c>
      <c r="CA983" t="s">
        <v>10923</v>
      </c>
      <c r="CK983">
        <v>5</v>
      </c>
      <c r="CL983" t="s">
        <v>4</v>
      </c>
      <c r="CM983" t="s">
        <v>10924</v>
      </c>
      <c r="CN983" t="s">
        <v>10925</v>
      </c>
      <c r="CO983" t="s">
        <v>1987</v>
      </c>
      <c r="CP983" s="7">
        <v>476</v>
      </c>
      <c r="CQ983" t="s">
        <v>100</v>
      </c>
      <c r="CR983" t="s">
        <v>100</v>
      </c>
      <c r="CS983" t="s">
        <v>101</v>
      </c>
      <c r="CT983" t="s">
        <v>100</v>
      </c>
      <c r="CU983" t="s">
        <v>102</v>
      </c>
      <c r="CV983" t="s">
        <v>100</v>
      </c>
    </row>
    <row r="984" spans="1:100">
      <c r="A984" s="3" t="s">
        <v>10926</v>
      </c>
      <c r="B984" s="4" t="s">
        <v>10927</v>
      </c>
      <c r="C984">
        <v>111.264229105255</v>
      </c>
      <c r="D984">
        <v>38.741381845451599</v>
      </c>
      <c r="E984">
        <v>1.5284351838453001</v>
      </c>
      <c r="F984">
        <v>2.7126685464393199E-2</v>
      </c>
      <c r="G984" t="s">
        <v>4</v>
      </c>
      <c r="H984">
        <v>111.264229105255</v>
      </c>
      <c r="I984">
        <v>23.644698974449</v>
      </c>
      <c r="J984">
        <v>2.2081662844139101</v>
      </c>
      <c r="K984">
        <v>1.14176269580926E-3</v>
      </c>
      <c r="L984" t="s">
        <v>4</v>
      </c>
      <c r="M984">
        <v>38.741381845451599</v>
      </c>
      <c r="N984">
        <v>23.644698974449</v>
      </c>
      <c r="O984">
        <v>0.67973110056860597</v>
      </c>
      <c r="P984">
        <v>0.37337641996967802</v>
      </c>
      <c r="Q984" t="s">
        <v>4</v>
      </c>
      <c r="R984" s="4" t="s">
        <v>87</v>
      </c>
      <c r="S984" t="s">
        <v>4</v>
      </c>
      <c r="T984" t="s">
        <v>460</v>
      </c>
      <c r="U984" t="s">
        <v>461</v>
      </c>
      <c r="V984" t="s">
        <v>462</v>
      </c>
      <c r="W984" t="s">
        <v>123</v>
      </c>
      <c r="X984" t="s">
        <v>4</v>
      </c>
      <c r="Y984" t="s">
        <v>463</v>
      </c>
      <c r="Z984" t="s">
        <v>464</v>
      </c>
      <c r="AA984" t="s">
        <v>465</v>
      </c>
      <c r="AB984" t="s">
        <v>4</v>
      </c>
      <c r="AC984" s="3" t="s">
        <v>93</v>
      </c>
      <c r="AD984" t="s">
        <v>4</v>
      </c>
      <c r="AE984" t="s">
        <v>467</v>
      </c>
      <c r="AF984" t="s">
        <v>10928</v>
      </c>
      <c r="AG984" t="s">
        <v>10929</v>
      </c>
      <c r="AH984" t="s">
        <v>169</v>
      </c>
      <c r="AU984" t="s">
        <v>112</v>
      </c>
      <c r="AV984" t="s">
        <v>470</v>
      </c>
      <c r="AW984" t="s">
        <v>114</v>
      </c>
      <c r="AX984" t="s">
        <v>144</v>
      </c>
      <c r="AY984" t="s">
        <v>471</v>
      </c>
      <c r="AZ984" t="s">
        <v>4</v>
      </c>
      <c r="BA984" s="3" t="s">
        <v>95</v>
      </c>
      <c r="BB984" s="6" t="s">
        <v>95</v>
      </c>
      <c r="BC984" s="3" t="s">
        <v>95</v>
      </c>
      <c r="BD984" t="s">
        <v>4</v>
      </c>
      <c r="BE984">
        <v>5818</v>
      </c>
      <c r="BF984" t="s">
        <v>386</v>
      </c>
      <c r="BJ984">
        <v>19.469000000000001</v>
      </c>
      <c r="BL984">
        <v>9.7345100000000002</v>
      </c>
      <c r="BR984">
        <v>11.5044</v>
      </c>
      <c r="BV984">
        <v>10.029500000000001</v>
      </c>
      <c r="BW984">
        <v>7.6696200000000001</v>
      </c>
      <c r="CC984">
        <v>12.3894</v>
      </c>
      <c r="CD984">
        <v>11.2094</v>
      </c>
      <c r="CG984" t="s">
        <v>10930</v>
      </c>
      <c r="CH984" t="s">
        <v>10931</v>
      </c>
      <c r="CI984" t="s">
        <v>10932</v>
      </c>
      <c r="CK984">
        <v>7</v>
      </c>
      <c r="CL984" t="s">
        <v>4</v>
      </c>
      <c r="CM984" t="s">
        <v>98</v>
      </c>
      <c r="CN984" t="s">
        <v>98</v>
      </c>
      <c r="CO984" t="s">
        <v>99</v>
      </c>
      <c r="CP984" s="7">
        <v>478</v>
      </c>
      <c r="CQ984" t="s">
        <v>100</v>
      </c>
      <c r="CR984" t="s">
        <v>100</v>
      </c>
      <c r="CS984" t="s">
        <v>101</v>
      </c>
      <c r="CT984" t="s">
        <v>100</v>
      </c>
      <c r="CU984" t="s">
        <v>102</v>
      </c>
      <c r="CV984" t="s">
        <v>100</v>
      </c>
    </row>
    <row r="985" spans="1:100">
      <c r="A985" s="3" t="s">
        <v>10933</v>
      </c>
      <c r="B985" s="4" t="s">
        <v>10934</v>
      </c>
      <c r="C985">
        <v>33.6339013581212</v>
      </c>
      <c r="D985">
        <v>10.102846659704101</v>
      </c>
      <c r="E985">
        <v>1.73935618620443</v>
      </c>
      <c r="F985">
        <v>3.7142485565807397E-2</v>
      </c>
      <c r="G985" t="s">
        <v>4</v>
      </c>
      <c r="H985">
        <v>33.6339013581212</v>
      </c>
      <c r="I985">
        <v>7.5753014619122903</v>
      </c>
      <c r="J985">
        <v>2.2011570477164999</v>
      </c>
      <c r="K985">
        <v>9.6459748774419506E-3</v>
      </c>
      <c r="L985" t="s">
        <v>4</v>
      </c>
      <c r="M985">
        <v>10.102846659704101</v>
      </c>
      <c r="N985">
        <v>7.5753014619122903</v>
      </c>
      <c r="O985">
        <v>0.46180086151206201</v>
      </c>
      <c r="P985">
        <v>0.65404383131197996</v>
      </c>
      <c r="Q985" t="s">
        <v>4</v>
      </c>
      <c r="R985" s="4" t="s">
        <v>87</v>
      </c>
      <c r="S985" t="s">
        <v>4</v>
      </c>
      <c r="T985" t="s">
        <v>92</v>
      </c>
      <c r="U985" t="s">
        <v>92</v>
      </c>
      <c r="V985" t="s">
        <v>92</v>
      </c>
      <c r="W985" t="s">
        <v>92</v>
      </c>
      <c r="X985" t="s">
        <v>4</v>
      </c>
      <c r="Y985" t="s">
        <v>92</v>
      </c>
      <c r="Z985" t="s">
        <v>92</v>
      </c>
      <c r="AA985" t="s">
        <v>92</v>
      </c>
      <c r="AB985" t="s">
        <v>4</v>
      </c>
      <c r="AC985" s="3" t="s">
        <v>93</v>
      </c>
      <c r="AD985" t="s">
        <v>4</v>
      </c>
      <c r="AE985" s="4" t="s">
        <v>94</v>
      </c>
      <c r="AZ985" t="s">
        <v>4</v>
      </c>
      <c r="BA985" s="3" t="s">
        <v>95</v>
      </c>
      <c r="BB985" t="s">
        <v>96</v>
      </c>
      <c r="BC985" s="3" t="s">
        <v>95</v>
      </c>
      <c r="BD985" t="s">
        <v>4</v>
      </c>
      <c r="BE985">
        <v>2393</v>
      </c>
      <c r="BF985" t="s">
        <v>148</v>
      </c>
      <c r="BG985">
        <v>85.759500000000003</v>
      </c>
      <c r="BH985">
        <v>64.240499999999997</v>
      </c>
      <c r="BI985" t="s">
        <v>10935</v>
      </c>
      <c r="BJ985">
        <v>67.405100000000004</v>
      </c>
      <c r="BK985">
        <v>74.683499999999995</v>
      </c>
      <c r="BL985">
        <v>49.050600000000003</v>
      </c>
      <c r="BN985" t="s">
        <v>10936</v>
      </c>
      <c r="BO985">
        <v>48.417700000000004</v>
      </c>
      <c r="CK985">
        <v>3</v>
      </c>
      <c r="CL985" t="s">
        <v>4</v>
      </c>
      <c r="CM985" t="s">
        <v>98</v>
      </c>
      <c r="CN985" t="s">
        <v>98</v>
      </c>
      <c r="CO985" t="s">
        <v>99</v>
      </c>
      <c r="CP985" s="7">
        <v>480</v>
      </c>
      <c r="CQ985" t="s">
        <v>100</v>
      </c>
      <c r="CR985" t="s">
        <v>100</v>
      </c>
      <c r="CS985" t="s">
        <v>101</v>
      </c>
      <c r="CT985" t="s">
        <v>100</v>
      </c>
      <c r="CU985" t="s">
        <v>102</v>
      </c>
      <c r="CV985" t="s">
        <v>100</v>
      </c>
    </row>
    <row r="986" spans="1:100">
      <c r="A986" s="3" t="s">
        <v>10937</v>
      </c>
      <c r="B986" s="4" t="s">
        <v>10938</v>
      </c>
      <c r="C986">
        <v>1193.87899757066</v>
      </c>
      <c r="D986">
        <v>323.50906644207703</v>
      </c>
      <c r="E986">
        <v>1.88265964241609</v>
      </c>
      <c r="F986" s="5">
        <v>2.5825940379460499E-13</v>
      </c>
      <c r="G986" t="s">
        <v>4</v>
      </c>
      <c r="H986">
        <v>1193.87899757066</v>
      </c>
      <c r="I986">
        <v>263.73248836882402</v>
      </c>
      <c r="J986">
        <v>2.1850513145427599</v>
      </c>
      <c r="K986" s="5">
        <v>1.18514816593148E-17</v>
      </c>
      <c r="L986" t="s">
        <v>4</v>
      </c>
      <c r="M986">
        <v>323.50906644207703</v>
      </c>
      <c r="N986">
        <v>263.73248836882402</v>
      </c>
      <c r="O986">
        <v>0.30239167212666201</v>
      </c>
      <c r="P986">
        <v>0.308068431210969</v>
      </c>
      <c r="Q986" t="s">
        <v>4</v>
      </c>
      <c r="R986" s="4" t="s">
        <v>87</v>
      </c>
      <c r="S986" t="s">
        <v>4</v>
      </c>
      <c r="T986" t="s">
        <v>460</v>
      </c>
      <c r="U986" t="s">
        <v>461</v>
      </c>
      <c r="V986" t="s">
        <v>462</v>
      </c>
      <c r="W986" t="s">
        <v>123</v>
      </c>
      <c r="X986" t="s">
        <v>4</v>
      </c>
      <c r="Y986" t="s">
        <v>463</v>
      </c>
      <c r="Z986" t="s">
        <v>464</v>
      </c>
      <c r="AA986" t="s">
        <v>465</v>
      </c>
      <c r="AB986" t="s">
        <v>4</v>
      </c>
      <c r="AC986" s="3" t="s">
        <v>10939</v>
      </c>
      <c r="AD986" t="s">
        <v>4</v>
      </c>
      <c r="AE986" t="s">
        <v>10940</v>
      </c>
      <c r="AF986" t="s">
        <v>10941</v>
      </c>
      <c r="AG986" t="s">
        <v>10942</v>
      </c>
      <c r="AH986" t="s">
        <v>112</v>
      </c>
      <c r="AJ986" t="s">
        <v>876</v>
      </c>
      <c r="AU986" t="s">
        <v>112</v>
      </c>
      <c r="AV986" t="s">
        <v>10943</v>
      </c>
      <c r="AW986" t="s">
        <v>114</v>
      </c>
      <c r="AX986" t="s">
        <v>144</v>
      </c>
      <c r="AY986" t="s">
        <v>10944</v>
      </c>
      <c r="AZ986" t="s">
        <v>4</v>
      </c>
      <c r="BA986" s="3" t="s">
        <v>95</v>
      </c>
      <c r="BB986" s="6" t="s">
        <v>95</v>
      </c>
      <c r="BC986" s="3" t="s">
        <v>95</v>
      </c>
      <c r="BD986" t="s">
        <v>4</v>
      </c>
      <c r="BE986">
        <v>5758</v>
      </c>
      <c r="BF986" t="s">
        <v>386</v>
      </c>
      <c r="BJ986">
        <v>86.448599999999999</v>
      </c>
      <c r="BM986">
        <v>86.760099999999994</v>
      </c>
      <c r="BN986">
        <v>81.9315</v>
      </c>
      <c r="BO986">
        <v>89.252300000000005</v>
      </c>
      <c r="BP986">
        <v>55.1402</v>
      </c>
      <c r="BR986">
        <v>46.5732</v>
      </c>
      <c r="BS986">
        <v>40.186900000000001</v>
      </c>
      <c r="BT986">
        <v>41.588799999999999</v>
      </c>
      <c r="BX986">
        <v>47.040500000000002</v>
      </c>
      <c r="CA986">
        <v>39.563899999999997</v>
      </c>
      <c r="CF986">
        <v>7.9439299999999999</v>
      </c>
      <c r="CG986" t="s">
        <v>10945</v>
      </c>
      <c r="CH986" t="s">
        <v>10946</v>
      </c>
      <c r="CI986" t="s">
        <v>10947</v>
      </c>
      <c r="CK986">
        <v>7</v>
      </c>
      <c r="CL986" t="s">
        <v>4</v>
      </c>
      <c r="CM986" t="s">
        <v>10948</v>
      </c>
      <c r="CN986" t="s">
        <v>10949</v>
      </c>
      <c r="CO986" t="s">
        <v>99</v>
      </c>
      <c r="CP986" s="7">
        <v>484</v>
      </c>
      <c r="CQ986" t="s">
        <v>100</v>
      </c>
      <c r="CR986" t="s">
        <v>100</v>
      </c>
      <c r="CS986" t="s">
        <v>101</v>
      </c>
      <c r="CT986" t="s">
        <v>100</v>
      </c>
      <c r="CU986" t="s">
        <v>102</v>
      </c>
      <c r="CV986" t="s">
        <v>100</v>
      </c>
    </row>
    <row r="987" spans="1:100">
      <c r="A987" s="3" t="s">
        <v>10950</v>
      </c>
      <c r="B987" s="4" t="s">
        <v>10951</v>
      </c>
      <c r="C987">
        <v>192.02470497697101</v>
      </c>
      <c r="D987">
        <v>92.128315135226202</v>
      </c>
      <c r="E987">
        <v>1.0610509235194401</v>
      </c>
      <c r="F987">
        <v>4.3334826537479797E-2</v>
      </c>
      <c r="G987" t="s">
        <v>4</v>
      </c>
      <c r="H987">
        <v>192.02470497697101</v>
      </c>
      <c r="I987">
        <v>43.496338511602502</v>
      </c>
      <c r="J987">
        <v>2.14680497853483</v>
      </c>
      <c r="K987" s="5">
        <v>2.4181857923107899E-5</v>
      </c>
      <c r="L987" t="s">
        <v>4</v>
      </c>
      <c r="M987">
        <v>92.128315135226202</v>
      </c>
      <c r="N987">
        <v>43.496338511602502</v>
      </c>
      <c r="O987">
        <v>1.0857540550153899</v>
      </c>
      <c r="P987">
        <v>4.1570597989884599E-2</v>
      </c>
      <c r="Q987" t="s">
        <v>4</v>
      </c>
      <c r="R987" s="4" t="s">
        <v>87</v>
      </c>
      <c r="S987" t="s">
        <v>4</v>
      </c>
      <c r="T987" t="s">
        <v>120</v>
      </c>
      <c r="U987" t="s">
        <v>121</v>
      </c>
      <c r="V987" t="s">
        <v>122</v>
      </c>
      <c r="W987" t="s">
        <v>123</v>
      </c>
      <c r="X987" t="s">
        <v>4</v>
      </c>
      <c r="Y987" t="s">
        <v>10952</v>
      </c>
      <c r="Z987" t="s">
        <v>10953</v>
      </c>
      <c r="AA987" t="s">
        <v>10954</v>
      </c>
      <c r="AB987" t="s">
        <v>4</v>
      </c>
      <c r="AC987" s="3" t="s">
        <v>10955</v>
      </c>
      <c r="AD987" t="s">
        <v>4</v>
      </c>
      <c r="AE987" t="s">
        <v>10956</v>
      </c>
      <c r="AF987" t="s">
        <v>834</v>
      </c>
      <c r="AG987" t="s">
        <v>10957</v>
      </c>
      <c r="AH987" t="s">
        <v>112</v>
      </c>
      <c r="AU987" t="s">
        <v>112</v>
      </c>
      <c r="AV987" t="s">
        <v>10958</v>
      </c>
      <c r="AW987" t="s">
        <v>114</v>
      </c>
      <c r="AX987" t="s">
        <v>132</v>
      </c>
      <c r="AY987" t="s">
        <v>10959</v>
      </c>
      <c r="AZ987" t="s">
        <v>4</v>
      </c>
      <c r="BA987" s="3" t="s">
        <v>95</v>
      </c>
      <c r="BB987" s="6" t="s">
        <v>95</v>
      </c>
      <c r="BC987" s="3" t="s">
        <v>197</v>
      </c>
      <c r="BD987" t="s">
        <v>4</v>
      </c>
      <c r="BE987">
        <v>4008</v>
      </c>
      <c r="BF987" t="s">
        <v>112</v>
      </c>
      <c r="BG987">
        <v>42.365900000000003</v>
      </c>
      <c r="BJ987">
        <v>81.568100000000001</v>
      </c>
      <c r="BK987">
        <v>62.310899999999997</v>
      </c>
      <c r="BL987">
        <v>61.7607</v>
      </c>
      <c r="BM987">
        <v>45.804699999999997</v>
      </c>
      <c r="BN987">
        <v>76.066000000000003</v>
      </c>
      <c r="BO987">
        <v>75.103200000000001</v>
      </c>
      <c r="BP987">
        <v>40.852800000000002</v>
      </c>
      <c r="BT987">
        <v>2.61348</v>
      </c>
      <c r="BX987">
        <v>33.562600000000003</v>
      </c>
      <c r="CA987">
        <v>33.424999999999997</v>
      </c>
      <c r="CB987" t="s">
        <v>10960</v>
      </c>
      <c r="CD987">
        <v>4.6767500000000002</v>
      </c>
      <c r="CE987">
        <v>6.1898200000000001</v>
      </c>
      <c r="CF987" t="s">
        <v>10961</v>
      </c>
      <c r="CG987" t="s">
        <v>10962</v>
      </c>
      <c r="CH987" t="s">
        <v>10963</v>
      </c>
      <c r="CI987" t="s">
        <v>10964</v>
      </c>
      <c r="CK987">
        <v>5</v>
      </c>
      <c r="CL987" t="s">
        <v>4</v>
      </c>
      <c r="CM987" t="s">
        <v>10965</v>
      </c>
      <c r="CN987" t="s">
        <v>10966</v>
      </c>
      <c r="CO987" t="s">
        <v>663</v>
      </c>
      <c r="CP987" s="7">
        <v>487</v>
      </c>
      <c r="CQ987" t="s">
        <v>100</v>
      </c>
      <c r="CR987" t="s">
        <v>100</v>
      </c>
      <c r="CS987" t="s">
        <v>101</v>
      </c>
      <c r="CT987" s="7" t="s">
        <v>152</v>
      </c>
      <c r="CU987" t="s">
        <v>102</v>
      </c>
      <c r="CV987" t="s">
        <v>100</v>
      </c>
    </row>
    <row r="988" spans="1:100">
      <c r="A988" s="3" t="s">
        <v>10967</v>
      </c>
      <c r="B988" s="4" t="s">
        <v>10968</v>
      </c>
      <c r="C988">
        <v>70.578479865294</v>
      </c>
      <c r="D988">
        <v>24.573472614425501</v>
      </c>
      <c r="E988">
        <v>1.5210213672158199</v>
      </c>
      <c r="F988">
        <v>1.11683032959862E-2</v>
      </c>
      <c r="G988" t="s">
        <v>4</v>
      </c>
      <c r="H988">
        <v>70.578479865294</v>
      </c>
      <c r="I988">
        <v>15.37009482181</v>
      </c>
      <c r="J988">
        <v>2.1312865595518402</v>
      </c>
      <c r="K988">
        <v>4.3423419561946499E-4</v>
      </c>
      <c r="L988" t="s">
        <v>4</v>
      </c>
      <c r="M988">
        <v>24.573472614425501</v>
      </c>
      <c r="N988">
        <v>15.37009482181</v>
      </c>
      <c r="O988">
        <v>0.61026519233602206</v>
      </c>
      <c r="P988">
        <v>0.37971640894756198</v>
      </c>
      <c r="Q988" t="s">
        <v>4</v>
      </c>
      <c r="R988" s="4" t="s">
        <v>87</v>
      </c>
      <c r="S988" t="s">
        <v>4</v>
      </c>
      <c r="T988" t="s">
        <v>88</v>
      </c>
      <c r="U988" t="s">
        <v>89</v>
      </c>
      <c r="V988" t="s">
        <v>90</v>
      </c>
      <c r="W988" t="s">
        <v>91</v>
      </c>
      <c r="X988" t="s">
        <v>4</v>
      </c>
      <c r="Y988" t="s">
        <v>10969</v>
      </c>
      <c r="Z988" t="s">
        <v>10970</v>
      </c>
      <c r="AA988" t="s">
        <v>10971</v>
      </c>
      <c r="AB988" t="s">
        <v>4</v>
      </c>
      <c r="AC988" s="3" t="s">
        <v>1558</v>
      </c>
      <c r="AD988" t="s">
        <v>4</v>
      </c>
      <c r="AE988" s="4" t="s">
        <v>94</v>
      </c>
      <c r="AZ988" t="s">
        <v>4</v>
      </c>
      <c r="BA988" s="3" t="s">
        <v>95</v>
      </c>
      <c r="BB988" t="s">
        <v>96</v>
      </c>
      <c r="BC988" s="3" t="s">
        <v>95</v>
      </c>
      <c r="BD988" t="s">
        <v>4</v>
      </c>
      <c r="BE988">
        <v>3030</v>
      </c>
      <c r="BF988" t="s">
        <v>97</v>
      </c>
      <c r="BG988">
        <v>88.333299999999994</v>
      </c>
      <c r="BH988">
        <v>97.5</v>
      </c>
      <c r="BI988">
        <v>85</v>
      </c>
      <c r="BJ988">
        <v>72.222200000000001</v>
      </c>
      <c r="BK988">
        <v>64.166700000000006</v>
      </c>
      <c r="BL988">
        <v>65</v>
      </c>
      <c r="BM988">
        <v>65</v>
      </c>
      <c r="BN988">
        <v>64.166700000000006</v>
      </c>
      <c r="BP988">
        <v>42.5</v>
      </c>
      <c r="CK988">
        <v>4</v>
      </c>
      <c r="CL988" t="s">
        <v>4</v>
      </c>
      <c r="CM988" t="s">
        <v>98</v>
      </c>
      <c r="CN988" t="s">
        <v>98</v>
      </c>
      <c r="CO988" t="s">
        <v>99</v>
      </c>
      <c r="CP988" s="7">
        <v>489</v>
      </c>
      <c r="CQ988" t="s">
        <v>100</v>
      </c>
      <c r="CR988" t="s">
        <v>100</v>
      </c>
      <c r="CS988" t="s">
        <v>101</v>
      </c>
      <c r="CT988" t="s">
        <v>100</v>
      </c>
      <c r="CU988" t="s">
        <v>102</v>
      </c>
      <c r="CV988" t="s">
        <v>100</v>
      </c>
    </row>
    <row r="989" spans="1:100">
      <c r="A989" s="3" t="s">
        <v>10972</v>
      </c>
      <c r="B989" s="4" t="s">
        <v>10973</v>
      </c>
      <c r="C989">
        <v>81.394442819269401</v>
      </c>
      <c r="D989">
        <v>35.291929526862603</v>
      </c>
      <c r="E989">
        <v>1.2136319149033601</v>
      </c>
      <c r="F989">
        <v>3.80732588892626E-2</v>
      </c>
      <c r="G989" t="s">
        <v>4</v>
      </c>
      <c r="H989">
        <v>81.394442819269401</v>
      </c>
      <c r="I989">
        <v>19.5100391354073</v>
      </c>
      <c r="J989">
        <v>2.11340391374508</v>
      </c>
      <c r="K989">
        <v>3.1059066371777997E-4</v>
      </c>
      <c r="L989" t="s">
        <v>4</v>
      </c>
      <c r="M989">
        <v>35.291929526862603</v>
      </c>
      <c r="N989">
        <v>19.5100391354073</v>
      </c>
      <c r="O989">
        <v>0.89977199884171699</v>
      </c>
      <c r="P989">
        <v>0.157465418692083</v>
      </c>
      <c r="Q989" t="s">
        <v>4</v>
      </c>
      <c r="R989" s="4" t="s">
        <v>87</v>
      </c>
      <c r="S989" t="s">
        <v>4</v>
      </c>
      <c r="T989" t="s">
        <v>92</v>
      </c>
      <c r="U989" t="s">
        <v>92</v>
      </c>
      <c r="V989" t="s">
        <v>92</v>
      </c>
      <c r="W989" t="s">
        <v>92</v>
      </c>
      <c r="X989" t="s">
        <v>4</v>
      </c>
      <c r="Y989" t="s">
        <v>92</v>
      </c>
      <c r="Z989" t="s">
        <v>92</v>
      </c>
      <c r="AA989" t="s">
        <v>92</v>
      </c>
      <c r="AB989" t="s">
        <v>4</v>
      </c>
      <c r="AC989" s="3" t="s">
        <v>93</v>
      </c>
      <c r="AD989" t="s">
        <v>4</v>
      </c>
      <c r="AE989" t="s">
        <v>10974</v>
      </c>
      <c r="AF989" t="s">
        <v>10975</v>
      </c>
      <c r="AG989" t="s">
        <v>10976</v>
      </c>
      <c r="AH989" t="s">
        <v>112</v>
      </c>
      <c r="AU989" t="s">
        <v>112</v>
      </c>
      <c r="AV989" t="s">
        <v>10977</v>
      </c>
      <c r="AW989" t="s">
        <v>114</v>
      </c>
      <c r="AZ989" t="s">
        <v>4</v>
      </c>
      <c r="BA989" s="3" t="s">
        <v>95</v>
      </c>
      <c r="BB989" s="6" t="s">
        <v>95</v>
      </c>
      <c r="BC989" s="3" t="s">
        <v>95</v>
      </c>
      <c r="BD989" t="s">
        <v>4</v>
      </c>
      <c r="BE989">
        <v>3722</v>
      </c>
      <c r="BF989" t="s">
        <v>112</v>
      </c>
      <c r="BG989">
        <v>98.159499999999994</v>
      </c>
      <c r="BI989">
        <v>92.638000000000005</v>
      </c>
      <c r="BJ989">
        <v>87.730099999999993</v>
      </c>
      <c r="BK989" t="s">
        <v>10978</v>
      </c>
      <c r="BL989">
        <v>87.730099999999993</v>
      </c>
      <c r="BM989">
        <v>84.662599999999998</v>
      </c>
      <c r="BN989">
        <v>84.662599999999998</v>
      </c>
      <c r="BO989">
        <v>87.730099999999993</v>
      </c>
      <c r="BQ989">
        <v>56.441699999999997</v>
      </c>
      <c r="BR989">
        <v>63.190199999999997</v>
      </c>
      <c r="BS989">
        <v>30.061299999999999</v>
      </c>
      <c r="BW989">
        <v>64.417199999999994</v>
      </c>
      <c r="BX989">
        <v>62.576700000000002</v>
      </c>
      <c r="BZ989">
        <v>52.147199999999998</v>
      </c>
      <c r="CA989">
        <v>64.417199999999994</v>
      </c>
      <c r="CK989">
        <v>5</v>
      </c>
      <c r="CL989" t="s">
        <v>4</v>
      </c>
      <c r="CM989" t="s">
        <v>10979</v>
      </c>
      <c r="CN989" t="s">
        <v>10980</v>
      </c>
      <c r="CO989" t="s">
        <v>1218</v>
      </c>
      <c r="CP989" s="7">
        <v>492</v>
      </c>
      <c r="CQ989" t="s">
        <v>100</v>
      </c>
      <c r="CR989" t="s">
        <v>100</v>
      </c>
      <c r="CS989" t="s">
        <v>101</v>
      </c>
      <c r="CT989" t="s">
        <v>100</v>
      </c>
      <c r="CU989" t="s">
        <v>102</v>
      </c>
      <c r="CV989" t="s">
        <v>100</v>
      </c>
    </row>
    <row r="990" spans="1:100">
      <c r="A990" s="3" t="s">
        <v>10981</v>
      </c>
      <c r="B990" s="4" t="s">
        <v>10982</v>
      </c>
      <c r="C990">
        <v>46.6065031758854</v>
      </c>
      <c r="D990">
        <v>13.5031084350728</v>
      </c>
      <c r="E990">
        <v>1.7915121873506299</v>
      </c>
      <c r="F990">
        <v>1.8292443358428001E-2</v>
      </c>
      <c r="G990" t="s">
        <v>4</v>
      </c>
      <c r="H990">
        <v>46.6065031758854</v>
      </c>
      <c r="I990">
        <v>10.3955593309952</v>
      </c>
      <c r="J990">
        <v>2.1051815715373099</v>
      </c>
      <c r="K990">
        <v>5.8249479387452504E-3</v>
      </c>
      <c r="L990" t="s">
        <v>4</v>
      </c>
      <c r="M990">
        <v>13.5031084350728</v>
      </c>
      <c r="N990">
        <v>10.3955593309952</v>
      </c>
      <c r="O990">
        <v>0.313669384186677</v>
      </c>
      <c r="P990">
        <v>0.74194008625601804</v>
      </c>
      <c r="Q990" t="s">
        <v>4</v>
      </c>
      <c r="R990" s="4" t="s">
        <v>87</v>
      </c>
      <c r="S990" t="s">
        <v>4</v>
      </c>
      <c r="T990" t="s">
        <v>92</v>
      </c>
      <c r="U990" t="s">
        <v>92</v>
      </c>
      <c r="V990" t="s">
        <v>92</v>
      </c>
      <c r="W990" t="s">
        <v>92</v>
      </c>
      <c r="X990" t="s">
        <v>4</v>
      </c>
      <c r="Y990" t="s">
        <v>92</v>
      </c>
      <c r="Z990" t="s">
        <v>92</v>
      </c>
      <c r="AA990" t="s">
        <v>92</v>
      </c>
      <c r="AB990" t="s">
        <v>4</v>
      </c>
      <c r="AC990" s="3" t="s">
        <v>93</v>
      </c>
      <c r="AD990" t="s">
        <v>4</v>
      </c>
      <c r="AE990" s="4" t="s">
        <v>94</v>
      </c>
      <c r="AZ990" t="s">
        <v>4</v>
      </c>
      <c r="BA990" s="3" t="s">
        <v>95</v>
      </c>
      <c r="BB990" s="6" t="s">
        <v>95</v>
      </c>
      <c r="BC990" s="3" t="s">
        <v>95</v>
      </c>
      <c r="BD990" t="s">
        <v>4</v>
      </c>
      <c r="BE990">
        <v>429</v>
      </c>
      <c r="BF990" t="s">
        <v>322</v>
      </c>
      <c r="CK990">
        <v>1</v>
      </c>
      <c r="CL990" t="s">
        <v>4</v>
      </c>
      <c r="CM990" t="s">
        <v>98</v>
      </c>
      <c r="CN990" t="s">
        <v>98</v>
      </c>
      <c r="CO990" t="s">
        <v>99</v>
      </c>
      <c r="CP990" s="7">
        <v>494</v>
      </c>
      <c r="CQ990" t="s">
        <v>100</v>
      </c>
      <c r="CR990" t="s">
        <v>100</v>
      </c>
      <c r="CS990" t="s">
        <v>101</v>
      </c>
      <c r="CT990" t="s">
        <v>100</v>
      </c>
      <c r="CU990" t="s">
        <v>102</v>
      </c>
      <c r="CV990" t="s">
        <v>100</v>
      </c>
    </row>
    <row r="991" spans="1:100">
      <c r="A991" s="3" t="s">
        <v>10983</v>
      </c>
      <c r="B991" s="4" t="s">
        <v>10984</v>
      </c>
      <c r="C991">
        <v>191.43513288418799</v>
      </c>
      <c r="D991">
        <v>81.318348300103693</v>
      </c>
      <c r="E991">
        <v>1.2408710516927499</v>
      </c>
      <c r="F991">
        <v>4.7259055024045801E-4</v>
      </c>
      <c r="G991" t="s">
        <v>4</v>
      </c>
      <c r="H991">
        <v>191.43513288418799</v>
      </c>
      <c r="I991">
        <v>44.857944733332502</v>
      </c>
      <c r="J991">
        <v>2.0895374874939798</v>
      </c>
      <c r="K991" s="5">
        <v>5.3471672404847803E-9</v>
      </c>
      <c r="L991" t="s">
        <v>4</v>
      </c>
      <c r="M991">
        <v>81.318348300103693</v>
      </c>
      <c r="N991">
        <v>44.857944733332502</v>
      </c>
      <c r="O991">
        <v>0.84866643580123802</v>
      </c>
      <c r="P991">
        <v>2.7269438584594099E-2</v>
      </c>
      <c r="Q991" t="s">
        <v>4</v>
      </c>
      <c r="R991" s="4" t="s">
        <v>87</v>
      </c>
      <c r="S991" t="s">
        <v>4</v>
      </c>
      <c r="T991" t="s">
        <v>2325</v>
      </c>
      <c r="U991" t="s">
        <v>2326</v>
      </c>
      <c r="V991" t="s">
        <v>2327</v>
      </c>
      <c r="W991" t="s">
        <v>203</v>
      </c>
      <c r="X991" t="s">
        <v>4</v>
      </c>
      <c r="Y991" t="s">
        <v>3224</v>
      </c>
      <c r="Z991" t="s">
        <v>3225</v>
      </c>
      <c r="AA991" t="s">
        <v>3226</v>
      </c>
      <c r="AB991" t="s">
        <v>4</v>
      </c>
      <c r="AC991" s="3" t="s">
        <v>207</v>
      </c>
      <c r="AD991" t="s">
        <v>4</v>
      </c>
      <c r="AE991" t="s">
        <v>10985</v>
      </c>
      <c r="AF991" t="s">
        <v>10986</v>
      </c>
      <c r="AG991" t="s">
        <v>10987</v>
      </c>
      <c r="AH991" t="s">
        <v>112</v>
      </c>
      <c r="AU991" t="s">
        <v>112</v>
      </c>
      <c r="AV991" t="s">
        <v>10988</v>
      </c>
      <c r="AW991" t="s">
        <v>114</v>
      </c>
      <c r="AX991" t="s">
        <v>132</v>
      </c>
      <c r="AY991" t="s">
        <v>9696</v>
      </c>
      <c r="AZ991" t="s">
        <v>4</v>
      </c>
      <c r="BA991" s="3" t="s">
        <v>95</v>
      </c>
      <c r="BB991" s="6" t="s">
        <v>95</v>
      </c>
      <c r="BC991" s="3" t="s">
        <v>95</v>
      </c>
      <c r="BD991" t="s">
        <v>4</v>
      </c>
      <c r="BE991">
        <v>3851</v>
      </c>
      <c r="BF991" t="s">
        <v>112</v>
      </c>
      <c r="BH991">
        <v>99.749399999999994</v>
      </c>
      <c r="BI991">
        <v>73.684200000000004</v>
      </c>
      <c r="BJ991">
        <v>36.090200000000003</v>
      </c>
      <c r="BK991">
        <v>35.087699999999998</v>
      </c>
      <c r="BL991">
        <v>80.952399999999997</v>
      </c>
      <c r="BM991">
        <v>79.197999999999993</v>
      </c>
      <c r="BN991">
        <v>79.197999999999993</v>
      </c>
      <c r="BO991">
        <v>83.207999999999998</v>
      </c>
      <c r="BP991">
        <v>33.333300000000001</v>
      </c>
      <c r="BS991" t="s">
        <v>10989</v>
      </c>
      <c r="CK991">
        <v>5</v>
      </c>
      <c r="CL991" t="s">
        <v>4</v>
      </c>
      <c r="CM991" t="s">
        <v>98</v>
      </c>
      <c r="CN991" t="s">
        <v>98</v>
      </c>
      <c r="CO991" t="s">
        <v>99</v>
      </c>
      <c r="CP991" s="7">
        <v>495</v>
      </c>
      <c r="CQ991" t="s">
        <v>100</v>
      </c>
      <c r="CR991" t="s">
        <v>100</v>
      </c>
      <c r="CS991" t="s">
        <v>101</v>
      </c>
      <c r="CT991" t="s">
        <v>100</v>
      </c>
      <c r="CU991" t="s">
        <v>102</v>
      </c>
      <c r="CV991" t="s">
        <v>100</v>
      </c>
    </row>
    <row r="992" spans="1:100">
      <c r="A992" s="3" t="s">
        <v>10990</v>
      </c>
      <c r="B992" s="4" t="s">
        <v>10991</v>
      </c>
      <c r="C992">
        <v>324.49937360139199</v>
      </c>
      <c r="D992">
        <v>124.681555947326</v>
      </c>
      <c r="E992">
        <v>1.3788644816053499</v>
      </c>
      <c r="F992">
        <v>4.1041377120958099E-4</v>
      </c>
      <c r="G992" t="s">
        <v>4</v>
      </c>
      <c r="H992">
        <v>324.49937360139199</v>
      </c>
      <c r="I992">
        <v>76.710611603156295</v>
      </c>
      <c r="J992">
        <v>2.0833964207220101</v>
      </c>
      <c r="K992" s="5">
        <v>5.13545800107621E-8</v>
      </c>
      <c r="L992" t="s">
        <v>4</v>
      </c>
      <c r="M992">
        <v>124.681555947326</v>
      </c>
      <c r="N992">
        <v>76.710611603156295</v>
      </c>
      <c r="O992">
        <v>0.70453193911666401</v>
      </c>
      <c r="P992">
        <v>8.9695081658830805E-2</v>
      </c>
      <c r="Q992" t="s">
        <v>4</v>
      </c>
      <c r="R992" s="4" t="s">
        <v>87</v>
      </c>
      <c r="S992" t="s">
        <v>4</v>
      </c>
      <c r="T992" t="s">
        <v>10992</v>
      </c>
      <c r="U992" t="s">
        <v>10993</v>
      </c>
      <c r="V992" t="s">
        <v>10994</v>
      </c>
      <c r="W992" t="s">
        <v>328</v>
      </c>
      <c r="X992" t="s">
        <v>4</v>
      </c>
      <c r="Y992" t="s">
        <v>10995</v>
      </c>
      <c r="Z992" t="s">
        <v>10996</v>
      </c>
      <c r="AA992" t="s">
        <v>10997</v>
      </c>
      <c r="AB992" t="s">
        <v>4</v>
      </c>
      <c r="AC992" s="3" t="s">
        <v>10998</v>
      </c>
      <c r="AD992" t="s">
        <v>4</v>
      </c>
      <c r="AE992" t="s">
        <v>10999</v>
      </c>
      <c r="AF992" t="s">
        <v>834</v>
      </c>
      <c r="AG992" t="s">
        <v>11000</v>
      </c>
      <c r="AH992" t="s">
        <v>112</v>
      </c>
      <c r="AL992" t="s">
        <v>11001</v>
      </c>
      <c r="AQ992" t="s">
        <v>11002</v>
      </c>
      <c r="AU992" t="s">
        <v>112</v>
      </c>
      <c r="AV992" t="s">
        <v>11003</v>
      </c>
      <c r="AW992" t="s">
        <v>114</v>
      </c>
      <c r="AX992" t="s">
        <v>132</v>
      </c>
      <c r="AY992" t="s">
        <v>11004</v>
      </c>
      <c r="AZ992" t="s">
        <v>4</v>
      </c>
      <c r="BA992" s="3" t="s">
        <v>95</v>
      </c>
      <c r="BB992" t="s">
        <v>96</v>
      </c>
      <c r="BC992" s="3" t="s">
        <v>95</v>
      </c>
      <c r="BD992" t="s">
        <v>4</v>
      </c>
      <c r="BE992">
        <v>6433</v>
      </c>
      <c r="BF992" t="s">
        <v>213</v>
      </c>
      <c r="BG992">
        <v>98.472700000000003</v>
      </c>
      <c r="BI992">
        <v>94.425399999999996</v>
      </c>
      <c r="BJ992">
        <v>45.284500000000001</v>
      </c>
      <c r="BK992">
        <v>79.877799999999993</v>
      </c>
      <c r="BL992">
        <v>26.040500000000002</v>
      </c>
      <c r="BM992">
        <v>84.116100000000003</v>
      </c>
      <c r="BN992">
        <v>85.147000000000006</v>
      </c>
      <c r="BO992">
        <v>83.428799999999995</v>
      </c>
      <c r="BP992">
        <v>41.046199999999999</v>
      </c>
      <c r="BQ992">
        <v>38.640700000000002</v>
      </c>
      <c r="BR992">
        <v>39.862499999999997</v>
      </c>
      <c r="BS992">
        <v>42.191699999999997</v>
      </c>
      <c r="BW992">
        <v>38.831600000000002</v>
      </c>
      <c r="BZ992">
        <v>40.206200000000003</v>
      </c>
      <c r="CA992">
        <v>40.626199999999997</v>
      </c>
      <c r="CB992" t="s">
        <v>11005</v>
      </c>
      <c r="CC992">
        <v>13.0966</v>
      </c>
      <c r="CD992">
        <v>25.6586</v>
      </c>
      <c r="CF992">
        <v>26.155000000000001</v>
      </c>
      <c r="CG992" t="s">
        <v>11006</v>
      </c>
      <c r="CH992" t="s">
        <v>11007</v>
      </c>
      <c r="CI992" t="s">
        <v>11008</v>
      </c>
      <c r="CK992">
        <v>8</v>
      </c>
      <c r="CL992" t="s">
        <v>4</v>
      </c>
      <c r="CM992" t="s">
        <v>11009</v>
      </c>
      <c r="CN992" t="s">
        <v>11010</v>
      </c>
      <c r="CO992" t="s">
        <v>99</v>
      </c>
      <c r="CP992" s="7">
        <v>498</v>
      </c>
      <c r="CQ992" t="s">
        <v>100</v>
      </c>
      <c r="CR992" t="s">
        <v>100</v>
      </c>
      <c r="CS992" t="s">
        <v>101</v>
      </c>
      <c r="CT992" t="s">
        <v>100</v>
      </c>
      <c r="CU992" t="s">
        <v>102</v>
      </c>
      <c r="CV992" t="s">
        <v>100</v>
      </c>
    </row>
    <row r="993" spans="1:100">
      <c r="A993" s="3" t="s">
        <v>11011</v>
      </c>
      <c r="B993" s="4" t="s">
        <v>11012</v>
      </c>
      <c r="C993">
        <v>471.554828654115</v>
      </c>
      <c r="D993">
        <v>134.287057904405</v>
      </c>
      <c r="E993">
        <v>1.8110439388159101</v>
      </c>
      <c r="F993" s="5">
        <v>3.5093502318540897E-10</v>
      </c>
      <c r="G993" t="s">
        <v>4</v>
      </c>
      <c r="H993">
        <v>471.554828654115</v>
      </c>
      <c r="I993">
        <v>111.63524064400499</v>
      </c>
      <c r="J993">
        <v>2.0773811555416501</v>
      </c>
      <c r="K993" s="5">
        <v>7.3178236244572101E-13</v>
      </c>
      <c r="L993" t="s">
        <v>4</v>
      </c>
      <c r="M993">
        <v>134.287057904405</v>
      </c>
      <c r="N993">
        <v>111.63524064400499</v>
      </c>
      <c r="O993">
        <v>0.26633721672573302</v>
      </c>
      <c r="P993">
        <v>0.441439464771954</v>
      </c>
      <c r="Q993" t="s">
        <v>4</v>
      </c>
      <c r="R993" s="4" t="s">
        <v>87</v>
      </c>
      <c r="S993" t="s">
        <v>4</v>
      </c>
      <c r="T993" t="s">
        <v>2243</v>
      </c>
      <c r="U993" t="s">
        <v>2244</v>
      </c>
      <c r="V993" t="s">
        <v>2245</v>
      </c>
      <c r="W993" t="s">
        <v>123</v>
      </c>
      <c r="X993" t="s">
        <v>4</v>
      </c>
      <c r="Y993" t="s">
        <v>11013</v>
      </c>
      <c r="Z993" t="s">
        <v>11014</v>
      </c>
      <c r="AA993" t="s">
        <v>11015</v>
      </c>
      <c r="AB993" t="s">
        <v>4</v>
      </c>
      <c r="AC993" s="3" t="s">
        <v>11016</v>
      </c>
      <c r="AD993" t="s">
        <v>4</v>
      </c>
      <c r="AE993" t="s">
        <v>11017</v>
      </c>
      <c r="AF993" t="s">
        <v>834</v>
      </c>
      <c r="AG993" t="s">
        <v>11018</v>
      </c>
      <c r="AH993" t="s">
        <v>112</v>
      </c>
      <c r="AL993" t="s">
        <v>11019</v>
      </c>
      <c r="AQ993" t="s">
        <v>1028</v>
      </c>
      <c r="AU993" t="s">
        <v>112</v>
      </c>
      <c r="AV993" t="s">
        <v>11020</v>
      </c>
      <c r="AW993" t="s">
        <v>114</v>
      </c>
      <c r="AX993" t="s">
        <v>132</v>
      </c>
      <c r="AY993" t="s">
        <v>11021</v>
      </c>
      <c r="AZ993" t="s">
        <v>4</v>
      </c>
      <c r="BA993" s="3" t="s">
        <v>95</v>
      </c>
      <c r="BB993" s="6" t="s">
        <v>95</v>
      </c>
      <c r="BC993" s="3" t="s">
        <v>95</v>
      </c>
      <c r="BD993" t="s">
        <v>4</v>
      </c>
      <c r="BE993">
        <v>6630</v>
      </c>
      <c r="BF993" t="s">
        <v>213</v>
      </c>
      <c r="BG993">
        <v>99.507400000000004</v>
      </c>
      <c r="BH993">
        <v>72.413799999999995</v>
      </c>
      <c r="BI993">
        <v>89.531999999999996</v>
      </c>
      <c r="BJ993">
        <v>86.576400000000007</v>
      </c>
      <c r="BK993">
        <v>86.453199999999995</v>
      </c>
      <c r="BL993">
        <v>87.192099999999996</v>
      </c>
      <c r="BM993">
        <v>86.945800000000006</v>
      </c>
      <c r="BN993">
        <v>87.069000000000003</v>
      </c>
      <c r="BO993">
        <v>88.546800000000005</v>
      </c>
      <c r="BP993" t="s">
        <v>11022</v>
      </c>
      <c r="BQ993">
        <v>42.734000000000002</v>
      </c>
      <c r="BR993">
        <v>50</v>
      </c>
      <c r="BS993">
        <v>34.852200000000003</v>
      </c>
      <c r="BT993">
        <v>43.349800000000002</v>
      </c>
      <c r="BV993" t="s">
        <v>11023</v>
      </c>
      <c r="BW993">
        <v>51.354700000000001</v>
      </c>
      <c r="BX993">
        <v>53.694600000000001</v>
      </c>
      <c r="BY993">
        <v>19.088699999999999</v>
      </c>
      <c r="BZ993">
        <v>43.472900000000003</v>
      </c>
      <c r="CA993">
        <v>52.463099999999997</v>
      </c>
      <c r="CB993">
        <v>17.734000000000002</v>
      </c>
      <c r="CD993" t="s">
        <v>11024</v>
      </c>
      <c r="CE993">
        <v>40.6404</v>
      </c>
      <c r="CF993">
        <v>41.871899999999997</v>
      </c>
      <c r="CG993">
        <v>41.625599999999999</v>
      </c>
      <c r="CH993">
        <v>41.995100000000001</v>
      </c>
      <c r="CI993">
        <v>41.009900000000002</v>
      </c>
      <c r="CJ993" t="s">
        <v>11025</v>
      </c>
      <c r="CK993">
        <v>8</v>
      </c>
      <c r="CL993" t="s">
        <v>4</v>
      </c>
      <c r="CM993" t="s">
        <v>11026</v>
      </c>
      <c r="CN993" t="s">
        <v>11027</v>
      </c>
      <c r="CO993" t="s">
        <v>99</v>
      </c>
      <c r="CP993" s="7">
        <v>500</v>
      </c>
      <c r="CQ993" t="s">
        <v>100</v>
      </c>
      <c r="CR993" t="s">
        <v>100</v>
      </c>
      <c r="CS993" t="s">
        <v>101</v>
      </c>
      <c r="CT993" t="s">
        <v>100</v>
      </c>
      <c r="CU993" t="s">
        <v>102</v>
      </c>
      <c r="CV993" t="s">
        <v>100</v>
      </c>
    </row>
    <row r="994" spans="1:100">
      <c r="A994" s="3" t="s">
        <v>11028</v>
      </c>
      <c r="B994" s="4" t="s">
        <v>11029</v>
      </c>
      <c r="C994">
        <v>1163.1860510803101</v>
      </c>
      <c r="D994">
        <v>575.846942085622</v>
      </c>
      <c r="E994">
        <v>1.01397414944011</v>
      </c>
      <c r="F994">
        <v>1.62882172415114E-3</v>
      </c>
      <c r="G994" t="s">
        <v>4</v>
      </c>
      <c r="H994">
        <v>1163.1860510803101</v>
      </c>
      <c r="I994">
        <v>279.34502406027298</v>
      </c>
      <c r="J994">
        <v>2.0482925694054601</v>
      </c>
      <c r="K994" s="5">
        <v>1.8812217999392101E-11</v>
      </c>
      <c r="L994" t="s">
        <v>4</v>
      </c>
      <c r="M994">
        <v>575.846942085622</v>
      </c>
      <c r="N994">
        <v>279.34502406027298</v>
      </c>
      <c r="O994">
        <v>1.0343184199653399</v>
      </c>
      <c r="P994">
        <v>1.0029286197439501E-3</v>
      </c>
      <c r="Q994" t="s">
        <v>4</v>
      </c>
      <c r="R994" s="4" t="s">
        <v>87</v>
      </c>
      <c r="S994" t="s">
        <v>4</v>
      </c>
      <c r="T994" t="s">
        <v>11030</v>
      </c>
      <c r="U994" t="s">
        <v>11031</v>
      </c>
      <c r="V994" t="s">
        <v>11032</v>
      </c>
      <c r="W994" t="s">
        <v>328</v>
      </c>
      <c r="X994" t="s">
        <v>4</v>
      </c>
      <c r="Y994" t="s">
        <v>11033</v>
      </c>
      <c r="Z994" t="s">
        <v>11034</v>
      </c>
      <c r="AA994" t="s">
        <v>11035</v>
      </c>
      <c r="AB994" t="s">
        <v>4</v>
      </c>
      <c r="AC994" s="3" t="s">
        <v>11036</v>
      </c>
      <c r="AD994" t="s">
        <v>4</v>
      </c>
      <c r="AE994" t="s">
        <v>11037</v>
      </c>
      <c r="AF994" t="s">
        <v>11038</v>
      </c>
      <c r="AG994" t="s">
        <v>11039</v>
      </c>
      <c r="AH994" t="s">
        <v>112</v>
      </c>
      <c r="AJ994" t="s">
        <v>11040</v>
      </c>
      <c r="AK994" t="s">
        <v>11041</v>
      </c>
      <c r="AL994" t="s">
        <v>11042</v>
      </c>
      <c r="AM994" t="s">
        <v>11043</v>
      </c>
      <c r="AQ994" t="s">
        <v>8070</v>
      </c>
      <c r="AU994" t="s">
        <v>112</v>
      </c>
      <c r="AV994" t="s">
        <v>11044</v>
      </c>
      <c r="AW994" t="s">
        <v>114</v>
      </c>
      <c r="AX994" t="s">
        <v>2139</v>
      </c>
      <c r="AY994" t="s">
        <v>11045</v>
      </c>
      <c r="AZ994" t="s">
        <v>4</v>
      </c>
      <c r="BA994" s="3" t="s">
        <v>95</v>
      </c>
      <c r="BB994" s="6" t="s">
        <v>95</v>
      </c>
      <c r="BC994" s="3" t="s">
        <v>95</v>
      </c>
      <c r="BD994" t="s">
        <v>4</v>
      </c>
      <c r="BE994">
        <v>7907</v>
      </c>
      <c r="BF994" t="s">
        <v>213</v>
      </c>
      <c r="BH994">
        <v>91.735500000000002</v>
      </c>
      <c r="BI994">
        <v>91.115700000000004</v>
      </c>
      <c r="BJ994">
        <v>87.809899999999999</v>
      </c>
      <c r="BK994">
        <v>85.537199999999999</v>
      </c>
      <c r="BL994">
        <v>32.851199999999999</v>
      </c>
      <c r="BN994">
        <v>81.405000000000001</v>
      </c>
      <c r="BO994">
        <v>86.363600000000005</v>
      </c>
      <c r="BP994">
        <v>64.049599999999998</v>
      </c>
      <c r="BQ994">
        <v>56.405000000000001</v>
      </c>
      <c r="BR994">
        <v>58.264499999999998</v>
      </c>
      <c r="BS994">
        <v>55.7851</v>
      </c>
      <c r="BU994">
        <v>60.537199999999999</v>
      </c>
      <c r="BV994" t="s">
        <v>11046</v>
      </c>
      <c r="BW994">
        <v>55.371899999999997</v>
      </c>
      <c r="BX994">
        <v>62.809899999999999</v>
      </c>
      <c r="BZ994">
        <v>63.223100000000002</v>
      </c>
      <c r="CB994">
        <v>60.537199999999999</v>
      </c>
      <c r="CC994">
        <v>53.099200000000003</v>
      </c>
      <c r="CE994">
        <v>58.884300000000003</v>
      </c>
      <c r="CG994">
        <v>60.330599999999997</v>
      </c>
      <c r="CH994" t="s">
        <v>11047</v>
      </c>
      <c r="CI994">
        <v>60.7438</v>
      </c>
      <c r="CK994">
        <v>8</v>
      </c>
      <c r="CL994" t="s">
        <v>4</v>
      </c>
      <c r="CM994" t="s">
        <v>98</v>
      </c>
      <c r="CN994" t="s">
        <v>98</v>
      </c>
      <c r="CO994" t="s">
        <v>99</v>
      </c>
      <c r="CP994" s="7">
        <v>506</v>
      </c>
      <c r="CQ994" t="s">
        <v>100</v>
      </c>
      <c r="CR994" t="s">
        <v>100</v>
      </c>
      <c r="CS994" t="s">
        <v>101</v>
      </c>
      <c r="CT994" s="7" t="s">
        <v>152</v>
      </c>
      <c r="CU994" t="s">
        <v>102</v>
      </c>
      <c r="CV994" t="s">
        <v>100</v>
      </c>
    </row>
    <row r="995" spans="1:100">
      <c r="A995" s="3" t="s">
        <v>11048</v>
      </c>
      <c r="B995" s="4" t="s">
        <v>11049</v>
      </c>
      <c r="C995">
        <v>48.749435218930898</v>
      </c>
      <c r="D995">
        <v>18.251229317411799</v>
      </c>
      <c r="E995">
        <v>1.42130930128745</v>
      </c>
      <c r="F995">
        <v>3.2007612780670602E-2</v>
      </c>
      <c r="G995" t="s">
        <v>4</v>
      </c>
      <c r="H995">
        <v>48.749435218930898</v>
      </c>
      <c r="I995">
        <v>11.887880019812901</v>
      </c>
      <c r="J995">
        <v>2.0406219112294099</v>
      </c>
      <c r="K995">
        <v>2.4725999295778702E-3</v>
      </c>
      <c r="L995" t="s">
        <v>4</v>
      </c>
      <c r="M995">
        <v>18.251229317411799</v>
      </c>
      <c r="N995">
        <v>11.887880019812901</v>
      </c>
      <c r="O995">
        <v>0.61931260994195303</v>
      </c>
      <c r="P995">
        <v>0.42339603485285199</v>
      </c>
      <c r="Q995" t="s">
        <v>4</v>
      </c>
      <c r="R995" s="4" t="s">
        <v>87</v>
      </c>
      <c r="S995" t="s">
        <v>4</v>
      </c>
      <c r="T995" t="s">
        <v>92</v>
      </c>
      <c r="U995" t="s">
        <v>92</v>
      </c>
      <c r="V995" t="s">
        <v>92</v>
      </c>
      <c r="W995" t="s">
        <v>92</v>
      </c>
      <c r="X995" t="s">
        <v>4</v>
      </c>
      <c r="Y995" t="s">
        <v>92</v>
      </c>
      <c r="Z995" t="s">
        <v>92</v>
      </c>
      <c r="AA995" t="s">
        <v>92</v>
      </c>
      <c r="AB995" t="s">
        <v>4</v>
      </c>
      <c r="AC995" s="3" t="s">
        <v>93</v>
      </c>
      <c r="AD995" t="s">
        <v>4</v>
      </c>
      <c r="AE995" s="4" t="s">
        <v>94</v>
      </c>
      <c r="AZ995" t="s">
        <v>4</v>
      </c>
      <c r="BA995" s="3" t="s">
        <v>95</v>
      </c>
      <c r="BB995" s="6" t="s">
        <v>95</v>
      </c>
      <c r="BC995" s="3" t="s">
        <v>95</v>
      </c>
      <c r="BD995" t="s">
        <v>4</v>
      </c>
      <c r="BE995">
        <v>750</v>
      </c>
      <c r="BF995" t="s">
        <v>604</v>
      </c>
      <c r="BG995">
        <v>61.682200000000002</v>
      </c>
      <c r="CK995">
        <v>1.5</v>
      </c>
      <c r="CL995" t="s">
        <v>4</v>
      </c>
      <c r="CM995" t="s">
        <v>98</v>
      </c>
      <c r="CN995" t="s">
        <v>98</v>
      </c>
      <c r="CO995" t="s">
        <v>99</v>
      </c>
      <c r="CP995" s="7">
        <v>508</v>
      </c>
      <c r="CQ995" t="s">
        <v>100</v>
      </c>
      <c r="CR995" t="s">
        <v>100</v>
      </c>
      <c r="CS995" t="s">
        <v>101</v>
      </c>
      <c r="CT995" t="s">
        <v>100</v>
      </c>
      <c r="CU995" t="s">
        <v>102</v>
      </c>
      <c r="CV995" t="s">
        <v>100</v>
      </c>
    </row>
    <row r="996" spans="1:100">
      <c r="A996" s="3" t="s">
        <v>11050</v>
      </c>
      <c r="B996" s="4" t="s">
        <v>11051</v>
      </c>
      <c r="C996">
        <v>2421.05904915152</v>
      </c>
      <c r="D996">
        <v>935.44549964289604</v>
      </c>
      <c r="E996">
        <v>1.37170084785377</v>
      </c>
      <c r="F996">
        <v>1.39995469281188E-3</v>
      </c>
      <c r="G996" t="s">
        <v>4</v>
      </c>
      <c r="H996">
        <v>2421.05904915152</v>
      </c>
      <c r="I996">
        <v>590.72623889341196</v>
      </c>
      <c r="J996">
        <v>2.0320997085212902</v>
      </c>
      <c r="K996" s="5">
        <v>6.83921787429014E-7</v>
      </c>
      <c r="L996" t="s">
        <v>4</v>
      </c>
      <c r="M996">
        <v>935.44549964289604</v>
      </c>
      <c r="N996">
        <v>590.72623889341196</v>
      </c>
      <c r="O996">
        <v>0.66039886066752296</v>
      </c>
      <c r="P996">
        <v>0.13510516350934099</v>
      </c>
      <c r="Q996" t="s">
        <v>4</v>
      </c>
      <c r="R996" s="4" t="s">
        <v>87</v>
      </c>
      <c r="S996" t="s">
        <v>4</v>
      </c>
      <c r="T996" t="s">
        <v>11052</v>
      </c>
      <c r="U996" t="s">
        <v>11053</v>
      </c>
      <c r="V996" t="s">
        <v>11054</v>
      </c>
      <c r="W996" t="s">
        <v>328</v>
      </c>
      <c r="X996" t="s">
        <v>4</v>
      </c>
      <c r="Y996" t="s">
        <v>11055</v>
      </c>
      <c r="Z996" t="s">
        <v>11056</v>
      </c>
      <c r="AA996" t="s">
        <v>11057</v>
      </c>
      <c r="AB996" t="s">
        <v>4</v>
      </c>
      <c r="AC996" s="3" t="s">
        <v>11058</v>
      </c>
      <c r="AD996" t="s">
        <v>4</v>
      </c>
      <c r="AE996" t="s">
        <v>11059</v>
      </c>
      <c r="AF996" t="s">
        <v>11060</v>
      </c>
      <c r="AG996" t="s">
        <v>11061</v>
      </c>
      <c r="AH996" t="s">
        <v>112</v>
      </c>
      <c r="AL996" t="s">
        <v>11062</v>
      </c>
      <c r="AM996" t="s">
        <v>7567</v>
      </c>
      <c r="AQ996" t="s">
        <v>8816</v>
      </c>
      <c r="AU996" t="s">
        <v>112</v>
      </c>
      <c r="AV996" t="s">
        <v>11063</v>
      </c>
      <c r="AW996" t="s">
        <v>114</v>
      </c>
      <c r="AX996" t="s">
        <v>2157</v>
      </c>
      <c r="AY996" t="s">
        <v>11064</v>
      </c>
      <c r="AZ996" t="s">
        <v>4</v>
      </c>
      <c r="BA996" s="3" t="s">
        <v>95</v>
      </c>
      <c r="BB996" s="6" t="s">
        <v>95</v>
      </c>
      <c r="BC996" s="3" t="s">
        <v>95</v>
      </c>
      <c r="BD996" t="s">
        <v>4</v>
      </c>
      <c r="BE996">
        <v>10106</v>
      </c>
      <c r="BF996" t="s">
        <v>169</v>
      </c>
      <c r="BG996">
        <v>98.143199999999993</v>
      </c>
      <c r="BH996">
        <v>85.411100000000005</v>
      </c>
      <c r="BI996" t="s">
        <v>11065</v>
      </c>
      <c r="BJ996">
        <v>89.920400000000001</v>
      </c>
      <c r="BK996">
        <v>89.124700000000004</v>
      </c>
      <c r="BL996">
        <v>54.3767</v>
      </c>
      <c r="BM996">
        <v>86.737399999999994</v>
      </c>
      <c r="BN996">
        <v>86.472099999999998</v>
      </c>
      <c r="BO996">
        <v>85.941599999999994</v>
      </c>
      <c r="BP996">
        <v>68.435000000000002</v>
      </c>
      <c r="BQ996">
        <v>51.193600000000004</v>
      </c>
      <c r="BR996">
        <v>57.8249</v>
      </c>
      <c r="BS996">
        <v>53.5809</v>
      </c>
      <c r="BT996">
        <v>43.501300000000001</v>
      </c>
      <c r="BU996">
        <v>51.989400000000003</v>
      </c>
      <c r="BV996" t="s">
        <v>11066</v>
      </c>
      <c r="BW996">
        <v>55.968200000000003</v>
      </c>
      <c r="BX996">
        <v>59.151200000000003</v>
      </c>
      <c r="BZ996">
        <v>60.212200000000003</v>
      </c>
      <c r="CA996">
        <v>57.294400000000003</v>
      </c>
      <c r="CB996">
        <v>43.766599999999997</v>
      </c>
      <c r="CC996">
        <v>30.238700000000001</v>
      </c>
      <c r="CD996">
        <v>41.909799999999997</v>
      </c>
      <c r="CE996">
        <v>35.278500000000001</v>
      </c>
      <c r="CF996">
        <v>40.318300000000001</v>
      </c>
      <c r="CG996">
        <v>44.827599999999997</v>
      </c>
      <c r="CH996">
        <v>44.5623</v>
      </c>
      <c r="CI996">
        <v>44.5623</v>
      </c>
      <c r="CJ996">
        <v>31.299700000000001</v>
      </c>
      <c r="CK996">
        <v>9</v>
      </c>
      <c r="CL996" t="s">
        <v>4</v>
      </c>
      <c r="CM996" t="s">
        <v>11067</v>
      </c>
      <c r="CN996" t="s">
        <v>11068</v>
      </c>
      <c r="CO996" t="s">
        <v>219</v>
      </c>
      <c r="CP996" s="7">
        <v>509</v>
      </c>
      <c r="CQ996" t="s">
        <v>100</v>
      </c>
      <c r="CR996" t="s">
        <v>100</v>
      </c>
      <c r="CS996" t="s">
        <v>101</v>
      </c>
      <c r="CT996" t="s">
        <v>100</v>
      </c>
      <c r="CU996" t="s">
        <v>102</v>
      </c>
      <c r="CV996" t="s">
        <v>100</v>
      </c>
    </row>
    <row r="997" spans="1:100">
      <c r="A997" s="3" t="s">
        <v>11069</v>
      </c>
      <c r="B997" s="4" t="s">
        <v>11070</v>
      </c>
      <c r="C997">
        <v>43.579237262034802</v>
      </c>
      <c r="D997">
        <v>11.2551019604982</v>
      </c>
      <c r="E997">
        <v>1.97236071574167</v>
      </c>
      <c r="F997">
        <v>9.2778169851753002E-3</v>
      </c>
      <c r="G997" t="s">
        <v>4</v>
      </c>
      <c r="H997">
        <v>43.579237262034802</v>
      </c>
      <c r="I997">
        <v>10.602421951216799</v>
      </c>
      <c r="J997">
        <v>2.0234612631861899</v>
      </c>
      <c r="K997">
        <v>7.8190834618430804E-3</v>
      </c>
      <c r="L997" t="s">
        <v>4</v>
      </c>
      <c r="M997">
        <v>11.2551019604982</v>
      </c>
      <c r="N997">
        <v>10.602421951216799</v>
      </c>
      <c r="O997">
        <v>5.1100547444516697E-2</v>
      </c>
      <c r="P997">
        <v>0.96106749772972699</v>
      </c>
      <c r="Q997" t="s">
        <v>4</v>
      </c>
      <c r="R997" s="4" t="s">
        <v>87</v>
      </c>
      <c r="S997" t="s">
        <v>4</v>
      </c>
      <c r="T997" t="s">
        <v>92</v>
      </c>
      <c r="U997" t="s">
        <v>92</v>
      </c>
      <c r="V997" t="s">
        <v>92</v>
      </c>
      <c r="W997" t="s">
        <v>92</v>
      </c>
      <c r="X997" t="s">
        <v>4</v>
      </c>
      <c r="Y997" t="s">
        <v>92</v>
      </c>
      <c r="Z997" t="s">
        <v>92</v>
      </c>
      <c r="AA997" t="s">
        <v>92</v>
      </c>
      <c r="AB997" t="s">
        <v>4</v>
      </c>
      <c r="AC997" s="3" t="s">
        <v>93</v>
      </c>
      <c r="AD997" t="s">
        <v>4</v>
      </c>
      <c r="AE997" s="4" t="s">
        <v>94</v>
      </c>
      <c r="AZ997" t="s">
        <v>4</v>
      </c>
      <c r="BA997" s="3" t="s">
        <v>95</v>
      </c>
      <c r="BB997" s="6" t="s">
        <v>95</v>
      </c>
      <c r="BC997" s="3" t="s">
        <v>95</v>
      </c>
      <c r="BD997" t="s">
        <v>4</v>
      </c>
      <c r="BE997">
        <v>445</v>
      </c>
      <c r="BF997" t="s">
        <v>322</v>
      </c>
      <c r="CK997">
        <v>1</v>
      </c>
      <c r="CL997" t="s">
        <v>4</v>
      </c>
      <c r="CM997" t="s">
        <v>98</v>
      </c>
      <c r="CN997" t="s">
        <v>98</v>
      </c>
      <c r="CO997" t="s">
        <v>99</v>
      </c>
      <c r="CP997" s="7">
        <v>510</v>
      </c>
      <c r="CQ997" t="s">
        <v>100</v>
      </c>
      <c r="CR997" t="s">
        <v>100</v>
      </c>
      <c r="CS997" t="s">
        <v>101</v>
      </c>
      <c r="CT997" t="s">
        <v>100</v>
      </c>
      <c r="CU997" t="s">
        <v>102</v>
      </c>
      <c r="CV997" t="s">
        <v>100</v>
      </c>
    </row>
    <row r="998" spans="1:100">
      <c r="A998" s="3" t="s">
        <v>11071</v>
      </c>
      <c r="B998" s="4" t="s">
        <v>11072</v>
      </c>
      <c r="C998">
        <v>21.803210289934899</v>
      </c>
      <c r="D998">
        <v>30.701894866346901</v>
      </c>
      <c r="E998">
        <f>0.486849015528516</f>
        <v>0.486849015528516</v>
      </c>
      <c r="F998">
        <v>0.51714939364368395</v>
      </c>
      <c r="G998" t="s">
        <v>4</v>
      </c>
      <c r="H998">
        <v>21.803210289934899</v>
      </c>
      <c r="I998">
        <v>0</v>
      </c>
      <c r="J998">
        <v>6.3998312439904996</v>
      </c>
      <c r="K998" s="5">
        <v>5.1991246536621403E-6</v>
      </c>
      <c r="L998" t="s">
        <v>4</v>
      </c>
      <c r="M998">
        <v>30.701894866346901</v>
      </c>
      <c r="N998">
        <v>0</v>
      </c>
      <c r="O998">
        <v>6.8866802595190197</v>
      </c>
      <c r="P998" s="5">
        <v>6.1744922834680702E-7</v>
      </c>
      <c r="Q998" t="s">
        <v>4</v>
      </c>
      <c r="R998" s="4" t="s">
        <v>87</v>
      </c>
      <c r="S998" t="s">
        <v>4</v>
      </c>
      <c r="T998" t="s">
        <v>92</v>
      </c>
      <c r="U998" t="s">
        <v>92</v>
      </c>
      <c r="V998" t="s">
        <v>92</v>
      </c>
      <c r="W998" t="s">
        <v>92</v>
      </c>
      <c r="X998" t="s">
        <v>4</v>
      </c>
      <c r="Y998" t="s">
        <v>92</v>
      </c>
      <c r="Z998" t="s">
        <v>92</v>
      </c>
      <c r="AA998" t="s">
        <v>92</v>
      </c>
      <c r="AB998" t="s">
        <v>4</v>
      </c>
      <c r="AC998" s="3" t="s">
        <v>93</v>
      </c>
      <c r="AD998" t="s">
        <v>4</v>
      </c>
      <c r="AE998" s="4" t="s">
        <v>94</v>
      </c>
      <c r="AZ998" t="s">
        <v>4</v>
      </c>
      <c r="BA998" s="3" t="s">
        <v>95</v>
      </c>
      <c r="BB998" s="6" t="s">
        <v>95</v>
      </c>
      <c r="BC998" s="3" t="s">
        <v>95</v>
      </c>
      <c r="BD998" t="s">
        <v>4</v>
      </c>
      <c r="BE998">
        <v>1466</v>
      </c>
      <c r="BF998" t="s">
        <v>151</v>
      </c>
      <c r="BG998">
        <v>94.029899999999998</v>
      </c>
      <c r="CK998">
        <v>2</v>
      </c>
      <c r="CL998" t="s">
        <v>4</v>
      </c>
      <c r="CM998" t="s">
        <v>98</v>
      </c>
      <c r="CN998" t="s">
        <v>98</v>
      </c>
      <c r="CO998" t="s">
        <v>99</v>
      </c>
      <c r="CP998" t="s">
        <v>100</v>
      </c>
      <c r="CQ998" t="s">
        <v>100</v>
      </c>
      <c r="CR998" t="s">
        <v>100</v>
      </c>
      <c r="CS998" t="s">
        <v>101</v>
      </c>
      <c r="CT998" t="s">
        <v>152</v>
      </c>
      <c r="CU998" t="s">
        <v>102</v>
      </c>
      <c r="CV998" t="s">
        <v>100</v>
      </c>
    </row>
    <row r="999" spans="1:100">
      <c r="A999" s="3" t="s">
        <v>11073</v>
      </c>
      <c r="B999" s="4" t="s">
        <v>11074</v>
      </c>
      <c r="C999">
        <v>11.067962013282701</v>
      </c>
      <c r="D999">
        <v>13.216515032489299</v>
      </c>
      <c r="E999">
        <f>0.258026264980026</f>
        <v>0.25802626498002601</v>
      </c>
      <c r="F999">
        <v>0.81519083391329805</v>
      </c>
      <c r="G999" t="s">
        <v>4</v>
      </c>
      <c r="H999">
        <v>11.067962013282701</v>
      </c>
      <c r="I999">
        <v>0</v>
      </c>
      <c r="J999">
        <v>5.4186656954745898</v>
      </c>
      <c r="K999">
        <v>4.7499985995601198E-4</v>
      </c>
      <c r="L999" t="s">
        <v>4</v>
      </c>
      <c r="M999">
        <v>13.216515032489299</v>
      </c>
      <c r="N999">
        <v>0</v>
      </c>
      <c r="O999">
        <v>5.6766919604546198</v>
      </c>
      <c r="P999">
        <v>2.01650779224584E-4</v>
      </c>
      <c r="Q999" t="s">
        <v>4</v>
      </c>
      <c r="R999" s="4" t="s">
        <v>87</v>
      </c>
      <c r="S999" t="s">
        <v>4</v>
      </c>
      <c r="T999" t="s">
        <v>88</v>
      </c>
      <c r="U999" t="s">
        <v>89</v>
      </c>
      <c r="V999" t="s">
        <v>90</v>
      </c>
      <c r="W999" t="s">
        <v>91</v>
      </c>
      <c r="X999" t="s">
        <v>4</v>
      </c>
      <c r="Y999" t="s">
        <v>92</v>
      </c>
      <c r="Z999" t="s">
        <v>92</v>
      </c>
      <c r="AA999" t="s">
        <v>92</v>
      </c>
      <c r="AB999" t="s">
        <v>4</v>
      </c>
      <c r="AC999" s="3" t="s">
        <v>93</v>
      </c>
      <c r="AD999" t="s">
        <v>4</v>
      </c>
      <c r="AE999" s="4" t="s">
        <v>94</v>
      </c>
      <c r="AZ999" t="s">
        <v>4</v>
      </c>
      <c r="BA999" s="3" t="s">
        <v>95</v>
      </c>
      <c r="BB999" t="s">
        <v>96</v>
      </c>
      <c r="BC999" s="3" t="s">
        <v>95</v>
      </c>
      <c r="BD999" t="s">
        <v>4</v>
      </c>
      <c r="BE999">
        <v>1072</v>
      </c>
      <c r="BF999" t="s">
        <v>151</v>
      </c>
      <c r="BI999">
        <v>56.834499999999998</v>
      </c>
      <c r="BJ999">
        <v>32.374099999999999</v>
      </c>
      <c r="BN999">
        <v>61.1511</v>
      </c>
      <c r="CK999">
        <v>2</v>
      </c>
      <c r="CL999" t="s">
        <v>4</v>
      </c>
      <c r="CM999" t="s">
        <v>98</v>
      </c>
      <c r="CN999" t="s">
        <v>98</v>
      </c>
      <c r="CO999" t="s">
        <v>99</v>
      </c>
      <c r="CP999" t="s">
        <v>100</v>
      </c>
      <c r="CQ999" t="s">
        <v>100</v>
      </c>
      <c r="CR999" t="s">
        <v>100</v>
      </c>
      <c r="CS999" t="s">
        <v>101</v>
      </c>
      <c r="CT999" t="s">
        <v>152</v>
      </c>
      <c r="CU999" t="s">
        <v>102</v>
      </c>
      <c r="CV999" t="s">
        <v>100</v>
      </c>
    </row>
    <row r="1000" spans="1:100">
      <c r="A1000" s="3" t="s">
        <v>11075</v>
      </c>
      <c r="B1000" s="4" t="s">
        <v>11076</v>
      </c>
      <c r="C1000">
        <v>4.9964789597369199</v>
      </c>
      <c r="D1000">
        <v>11.699781584905001</v>
      </c>
      <c r="E1000">
        <f>-1.22808015906632</f>
        <v>-1.22808015906632</v>
      </c>
      <c r="F1000">
        <v>0.38815801651288601</v>
      </c>
      <c r="G1000" t="s">
        <v>4</v>
      </c>
      <c r="H1000">
        <v>4.9964789597369199</v>
      </c>
      <c r="I1000">
        <v>0</v>
      </c>
      <c r="J1000">
        <v>4.2672011569825496</v>
      </c>
      <c r="K1000">
        <v>1.9558612137632599E-2</v>
      </c>
      <c r="L1000" t="s">
        <v>4</v>
      </c>
      <c r="M1000">
        <v>11.699781584905001</v>
      </c>
      <c r="N1000">
        <v>0</v>
      </c>
      <c r="O1000">
        <v>5.49528131604887</v>
      </c>
      <c r="P1000">
        <v>1.8141095475986101E-3</v>
      </c>
      <c r="Q1000" t="s">
        <v>4</v>
      </c>
      <c r="R1000" s="4" t="s">
        <v>87</v>
      </c>
      <c r="S1000" t="s">
        <v>4</v>
      </c>
      <c r="T1000" t="s">
        <v>92</v>
      </c>
      <c r="U1000" t="s">
        <v>92</v>
      </c>
      <c r="V1000" t="s">
        <v>92</v>
      </c>
      <c r="W1000" t="s">
        <v>92</v>
      </c>
      <c r="X1000" t="s">
        <v>4</v>
      </c>
      <c r="Y1000" t="s">
        <v>92</v>
      </c>
      <c r="Z1000" t="s">
        <v>92</v>
      </c>
      <c r="AA1000" t="s">
        <v>92</v>
      </c>
      <c r="AB1000" t="s">
        <v>4</v>
      </c>
      <c r="AC1000" s="3" t="s">
        <v>93</v>
      </c>
      <c r="AD1000" t="s">
        <v>4</v>
      </c>
      <c r="AE1000" s="4" t="s">
        <v>94</v>
      </c>
      <c r="AZ1000" t="s">
        <v>4</v>
      </c>
      <c r="BA1000" s="3" t="s">
        <v>95</v>
      </c>
      <c r="BB1000" s="6" t="s">
        <v>95</v>
      </c>
      <c r="BC1000" s="3" t="s">
        <v>95</v>
      </c>
      <c r="BD1000" t="s">
        <v>4</v>
      </c>
      <c r="BE1000">
        <v>111</v>
      </c>
      <c r="BF1000" t="s">
        <v>322</v>
      </c>
      <c r="CK1000">
        <v>1</v>
      </c>
      <c r="CL1000" t="s">
        <v>4</v>
      </c>
      <c r="CM1000" t="s">
        <v>98</v>
      </c>
      <c r="CN1000" t="s">
        <v>98</v>
      </c>
      <c r="CO1000" t="s">
        <v>99</v>
      </c>
      <c r="CP1000" t="s">
        <v>100</v>
      </c>
      <c r="CQ1000" t="s">
        <v>100</v>
      </c>
      <c r="CR1000" t="s">
        <v>100</v>
      </c>
      <c r="CS1000" s="7" t="s">
        <v>101</v>
      </c>
      <c r="CT1000" t="s">
        <v>152</v>
      </c>
      <c r="CU1000" t="s">
        <v>102</v>
      </c>
      <c r="CV1000" t="s">
        <v>100</v>
      </c>
    </row>
    <row r="1001" spans="1:100">
      <c r="A1001" s="3" t="s">
        <v>11077</v>
      </c>
      <c r="B1001" s="4" t="s">
        <v>11078</v>
      </c>
      <c r="C1001">
        <v>113.63863024257699</v>
      </c>
      <c r="D1001">
        <v>235.484060490123</v>
      </c>
      <c r="E1001">
        <f>-1.05268181165787</f>
        <v>-1.05268181165787</v>
      </c>
      <c r="F1001">
        <v>0.12363891660783199</v>
      </c>
      <c r="G1001" t="s">
        <v>4</v>
      </c>
      <c r="H1001">
        <v>113.63863024257699</v>
      </c>
      <c r="I1001">
        <v>4.68090278217033</v>
      </c>
      <c r="J1001">
        <v>4.4265825876030496</v>
      </c>
      <c r="K1001" s="5">
        <v>6.5772146589223098E-9</v>
      </c>
      <c r="L1001" t="s">
        <v>4</v>
      </c>
      <c r="M1001">
        <v>235.484060490123</v>
      </c>
      <c r="N1001">
        <v>4.68090278217033</v>
      </c>
      <c r="O1001">
        <v>5.47926439926092</v>
      </c>
      <c r="P1001" s="5">
        <v>2.6634595027036402E-13</v>
      </c>
      <c r="Q1001" t="s">
        <v>4</v>
      </c>
      <c r="R1001" s="4" t="s">
        <v>87</v>
      </c>
      <c r="S1001" t="s">
        <v>4</v>
      </c>
      <c r="T1001" t="s">
        <v>92</v>
      </c>
      <c r="U1001" t="s">
        <v>92</v>
      </c>
      <c r="V1001" t="s">
        <v>92</v>
      </c>
      <c r="W1001" t="s">
        <v>92</v>
      </c>
      <c r="X1001" t="s">
        <v>4</v>
      </c>
      <c r="Y1001" t="s">
        <v>92</v>
      </c>
      <c r="Z1001" t="s">
        <v>92</v>
      </c>
      <c r="AA1001" t="s">
        <v>92</v>
      </c>
      <c r="AB1001" t="s">
        <v>4</v>
      </c>
      <c r="AC1001" s="3" t="s">
        <v>93</v>
      </c>
      <c r="AD1001" t="s">
        <v>4</v>
      </c>
      <c r="AE1001" s="4" t="s">
        <v>94</v>
      </c>
      <c r="AZ1001" t="s">
        <v>4</v>
      </c>
      <c r="BA1001" s="3" t="s">
        <v>115</v>
      </c>
      <c r="BB1001" s="6" t="s">
        <v>95</v>
      </c>
      <c r="BC1001" s="3" t="s">
        <v>95</v>
      </c>
      <c r="BD1001" t="s">
        <v>4</v>
      </c>
      <c r="BE1001">
        <v>541</v>
      </c>
      <c r="BF1001" t="s">
        <v>322</v>
      </c>
      <c r="CK1001">
        <v>1</v>
      </c>
      <c r="CL1001" t="s">
        <v>4</v>
      </c>
      <c r="CM1001" t="s">
        <v>98</v>
      </c>
      <c r="CN1001" t="s">
        <v>98</v>
      </c>
      <c r="CO1001" t="s">
        <v>99</v>
      </c>
      <c r="CP1001" t="s">
        <v>100</v>
      </c>
      <c r="CQ1001" t="s">
        <v>100</v>
      </c>
      <c r="CR1001" t="s">
        <v>100</v>
      </c>
      <c r="CS1001" t="s">
        <v>101</v>
      </c>
      <c r="CT1001" t="s">
        <v>152</v>
      </c>
      <c r="CU1001" t="s">
        <v>102</v>
      </c>
      <c r="CV1001" t="s">
        <v>100</v>
      </c>
    </row>
    <row r="1002" spans="1:100">
      <c r="A1002" s="3" t="s">
        <v>11079</v>
      </c>
      <c r="B1002" s="4" t="s">
        <v>11080</v>
      </c>
      <c r="C1002">
        <v>176.521174320802</v>
      </c>
      <c r="D1002">
        <v>124.03717302224899</v>
      </c>
      <c r="E1002">
        <v>0.50815209967247099</v>
      </c>
      <c r="F1002">
        <v>0.30689776351826997</v>
      </c>
      <c r="G1002" t="s">
        <v>4</v>
      </c>
      <c r="H1002">
        <v>176.521174320802</v>
      </c>
      <c r="I1002">
        <v>3.2207944973088201</v>
      </c>
      <c r="J1002">
        <v>5.9750120351350402</v>
      </c>
      <c r="K1002" s="5">
        <v>6.6196159439950303E-16</v>
      </c>
      <c r="L1002" t="s">
        <v>4</v>
      </c>
      <c r="M1002">
        <v>124.03717302224899</v>
      </c>
      <c r="N1002">
        <v>3.2207944973088201</v>
      </c>
      <c r="O1002">
        <v>5.46685993546257</v>
      </c>
      <c r="P1002" s="5">
        <v>1.47978180081697E-13</v>
      </c>
      <c r="Q1002" t="s">
        <v>4</v>
      </c>
      <c r="R1002" s="4" t="s">
        <v>87</v>
      </c>
      <c r="S1002" t="s">
        <v>4</v>
      </c>
      <c r="T1002" t="s">
        <v>92</v>
      </c>
      <c r="U1002" t="s">
        <v>92</v>
      </c>
      <c r="V1002" t="s">
        <v>92</v>
      </c>
      <c r="W1002" t="s">
        <v>92</v>
      </c>
      <c r="X1002" t="s">
        <v>4</v>
      </c>
      <c r="Y1002" t="s">
        <v>7095</v>
      </c>
      <c r="Z1002" t="s">
        <v>7096</v>
      </c>
      <c r="AA1002" t="s">
        <v>7096</v>
      </c>
      <c r="AB1002" t="s">
        <v>4</v>
      </c>
      <c r="AC1002" s="3" t="s">
        <v>11081</v>
      </c>
      <c r="AD1002" t="s">
        <v>4</v>
      </c>
      <c r="AE1002" t="s">
        <v>7098</v>
      </c>
      <c r="AF1002" t="s">
        <v>11082</v>
      </c>
      <c r="AG1002" t="s">
        <v>11083</v>
      </c>
      <c r="AH1002" t="s">
        <v>112</v>
      </c>
      <c r="AU1002" t="s">
        <v>112</v>
      </c>
      <c r="AV1002" t="s">
        <v>7101</v>
      </c>
      <c r="AW1002" t="s">
        <v>114</v>
      </c>
      <c r="AX1002" t="s">
        <v>144</v>
      </c>
      <c r="AY1002" t="s">
        <v>7102</v>
      </c>
      <c r="AZ1002" t="s">
        <v>4</v>
      </c>
      <c r="BA1002" s="3" t="s">
        <v>95</v>
      </c>
      <c r="BB1002" s="6" t="s">
        <v>95</v>
      </c>
      <c r="BC1002" s="3" t="s">
        <v>197</v>
      </c>
      <c r="BD1002" t="s">
        <v>4</v>
      </c>
      <c r="BE1002">
        <v>2469</v>
      </c>
      <c r="BF1002" t="s">
        <v>97</v>
      </c>
      <c r="BN1002">
        <v>70.535700000000006</v>
      </c>
      <c r="BO1002">
        <v>66.964299999999994</v>
      </c>
      <c r="BP1002" t="s">
        <v>11084</v>
      </c>
      <c r="CK1002">
        <v>4</v>
      </c>
      <c r="CL1002" t="s">
        <v>4</v>
      </c>
      <c r="CM1002" t="s">
        <v>98</v>
      </c>
      <c r="CN1002" t="s">
        <v>98</v>
      </c>
      <c r="CO1002" t="s">
        <v>99</v>
      </c>
      <c r="CP1002" t="s">
        <v>100</v>
      </c>
      <c r="CQ1002" t="s">
        <v>100</v>
      </c>
      <c r="CR1002" t="s">
        <v>100</v>
      </c>
      <c r="CS1002" t="s">
        <v>101</v>
      </c>
      <c r="CT1002" t="s">
        <v>152</v>
      </c>
      <c r="CU1002" t="s">
        <v>102</v>
      </c>
      <c r="CV1002" t="s">
        <v>100</v>
      </c>
    </row>
    <row r="1003" spans="1:100">
      <c r="A1003" s="3" t="s">
        <v>11085</v>
      </c>
      <c r="B1003" s="4" t="s">
        <v>11086</v>
      </c>
      <c r="C1003">
        <v>55.606761084361601</v>
      </c>
      <c r="D1003">
        <v>37.018789880108898</v>
      </c>
      <c r="E1003">
        <v>0.58898395468433695</v>
      </c>
      <c r="F1003">
        <v>0.47230264889669199</v>
      </c>
      <c r="G1003" t="s">
        <v>4</v>
      </c>
      <c r="H1003">
        <v>55.606761084361601</v>
      </c>
      <c r="I1003">
        <v>0.67403550571184701</v>
      </c>
      <c r="J1003">
        <v>5.99682770959717</v>
      </c>
      <c r="K1003" s="5">
        <v>4.4459192065408497E-6</v>
      </c>
      <c r="L1003" t="s">
        <v>4</v>
      </c>
      <c r="M1003">
        <v>37.018789880108898</v>
      </c>
      <c r="N1003">
        <v>0.67403550571184701</v>
      </c>
      <c r="O1003">
        <v>5.4078437549128404</v>
      </c>
      <c r="P1003" s="5">
        <v>3.2366828327039001E-5</v>
      </c>
      <c r="Q1003" t="s">
        <v>4</v>
      </c>
      <c r="R1003" s="4" t="s">
        <v>87</v>
      </c>
      <c r="S1003" t="s">
        <v>4</v>
      </c>
      <c r="T1003" t="s">
        <v>92</v>
      </c>
      <c r="U1003" t="s">
        <v>92</v>
      </c>
      <c r="V1003" t="s">
        <v>92</v>
      </c>
      <c r="W1003" t="s">
        <v>92</v>
      </c>
      <c r="X1003" t="s">
        <v>4</v>
      </c>
      <c r="Y1003" t="s">
        <v>92</v>
      </c>
      <c r="Z1003" t="s">
        <v>92</v>
      </c>
      <c r="AA1003" t="s">
        <v>92</v>
      </c>
      <c r="AB1003" t="s">
        <v>4</v>
      </c>
      <c r="AC1003" s="3" t="s">
        <v>93</v>
      </c>
      <c r="AD1003" t="s">
        <v>4</v>
      </c>
      <c r="AE1003" t="s">
        <v>772</v>
      </c>
      <c r="AF1003" t="s">
        <v>468</v>
      </c>
      <c r="AG1003" t="s">
        <v>11087</v>
      </c>
      <c r="AH1003" t="s">
        <v>314</v>
      </c>
      <c r="AU1003" t="s">
        <v>112</v>
      </c>
      <c r="AV1003" t="s">
        <v>775</v>
      </c>
      <c r="AW1003" t="s">
        <v>114</v>
      </c>
      <c r="AZ1003" t="s">
        <v>4</v>
      </c>
      <c r="BA1003" s="3" t="s">
        <v>95</v>
      </c>
      <c r="BB1003" s="6" t="s">
        <v>95</v>
      </c>
      <c r="BC1003" s="3" t="s">
        <v>95</v>
      </c>
      <c r="BD1003" t="s">
        <v>4</v>
      </c>
      <c r="BE1003">
        <v>4711</v>
      </c>
      <c r="BF1003" t="s">
        <v>112</v>
      </c>
      <c r="BM1003">
        <v>31.055900000000001</v>
      </c>
      <c r="BO1003">
        <v>31.677</v>
      </c>
      <c r="CK1003">
        <v>5</v>
      </c>
      <c r="CL1003" t="s">
        <v>4</v>
      </c>
      <c r="CM1003" t="s">
        <v>98</v>
      </c>
      <c r="CN1003" t="s">
        <v>98</v>
      </c>
      <c r="CO1003" t="s">
        <v>99</v>
      </c>
      <c r="CP1003" t="s">
        <v>100</v>
      </c>
      <c r="CQ1003" t="s">
        <v>100</v>
      </c>
      <c r="CR1003" t="s">
        <v>100</v>
      </c>
      <c r="CS1003" t="s">
        <v>101</v>
      </c>
      <c r="CT1003" t="s">
        <v>152</v>
      </c>
      <c r="CU1003" t="s">
        <v>102</v>
      </c>
      <c r="CV1003" t="s">
        <v>100</v>
      </c>
    </row>
    <row r="1004" spans="1:100">
      <c r="A1004" s="3" t="s">
        <v>11088</v>
      </c>
      <c r="B1004" s="4" t="s">
        <v>11089</v>
      </c>
      <c r="C1004">
        <v>16.263136373791799</v>
      </c>
      <c r="D1004">
        <v>20.956486296267901</v>
      </c>
      <c r="E1004">
        <f>0.355647173742775</f>
        <v>0.35564717374277499</v>
      </c>
      <c r="F1004">
        <v>0.68417381558323997</v>
      </c>
      <c r="G1004" t="s">
        <v>4</v>
      </c>
      <c r="H1004">
        <v>16.263136373791799</v>
      </c>
      <c r="I1004">
        <v>0.483834107178163</v>
      </c>
      <c r="J1004">
        <v>5.0176307995951097</v>
      </c>
      <c r="K1004">
        <v>6.0695645401822901E-4</v>
      </c>
      <c r="L1004" t="s">
        <v>4</v>
      </c>
      <c r="M1004">
        <v>20.956486296267901</v>
      </c>
      <c r="N1004">
        <v>0.483834107178163</v>
      </c>
      <c r="O1004">
        <v>5.3732779733378901</v>
      </c>
      <c r="P1004">
        <v>1.87301207557571E-4</v>
      </c>
      <c r="Q1004" t="s">
        <v>4</v>
      </c>
      <c r="R1004" s="4" t="s">
        <v>87</v>
      </c>
      <c r="S1004" t="s">
        <v>4</v>
      </c>
      <c r="T1004" t="s">
        <v>88</v>
      </c>
      <c r="U1004" t="s">
        <v>89</v>
      </c>
      <c r="V1004" t="s">
        <v>90</v>
      </c>
      <c r="W1004" t="s">
        <v>91</v>
      </c>
      <c r="X1004" t="s">
        <v>4</v>
      </c>
      <c r="Y1004" t="s">
        <v>92</v>
      </c>
      <c r="Z1004" t="s">
        <v>92</v>
      </c>
      <c r="AA1004" t="s">
        <v>92</v>
      </c>
      <c r="AB1004" t="s">
        <v>4</v>
      </c>
      <c r="AC1004" s="3" t="s">
        <v>93</v>
      </c>
      <c r="AD1004" t="s">
        <v>4</v>
      </c>
      <c r="AE1004" s="4" t="s">
        <v>94</v>
      </c>
      <c r="AZ1004" t="s">
        <v>4</v>
      </c>
      <c r="BA1004" s="3" t="s">
        <v>95</v>
      </c>
      <c r="BB1004" t="s">
        <v>96</v>
      </c>
      <c r="BC1004" s="3" t="s">
        <v>95</v>
      </c>
      <c r="BD1004" t="s">
        <v>4</v>
      </c>
      <c r="BE1004">
        <v>205</v>
      </c>
      <c r="BF1004" t="s">
        <v>322</v>
      </c>
      <c r="CK1004">
        <v>1</v>
      </c>
      <c r="CL1004" t="s">
        <v>4</v>
      </c>
      <c r="CM1004" t="s">
        <v>98</v>
      </c>
      <c r="CN1004" t="s">
        <v>98</v>
      </c>
      <c r="CO1004" t="s">
        <v>99</v>
      </c>
      <c r="CP1004" t="s">
        <v>100</v>
      </c>
      <c r="CQ1004" t="s">
        <v>100</v>
      </c>
      <c r="CR1004" t="s">
        <v>100</v>
      </c>
      <c r="CS1004" t="s">
        <v>101</v>
      </c>
      <c r="CT1004" t="s">
        <v>152</v>
      </c>
      <c r="CU1004" t="s">
        <v>102</v>
      </c>
      <c r="CV1004" t="s">
        <v>100</v>
      </c>
    </row>
    <row r="1005" spans="1:100">
      <c r="A1005" s="3" t="s">
        <v>11090</v>
      </c>
      <c r="B1005" s="4" t="s">
        <v>11091</v>
      </c>
      <c r="C1005">
        <v>11.2519914396857</v>
      </c>
      <c r="D1005">
        <v>10.663202139298701</v>
      </c>
      <c r="E1005">
        <v>8.3994229715664906E-2</v>
      </c>
      <c r="F1005">
        <v>0.95248452069485501</v>
      </c>
      <c r="G1005" t="s">
        <v>4</v>
      </c>
      <c r="H1005">
        <v>11.2519914396857</v>
      </c>
      <c r="I1005">
        <v>0</v>
      </c>
      <c r="J1005">
        <v>5.43619205922686</v>
      </c>
      <c r="K1005">
        <v>1.14776204398346E-3</v>
      </c>
      <c r="L1005" t="s">
        <v>4</v>
      </c>
      <c r="M1005">
        <v>10.663202139298701</v>
      </c>
      <c r="N1005">
        <v>0</v>
      </c>
      <c r="O1005">
        <v>5.3521978295111898</v>
      </c>
      <c r="P1005">
        <v>1.2469209813138499E-3</v>
      </c>
      <c r="Q1005" t="s">
        <v>4</v>
      </c>
      <c r="R1005" s="4" t="s">
        <v>87</v>
      </c>
      <c r="S1005" t="s">
        <v>4</v>
      </c>
      <c r="T1005" t="s">
        <v>88</v>
      </c>
      <c r="U1005" t="s">
        <v>89</v>
      </c>
      <c r="V1005" t="s">
        <v>90</v>
      </c>
      <c r="W1005" t="s">
        <v>91</v>
      </c>
      <c r="X1005" t="s">
        <v>4</v>
      </c>
      <c r="Y1005" t="s">
        <v>92</v>
      </c>
      <c r="Z1005" t="s">
        <v>92</v>
      </c>
      <c r="AA1005" t="s">
        <v>92</v>
      </c>
      <c r="AB1005" t="s">
        <v>4</v>
      </c>
      <c r="AC1005" s="3" t="s">
        <v>93</v>
      </c>
      <c r="AD1005" t="s">
        <v>4</v>
      </c>
      <c r="AE1005" t="s">
        <v>3829</v>
      </c>
      <c r="AF1005" t="s">
        <v>11092</v>
      </c>
      <c r="AG1005" t="s">
        <v>11093</v>
      </c>
      <c r="AH1005" t="s">
        <v>112</v>
      </c>
      <c r="AU1005" t="s">
        <v>112</v>
      </c>
      <c r="AV1005" t="s">
        <v>3832</v>
      </c>
      <c r="AW1005" t="s">
        <v>114</v>
      </c>
      <c r="AZ1005" t="s">
        <v>4</v>
      </c>
      <c r="BA1005" s="3" t="s">
        <v>95</v>
      </c>
      <c r="BB1005" t="s">
        <v>96</v>
      </c>
      <c r="BC1005" s="3" t="s">
        <v>95</v>
      </c>
      <c r="BD1005" t="s">
        <v>4</v>
      </c>
      <c r="BE1005">
        <v>1536</v>
      </c>
      <c r="BF1005" t="s">
        <v>151</v>
      </c>
      <c r="BG1005">
        <v>82.733800000000002</v>
      </c>
      <c r="BH1005">
        <v>66.186999999999998</v>
      </c>
      <c r="BJ1005">
        <v>64.028800000000004</v>
      </c>
      <c r="CK1005">
        <v>2</v>
      </c>
      <c r="CL1005" t="s">
        <v>4</v>
      </c>
      <c r="CM1005" t="s">
        <v>98</v>
      </c>
      <c r="CN1005" t="s">
        <v>98</v>
      </c>
      <c r="CO1005" t="s">
        <v>99</v>
      </c>
      <c r="CP1005" t="s">
        <v>100</v>
      </c>
      <c r="CQ1005" t="s">
        <v>100</v>
      </c>
      <c r="CR1005" t="s">
        <v>100</v>
      </c>
      <c r="CS1005" t="s">
        <v>101</v>
      </c>
      <c r="CT1005" t="s">
        <v>152</v>
      </c>
      <c r="CU1005" t="s">
        <v>102</v>
      </c>
      <c r="CV1005" t="s">
        <v>100</v>
      </c>
    </row>
    <row r="1006" spans="1:100">
      <c r="A1006" s="3" t="s">
        <v>11094</v>
      </c>
      <c r="B1006" s="4" t="s">
        <v>11095</v>
      </c>
      <c r="C1006">
        <v>14.6869585843246</v>
      </c>
      <c r="D1006">
        <v>10.2863350869744</v>
      </c>
      <c r="E1006">
        <v>0.51725421794694804</v>
      </c>
      <c r="F1006">
        <v>0.59208124524192096</v>
      </c>
      <c r="G1006" t="s">
        <v>4</v>
      </c>
      <c r="H1006">
        <v>14.6869585843246</v>
      </c>
      <c r="I1006">
        <v>0</v>
      </c>
      <c r="J1006">
        <v>5.8212454359488603</v>
      </c>
      <c r="K1006" s="5">
        <v>9.3889546816050795E-5</v>
      </c>
      <c r="L1006" t="s">
        <v>4</v>
      </c>
      <c r="M1006">
        <v>10.2863350869744</v>
      </c>
      <c r="N1006">
        <v>0</v>
      </c>
      <c r="O1006">
        <v>5.3039912180019098</v>
      </c>
      <c r="P1006">
        <v>3.7227486641052603E-4</v>
      </c>
      <c r="Q1006" t="s">
        <v>4</v>
      </c>
      <c r="R1006" s="4" t="s">
        <v>87</v>
      </c>
      <c r="S1006" t="s">
        <v>4</v>
      </c>
      <c r="T1006" t="s">
        <v>92</v>
      </c>
      <c r="U1006" t="s">
        <v>92</v>
      </c>
      <c r="V1006" t="s">
        <v>92</v>
      </c>
      <c r="W1006" t="s">
        <v>92</v>
      </c>
      <c r="X1006" t="s">
        <v>4</v>
      </c>
      <c r="Y1006" t="s">
        <v>92</v>
      </c>
      <c r="Z1006" t="s">
        <v>92</v>
      </c>
      <c r="AA1006" t="s">
        <v>92</v>
      </c>
      <c r="AB1006" t="s">
        <v>4</v>
      </c>
      <c r="AC1006" s="3" t="s">
        <v>93</v>
      </c>
      <c r="AD1006" t="s">
        <v>4</v>
      </c>
      <c r="AE1006" s="4" t="s">
        <v>94</v>
      </c>
      <c r="AZ1006" t="s">
        <v>4</v>
      </c>
      <c r="BA1006" s="3" t="s">
        <v>95</v>
      </c>
      <c r="BB1006" s="6" t="s">
        <v>95</v>
      </c>
      <c r="BC1006" s="3" t="s">
        <v>95</v>
      </c>
      <c r="BD1006" t="s">
        <v>4</v>
      </c>
      <c r="BE1006">
        <v>797</v>
      </c>
      <c r="BF1006" t="s">
        <v>604</v>
      </c>
      <c r="BH1006">
        <v>100</v>
      </c>
      <c r="CK1006">
        <v>1.5</v>
      </c>
      <c r="CL1006" t="s">
        <v>4</v>
      </c>
      <c r="CM1006" t="s">
        <v>98</v>
      </c>
      <c r="CN1006" t="s">
        <v>98</v>
      </c>
      <c r="CO1006" t="s">
        <v>99</v>
      </c>
      <c r="CP1006" t="s">
        <v>100</v>
      </c>
      <c r="CQ1006" t="s">
        <v>100</v>
      </c>
      <c r="CR1006" t="s">
        <v>100</v>
      </c>
      <c r="CS1006" t="s">
        <v>101</v>
      </c>
      <c r="CT1006" t="s">
        <v>152</v>
      </c>
      <c r="CU1006" t="s">
        <v>102</v>
      </c>
      <c r="CV1006" t="s">
        <v>100</v>
      </c>
    </row>
    <row r="1007" spans="1:100">
      <c r="A1007" s="3" t="s">
        <v>11096</v>
      </c>
      <c r="B1007" s="8" t="s">
        <v>811</v>
      </c>
      <c r="C1007">
        <v>5.6234636527224904</v>
      </c>
      <c r="D1007">
        <v>17.791128672511899</v>
      </c>
      <c r="E1007">
        <f>-1.66189003659369</f>
        <v>-1.6618900365936899</v>
      </c>
      <c r="F1007">
        <v>0.15048983265110499</v>
      </c>
      <c r="G1007" t="s">
        <v>4</v>
      </c>
      <c r="H1007">
        <v>5.6234636527224904</v>
      </c>
      <c r="I1007">
        <v>0.63668974789924304</v>
      </c>
      <c r="J1007">
        <v>3.4819683705261602</v>
      </c>
      <c r="K1007">
        <v>4.05617265722934E-2</v>
      </c>
      <c r="L1007" t="s">
        <v>4</v>
      </c>
      <c r="M1007">
        <v>17.791128672511899</v>
      </c>
      <c r="N1007">
        <v>0.63668974789924304</v>
      </c>
      <c r="O1007">
        <v>5.1438584071198603</v>
      </c>
      <c r="P1007">
        <v>1.48631017767061E-3</v>
      </c>
      <c r="Q1007" t="s">
        <v>4</v>
      </c>
      <c r="R1007" s="4" t="s">
        <v>95</v>
      </c>
      <c r="S1007" t="s">
        <v>4</v>
      </c>
      <c r="T1007" t="s">
        <v>92</v>
      </c>
      <c r="U1007" t="s">
        <v>92</v>
      </c>
      <c r="V1007" t="s">
        <v>92</v>
      </c>
      <c r="W1007" t="s">
        <v>92</v>
      </c>
      <c r="X1007" t="s">
        <v>4</v>
      </c>
      <c r="Y1007" t="s">
        <v>92</v>
      </c>
      <c r="Z1007" t="s">
        <v>92</v>
      </c>
      <c r="AA1007" t="s">
        <v>92</v>
      </c>
      <c r="AB1007" t="s">
        <v>4</v>
      </c>
      <c r="AC1007" s="3" t="s">
        <v>93</v>
      </c>
      <c r="AD1007" t="s">
        <v>4</v>
      </c>
      <c r="AE1007" t="s">
        <v>11097</v>
      </c>
      <c r="AF1007" t="s">
        <v>11098</v>
      </c>
      <c r="AG1007" t="s">
        <v>11099</v>
      </c>
      <c r="AH1007" t="s">
        <v>386</v>
      </c>
      <c r="AU1007" t="s">
        <v>112</v>
      </c>
      <c r="AV1007" t="s">
        <v>11100</v>
      </c>
      <c r="AW1007" t="s">
        <v>114</v>
      </c>
      <c r="AX1007" t="s">
        <v>1938</v>
      </c>
      <c r="AY1007" t="s">
        <v>11101</v>
      </c>
      <c r="AZ1007" t="s">
        <v>4</v>
      </c>
      <c r="BA1007" s="3" t="s">
        <v>812</v>
      </c>
      <c r="BB1007" s="3" t="s">
        <v>812</v>
      </c>
      <c r="BC1007" s="3" t="s">
        <v>812</v>
      </c>
      <c r="BD1007" t="s">
        <v>4</v>
      </c>
      <c r="BE1007" s="3" t="s">
        <v>812</v>
      </c>
      <c r="BF1007" s="3" t="s">
        <v>812</v>
      </c>
      <c r="BG1007" s="3" t="s">
        <v>812</v>
      </c>
      <c r="BH1007" s="3" t="s">
        <v>812</v>
      </c>
      <c r="BI1007" s="3" t="s">
        <v>812</v>
      </c>
      <c r="BJ1007" s="3" t="s">
        <v>812</v>
      </c>
      <c r="BK1007" s="3" t="s">
        <v>812</v>
      </c>
      <c r="BL1007" s="3" t="s">
        <v>812</v>
      </c>
      <c r="BM1007" s="3" t="s">
        <v>812</v>
      </c>
      <c r="BN1007" s="3" t="s">
        <v>812</v>
      </c>
      <c r="BO1007" s="3" t="s">
        <v>812</v>
      </c>
      <c r="BP1007" s="3" t="s">
        <v>812</v>
      </c>
      <c r="BQ1007" s="3" t="s">
        <v>812</v>
      </c>
      <c r="BR1007" s="3" t="s">
        <v>812</v>
      </c>
      <c r="BS1007" s="3" t="s">
        <v>812</v>
      </c>
      <c r="BT1007" s="3" t="s">
        <v>812</v>
      </c>
      <c r="BU1007" s="3" t="s">
        <v>812</v>
      </c>
      <c r="BV1007" s="3" t="s">
        <v>812</v>
      </c>
      <c r="BW1007" s="3" t="s">
        <v>812</v>
      </c>
      <c r="BX1007" s="3" t="s">
        <v>812</v>
      </c>
      <c r="BY1007" s="3" t="s">
        <v>812</v>
      </c>
      <c r="BZ1007" s="3" t="s">
        <v>812</v>
      </c>
      <c r="CA1007" s="3" t="s">
        <v>812</v>
      </c>
      <c r="CB1007" s="3" t="s">
        <v>812</v>
      </c>
      <c r="CC1007" s="3" t="s">
        <v>812</v>
      </c>
      <c r="CD1007" s="3" t="s">
        <v>812</v>
      </c>
      <c r="CE1007" s="3" t="s">
        <v>812</v>
      </c>
      <c r="CF1007" s="3" t="s">
        <v>812</v>
      </c>
      <c r="CG1007" s="3" t="s">
        <v>812</v>
      </c>
      <c r="CH1007" s="3" t="s">
        <v>812</v>
      </c>
      <c r="CI1007" s="3" t="s">
        <v>812</v>
      </c>
      <c r="CJ1007" s="3" t="s">
        <v>812</v>
      </c>
      <c r="CK1007" s="3" t="s">
        <v>812</v>
      </c>
      <c r="CL1007" t="s">
        <v>4</v>
      </c>
      <c r="CM1007" s="3" t="s">
        <v>812</v>
      </c>
      <c r="CN1007" s="3" t="s">
        <v>812</v>
      </c>
      <c r="CO1007" s="3" t="s">
        <v>812</v>
      </c>
      <c r="CP1007" t="s">
        <v>100</v>
      </c>
      <c r="CQ1007" t="s">
        <v>100</v>
      </c>
      <c r="CR1007" t="s">
        <v>100</v>
      </c>
      <c r="CS1007" s="7" t="s">
        <v>101</v>
      </c>
      <c r="CT1007" t="s">
        <v>152</v>
      </c>
      <c r="CU1007" t="s">
        <v>102</v>
      </c>
      <c r="CV1007" t="s">
        <v>100</v>
      </c>
    </row>
    <row r="1008" spans="1:100">
      <c r="A1008" s="3" t="s">
        <v>11102</v>
      </c>
      <c r="B1008" s="4" t="s">
        <v>11103</v>
      </c>
      <c r="C1008">
        <v>16.278419856895098</v>
      </c>
      <c r="D1008">
        <v>7.6039816058149103</v>
      </c>
      <c r="E1008">
        <v>1.1058935740464899</v>
      </c>
      <c r="F1008">
        <v>0.478514073914312</v>
      </c>
      <c r="G1008" t="s">
        <v>4</v>
      </c>
      <c r="H1008">
        <v>16.278419856895098</v>
      </c>
      <c r="I1008">
        <v>0</v>
      </c>
      <c r="J1008">
        <v>5.9726943087484798</v>
      </c>
      <c r="K1008">
        <v>1.36320963184908E-3</v>
      </c>
      <c r="L1008" t="s">
        <v>4</v>
      </c>
      <c r="M1008">
        <v>7.6039816058149103</v>
      </c>
      <c r="N1008">
        <v>0</v>
      </c>
      <c r="O1008">
        <v>4.8668007347019904</v>
      </c>
      <c r="P1008">
        <v>9.9303808846692692E-3</v>
      </c>
      <c r="Q1008" t="s">
        <v>4</v>
      </c>
      <c r="R1008" s="4" t="s">
        <v>87</v>
      </c>
      <c r="S1008" t="s">
        <v>4</v>
      </c>
      <c r="T1008" t="s">
        <v>11104</v>
      </c>
      <c r="U1008" t="s">
        <v>11105</v>
      </c>
      <c r="V1008" t="s">
        <v>11106</v>
      </c>
      <c r="W1008" t="s">
        <v>328</v>
      </c>
      <c r="X1008" t="s">
        <v>4</v>
      </c>
      <c r="Y1008" t="s">
        <v>11107</v>
      </c>
      <c r="Z1008" t="s">
        <v>11108</v>
      </c>
      <c r="AA1008" t="s">
        <v>11109</v>
      </c>
      <c r="AB1008" t="s">
        <v>4</v>
      </c>
      <c r="AC1008" s="3" t="s">
        <v>93</v>
      </c>
      <c r="AD1008" t="s">
        <v>4</v>
      </c>
      <c r="AE1008" t="s">
        <v>11110</v>
      </c>
      <c r="AF1008" t="s">
        <v>11111</v>
      </c>
      <c r="AG1008" t="s">
        <v>3449</v>
      </c>
      <c r="AH1008" t="s">
        <v>10046</v>
      </c>
      <c r="AU1008" t="s">
        <v>112</v>
      </c>
      <c r="AV1008" t="s">
        <v>11112</v>
      </c>
      <c r="AW1008" t="s">
        <v>114</v>
      </c>
      <c r="AX1008" t="s">
        <v>596</v>
      </c>
      <c r="AY1008" t="s">
        <v>11113</v>
      </c>
      <c r="AZ1008" t="s">
        <v>4</v>
      </c>
      <c r="BA1008" s="3" t="s">
        <v>95</v>
      </c>
      <c r="BB1008" t="s">
        <v>96</v>
      </c>
      <c r="BC1008" s="3" t="s">
        <v>95</v>
      </c>
      <c r="BD1008" t="s">
        <v>4</v>
      </c>
      <c r="BE1008">
        <v>917</v>
      </c>
      <c r="BF1008" t="s">
        <v>604</v>
      </c>
      <c r="BG1008">
        <v>31.363600000000002</v>
      </c>
      <c r="CK1008">
        <v>1.5</v>
      </c>
      <c r="CL1008" t="s">
        <v>4</v>
      </c>
      <c r="CM1008" t="s">
        <v>98</v>
      </c>
      <c r="CN1008" t="s">
        <v>98</v>
      </c>
      <c r="CO1008" t="s">
        <v>99</v>
      </c>
      <c r="CP1008" t="s">
        <v>100</v>
      </c>
      <c r="CQ1008" t="s">
        <v>100</v>
      </c>
      <c r="CR1008" t="s">
        <v>100</v>
      </c>
      <c r="CS1008" t="s">
        <v>101</v>
      </c>
      <c r="CT1008" t="s">
        <v>152</v>
      </c>
      <c r="CU1008" t="s">
        <v>102</v>
      </c>
      <c r="CV1008" t="s">
        <v>100</v>
      </c>
    </row>
    <row r="1009" spans="1:100">
      <c r="A1009" s="3" t="s">
        <v>11114</v>
      </c>
      <c r="B1009" s="4" t="s">
        <v>11115</v>
      </c>
      <c r="C1009">
        <v>17942.293225633701</v>
      </c>
      <c r="D1009">
        <v>34189.143954258798</v>
      </c>
      <c r="E1009">
        <f>0.930176021839203</f>
        <v>0.930176021839203</v>
      </c>
      <c r="F1009">
        <v>2.23531710328079E-2</v>
      </c>
      <c r="G1009" t="s">
        <v>4</v>
      </c>
      <c r="H1009">
        <v>17942.293225633701</v>
      </c>
      <c r="I1009">
        <v>1179.9941534776799</v>
      </c>
      <c r="J1009">
        <v>3.9244156184682302</v>
      </c>
      <c r="K1009" s="5">
        <v>1.4597065821036001E-26</v>
      </c>
      <c r="L1009" t="s">
        <v>4</v>
      </c>
      <c r="M1009">
        <v>34189.143954258798</v>
      </c>
      <c r="N1009">
        <v>1179.9941534776799</v>
      </c>
      <c r="O1009">
        <v>4.8545916403074401</v>
      </c>
      <c r="P1009" s="5">
        <v>2.7038428314441001E-40</v>
      </c>
      <c r="Q1009" t="s">
        <v>4</v>
      </c>
      <c r="R1009" s="4" t="s">
        <v>87</v>
      </c>
      <c r="S1009" t="s">
        <v>4</v>
      </c>
      <c r="T1009" t="s">
        <v>92</v>
      </c>
      <c r="U1009" t="s">
        <v>92</v>
      </c>
      <c r="V1009" t="s">
        <v>92</v>
      </c>
      <c r="W1009" t="s">
        <v>92</v>
      </c>
      <c r="X1009" t="s">
        <v>4</v>
      </c>
      <c r="Y1009" t="s">
        <v>92</v>
      </c>
      <c r="Z1009" t="s">
        <v>92</v>
      </c>
      <c r="AA1009" t="s">
        <v>92</v>
      </c>
      <c r="AB1009" t="s">
        <v>4</v>
      </c>
      <c r="AC1009" s="3" t="s">
        <v>93</v>
      </c>
      <c r="AD1009" t="s">
        <v>4</v>
      </c>
      <c r="AE1009" s="4" t="s">
        <v>94</v>
      </c>
      <c r="AZ1009" t="s">
        <v>4</v>
      </c>
      <c r="BA1009" s="3" t="s">
        <v>95</v>
      </c>
      <c r="BB1009" s="6" t="s">
        <v>95</v>
      </c>
      <c r="BC1009" s="3" t="s">
        <v>197</v>
      </c>
      <c r="BD1009" t="s">
        <v>4</v>
      </c>
      <c r="BE1009">
        <v>1871</v>
      </c>
      <c r="BF1009" t="s">
        <v>148</v>
      </c>
      <c r="BG1009">
        <v>99.186999999999998</v>
      </c>
      <c r="BH1009" t="s">
        <v>11116</v>
      </c>
      <c r="BI1009">
        <v>88.211399999999998</v>
      </c>
      <c r="BJ1009">
        <v>78.861800000000002</v>
      </c>
      <c r="BK1009">
        <v>78.0488</v>
      </c>
      <c r="BL1009">
        <v>53.252000000000002</v>
      </c>
      <c r="BM1009">
        <v>51.219499999999996</v>
      </c>
      <c r="BN1009">
        <v>37.804900000000004</v>
      </c>
      <c r="BO1009">
        <v>67.479699999999994</v>
      </c>
      <c r="CK1009">
        <v>3</v>
      </c>
      <c r="CL1009" t="s">
        <v>4</v>
      </c>
      <c r="CM1009" t="s">
        <v>98</v>
      </c>
      <c r="CN1009" t="s">
        <v>98</v>
      </c>
      <c r="CO1009" t="s">
        <v>99</v>
      </c>
      <c r="CP1009" t="s">
        <v>100</v>
      </c>
      <c r="CQ1009" t="s">
        <v>100</v>
      </c>
      <c r="CR1009" t="s">
        <v>100</v>
      </c>
      <c r="CS1009" t="s">
        <v>101</v>
      </c>
      <c r="CT1009" t="s">
        <v>152</v>
      </c>
      <c r="CU1009" t="s">
        <v>102</v>
      </c>
      <c r="CV1009" t="s">
        <v>100</v>
      </c>
    </row>
    <row r="1010" spans="1:100">
      <c r="A1010" s="3" t="s">
        <v>11117</v>
      </c>
      <c r="B1010" s="4" t="s">
        <v>11118</v>
      </c>
      <c r="C1010">
        <v>1997.23029522298</v>
      </c>
      <c r="D1010">
        <v>2349.5813310189801</v>
      </c>
      <c r="E1010">
        <f>0.234315377258482</f>
        <v>0.234315377258482</v>
      </c>
      <c r="F1010">
        <v>0.51149965166768596</v>
      </c>
      <c r="G1010" t="s">
        <v>4</v>
      </c>
      <c r="H1010">
        <v>1997.23029522298</v>
      </c>
      <c r="I1010">
        <v>85.850349963096093</v>
      </c>
      <c r="J1010">
        <v>4.5246972834886598</v>
      </c>
      <c r="K1010" s="5">
        <v>4.2170700609831997E-46</v>
      </c>
      <c r="L1010" t="s">
        <v>4</v>
      </c>
      <c r="M1010">
        <v>2349.5813310189801</v>
      </c>
      <c r="N1010">
        <v>85.850349963096093</v>
      </c>
      <c r="O1010">
        <v>4.7590126607471497</v>
      </c>
      <c r="P1010" s="5">
        <v>4.4258716030797E-51</v>
      </c>
      <c r="Q1010" t="s">
        <v>4</v>
      </c>
      <c r="R1010" s="4" t="s">
        <v>87</v>
      </c>
      <c r="S1010" t="s">
        <v>4</v>
      </c>
      <c r="T1010" t="s">
        <v>11119</v>
      </c>
      <c r="U1010" t="s">
        <v>11120</v>
      </c>
      <c r="V1010" t="s">
        <v>11121</v>
      </c>
      <c r="W1010" t="s">
        <v>507</v>
      </c>
      <c r="X1010" t="s">
        <v>4</v>
      </c>
      <c r="Y1010" t="s">
        <v>11122</v>
      </c>
      <c r="Z1010" t="s">
        <v>11123</v>
      </c>
      <c r="AA1010" t="s">
        <v>11124</v>
      </c>
      <c r="AB1010" t="s">
        <v>4</v>
      </c>
      <c r="AC1010" s="3" t="s">
        <v>11125</v>
      </c>
      <c r="AD1010" t="s">
        <v>4</v>
      </c>
      <c r="AE1010" t="s">
        <v>11126</v>
      </c>
      <c r="AF1010" t="s">
        <v>11127</v>
      </c>
      <c r="AG1010" t="s">
        <v>11128</v>
      </c>
      <c r="AH1010" t="s">
        <v>112</v>
      </c>
      <c r="AJ1010" t="s">
        <v>11129</v>
      </c>
      <c r="AL1010" t="s">
        <v>11130</v>
      </c>
      <c r="AQ1010" t="s">
        <v>861</v>
      </c>
      <c r="AU1010" t="s">
        <v>112</v>
      </c>
      <c r="AV1010" t="s">
        <v>11131</v>
      </c>
      <c r="AW1010" t="s">
        <v>114</v>
      </c>
      <c r="AX1010" t="s">
        <v>536</v>
      </c>
      <c r="AY1010" t="s">
        <v>11132</v>
      </c>
      <c r="AZ1010" t="s">
        <v>4</v>
      </c>
      <c r="BA1010" s="3" t="s">
        <v>95</v>
      </c>
      <c r="BB1010" s="6" t="s">
        <v>95</v>
      </c>
      <c r="BC1010" s="3" t="s">
        <v>95</v>
      </c>
      <c r="BD1010" t="s">
        <v>4</v>
      </c>
      <c r="BE1010">
        <v>5413</v>
      </c>
      <c r="BF1010" t="s">
        <v>386</v>
      </c>
      <c r="BG1010">
        <v>61.574100000000001</v>
      </c>
      <c r="BH1010">
        <v>54.398099999999999</v>
      </c>
      <c r="BI1010">
        <v>88.657399999999996</v>
      </c>
      <c r="BJ1010">
        <v>85.185199999999995</v>
      </c>
      <c r="BK1010">
        <v>79.166700000000006</v>
      </c>
      <c r="BL1010">
        <v>74.305599999999998</v>
      </c>
      <c r="BM1010">
        <v>73.148099999999999</v>
      </c>
      <c r="BN1010">
        <v>80.324100000000001</v>
      </c>
      <c r="BO1010">
        <v>78.935199999999995</v>
      </c>
      <c r="BP1010">
        <v>44.675899999999999</v>
      </c>
      <c r="BQ1010">
        <v>26.6204</v>
      </c>
      <c r="BR1010">
        <v>44.213000000000001</v>
      </c>
      <c r="BT1010">
        <v>30.324100000000001</v>
      </c>
      <c r="BV1010" t="s">
        <v>11133</v>
      </c>
      <c r="BW1010">
        <v>15.277799999999999</v>
      </c>
      <c r="CA1010">
        <v>11.8056</v>
      </c>
      <c r="CF1010">
        <v>13.657400000000001</v>
      </c>
      <c r="CG1010">
        <v>17.1296</v>
      </c>
      <c r="CI1010">
        <v>17.1296</v>
      </c>
      <c r="CK1010">
        <v>7</v>
      </c>
      <c r="CL1010" t="s">
        <v>4</v>
      </c>
      <c r="CM1010" t="s">
        <v>11134</v>
      </c>
      <c r="CN1010" t="s">
        <v>11135</v>
      </c>
      <c r="CO1010" t="s">
        <v>219</v>
      </c>
      <c r="CP1010" t="s">
        <v>100</v>
      </c>
      <c r="CQ1010" t="s">
        <v>100</v>
      </c>
      <c r="CR1010" t="s">
        <v>100</v>
      </c>
      <c r="CS1010" t="s">
        <v>101</v>
      </c>
      <c r="CT1010" t="s">
        <v>152</v>
      </c>
      <c r="CU1010" t="s">
        <v>102</v>
      </c>
      <c r="CV1010" t="s">
        <v>100</v>
      </c>
    </row>
    <row r="1011" spans="1:100">
      <c r="A1011" s="3" t="s">
        <v>11136</v>
      </c>
      <c r="B1011" s="4" t="s">
        <v>11137</v>
      </c>
      <c r="C1011">
        <v>29.611055349696699</v>
      </c>
      <c r="D1011">
        <v>63.255409205074599</v>
      </c>
      <c r="E1011">
        <f>-1.10071539711178</f>
        <v>-1.10071539711178</v>
      </c>
      <c r="F1011">
        <v>5.3288088764719403E-2</v>
      </c>
      <c r="G1011" t="s">
        <v>4</v>
      </c>
      <c r="H1011">
        <v>29.611055349696699</v>
      </c>
      <c r="I1011">
        <v>2.7248818173329798</v>
      </c>
      <c r="J1011">
        <v>3.63462712148986</v>
      </c>
      <c r="K1011" s="5">
        <v>2.0665086490953799E-5</v>
      </c>
      <c r="L1011" t="s">
        <v>4</v>
      </c>
      <c r="M1011">
        <v>63.255409205074599</v>
      </c>
      <c r="N1011">
        <v>2.7248818173329798</v>
      </c>
      <c r="O1011">
        <v>4.73534251860164</v>
      </c>
      <c r="P1011" s="5">
        <v>1.0576612504767799E-8</v>
      </c>
      <c r="Q1011" t="s">
        <v>4</v>
      </c>
      <c r="R1011" s="4" t="s">
        <v>87</v>
      </c>
      <c r="S1011" t="s">
        <v>4</v>
      </c>
      <c r="T1011" t="s">
        <v>92</v>
      </c>
      <c r="U1011" t="s">
        <v>92</v>
      </c>
      <c r="V1011" t="s">
        <v>92</v>
      </c>
      <c r="W1011" t="s">
        <v>92</v>
      </c>
      <c r="X1011" t="s">
        <v>4</v>
      </c>
      <c r="Y1011" t="s">
        <v>11138</v>
      </c>
      <c r="Z1011" t="s">
        <v>11139</v>
      </c>
      <c r="AA1011" t="s">
        <v>11140</v>
      </c>
      <c r="AB1011" t="s">
        <v>4</v>
      </c>
      <c r="AC1011" s="3" t="s">
        <v>93</v>
      </c>
      <c r="AD1011" t="s">
        <v>4</v>
      </c>
      <c r="AE1011" t="s">
        <v>11141</v>
      </c>
      <c r="AF1011" t="s">
        <v>11142</v>
      </c>
      <c r="AG1011" t="s">
        <v>11143</v>
      </c>
      <c r="AH1011" t="s">
        <v>112</v>
      </c>
      <c r="AU1011" t="s">
        <v>112</v>
      </c>
      <c r="AV1011" t="s">
        <v>11144</v>
      </c>
      <c r="AW1011" t="s">
        <v>114</v>
      </c>
      <c r="AX1011" t="s">
        <v>11145</v>
      </c>
      <c r="AY1011" t="s">
        <v>11101</v>
      </c>
      <c r="AZ1011" t="s">
        <v>4</v>
      </c>
      <c r="BA1011" s="3" t="s">
        <v>95</v>
      </c>
      <c r="BB1011" s="6" t="s">
        <v>95</v>
      </c>
      <c r="BC1011" s="3" t="s">
        <v>95</v>
      </c>
      <c r="BD1011" t="s">
        <v>4</v>
      </c>
      <c r="BE1011">
        <v>5890</v>
      </c>
      <c r="BF1011" t="s">
        <v>213</v>
      </c>
      <c r="BH1011">
        <v>13.516</v>
      </c>
      <c r="BJ1011">
        <v>19.335000000000001</v>
      </c>
      <c r="BK1011">
        <v>64.531999999999996</v>
      </c>
      <c r="BN1011">
        <v>67.118200000000002</v>
      </c>
      <c r="BQ1011">
        <v>21.5825</v>
      </c>
      <c r="BR1011">
        <v>24.107099999999999</v>
      </c>
      <c r="BW1011">
        <v>17.9495</v>
      </c>
      <c r="BX1011">
        <v>22.906400000000001</v>
      </c>
      <c r="BY1011">
        <v>6.6810299999999998</v>
      </c>
      <c r="BZ1011">
        <v>0.80049300000000001</v>
      </c>
      <c r="CA1011">
        <v>20.566500000000001</v>
      </c>
      <c r="CB1011">
        <v>6.2807899999999997</v>
      </c>
      <c r="CC1011">
        <v>14.162599999999999</v>
      </c>
      <c r="CD1011">
        <v>15.732799999999999</v>
      </c>
      <c r="CE1011">
        <v>15.825100000000001</v>
      </c>
      <c r="CF1011">
        <v>17.241399999999999</v>
      </c>
      <c r="CG1011">
        <v>18.257400000000001</v>
      </c>
      <c r="CH1011">
        <v>18.195799999999998</v>
      </c>
      <c r="CI1011">
        <v>17.9495</v>
      </c>
      <c r="CK1011">
        <v>8</v>
      </c>
      <c r="CL1011" t="s">
        <v>4</v>
      </c>
      <c r="CM1011" t="s">
        <v>11146</v>
      </c>
      <c r="CN1011" t="s">
        <v>11147</v>
      </c>
      <c r="CO1011" t="s">
        <v>219</v>
      </c>
      <c r="CP1011" t="s">
        <v>100</v>
      </c>
      <c r="CQ1011" t="s">
        <v>100</v>
      </c>
      <c r="CR1011" t="s">
        <v>100</v>
      </c>
      <c r="CS1011" t="s">
        <v>101</v>
      </c>
      <c r="CT1011" t="s">
        <v>152</v>
      </c>
      <c r="CU1011" t="s">
        <v>102</v>
      </c>
      <c r="CV1011" t="s">
        <v>100</v>
      </c>
    </row>
    <row r="1012" spans="1:100">
      <c r="A1012" s="3" t="s">
        <v>11148</v>
      </c>
      <c r="B1012" s="4" t="s">
        <v>11149</v>
      </c>
      <c r="C1012">
        <v>27.066731348001301</v>
      </c>
      <c r="D1012">
        <v>13.4832370523353</v>
      </c>
      <c r="E1012">
        <v>1.01580381671756</v>
      </c>
      <c r="F1012">
        <v>0.28695263819782602</v>
      </c>
      <c r="G1012" t="s">
        <v>4</v>
      </c>
      <c r="H1012">
        <v>27.066731348001301</v>
      </c>
      <c r="I1012">
        <v>0.337017752855924</v>
      </c>
      <c r="J1012">
        <v>5.7452549237178703</v>
      </c>
      <c r="K1012">
        <v>1.4858578458563099E-4</v>
      </c>
      <c r="L1012" t="s">
        <v>4</v>
      </c>
      <c r="M1012">
        <v>13.4832370523353</v>
      </c>
      <c r="N1012">
        <v>0.337017752855924</v>
      </c>
      <c r="O1012">
        <v>4.72945110700031</v>
      </c>
      <c r="P1012">
        <v>1.9119862087732301E-3</v>
      </c>
      <c r="Q1012" t="s">
        <v>4</v>
      </c>
      <c r="R1012" s="4" t="s">
        <v>87</v>
      </c>
      <c r="S1012" t="s">
        <v>4</v>
      </c>
      <c r="T1012" t="s">
        <v>1974</v>
      </c>
      <c r="U1012" t="s">
        <v>1975</v>
      </c>
      <c r="V1012" t="s">
        <v>1976</v>
      </c>
      <c r="W1012" t="s">
        <v>123</v>
      </c>
      <c r="X1012" t="s">
        <v>4</v>
      </c>
      <c r="Y1012" t="s">
        <v>11150</v>
      </c>
      <c r="Z1012" t="s">
        <v>11151</v>
      </c>
      <c r="AA1012" t="s">
        <v>11152</v>
      </c>
      <c r="AB1012" t="s">
        <v>4</v>
      </c>
      <c r="AC1012" s="3" t="s">
        <v>11153</v>
      </c>
      <c r="AD1012" t="s">
        <v>4</v>
      </c>
      <c r="AE1012" t="s">
        <v>11154</v>
      </c>
      <c r="AF1012" t="s">
        <v>11155</v>
      </c>
      <c r="AG1012" t="s">
        <v>7540</v>
      </c>
      <c r="AH1012" t="s">
        <v>112</v>
      </c>
      <c r="AK1012" t="s">
        <v>11156</v>
      </c>
      <c r="AL1012" t="s">
        <v>11157</v>
      </c>
      <c r="AO1012" t="s">
        <v>11158</v>
      </c>
      <c r="AP1012" t="s">
        <v>698</v>
      </c>
      <c r="AQ1012" t="s">
        <v>11159</v>
      </c>
      <c r="AU1012" t="s">
        <v>112</v>
      </c>
      <c r="AV1012" t="s">
        <v>11160</v>
      </c>
      <c r="AW1012" t="s">
        <v>114</v>
      </c>
      <c r="AX1012" t="s">
        <v>144</v>
      </c>
      <c r="AY1012" t="s">
        <v>11161</v>
      </c>
      <c r="AZ1012" t="s">
        <v>4</v>
      </c>
      <c r="BA1012" s="3" t="s">
        <v>95</v>
      </c>
      <c r="BB1012" s="6" t="s">
        <v>95</v>
      </c>
      <c r="BC1012" s="3" t="s">
        <v>95</v>
      </c>
      <c r="BD1012" t="s">
        <v>4</v>
      </c>
      <c r="BE1012">
        <v>10178</v>
      </c>
      <c r="BF1012" t="s">
        <v>169</v>
      </c>
      <c r="BG1012">
        <v>97.863299999999995</v>
      </c>
      <c r="BH1012">
        <v>99.572599999999994</v>
      </c>
      <c r="BI1012">
        <v>93.162400000000005</v>
      </c>
      <c r="BJ1012">
        <v>85.897400000000005</v>
      </c>
      <c r="BM1012">
        <v>81.196600000000004</v>
      </c>
      <c r="BN1012">
        <v>81.196600000000004</v>
      </c>
      <c r="BO1012">
        <v>72.649600000000007</v>
      </c>
      <c r="BQ1012">
        <v>43.589700000000001</v>
      </c>
      <c r="BR1012" t="s">
        <v>11162</v>
      </c>
      <c r="BS1012" t="s">
        <v>11163</v>
      </c>
      <c r="BT1012">
        <v>42.307699999999997</v>
      </c>
      <c r="BU1012" t="s">
        <v>11164</v>
      </c>
      <c r="BV1012" t="s">
        <v>11165</v>
      </c>
      <c r="BW1012">
        <v>44.017099999999999</v>
      </c>
      <c r="BX1012" t="s">
        <v>9575</v>
      </c>
      <c r="BZ1012" t="s">
        <v>11166</v>
      </c>
      <c r="CA1012">
        <v>45.299100000000003</v>
      </c>
      <c r="CB1012">
        <v>16.666699999999999</v>
      </c>
      <c r="CC1012" t="s">
        <v>11167</v>
      </c>
      <c r="CD1012" t="s">
        <v>11168</v>
      </c>
      <c r="CE1012">
        <v>36.752099999999999</v>
      </c>
      <c r="CF1012" t="s">
        <v>11169</v>
      </c>
      <c r="CG1012">
        <v>39.316200000000002</v>
      </c>
      <c r="CH1012">
        <v>40.598300000000002</v>
      </c>
      <c r="CI1012">
        <v>38.034199999999998</v>
      </c>
      <c r="CJ1012">
        <v>32.4786</v>
      </c>
      <c r="CK1012">
        <v>9</v>
      </c>
      <c r="CL1012" t="s">
        <v>4</v>
      </c>
      <c r="CM1012" t="s">
        <v>11170</v>
      </c>
      <c r="CN1012" t="s">
        <v>11171</v>
      </c>
      <c r="CO1012" t="s">
        <v>219</v>
      </c>
      <c r="CP1012" t="s">
        <v>100</v>
      </c>
      <c r="CQ1012" t="s">
        <v>100</v>
      </c>
      <c r="CR1012" t="s">
        <v>100</v>
      </c>
      <c r="CS1012" t="s">
        <v>101</v>
      </c>
      <c r="CT1012" t="s">
        <v>152</v>
      </c>
      <c r="CU1012" t="s">
        <v>102</v>
      </c>
      <c r="CV1012" t="s">
        <v>100</v>
      </c>
    </row>
    <row r="1013" spans="1:100">
      <c r="A1013" s="3" t="s">
        <v>11172</v>
      </c>
      <c r="B1013" s="4" t="s">
        <v>11173</v>
      </c>
      <c r="C1013">
        <v>932.49990837145299</v>
      </c>
      <c r="D1013">
        <v>1550.7741554126201</v>
      </c>
      <c r="E1013">
        <f>0.733680743359102</f>
        <v>0.73368074335910205</v>
      </c>
      <c r="F1013">
        <v>2.7967480513504698E-3</v>
      </c>
      <c r="G1013" t="s">
        <v>4</v>
      </c>
      <c r="H1013">
        <v>932.49990837145299</v>
      </c>
      <c r="I1013">
        <v>57.399726427698702</v>
      </c>
      <c r="J1013">
        <v>3.9852928146203301</v>
      </c>
      <c r="K1013" s="5">
        <v>7.3320350744891404E-54</v>
      </c>
      <c r="L1013" t="s">
        <v>4</v>
      </c>
      <c r="M1013">
        <v>1550.7741554126201</v>
      </c>
      <c r="N1013">
        <v>57.399726427698702</v>
      </c>
      <c r="O1013">
        <v>4.7189735579794299</v>
      </c>
      <c r="P1013" s="5">
        <v>1.4667445037290099E-75</v>
      </c>
      <c r="Q1013" t="s">
        <v>4</v>
      </c>
      <c r="R1013" s="4" t="s">
        <v>87</v>
      </c>
      <c r="S1013" t="s">
        <v>4</v>
      </c>
      <c r="T1013" t="s">
        <v>11174</v>
      </c>
      <c r="U1013" t="s">
        <v>11175</v>
      </c>
      <c r="V1013" t="s">
        <v>11176</v>
      </c>
      <c r="W1013" t="s">
        <v>328</v>
      </c>
      <c r="X1013" t="s">
        <v>4</v>
      </c>
      <c r="Y1013" t="s">
        <v>3541</v>
      </c>
      <c r="Z1013" t="s">
        <v>3542</v>
      </c>
      <c r="AA1013" t="s">
        <v>3543</v>
      </c>
      <c r="AB1013" t="s">
        <v>4</v>
      </c>
      <c r="AC1013" s="3" t="s">
        <v>11177</v>
      </c>
      <c r="AD1013" t="s">
        <v>4</v>
      </c>
      <c r="AE1013" t="s">
        <v>11178</v>
      </c>
      <c r="AF1013" t="s">
        <v>11179</v>
      </c>
      <c r="AG1013" t="s">
        <v>11180</v>
      </c>
      <c r="AH1013" t="s">
        <v>112</v>
      </c>
      <c r="AI1013" t="s">
        <v>11181</v>
      </c>
      <c r="AU1013" t="s">
        <v>112</v>
      </c>
      <c r="AV1013" t="s">
        <v>11182</v>
      </c>
      <c r="AW1013" t="s">
        <v>114</v>
      </c>
      <c r="AX1013" t="s">
        <v>144</v>
      </c>
      <c r="AY1013" t="s">
        <v>2455</v>
      </c>
      <c r="AZ1013" t="s">
        <v>4</v>
      </c>
      <c r="BA1013" s="3" t="s">
        <v>95</v>
      </c>
      <c r="BB1013" s="6" t="s">
        <v>95</v>
      </c>
      <c r="BC1013" s="3" t="s">
        <v>95</v>
      </c>
      <c r="BD1013" t="s">
        <v>4</v>
      </c>
      <c r="BE1013">
        <v>3255</v>
      </c>
      <c r="BF1013" t="s">
        <v>112</v>
      </c>
      <c r="BG1013">
        <v>88.118799999999993</v>
      </c>
      <c r="BI1013">
        <v>95.544600000000003</v>
      </c>
      <c r="BK1013">
        <v>87.623800000000003</v>
      </c>
      <c r="BM1013">
        <v>84.653499999999994</v>
      </c>
      <c r="BN1013">
        <v>85.148499999999999</v>
      </c>
      <c r="BO1013">
        <v>88.118799999999993</v>
      </c>
      <c r="BW1013">
        <v>44.059399999999997</v>
      </c>
      <c r="BX1013">
        <v>44.554499999999997</v>
      </c>
      <c r="BY1013">
        <v>40.098999999999997</v>
      </c>
      <c r="BZ1013">
        <v>44.554499999999997</v>
      </c>
      <c r="CA1013">
        <v>34.653500000000001</v>
      </c>
      <c r="CK1013">
        <v>5</v>
      </c>
      <c r="CL1013" t="s">
        <v>4</v>
      </c>
      <c r="CM1013" t="s">
        <v>11183</v>
      </c>
      <c r="CN1013" t="s">
        <v>3296</v>
      </c>
      <c r="CO1013" t="s">
        <v>219</v>
      </c>
      <c r="CP1013" t="s">
        <v>100</v>
      </c>
      <c r="CQ1013" t="s">
        <v>100</v>
      </c>
      <c r="CR1013" t="s">
        <v>100</v>
      </c>
      <c r="CS1013" t="s">
        <v>101</v>
      </c>
      <c r="CT1013" t="s">
        <v>152</v>
      </c>
      <c r="CU1013" t="s">
        <v>102</v>
      </c>
      <c r="CV1013" t="s">
        <v>100</v>
      </c>
    </row>
    <row r="1014" spans="1:100">
      <c r="A1014" s="3" t="s">
        <v>11184</v>
      </c>
      <c r="B1014" s="4" t="s">
        <v>11185</v>
      </c>
      <c r="C1014">
        <v>5.7414899163621396</v>
      </c>
      <c r="D1014">
        <v>13.099954337224901</v>
      </c>
      <c r="E1014">
        <f>-1.181455673371</f>
        <v>-1.181455673371</v>
      </c>
      <c r="F1014">
        <v>0.40290194381130301</v>
      </c>
      <c r="G1014" t="s">
        <v>4</v>
      </c>
      <c r="H1014">
        <v>5.7414899163621396</v>
      </c>
      <c r="I1014">
        <v>0.337017752855924</v>
      </c>
      <c r="J1014">
        <v>3.5164585609777799</v>
      </c>
      <c r="K1014">
        <v>5.6400108532592003E-2</v>
      </c>
      <c r="L1014" t="s">
        <v>4</v>
      </c>
      <c r="M1014">
        <v>13.099954337224901</v>
      </c>
      <c r="N1014">
        <v>0.337017752855924</v>
      </c>
      <c r="O1014">
        <v>4.6979142343487803</v>
      </c>
      <c r="P1014">
        <v>8.2067438634137197E-3</v>
      </c>
      <c r="Q1014" t="s">
        <v>4</v>
      </c>
      <c r="R1014" s="4" t="s">
        <v>87</v>
      </c>
      <c r="S1014" t="s">
        <v>4</v>
      </c>
      <c r="T1014" t="s">
        <v>92</v>
      </c>
      <c r="U1014" t="s">
        <v>92</v>
      </c>
      <c r="V1014" t="s">
        <v>92</v>
      </c>
      <c r="W1014" t="s">
        <v>92</v>
      </c>
      <c r="X1014" t="s">
        <v>4</v>
      </c>
      <c r="Y1014" t="s">
        <v>92</v>
      </c>
      <c r="Z1014" t="s">
        <v>92</v>
      </c>
      <c r="AA1014" t="s">
        <v>92</v>
      </c>
      <c r="AB1014" t="s">
        <v>4</v>
      </c>
      <c r="AC1014" s="3" t="s">
        <v>93</v>
      </c>
      <c r="AD1014" t="s">
        <v>4</v>
      </c>
      <c r="AE1014" t="s">
        <v>2783</v>
      </c>
      <c r="AF1014" t="s">
        <v>729</v>
      </c>
      <c r="AG1014" t="s">
        <v>11186</v>
      </c>
      <c r="AH1014" t="s">
        <v>112</v>
      </c>
      <c r="AI1014" t="s">
        <v>2786</v>
      </c>
      <c r="AJ1014" t="s">
        <v>2787</v>
      </c>
      <c r="AU1014" t="s">
        <v>112</v>
      </c>
      <c r="AV1014" t="s">
        <v>2788</v>
      </c>
      <c r="AW1014" t="s">
        <v>114</v>
      </c>
      <c r="AX1014" t="s">
        <v>2789</v>
      </c>
      <c r="AY1014" t="s">
        <v>2790</v>
      </c>
      <c r="AZ1014" t="s">
        <v>4</v>
      </c>
      <c r="BA1014" s="3" t="s">
        <v>95</v>
      </c>
      <c r="BB1014" s="6" t="s">
        <v>95</v>
      </c>
      <c r="BC1014" s="3" t="s">
        <v>95</v>
      </c>
      <c r="BD1014" t="s">
        <v>4</v>
      </c>
      <c r="BE1014">
        <v>1777</v>
      </c>
      <c r="BF1014" t="s">
        <v>148</v>
      </c>
      <c r="CK1014">
        <v>3</v>
      </c>
      <c r="CL1014" t="s">
        <v>4</v>
      </c>
      <c r="CM1014" t="s">
        <v>98</v>
      </c>
      <c r="CN1014" t="s">
        <v>98</v>
      </c>
      <c r="CO1014" t="s">
        <v>99</v>
      </c>
      <c r="CP1014" t="s">
        <v>100</v>
      </c>
      <c r="CQ1014" t="s">
        <v>100</v>
      </c>
      <c r="CR1014" t="s">
        <v>100</v>
      </c>
      <c r="CS1014" t="s">
        <v>100</v>
      </c>
      <c r="CT1014" t="s">
        <v>152</v>
      </c>
      <c r="CU1014" t="s">
        <v>102</v>
      </c>
      <c r="CV1014" t="s">
        <v>100</v>
      </c>
    </row>
    <row r="1015" spans="1:100">
      <c r="A1015" s="3" t="s">
        <v>11187</v>
      </c>
      <c r="B1015" s="4" t="s">
        <v>11188</v>
      </c>
      <c r="C1015">
        <v>18.811484396150298</v>
      </c>
      <c r="D1015">
        <v>6.6598100039012396</v>
      </c>
      <c r="E1015">
        <v>1.50066659522924</v>
      </c>
      <c r="F1015">
        <v>0.18476862784447401</v>
      </c>
      <c r="G1015" t="s">
        <v>4</v>
      </c>
      <c r="H1015">
        <v>18.811484396150298</v>
      </c>
      <c r="I1015">
        <v>0</v>
      </c>
      <c r="J1015">
        <v>6.1819280204546398</v>
      </c>
      <c r="K1015">
        <v>1.13436714511085E-4</v>
      </c>
      <c r="L1015" t="s">
        <v>4</v>
      </c>
      <c r="M1015">
        <v>6.6598100039012396</v>
      </c>
      <c r="N1015">
        <v>0</v>
      </c>
      <c r="O1015">
        <v>4.6812614252253999</v>
      </c>
      <c r="P1015">
        <v>4.1981358184180603E-3</v>
      </c>
      <c r="Q1015" t="s">
        <v>4</v>
      </c>
      <c r="R1015" s="4" t="s">
        <v>87</v>
      </c>
      <c r="S1015" t="s">
        <v>4</v>
      </c>
      <c r="T1015" t="s">
        <v>92</v>
      </c>
      <c r="U1015" t="s">
        <v>92</v>
      </c>
      <c r="V1015" t="s">
        <v>92</v>
      </c>
      <c r="W1015" t="s">
        <v>92</v>
      </c>
      <c r="X1015" t="s">
        <v>4</v>
      </c>
      <c r="Y1015" t="s">
        <v>92</v>
      </c>
      <c r="Z1015" t="s">
        <v>92</v>
      </c>
      <c r="AA1015" t="s">
        <v>92</v>
      </c>
      <c r="AB1015" t="s">
        <v>4</v>
      </c>
      <c r="AC1015" s="3" t="s">
        <v>93</v>
      </c>
      <c r="AD1015" t="s">
        <v>4</v>
      </c>
      <c r="AE1015" s="4" t="s">
        <v>94</v>
      </c>
      <c r="AZ1015" t="s">
        <v>4</v>
      </c>
      <c r="BA1015" s="3" t="s">
        <v>95</v>
      </c>
      <c r="BB1015" t="s">
        <v>96</v>
      </c>
      <c r="BC1015" s="3" t="s">
        <v>197</v>
      </c>
      <c r="BD1015" t="s">
        <v>4</v>
      </c>
      <c r="BE1015">
        <v>1003</v>
      </c>
      <c r="BF1015" t="s">
        <v>151</v>
      </c>
      <c r="BG1015">
        <v>68.539299999999997</v>
      </c>
      <c r="CK1015">
        <v>2</v>
      </c>
      <c r="CL1015" t="s">
        <v>4</v>
      </c>
      <c r="CM1015" t="s">
        <v>98</v>
      </c>
      <c r="CN1015" t="s">
        <v>98</v>
      </c>
      <c r="CO1015" t="s">
        <v>99</v>
      </c>
      <c r="CP1015" t="s">
        <v>100</v>
      </c>
      <c r="CQ1015" t="s">
        <v>100</v>
      </c>
      <c r="CR1015" t="s">
        <v>100</v>
      </c>
      <c r="CS1015" t="s">
        <v>101</v>
      </c>
      <c r="CT1015" t="s">
        <v>152</v>
      </c>
      <c r="CU1015" t="s">
        <v>102</v>
      </c>
      <c r="CV1015" t="s">
        <v>100</v>
      </c>
    </row>
    <row r="1016" spans="1:100">
      <c r="A1016" s="3" t="s">
        <v>11189</v>
      </c>
      <c r="B1016" s="4" t="s">
        <v>11190</v>
      </c>
      <c r="C1016">
        <v>12.1684689390574</v>
      </c>
      <c r="D1016">
        <v>12.697958606081899</v>
      </c>
      <c r="E1016">
        <f>0.0564291656365292</f>
        <v>5.6429165636529201E-2</v>
      </c>
      <c r="F1016">
        <v>0.96120339673743305</v>
      </c>
      <c r="G1016" t="s">
        <v>4</v>
      </c>
      <c r="H1016">
        <v>12.1684689390574</v>
      </c>
      <c r="I1016">
        <v>0.63668974789924304</v>
      </c>
      <c r="J1016">
        <v>4.5882905952194601</v>
      </c>
      <c r="K1016">
        <v>3.0909308916823898E-3</v>
      </c>
      <c r="L1016" t="s">
        <v>4</v>
      </c>
      <c r="M1016">
        <v>12.697958606081899</v>
      </c>
      <c r="N1016">
        <v>0.63668974789924304</v>
      </c>
      <c r="O1016">
        <v>4.6447197608559803</v>
      </c>
      <c r="P1016">
        <v>2.4718188277845598E-3</v>
      </c>
      <c r="Q1016" t="s">
        <v>4</v>
      </c>
      <c r="R1016" s="4" t="s">
        <v>87</v>
      </c>
      <c r="S1016" t="s">
        <v>4</v>
      </c>
      <c r="T1016" t="s">
        <v>88</v>
      </c>
      <c r="U1016" t="s">
        <v>89</v>
      </c>
      <c r="V1016" t="s">
        <v>90</v>
      </c>
      <c r="W1016" t="s">
        <v>91</v>
      </c>
      <c r="X1016" t="s">
        <v>4</v>
      </c>
      <c r="Y1016" t="s">
        <v>10969</v>
      </c>
      <c r="Z1016" t="s">
        <v>10970</v>
      </c>
      <c r="AA1016" t="s">
        <v>10971</v>
      </c>
      <c r="AB1016" t="s">
        <v>4</v>
      </c>
      <c r="AC1016" s="3" t="s">
        <v>93</v>
      </c>
      <c r="AD1016" t="s">
        <v>4</v>
      </c>
      <c r="AE1016" s="4" t="s">
        <v>94</v>
      </c>
      <c r="AZ1016" t="s">
        <v>4</v>
      </c>
      <c r="BA1016" s="3" t="s">
        <v>95</v>
      </c>
      <c r="BB1016" t="s">
        <v>96</v>
      </c>
      <c r="BC1016" s="3" t="s">
        <v>95</v>
      </c>
      <c r="BD1016" t="s">
        <v>4</v>
      </c>
      <c r="BE1016">
        <v>1673</v>
      </c>
      <c r="BF1016" t="s">
        <v>151</v>
      </c>
      <c r="BG1016">
        <v>96.3964</v>
      </c>
      <c r="BH1016">
        <v>81.081100000000006</v>
      </c>
      <c r="BJ1016">
        <v>0</v>
      </c>
      <c r="BM1016">
        <v>0</v>
      </c>
      <c r="BN1016" t="s">
        <v>11191</v>
      </c>
      <c r="BO1016">
        <v>46.846800000000002</v>
      </c>
      <c r="CK1016">
        <v>2</v>
      </c>
      <c r="CL1016" t="s">
        <v>4</v>
      </c>
      <c r="CM1016" t="s">
        <v>98</v>
      </c>
      <c r="CN1016" t="s">
        <v>98</v>
      </c>
      <c r="CO1016" t="s">
        <v>99</v>
      </c>
      <c r="CP1016" t="s">
        <v>100</v>
      </c>
      <c r="CQ1016" t="s">
        <v>100</v>
      </c>
      <c r="CR1016" t="s">
        <v>100</v>
      </c>
      <c r="CS1016" t="s">
        <v>101</v>
      </c>
      <c r="CT1016" t="s">
        <v>152</v>
      </c>
      <c r="CU1016" t="s">
        <v>102</v>
      </c>
      <c r="CV1016" t="s">
        <v>100</v>
      </c>
    </row>
    <row r="1017" spans="1:100">
      <c r="A1017" s="3" t="s">
        <v>11192</v>
      </c>
      <c r="B1017" s="4" t="s">
        <v>11193</v>
      </c>
      <c r="C1017">
        <v>12.6290967637278</v>
      </c>
      <c r="D1017">
        <v>33.9204509755291</v>
      </c>
      <c r="E1017">
        <f>-1.42242262290435</f>
        <v>-1.42242262290435</v>
      </c>
      <c r="F1017">
        <v>7.0717266615666297E-2</v>
      </c>
      <c r="G1017" t="s">
        <v>4</v>
      </c>
      <c r="H1017">
        <v>12.6290967637278</v>
      </c>
      <c r="I1017">
        <v>1.3046859672122499</v>
      </c>
      <c r="J1017">
        <v>3.2202761620143798</v>
      </c>
      <c r="K1017">
        <v>6.0909747933303301E-3</v>
      </c>
      <c r="L1017" t="s">
        <v>4</v>
      </c>
      <c r="M1017">
        <v>33.9204509755291</v>
      </c>
      <c r="N1017">
        <v>1.3046859672122499</v>
      </c>
      <c r="O1017">
        <v>4.6426987849187302</v>
      </c>
      <c r="P1017" s="5">
        <v>3.5879535178492702E-5</v>
      </c>
      <c r="Q1017" t="s">
        <v>4</v>
      </c>
      <c r="R1017" s="4" t="s">
        <v>87</v>
      </c>
      <c r="S1017" t="s">
        <v>4</v>
      </c>
      <c r="T1017" t="s">
        <v>92</v>
      </c>
      <c r="U1017" t="s">
        <v>92</v>
      </c>
      <c r="V1017" t="s">
        <v>92</v>
      </c>
      <c r="W1017" t="s">
        <v>92</v>
      </c>
      <c r="X1017" t="s">
        <v>4</v>
      </c>
      <c r="Y1017" t="s">
        <v>92</v>
      </c>
      <c r="Z1017" t="s">
        <v>92</v>
      </c>
      <c r="AA1017" t="s">
        <v>92</v>
      </c>
      <c r="AB1017" t="s">
        <v>4</v>
      </c>
      <c r="AC1017" s="3" t="s">
        <v>93</v>
      </c>
      <c r="AD1017" t="s">
        <v>4</v>
      </c>
      <c r="AE1017" s="4" t="s">
        <v>94</v>
      </c>
      <c r="AZ1017" t="s">
        <v>4</v>
      </c>
      <c r="BA1017" s="3" t="s">
        <v>95</v>
      </c>
      <c r="BB1017" s="6" t="s">
        <v>95</v>
      </c>
      <c r="BC1017" s="3" t="s">
        <v>95</v>
      </c>
      <c r="BD1017" t="s">
        <v>4</v>
      </c>
      <c r="BE1017">
        <v>1095</v>
      </c>
      <c r="BF1017" t="s">
        <v>151</v>
      </c>
      <c r="BG1017">
        <v>95.402299999999997</v>
      </c>
      <c r="CK1017">
        <v>2</v>
      </c>
      <c r="CL1017" t="s">
        <v>4</v>
      </c>
      <c r="CM1017" t="s">
        <v>98</v>
      </c>
      <c r="CN1017" t="s">
        <v>98</v>
      </c>
      <c r="CO1017" t="s">
        <v>99</v>
      </c>
      <c r="CP1017" t="s">
        <v>100</v>
      </c>
      <c r="CQ1017" t="s">
        <v>100</v>
      </c>
      <c r="CR1017" t="s">
        <v>100</v>
      </c>
      <c r="CS1017" t="s">
        <v>101</v>
      </c>
      <c r="CT1017" t="s">
        <v>152</v>
      </c>
      <c r="CU1017" t="s">
        <v>102</v>
      </c>
      <c r="CV1017" t="s">
        <v>100</v>
      </c>
    </row>
    <row r="1018" spans="1:100">
      <c r="A1018" s="3" t="s">
        <v>11194</v>
      </c>
      <c r="B1018" s="4" t="s">
        <v>11195</v>
      </c>
      <c r="C1018">
        <v>15.809916218155999</v>
      </c>
      <c r="D1018">
        <v>6.4400533461533298</v>
      </c>
      <c r="E1018">
        <v>1.2986708187654901</v>
      </c>
      <c r="F1018">
        <v>0.34854846237784998</v>
      </c>
      <c r="G1018" t="s">
        <v>4</v>
      </c>
      <c r="H1018">
        <v>15.809916218155999</v>
      </c>
      <c r="I1018">
        <v>0</v>
      </c>
      <c r="J1018">
        <v>5.9285680802474303</v>
      </c>
      <c r="K1018">
        <v>7.3557139247798801E-4</v>
      </c>
      <c r="L1018" t="s">
        <v>4</v>
      </c>
      <c r="M1018">
        <v>6.4400533461533298</v>
      </c>
      <c r="N1018">
        <v>0</v>
      </c>
      <c r="O1018">
        <v>4.6298972614819398</v>
      </c>
      <c r="P1018">
        <v>9.5753551822542401E-3</v>
      </c>
      <c r="Q1018" t="s">
        <v>4</v>
      </c>
      <c r="R1018" s="4" t="s">
        <v>87</v>
      </c>
      <c r="S1018" t="s">
        <v>4</v>
      </c>
      <c r="T1018" t="s">
        <v>11196</v>
      </c>
      <c r="U1018" t="s">
        <v>11197</v>
      </c>
      <c r="V1018" t="s">
        <v>11198</v>
      </c>
      <c r="W1018" t="s">
        <v>203</v>
      </c>
      <c r="X1018" t="s">
        <v>4</v>
      </c>
      <c r="Y1018" t="s">
        <v>11199</v>
      </c>
      <c r="Z1018" t="s">
        <v>11200</v>
      </c>
      <c r="AA1018" t="s">
        <v>11201</v>
      </c>
      <c r="AB1018" t="s">
        <v>4</v>
      </c>
      <c r="AC1018" s="3" t="s">
        <v>11202</v>
      </c>
      <c r="AD1018" t="s">
        <v>4</v>
      </c>
      <c r="AE1018" t="s">
        <v>11203</v>
      </c>
      <c r="AF1018" t="s">
        <v>11204</v>
      </c>
      <c r="AG1018" t="s">
        <v>11205</v>
      </c>
      <c r="AH1018" t="s">
        <v>112</v>
      </c>
      <c r="AI1018" t="s">
        <v>11206</v>
      </c>
      <c r="AJ1018" t="s">
        <v>11207</v>
      </c>
      <c r="AL1018" t="s">
        <v>5484</v>
      </c>
      <c r="AQ1018" t="s">
        <v>1003</v>
      </c>
      <c r="AU1018" t="s">
        <v>112</v>
      </c>
      <c r="AV1018" t="s">
        <v>5485</v>
      </c>
      <c r="AW1018" t="s">
        <v>114</v>
      </c>
      <c r="AX1018" t="s">
        <v>371</v>
      </c>
      <c r="AY1018" t="s">
        <v>573</v>
      </c>
      <c r="AZ1018" t="s">
        <v>4</v>
      </c>
      <c r="BA1018" s="3" t="s">
        <v>95</v>
      </c>
      <c r="BB1018" s="6" t="s">
        <v>95</v>
      </c>
      <c r="BC1018" s="3" t="s">
        <v>95</v>
      </c>
      <c r="BD1018" t="s">
        <v>4</v>
      </c>
      <c r="BE1018">
        <v>8360</v>
      </c>
      <c r="BF1018" t="s">
        <v>213</v>
      </c>
      <c r="BJ1018">
        <v>29.9191</v>
      </c>
      <c r="BN1018">
        <v>86.522900000000007</v>
      </c>
      <c r="BP1018">
        <v>52.2911</v>
      </c>
      <c r="BR1018">
        <v>44.204900000000002</v>
      </c>
      <c r="BS1018">
        <v>38.814</v>
      </c>
      <c r="BX1018">
        <v>47.439399999999999</v>
      </c>
      <c r="BZ1018">
        <v>45.552599999999998</v>
      </c>
      <c r="CA1018">
        <v>42.587600000000002</v>
      </c>
      <c r="CB1018">
        <v>19.407</v>
      </c>
      <c r="CF1018">
        <v>36.927199999999999</v>
      </c>
      <c r="CI1018" t="s">
        <v>11208</v>
      </c>
      <c r="CK1018">
        <v>8</v>
      </c>
      <c r="CL1018" t="s">
        <v>4</v>
      </c>
      <c r="CM1018" t="s">
        <v>11209</v>
      </c>
      <c r="CN1018" t="s">
        <v>11210</v>
      </c>
      <c r="CO1018" t="s">
        <v>663</v>
      </c>
      <c r="CP1018" t="s">
        <v>100</v>
      </c>
      <c r="CQ1018" t="s">
        <v>100</v>
      </c>
      <c r="CR1018" t="s">
        <v>100</v>
      </c>
      <c r="CS1018" t="s">
        <v>101</v>
      </c>
      <c r="CT1018" t="s">
        <v>152</v>
      </c>
      <c r="CU1018" t="s">
        <v>102</v>
      </c>
      <c r="CV1018" t="s">
        <v>100</v>
      </c>
    </row>
    <row r="1019" spans="1:100">
      <c r="A1019" s="3" t="s">
        <v>11211</v>
      </c>
      <c r="B1019" s="4" t="s">
        <v>11212</v>
      </c>
      <c r="C1019">
        <v>11.2972243802615</v>
      </c>
      <c r="D1019">
        <v>21.664946812731898</v>
      </c>
      <c r="E1019">
        <f>0.946798189723449</f>
        <v>0.94679818972344898</v>
      </c>
      <c r="F1019">
        <v>0.255539619965169</v>
      </c>
      <c r="G1019" t="s">
        <v>4</v>
      </c>
      <c r="H1019">
        <v>11.2972243802615</v>
      </c>
      <c r="I1019">
        <v>0.82085186003408706</v>
      </c>
      <c r="J1019">
        <v>3.6453190245263301</v>
      </c>
      <c r="K1019">
        <v>6.7577992468905697E-3</v>
      </c>
      <c r="L1019" t="s">
        <v>4</v>
      </c>
      <c r="M1019">
        <v>21.664946812731898</v>
      </c>
      <c r="N1019">
        <v>0.82085186003408706</v>
      </c>
      <c r="O1019">
        <v>4.5921172142497797</v>
      </c>
      <c r="P1019">
        <v>4.3100644808532698E-4</v>
      </c>
      <c r="Q1019" t="s">
        <v>4</v>
      </c>
      <c r="R1019" s="4" t="s">
        <v>87</v>
      </c>
      <c r="S1019" t="s">
        <v>4</v>
      </c>
      <c r="T1019" t="s">
        <v>92</v>
      </c>
      <c r="U1019" t="s">
        <v>92</v>
      </c>
      <c r="V1019" t="s">
        <v>92</v>
      </c>
      <c r="W1019" t="s">
        <v>92</v>
      </c>
      <c r="X1019" t="s">
        <v>4</v>
      </c>
      <c r="Y1019" t="s">
        <v>92</v>
      </c>
      <c r="Z1019" t="s">
        <v>92</v>
      </c>
      <c r="AA1019" t="s">
        <v>92</v>
      </c>
      <c r="AB1019" t="s">
        <v>4</v>
      </c>
      <c r="AC1019" s="3" t="s">
        <v>93</v>
      </c>
      <c r="AD1019" t="s">
        <v>4</v>
      </c>
      <c r="AE1019" t="s">
        <v>3323</v>
      </c>
      <c r="AF1019" t="s">
        <v>11213</v>
      </c>
      <c r="AG1019" t="s">
        <v>5565</v>
      </c>
      <c r="AH1019" t="s">
        <v>112</v>
      </c>
      <c r="AI1019" t="s">
        <v>3325</v>
      </c>
      <c r="AU1019" t="s">
        <v>112</v>
      </c>
      <c r="AV1019" t="s">
        <v>3326</v>
      </c>
      <c r="AW1019" t="s">
        <v>114</v>
      </c>
      <c r="AZ1019" t="s">
        <v>4</v>
      </c>
      <c r="BA1019" s="3" t="s">
        <v>95</v>
      </c>
      <c r="BB1019" s="6" t="s">
        <v>95</v>
      </c>
      <c r="BC1019" s="3" t="s">
        <v>95</v>
      </c>
      <c r="BD1019" t="s">
        <v>4</v>
      </c>
      <c r="BE1019">
        <v>4325</v>
      </c>
      <c r="BF1019" t="s">
        <v>112</v>
      </c>
      <c r="BG1019">
        <v>38.515099999999997</v>
      </c>
      <c r="BJ1019">
        <v>36.194899999999997</v>
      </c>
      <c r="BM1019">
        <v>28.770299999999999</v>
      </c>
      <c r="BN1019">
        <v>33.642699999999998</v>
      </c>
      <c r="BO1019">
        <v>61.716900000000003</v>
      </c>
      <c r="BP1019">
        <v>11.8329</v>
      </c>
      <c r="BR1019">
        <v>9.5127600000000001</v>
      </c>
      <c r="BS1019">
        <v>9.5127600000000001</v>
      </c>
      <c r="CA1019">
        <v>10.2088</v>
      </c>
      <c r="CK1019">
        <v>5</v>
      </c>
      <c r="CL1019" t="s">
        <v>4</v>
      </c>
      <c r="CM1019" t="s">
        <v>11214</v>
      </c>
      <c r="CN1019" t="s">
        <v>11215</v>
      </c>
      <c r="CO1019" t="s">
        <v>663</v>
      </c>
      <c r="CP1019" t="s">
        <v>100</v>
      </c>
      <c r="CQ1019" t="s">
        <v>100</v>
      </c>
      <c r="CR1019" t="s">
        <v>100</v>
      </c>
      <c r="CS1019" t="s">
        <v>101</v>
      </c>
      <c r="CT1019" t="s">
        <v>152</v>
      </c>
      <c r="CU1019" t="s">
        <v>102</v>
      </c>
      <c r="CV1019" t="s">
        <v>100</v>
      </c>
    </row>
    <row r="1020" spans="1:100">
      <c r="A1020" s="3" t="s">
        <v>11216</v>
      </c>
      <c r="B1020" s="4" t="s">
        <v>11217</v>
      </c>
      <c r="C1020">
        <v>9.5343421051350408</v>
      </c>
      <c r="D1020">
        <v>12.0590024356139</v>
      </c>
      <c r="E1020">
        <f>0.344132068274298</f>
        <v>0.34413206827429799</v>
      </c>
      <c r="F1020">
        <v>0.75273008819850995</v>
      </c>
      <c r="G1020" t="s">
        <v>4</v>
      </c>
      <c r="H1020">
        <v>9.5343421051350408</v>
      </c>
      <c r="I1020">
        <v>0.483834107178163</v>
      </c>
      <c r="J1020">
        <v>4.2379429636531203</v>
      </c>
      <c r="K1020">
        <v>6.9801945722846002E-3</v>
      </c>
      <c r="L1020" t="s">
        <v>4</v>
      </c>
      <c r="M1020">
        <v>12.0590024356139</v>
      </c>
      <c r="N1020">
        <v>0.483834107178163</v>
      </c>
      <c r="O1020">
        <v>4.5820750319274097</v>
      </c>
      <c r="P1020">
        <v>3.0226415721442399E-3</v>
      </c>
      <c r="Q1020" t="s">
        <v>4</v>
      </c>
      <c r="R1020" s="4" t="s">
        <v>87</v>
      </c>
      <c r="S1020" t="s">
        <v>4</v>
      </c>
      <c r="T1020" t="s">
        <v>11218</v>
      </c>
      <c r="U1020" t="s">
        <v>11219</v>
      </c>
      <c r="V1020" t="s">
        <v>11220</v>
      </c>
      <c r="W1020" t="s">
        <v>4040</v>
      </c>
      <c r="X1020" t="s">
        <v>4</v>
      </c>
      <c r="Y1020" t="s">
        <v>11221</v>
      </c>
      <c r="Z1020" t="s">
        <v>11222</v>
      </c>
      <c r="AA1020" t="s">
        <v>11223</v>
      </c>
      <c r="AB1020" t="s">
        <v>4</v>
      </c>
      <c r="AC1020" s="3" t="s">
        <v>11224</v>
      </c>
      <c r="AD1020" t="s">
        <v>4</v>
      </c>
      <c r="AE1020" t="s">
        <v>11225</v>
      </c>
      <c r="AF1020" t="s">
        <v>11226</v>
      </c>
      <c r="AG1020" t="s">
        <v>11227</v>
      </c>
      <c r="AH1020" t="s">
        <v>638</v>
      </c>
      <c r="AJ1020" t="s">
        <v>11228</v>
      </c>
      <c r="AU1020" t="s">
        <v>112</v>
      </c>
      <c r="AV1020" t="s">
        <v>11229</v>
      </c>
      <c r="AW1020" t="s">
        <v>114</v>
      </c>
      <c r="AX1020" t="s">
        <v>144</v>
      </c>
      <c r="AY1020" t="s">
        <v>11230</v>
      </c>
      <c r="AZ1020" t="s">
        <v>4</v>
      </c>
      <c r="BA1020" s="3" t="s">
        <v>95</v>
      </c>
      <c r="BB1020" s="6" t="s">
        <v>95</v>
      </c>
      <c r="BC1020" s="3" t="s">
        <v>95</v>
      </c>
      <c r="BD1020" t="s">
        <v>4</v>
      </c>
      <c r="BE1020">
        <v>3927</v>
      </c>
      <c r="BF1020" t="s">
        <v>112</v>
      </c>
      <c r="BH1020">
        <v>94.520499999999998</v>
      </c>
      <c r="BP1020">
        <v>52.0548</v>
      </c>
      <c r="BQ1020">
        <v>43.835599999999999</v>
      </c>
      <c r="BR1020">
        <v>52.0548</v>
      </c>
      <c r="CK1020">
        <v>5</v>
      </c>
      <c r="CL1020" t="s">
        <v>4</v>
      </c>
      <c r="CM1020" t="s">
        <v>98</v>
      </c>
      <c r="CN1020" t="s">
        <v>98</v>
      </c>
      <c r="CO1020" t="s">
        <v>99</v>
      </c>
      <c r="CP1020" t="s">
        <v>100</v>
      </c>
      <c r="CQ1020" t="s">
        <v>100</v>
      </c>
      <c r="CR1020" t="s">
        <v>100</v>
      </c>
      <c r="CS1020" t="s">
        <v>101</v>
      </c>
      <c r="CT1020" t="s">
        <v>152</v>
      </c>
      <c r="CU1020" t="s">
        <v>102</v>
      </c>
      <c r="CV1020" t="s">
        <v>100</v>
      </c>
    </row>
    <row r="1021" spans="1:100">
      <c r="A1021" s="3" t="s">
        <v>11231</v>
      </c>
      <c r="B1021" s="4" t="s">
        <v>11232</v>
      </c>
      <c r="C1021">
        <v>10.720627842473601</v>
      </c>
      <c r="D1021">
        <v>23.153519466538398</v>
      </c>
      <c r="E1021">
        <f>-1.10974316163834</f>
        <v>-1.10974316163834</v>
      </c>
      <c r="F1021">
        <v>0.198962549387765</v>
      </c>
      <c r="G1021" t="s">
        <v>4</v>
      </c>
      <c r="H1021">
        <v>10.720627842473601</v>
      </c>
      <c r="I1021">
        <v>1.2733794957984901</v>
      </c>
      <c r="J1021">
        <v>3.4630748505920801</v>
      </c>
      <c r="K1021">
        <v>9.9438607351277596E-3</v>
      </c>
      <c r="L1021" t="s">
        <v>4</v>
      </c>
      <c r="M1021">
        <v>23.153519466538398</v>
      </c>
      <c r="N1021">
        <v>1.2733794957984901</v>
      </c>
      <c r="O1021">
        <v>4.5728180122304201</v>
      </c>
      <c r="P1021">
        <v>4.2041031060064299E-4</v>
      </c>
      <c r="Q1021" t="s">
        <v>4</v>
      </c>
      <c r="R1021" s="4" t="s">
        <v>87</v>
      </c>
      <c r="S1021" t="s">
        <v>4</v>
      </c>
      <c r="T1021" t="s">
        <v>88</v>
      </c>
      <c r="U1021" t="s">
        <v>89</v>
      </c>
      <c r="V1021" t="s">
        <v>90</v>
      </c>
      <c r="W1021" t="s">
        <v>91</v>
      </c>
      <c r="X1021" t="s">
        <v>4</v>
      </c>
      <c r="Y1021" t="s">
        <v>92</v>
      </c>
      <c r="Z1021" t="s">
        <v>92</v>
      </c>
      <c r="AA1021" t="s">
        <v>92</v>
      </c>
      <c r="AB1021" t="s">
        <v>4</v>
      </c>
      <c r="AC1021" s="3" t="s">
        <v>93</v>
      </c>
      <c r="AD1021" t="s">
        <v>4</v>
      </c>
      <c r="AE1021" t="s">
        <v>11233</v>
      </c>
      <c r="AF1021" t="s">
        <v>11234</v>
      </c>
      <c r="AG1021" t="s">
        <v>11235</v>
      </c>
      <c r="AH1021" t="s">
        <v>638</v>
      </c>
      <c r="AU1021" t="s">
        <v>112</v>
      </c>
      <c r="AV1021" t="s">
        <v>11236</v>
      </c>
      <c r="AW1021" t="s">
        <v>114</v>
      </c>
      <c r="AX1021" t="s">
        <v>144</v>
      </c>
      <c r="AY1021" t="s">
        <v>11237</v>
      </c>
      <c r="AZ1021" t="s">
        <v>4</v>
      </c>
      <c r="BA1021" s="3" t="s">
        <v>95</v>
      </c>
      <c r="BB1021" t="s">
        <v>96</v>
      </c>
      <c r="BC1021" s="3" t="s">
        <v>197</v>
      </c>
      <c r="BD1021" t="s">
        <v>4</v>
      </c>
      <c r="BE1021">
        <v>3347</v>
      </c>
      <c r="BF1021" t="s">
        <v>112</v>
      </c>
      <c r="BG1021">
        <v>92.708299999999994</v>
      </c>
      <c r="BH1021">
        <v>43.229199999999999</v>
      </c>
      <c r="BP1021">
        <v>30.208300000000001</v>
      </c>
      <c r="BQ1021">
        <v>19.270800000000001</v>
      </c>
      <c r="CK1021">
        <v>5</v>
      </c>
      <c r="CL1021" t="s">
        <v>4</v>
      </c>
      <c r="CM1021" t="s">
        <v>98</v>
      </c>
      <c r="CN1021" t="s">
        <v>98</v>
      </c>
      <c r="CO1021" t="s">
        <v>99</v>
      </c>
      <c r="CP1021" t="s">
        <v>100</v>
      </c>
      <c r="CQ1021" t="s">
        <v>100</v>
      </c>
      <c r="CR1021" t="s">
        <v>100</v>
      </c>
      <c r="CS1021" t="s">
        <v>101</v>
      </c>
      <c r="CT1021" t="s">
        <v>152</v>
      </c>
      <c r="CU1021" t="s">
        <v>102</v>
      </c>
      <c r="CV1021" t="s">
        <v>100</v>
      </c>
    </row>
    <row r="1022" spans="1:100">
      <c r="A1022" s="3" t="s">
        <v>11238</v>
      </c>
      <c r="B1022" s="4" t="s">
        <v>11239</v>
      </c>
      <c r="C1022">
        <v>40.6507028511854</v>
      </c>
      <c r="D1022">
        <v>21.91749716596</v>
      </c>
      <c r="E1022">
        <v>0.88770666460821301</v>
      </c>
      <c r="F1022">
        <v>0.20635718992614999</v>
      </c>
      <c r="G1022" t="s">
        <v>4</v>
      </c>
      <c r="H1022">
        <v>40.6507028511854</v>
      </c>
      <c r="I1022">
        <v>0.967668214356326</v>
      </c>
      <c r="J1022">
        <v>5.4574135603</v>
      </c>
      <c r="K1022" s="5">
        <v>1.06255543807457E-5</v>
      </c>
      <c r="L1022" t="s">
        <v>4</v>
      </c>
      <c r="M1022">
        <v>21.91749716596</v>
      </c>
      <c r="N1022">
        <v>0.967668214356326</v>
      </c>
      <c r="O1022">
        <v>4.5697068956917901</v>
      </c>
      <c r="P1022">
        <v>2.40219691343272E-4</v>
      </c>
      <c r="Q1022" t="s">
        <v>4</v>
      </c>
      <c r="R1022" s="4" t="s">
        <v>87</v>
      </c>
      <c r="S1022" t="s">
        <v>4</v>
      </c>
      <c r="T1022" t="s">
        <v>92</v>
      </c>
      <c r="U1022" t="s">
        <v>92</v>
      </c>
      <c r="V1022" t="s">
        <v>92</v>
      </c>
      <c r="W1022" t="s">
        <v>92</v>
      </c>
      <c r="X1022" t="s">
        <v>4</v>
      </c>
      <c r="Y1022" t="s">
        <v>92</v>
      </c>
      <c r="Z1022" t="s">
        <v>92</v>
      </c>
      <c r="AA1022" t="s">
        <v>92</v>
      </c>
      <c r="AB1022" t="s">
        <v>4</v>
      </c>
      <c r="AC1022" s="3" t="s">
        <v>93</v>
      </c>
      <c r="AD1022" t="s">
        <v>4</v>
      </c>
      <c r="AE1022" t="s">
        <v>11240</v>
      </c>
      <c r="AF1022" t="s">
        <v>3031</v>
      </c>
      <c r="AG1022" t="s">
        <v>11241</v>
      </c>
      <c r="AH1022" t="s">
        <v>112</v>
      </c>
      <c r="AU1022" t="s">
        <v>112</v>
      </c>
      <c r="AV1022" t="s">
        <v>11242</v>
      </c>
      <c r="AW1022" t="s">
        <v>114</v>
      </c>
      <c r="AZ1022" t="s">
        <v>4</v>
      </c>
      <c r="BA1022" s="3" t="s">
        <v>95</v>
      </c>
      <c r="BB1022" s="6" t="s">
        <v>95</v>
      </c>
      <c r="BC1022" s="3" t="s">
        <v>95</v>
      </c>
      <c r="BD1022" t="s">
        <v>4</v>
      </c>
      <c r="BE1022">
        <v>4399</v>
      </c>
      <c r="BF1022" t="s">
        <v>112</v>
      </c>
      <c r="BG1022">
        <v>97.887299999999996</v>
      </c>
      <c r="BH1022">
        <v>100</v>
      </c>
      <c r="BI1022">
        <v>97.183099999999996</v>
      </c>
      <c r="BJ1022">
        <v>82.394400000000005</v>
      </c>
      <c r="BL1022">
        <v>78.168999999999997</v>
      </c>
      <c r="BM1022">
        <v>78.873199999999997</v>
      </c>
      <c r="BN1022">
        <v>78.873199999999997</v>
      </c>
      <c r="BO1022">
        <v>78.168999999999997</v>
      </c>
      <c r="BP1022">
        <v>38.028199999999998</v>
      </c>
      <c r="BR1022">
        <v>36.619700000000002</v>
      </c>
      <c r="BS1022">
        <v>32.394399999999997</v>
      </c>
      <c r="CK1022">
        <v>5</v>
      </c>
      <c r="CL1022" t="s">
        <v>4</v>
      </c>
      <c r="CM1022" t="s">
        <v>98</v>
      </c>
      <c r="CN1022" t="s">
        <v>98</v>
      </c>
      <c r="CO1022" t="s">
        <v>99</v>
      </c>
      <c r="CP1022" t="s">
        <v>100</v>
      </c>
      <c r="CQ1022" t="s">
        <v>100</v>
      </c>
      <c r="CR1022" t="s">
        <v>100</v>
      </c>
      <c r="CS1022" t="s">
        <v>101</v>
      </c>
      <c r="CT1022" t="s">
        <v>152</v>
      </c>
      <c r="CU1022" t="s">
        <v>102</v>
      </c>
      <c r="CV1022" t="s">
        <v>100</v>
      </c>
    </row>
    <row r="1023" spans="1:100">
      <c r="A1023" s="3" t="s">
        <v>11243</v>
      </c>
      <c r="B1023" s="4" t="s">
        <v>11244</v>
      </c>
      <c r="C1023">
        <v>22.269610837961199</v>
      </c>
      <c r="D1023">
        <v>19.9332715834426</v>
      </c>
      <c r="E1023">
        <v>0.16507703311292801</v>
      </c>
      <c r="F1023">
        <v>0.82880519167271804</v>
      </c>
      <c r="G1023" t="s">
        <v>4</v>
      </c>
      <c r="H1023">
        <v>22.269610837961199</v>
      </c>
      <c r="I1023">
        <v>0.82085186003408706</v>
      </c>
      <c r="J1023">
        <v>4.6262188157765296</v>
      </c>
      <c r="K1023">
        <v>2.15553096045734E-4</v>
      </c>
      <c r="L1023" t="s">
        <v>4</v>
      </c>
      <c r="M1023">
        <v>19.9332715834426</v>
      </c>
      <c r="N1023">
        <v>0.82085186003408706</v>
      </c>
      <c r="O1023">
        <v>4.4611417826636002</v>
      </c>
      <c r="P1023">
        <v>3.2364758178393102E-4</v>
      </c>
      <c r="Q1023" t="s">
        <v>4</v>
      </c>
      <c r="R1023" s="4" t="s">
        <v>87</v>
      </c>
      <c r="S1023" t="s">
        <v>4</v>
      </c>
      <c r="T1023" t="s">
        <v>88</v>
      </c>
      <c r="U1023" t="s">
        <v>89</v>
      </c>
      <c r="V1023" t="s">
        <v>90</v>
      </c>
      <c r="W1023" t="s">
        <v>91</v>
      </c>
      <c r="X1023" t="s">
        <v>4</v>
      </c>
      <c r="Y1023" t="s">
        <v>11245</v>
      </c>
      <c r="Z1023" t="s">
        <v>11246</v>
      </c>
      <c r="AA1023" t="s">
        <v>11247</v>
      </c>
      <c r="AB1023" t="s">
        <v>4</v>
      </c>
      <c r="AC1023" s="3" t="s">
        <v>11248</v>
      </c>
      <c r="AD1023" t="s">
        <v>4</v>
      </c>
      <c r="AE1023" t="s">
        <v>11249</v>
      </c>
      <c r="AF1023" t="s">
        <v>11250</v>
      </c>
      <c r="AG1023" t="s">
        <v>11251</v>
      </c>
      <c r="AH1023" t="s">
        <v>638</v>
      </c>
      <c r="AU1023" t="s">
        <v>112</v>
      </c>
      <c r="AV1023" t="s">
        <v>11252</v>
      </c>
      <c r="AW1023" t="s">
        <v>114</v>
      </c>
      <c r="AX1023" t="s">
        <v>144</v>
      </c>
      <c r="AY1023" t="s">
        <v>11253</v>
      </c>
      <c r="AZ1023" t="s">
        <v>4</v>
      </c>
      <c r="BA1023" s="3" t="s">
        <v>95</v>
      </c>
      <c r="BB1023" t="s">
        <v>96</v>
      </c>
      <c r="BC1023" s="3" t="s">
        <v>95</v>
      </c>
      <c r="BD1023" t="s">
        <v>4</v>
      </c>
      <c r="BE1023">
        <v>4452</v>
      </c>
      <c r="BF1023" t="s">
        <v>112</v>
      </c>
      <c r="BG1023">
        <v>98.730199999999996</v>
      </c>
      <c r="BH1023">
        <v>67.301599999999993</v>
      </c>
      <c r="BI1023">
        <v>82.222200000000001</v>
      </c>
      <c r="BJ1023">
        <v>68.888900000000007</v>
      </c>
      <c r="BN1023">
        <v>44.127000000000002</v>
      </c>
      <c r="BO1023">
        <v>65.396799999999999</v>
      </c>
      <c r="BP1023">
        <v>36.507899999999999</v>
      </c>
      <c r="CA1023">
        <v>21.2698</v>
      </c>
      <c r="CK1023">
        <v>5</v>
      </c>
      <c r="CL1023" t="s">
        <v>4</v>
      </c>
      <c r="CM1023" t="s">
        <v>11254</v>
      </c>
      <c r="CN1023" t="s">
        <v>11255</v>
      </c>
      <c r="CO1023" t="s">
        <v>99</v>
      </c>
      <c r="CP1023" t="s">
        <v>100</v>
      </c>
      <c r="CQ1023" t="s">
        <v>100</v>
      </c>
      <c r="CR1023" t="s">
        <v>100</v>
      </c>
      <c r="CS1023" t="s">
        <v>101</v>
      </c>
      <c r="CT1023" t="s">
        <v>152</v>
      </c>
      <c r="CU1023" t="s">
        <v>102</v>
      </c>
      <c r="CV1023" t="s">
        <v>100</v>
      </c>
    </row>
    <row r="1024" spans="1:100">
      <c r="A1024" s="3" t="s">
        <v>11256</v>
      </c>
      <c r="B1024" s="4" t="s">
        <v>11257</v>
      </c>
      <c r="C1024">
        <v>1014.106841683</v>
      </c>
      <c r="D1024">
        <v>1583.39157675398</v>
      </c>
      <c r="E1024">
        <f>0.64273854117903</f>
        <v>0.64273854117902995</v>
      </c>
      <c r="F1024">
        <v>8.0172645597449705E-3</v>
      </c>
      <c r="G1024" t="s">
        <v>4</v>
      </c>
      <c r="H1024">
        <v>1014.106841683</v>
      </c>
      <c r="I1024">
        <v>72.522495489580194</v>
      </c>
      <c r="J1024">
        <v>3.8061941421219698</v>
      </c>
      <c r="K1024" s="5">
        <v>2.9842112451954599E-53</v>
      </c>
      <c r="L1024" t="s">
        <v>4</v>
      </c>
      <c r="M1024">
        <v>1583.39157675398</v>
      </c>
      <c r="N1024">
        <v>72.522495489580194</v>
      </c>
      <c r="O1024">
        <v>4.4489326833009999</v>
      </c>
      <c r="P1024" s="5">
        <v>8.6055823287163805E-73</v>
      </c>
      <c r="Q1024" t="s">
        <v>4</v>
      </c>
      <c r="R1024" s="4" t="s">
        <v>87</v>
      </c>
      <c r="S1024" t="s">
        <v>4</v>
      </c>
      <c r="T1024" t="s">
        <v>92</v>
      </c>
      <c r="U1024" t="s">
        <v>92</v>
      </c>
      <c r="V1024" t="s">
        <v>92</v>
      </c>
      <c r="W1024" t="s">
        <v>92</v>
      </c>
      <c r="X1024" t="s">
        <v>4</v>
      </c>
      <c r="Y1024" t="s">
        <v>92</v>
      </c>
      <c r="Z1024" t="s">
        <v>92</v>
      </c>
      <c r="AA1024" t="s">
        <v>92</v>
      </c>
      <c r="AB1024" t="s">
        <v>4</v>
      </c>
      <c r="AC1024" s="3" t="s">
        <v>93</v>
      </c>
      <c r="AD1024" t="s">
        <v>4</v>
      </c>
      <c r="AE1024" s="4" t="s">
        <v>94</v>
      </c>
      <c r="AZ1024" t="s">
        <v>4</v>
      </c>
      <c r="BA1024" s="3" t="s">
        <v>95</v>
      </c>
      <c r="BB1024" s="6" t="s">
        <v>95</v>
      </c>
      <c r="BC1024" s="3" t="s">
        <v>95</v>
      </c>
      <c r="BD1024" t="s">
        <v>4</v>
      </c>
      <c r="BE1024">
        <v>2744</v>
      </c>
      <c r="BF1024" t="s">
        <v>97</v>
      </c>
      <c r="BG1024">
        <v>98.3108</v>
      </c>
      <c r="BH1024">
        <v>100</v>
      </c>
      <c r="BI1024">
        <v>85.135099999999994</v>
      </c>
      <c r="BJ1024">
        <v>72.297300000000007</v>
      </c>
      <c r="BK1024">
        <v>65.540499999999994</v>
      </c>
      <c r="BL1024" t="s">
        <v>11258</v>
      </c>
      <c r="BM1024">
        <v>70.945899999999995</v>
      </c>
      <c r="BN1024">
        <v>70.945899999999995</v>
      </c>
      <c r="BO1024">
        <v>66.216200000000001</v>
      </c>
      <c r="BP1024" t="s">
        <v>11259</v>
      </c>
      <c r="CK1024">
        <v>4</v>
      </c>
      <c r="CL1024" t="s">
        <v>4</v>
      </c>
      <c r="CM1024" t="s">
        <v>98</v>
      </c>
      <c r="CN1024" t="s">
        <v>98</v>
      </c>
      <c r="CO1024" t="s">
        <v>99</v>
      </c>
      <c r="CP1024" t="s">
        <v>100</v>
      </c>
      <c r="CQ1024" t="s">
        <v>100</v>
      </c>
      <c r="CR1024" t="s">
        <v>100</v>
      </c>
      <c r="CS1024" t="s">
        <v>101</v>
      </c>
      <c r="CT1024" t="s">
        <v>152</v>
      </c>
      <c r="CU1024" t="s">
        <v>102</v>
      </c>
      <c r="CV1024" t="s">
        <v>100</v>
      </c>
    </row>
    <row r="1025" spans="1:100">
      <c r="A1025" s="3" t="s">
        <v>11260</v>
      </c>
      <c r="B1025" s="4" t="s">
        <v>11261</v>
      </c>
      <c r="C1025">
        <v>8.1367980833677596</v>
      </c>
      <c r="D1025">
        <v>20.121483899585499</v>
      </c>
      <c r="E1025">
        <f>-1.31048078454093</f>
        <v>-1.3104807845409301</v>
      </c>
      <c r="F1025">
        <v>0.24272373260525801</v>
      </c>
      <c r="G1025" t="s">
        <v>4</v>
      </c>
      <c r="H1025">
        <v>8.1367980833677596</v>
      </c>
      <c r="I1025">
        <v>0.967668214356326</v>
      </c>
      <c r="J1025">
        <v>3.1064059796264201</v>
      </c>
      <c r="K1025">
        <v>4.2770996311092803E-2</v>
      </c>
      <c r="L1025" t="s">
        <v>4</v>
      </c>
      <c r="M1025">
        <v>20.121483899585499</v>
      </c>
      <c r="N1025">
        <v>0.967668214356326</v>
      </c>
      <c r="O1025">
        <v>4.4168867641673399</v>
      </c>
      <c r="P1025">
        <v>2.63365862261756E-3</v>
      </c>
      <c r="Q1025" t="s">
        <v>4</v>
      </c>
      <c r="R1025" s="4" t="s">
        <v>87</v>
      </c>
      <c r="S1025" t="s">
        <v>4</v>
      </c>
      <c r="T1025" t="s">
        <v>92</v>
      </c>
      <c r="U1025" t="s">
        <v>92</v>
      </c>
      <c r="V1025" t="s">
        <v>92</v>
      </c>
      <c r="W1025" t="s">
        <v>92</v>
      </c>
      <c r="X1025" t="s">
        <v>4</v>
      </c>
      <c r="Y1025" t="s">
        <v>92</v>
      </c>
      <c r="Z1025" t="s">
        <v>92</v>
      </c>
      <c r="AA1025" t="s">
        <v>92</v>
      </c>
      <c r="AB1025" t="s">
        <v>4</v>
      </c>
      <c r="AC1025" s="3" t="s">
        <v>93</v>
      </c>
      <c r="AD1025" t="s">
        <v>4</v>
      </c>
      <c r="AE1025" s="4" t="s">
        <v>94</v>
      </c>
      <c r="AZ1025" t="s">
        <v>4</v>
      </c>
      <c r="BA1025" s="3" t="s">
        <v>95</v>
      </c>
      <c r="BB1025" s="6" t="s">
        <v>95</v>
      </c>
      <c r="BC1025" s="3" t="s">
        <v>95</v>
      </c>
      <c r="BD1025" t="s">
        <v>4</v>
      </c>
      <c r="BE1025">
        <v>382</v>
      </c>
      <c r="BF1025" t="s">
        <v>322</v>
      </c>
      <c r="CK1025">
        <v>1</v>
      </c>
      <c r="CL1025" t="s">
        <v>4</v>
      </c>
      <c r="CM1025" t="s">
        <v>98</v>
      </c>
      <c r="CN1025" t="s">
        <v>98</v>
      </c>
      <c r="CO1025" t="s">
        <v>99</v>
      </c>
      <c r="CP1025" t="s">
        <v>100</v>
      </c>
      <c r="CQ1025" t="s">
        <v>100</v>
      </c>
      <c r="CR1025" t="s">
        <v>100</v>
      </c>
      <c r="CS1025" s="7" t="s">
        <v>101</v>
      </c>
      <c r="CT1025" t="s">
        <v>152</v>
      </c>
      <c r="CU1025" t="s">
        <v>102</v>
      </c>
      <c r="CV1025" t="s">
        <v>100</v>
      </c>
    </row>
    <row r="1026" spans="1:100">
      <c r="A1026" s="3" t="s">
        <v>11262</v>
      </c>
      <c r="B1026" s="4" t="s">
        <v>11263</v>
      </c>
      <c r="C1026">
        <v>111629.069760938</v>
      </c>
      <c r="D1026">
        <v>101852.54459403999</v>
      </c>
      <c r="E1026">
        <v>0.13223055486864799</v>
      </c>
      <c r="F1026">
        <v>0.75131172520590805</v>
      </c>
      <c r="G1026" t="s">
        <v>4</v>
      </c>
      <c r="H1026">
        <v>111629.069760938</v>
      </c>
      <c r="I1026">
        <v>4827.9245602294704</v>
      </c>
      <c r="J1026">
        <v>4.5312295765225201</v>
      </c>
      <c r="K1026" s="5">
        <v>3.4289808598763797E-42</v>
      </c>
      <c r="L1026" t="s">
        <v>4</v>
      </c>
      <c r="M1026">
        <v>101852.54459403999</v>
      </c>
      <c r="N1026">
        <v>4827.9245602294704</v>
      </c>
      <c r="O1026">
        <v>4.3989990216538697</v>
      </c>
      <c r="P1026" s="5">
        <v>5.4697892527452497E-40</v>
      </c>
      <c r="Q1026" t="s">
        <v>4</v>
      </c>
      <c r="R1026" s="4" t="s">
        <v>87</v>
      </c>
      <c r="S1026" t="s">
        <v>4</v>
      </c>
      <c r="T1026" t="s">
        <v>11264</v>
      </c>
      <c r="U1026" t="s">
        <v>11265</v>
      </c>
      <c r="V1026" t="s">
        <v>11266</v>
      </c>
      <c r="W1026" t="s">
        <v>328</v>
      </c>
      <c r="X1026" t="s">
        <v>4</v>
      </c>
      <c r="Y1026" t="s">
        <v>11267</v>
      </c>
      <c r="Z1026" t="s">
        <v>11268</v>
      </c>
      <c r="AA1026" t="s">
        <v>11269</v>
      </c>
      <c r="AB1026" t="s">
        <v>4</v>
      </c>
      <c r="AC1026" s="3" t="s">
        <v>11270</v>
      </c>
      <c r="AD1026" t="s">
        <v>4</v>
      </c>
      <c r="AE1026" t="s">
        <v>11271</v>
      </c>
      <c r="AF1026" t="s">
        <v>11272</v>
      </c>
      <c r="AG1026" t="s">
        <v>11273</v>
      </c>
      <c r="AH1026" t="s">
        <v>314</v>
      </c>
      <c r="AU1026" t="s">
        <v>112</v>
      </c>
      <c r="AV1026" t="s">
        <v>11274</v>
      </c>
      <c r="AW1026" t="s">
        <v>114</v>
      </c>
      <c r="AX1026" t="s">
        <v>2139</v>
      </c>
      <c r="AY1026" t="s">
        <v>11275</v>
      </c>
      <c r="AZ1026" t="s">
        <v>4</v>
      </c>
      <c r="BA1026" s="3" t="s">
        <v>95</v>
      </c>
      <c r="BB1026" s="6" t="s">
        <v>95</v>
      </c>
      <c r="BC1026" s="3" t="s">
        <v>95</v>
      </c>
      <c r="BD1026" t="s">
        <v>4</v>
      </c>
      <c r="BE1026">
        <v>3295</v>
      </c>
      <c r="BF1026" t="s">
        <v>112</v>
      </c>
      <c r="BI1026">
        <v>52.6066</v>
      </c>
      <c r="BQ1026">
        <v>24.644600000000001</v>
      </c>
      <c r="BR1026">
        <v>27.9621</v>
      </c>
      <c r="BW1026" t="s">
        <v>11276</v>
      </c>
      <c r="BX1026">
        <v>27.014199999999999</v>
      </c>
      <c r="BZ1026">
        <v>27.014199999999999</v>
      </c>
      <c r="CA1026">
        <v>28.91</v>
      </c>
      <c r="CG1026" t="s">
        <v>11277</v>
      </c>
      <c r="CH1026" t="s">
        <v>11278</v>
      </c>
      <c r="CI1026" t="s">
        <v>11279</v>
      </c>
      <c r="CK1026">
        <v>5</v>
      </c>
      <c r="CL1026" t="s">
        <v>4</v>
      </c>
      <c r="CM1026" t="s">
        <v>11280</v>
      </c>
      <c r="CN1026" t="s">
        <v>11281</v>
      </c>
      <c r="CO1026" t="s">
        <v>219</v>
      </c>
      <c r="CP1026" t="s">
        <v>100</v>
      </c>
      <c r="CQ1026" t="s">
        <v>100</v>
      </c>
      <c r="CR1026" t="s">
        <v>100</v>
      </c>
      <c r="CS1026" t="s">
        <v>101</v>
      </c>
      <c r="CT1026" t="s">
        <v>152</v>
      </c>
      <c r="CU1026" t="s">
        <v>102</v>
      </c>
      <c r="CV1026" t="s">
        <v>100</v>
      </c>
    </row>
    <row r="1027" spans="1:100">
      <c r="A1027" s="3" t="s">
        <v>11282</v>
      </c>
      <c r="B1027" s="4" t="s">
        <v>11283</v>
      </c>
      <c r="C1027">
        <v>118.361881896214</v>
      </c>
      <c r="D1027">
        <v>118.36769304852299</v>
      </c>
      <c r="E1027">
        <v>3.5162551232846198E-4</v>
      </c>
      <c r="F1027">
        <v>0.99942286347534903</v>
      </c>
      <c r="G1027" t="s">
        <v>4</v>
      </c>
      <c r="H1027">
        <v>118.361881896214</v>
      </c>
      <c r="I1027">
        <v>5.57387948090145</v>
      </c>
      <c r="J1027">
        <v>4.3647830799359602</v>
      </c>
      <c r="K1027" s="5">
        <v>3.429744401018E-11</v>
      </c>
      <c r="L1027" t="s">
        <v>4</v>
      </c>
      <c r="M1027">
        <v>118.36769304852299</v>
      </c>
      <c r="N1027">
        <v>5.57387948090145</v>
      </c>
      <c r="O1027">
        <v>4.36443145442363</v>
      </c>
      <c r="P1027" s="5">
        <v>2.6615284851248301E-11</v>
      </c>
      <c r="Q1027" t="s">
        <v>4</v>
      </c>
      <c r="R1027" s="4" t="s">
        <v>87</v>
      </c>
      <c r="S1027" t="s">
        <v>4</v>
      </c>
      <c r="T1027" t="s">
        <v>92</v>
      </c>
      <c r="U1027" t="s">
        <v>92</v>
      </c>
      <c r="V1027" t="s">
        <v>92</v>
      </c>
      <c r="W1027" t="s">
        <v>92</v>
      </c>
      <c r="X1027" t="s">
        <v>4</v>
      </c>
      <c r="Y1027" t="s">
        <v>92</v>
      </c>
      <c r="Z1027" t="s">
        <v>92</v>
      </c>
      <c r="AA1027" t="s">
        <v>92</v>
      </c>
      <c r="AB1027" t="s">
        <v>4</v>
      </c>
      <c r="AC1027" s="3" t="s">
        <v>93</v>
      </c>
      <c r="AD1027" t="s">
        <v>4</v>
      </c>
      <c r="AE1027" s="4" t="s">
        <v>94</v>
      </c>
      <c r="AZ1027" t="s">
        <v>4</v>
      </c>
      <c r="BA1027" s="3" t="s">
        <v>95</v>
      </c>
      <c r="BB1027" s="6" t="s">
        <v>95</v>
      </c>
      <c r="BC1027" s="3" t="s">
        <v>95</v>
      </c>
      <c r="BD1027" t="s">
        <v>4</v>
      </c>
      <c r="BE1027">
        <v>1</v>
      </c>
      <c r="BF1027" t="s">
        <v>322</v>
      </c>
      <c r="CK1027">
        <v>1</v>
      </c>
      <c r="CL1027" t="s">
        <v>4</v>
      </c>
      <c r="CM1027" t="s">
        <v>98</v>
      </c>
      <c r="CN1027" t="s">
        <v>98</v>
      </c>
      <c r="CO1027" t="s">
        <v>99</v>
      </c>
      <c r="CP1027" t="s">
        <v>100</v>
      </c>
      <c r="CQ1027" t="s">
        <v>100</v>
      </c>
      <c r="CR1027" t="s">
        <v>100</v>
      </c>
      <c r="CS1027" t="s">
        <v>101</v>
      </c>
      <c r="CT1027" t="s">
        <v>152</v>
      </c>
      <c r="CU1027" t="s">
        <v>102</v>
      </c>
      <c r="CV1027" t="s">
        <v>100</v>
      </c>
    </row>
    <row r="1028" spans="1:100">
      <c r="A1028" s="3" t="s">
        <v>11284</v>
      </c>
      <c r="B1028" s="4" t="s">
        <v>11285</v>
      </c>
      <c r="C1028">
        <v>14.9029950187222</v>
      </c>
      <c r="D1028">
        <v>27.155662248060601</v>
      </c>
      <c r="E1028">
        <f>0.856034858807217</f>
        <v>0.85603485880721697</v>
      </c>
      <c r="F1028">
        <v>0.288088058945975</v>
      </c>
      <c r="G1028" t="s">
        <v>4</v>
      </c>
      <c r="H1028">
        <v>14.9029950187222</v>
      </c>
      <c r="I1028">
        <v>1.1578696128900099</v>
      </c>
      <c r="J1028">
        <v>3.5069015044468399</v>
      </c>
      <c r="K1028">
        <v>2.8469971169037202E-3</v>
      </c>
      <c r="L1028" t="s">
        <v>4</v>
      </c>
      <c r="M1028">
        <v>27.155662248060601</v>
      </c>
      <c r="N1028">
        <v>1.1578696128900099</v>
      </c>
      <c r="O1028">
        <v>4.3629363632540503</v>
      </c>
      <c r="P1028">
        <v>1.2928319878878199E-4</v>
      </c>
      <c r="Q1028" t="s">
        <v>4</v>
      </c>
      <c r="R1028" s="4" t="s">
        <v>87</v>
      </c>
      <c r="S1028" t="s">
        <v>4</v>
      </c>
      <c r="T1028" t="s">
        <v>684</v>
      </c>
      <c r="U1028" t="s">
        <v>685</v>
      </c>
      <c r="V1028" t="s">
        <v>686</v>
      </c>
      <c r="W1028" t="s">
        <v>123</v>
      </c>
      <c r="X1028" t="s">
        <v>4</v>
      </c>
      <c r="Y1028" t="s">
        <v>11286</v>
      </c>
      <c r="Z1028" t="s">
        <v>11287</v>
      </c>
      <c r="AA1028" t="s">
        <v>11288</v>
      </c>
      <c r="AB1028" t="s">
        <v>4</v>
      </c>
      <c r="AC1028" s="3" t="s">
        <v>11289</v>
      </c>
      <c r="AD1028" t="s">
        <v>4</v>
      </c>
      <c r="AE1028" t="s">
        <v>11290</v>
      </c>
      <c r="AF1028" t="s">
        <v>11291</v>
      </c>
      <c r="AG1028" t="s">
        <v>6127</v>
      </c>
      <c r="AH1028" t="s">
        <v>112</v>
      </c>
      <c r="AU1028" t="s">
        <v>112</v>
      </c>
      <c r="AV1028" t="s">
        <v>11292</v>
      </c>
      <c r="AW1028" t="s">
        <v>114</v>
      </c>
      <c r="AX1028" t="s">
        <v>5688</v>
      </c>
      <c r="AY1028" t="s">
        <v>11293</v>
      </c>
      <c r="AZ1028" t="s">
        <v>4</v>
      </c>
      <c r="BA1028" s="3" t="s">
        <v>95</v>
      </c>
      <c r="BB1028" s="6" t="s">
        <v>95</v>
      </c>
      <c r="BC1028" s="3" t="s">
        <v>95</v>
      </c>
      <c r="BD1028" t="s">
        <v>4</v>
      </c>
      <c r="BE1028">
        <v>4148</v>
      </c>
      <c r="BF1028" t="s">
        <v>112</v>
      </c>
      <c r="BI1028">
        <v>100</v>
      </c>
      <c r="BJ1028">
        <v>97.979799999999997</v>
      </c>
      <c r="BK1028">
        <v>97.979799999999997</v>
      </c>
      <c r="BM1028">
        <v>100</v>
      </c>
      <c r="BN1028">
        <v>100</v>
      </c>
      <c r="BP1028">
        <v>96.969700000000003</v>
      </c>
      <c r="BT1028">
        <v>89.899000000000001</v>
      </c>
      <c r="CK1028">
        <v>5</v>
      </c>
      <c r="CL1028" t="s">
        <v>4</v>
      </c>
      <c r="CM1028" t="s">
        <v>98</v>
      </c>
      <c r="CN1028" t="s">
        <v>98</v>
      </c>
      <c r="CO1028" t="s">
        <v>99</v>
      </c>
      <c r="CP1028" t="s">
        <v>100</v>
      </c>
      <c r="CQ1028" t="s">
        <v>100</v>
      </c>
      <c r="CR1028" t="s">
        <v>100</v>
      </c>
      <c r="CS1028" t="s">
        <v>101</v>
      </c>
      <c r="CT1028" t="s">
        <v>152</v>
      </c>
      <c r="CU1028" t="s">
        <v>102</v>
      </c>
      <c r="CV1028" t="s">
        <v>100</v>
      </c>
    </row>
    <row r="1029" spans="1:100">
      <c r="A1029" s="3" t="s">
        <v>11294</v>
      </c>
      <c r="B1029" s="4" t="s">
        <v>11295</v>
      </c>
      <c r="C1029">
        <v>32.213861088106597</v>
      </c>
      <c r="D1029">
        <v>36.219339767237599</v>
      </c>
      <c r="E1029">
        <f>0.169079324688679</f>
        <v>0.16907932468867901</v>
      </c>
      <c r="F1029">
        <v>0.81305811058580801</v>
      </c>
      <c r="G1029" t="s">
        <v>4</v>
      </c>
      <c r="H1029">
        <v>32.213861088106597</v>
      </c>
      <c r="I1029">
        <v>1.6417037200681699</v>
      </c>
      <c r="J1029">
        <v>4.1732950152728101</v>
      </c>
      <c r="K1029" s="5">
        <v>1.6042619612116399E-5</v>
      </c>
      <c r="L1029" t="s">
        <v>4</v>
      </c>
      <c r="M1029">
        <v>36.219339767237599</v>
      </c>
      <c r="N1029">
        <v>1.6417037200681699</v>
      </c>
      <c r="O1029">
        <v>4.3423743399614896</v>
      </c>
      <c r="P1029" s="5">
        <v>5.3520358019308303E-6</v>
      </c>
      <c r="Q1029" t="s">
        <v>4</v>
      </c>
      <c r="R1029" s="4" t="s">
        <v>87</v>
      </c>
      <c r="S1029" t="s">
        <v>4</v>
      </c>
      <c r="T1029" t="s">
        <v>92</v>
      </c>
      <c r="U1029" t="s">
        <v>92</v>
      </c>
      <c r="V1029" t="s">
        <v>92</v>
      </c>
      <c r="W1029" t="s">
        <v>92</v>
      </c>
      <c r="X1029" t="s">
        <v>4</v>
      </c>
      <c r="Y1029" t="s">
        <v>92</v>
      </c>
      <c r="Z1029" t="s">
        <v>92</v>
      </c>
      <c r="AA1029" t="s">
        <v>92</v>
      </c>
      <c r="AB1029" t="s">
        <v>4</v>
      </c>
      <c r="AC1029" s="3" t="s">
        <v>93</v>
      </c>
      <c r="AD1029" t="s">
        <v>4</v>
      </c>
      <c r="AE1029" s="4" t="s">
        <v>94</v>
      </c>
      <c r="AZ1029" t="s">
        <v>4</v>
      </c>
      <c r="BA1029" s="3" t="s">
        <v>95</v>
      </c>
      <c r="BB1029" s="6" t="s">
        <v>95</v>
      </c>
      <c r="BC1029" s="3" t="s">
        <v>95</v>
      </c>
      <c r="BD1029" t="s">
        <v>4</v>
      </c>
      <c r="BE1029">
        <v>808</v>
      </c>
      <c r="BF1029" t="s">
        <v>604</v>
      </c>
      <c r="BG1029">
        <v>46.428600000000003</v>
      </c>
      <c r="CK1029">
        <v>1.5</v>
      </c>
      <c r="CL1029" t="s">
        <v>4</v>
      </c>
      <c r="CM1029" t="s">
        <v>98</v>
      </c>
      <c r="CN1029" t="s">
        <v>98</v>
      </c>
      <c r="CO1029" t="s">
        <v>99</v>
      </c>
      <c r="CP1029" t="s">
        <v>100</v>
      </c>
      <c r="CQ1029" t="s">
        <v>100</v>
      </c>
      <c r="CR1029" t="s">
        <v>100</v>
      </c>
      <c r="CS1029" t="s">
        <v>101</v>
      </c>
      <c r="CT1029" t="s">
        <v>152</v>
      </c>
      <c r="CU1029" t="s">
        <v>102</v>
      </c>
      <c r="CV1029" t="s">
        <v>100</v>
      </c>
    </row>
    <row r="1030" spans="1:100">
      <c r="A1030" s="3" t="s">
        <v>11296</v>
      </c>
      <c r="B1030" s="4" t="s">
        <v>11297</v>
      </c>
      <c r="C1030">
        <v>5004.3271913357803</v>
      </c>
      <c r="D1030">
        <v>8128.5776964076103</v>
      </c>
      <c r="E1030">
        <f>0.699836904022784</f>
        <v>0.69983690402278398</v>
      </c>
      <c r="F1030">
        <v>3.34762139194918E-3</v>
      </c>
      <c r="G1030" t="s">
        <v>4</v>
      </c>
      <c r="H1030">
        <v>5004.3271913357803</v>
      </c>
      <c r="I1030">
        <v>402.24653632904102</v>
      </c>
      <c r="J1030">
        <v>3.6357202990259401</v>
      </c>
      <c r="K1030" s="5">
        <v>2.35857539910647E-60</v>
      </c>
      <c r="L1030" t="s">
        <v>4</v>
      </c>
      <c r="M1030">
        <v>8128.5776964076103</v>
      </c>
      <c r="N1030">
        <v>402.24653632904102</v>
      </c>
      <c r="O1030">
        <v>4.3355572030487197</v>
      </c>
      <c r="P1030" s="5">
        <v>1.0874576809287901E-85</v>
      </c>
      <c r="Q1030" t="s">
        <v>4</v>
      </c>
      <c r="R1030" s="4" t="s">
        <v>87</v>
      </c>
      <c r="S1030" t="s">
        <v>4</v>
      </c>
      <c r="T1030" t="s">
        <v>11298</v>
      </c>
      <c r="U1030" t="s">
        <v>11299</v>
      </c>
      <c r="V1030" t="s">
        <v>11300</v>
      </c>
      <c r="W1030" t="s">
        <v>328</v>
      </c>
      <c r="X1030" t="s">
        <v>4</v>
      </c>
      <c r="Y1030" t="s">
        <v>11301</v>
      </c>
      <c r="Z1030" t="s">
        <v>11302</v>
      </c>
      <c r="AA1030" t="s">
        <v>11303</v>
      </c>
      <c r="AB1030" t="s">
        <v>4</v>
      </c>
      <c r="AC1030" s="3" t="s">
        <v>11304</v>
      </c>
      <c r="AD1030" t="s">
        <v>4</v>
      </c>
      <c r="AE1030" t="s">
        <v>11305</v>
      </c>
      <c r="AF1030" t="s">
        <v>834</v>
      </c>
      <c r="AG1030" t="s">
        <v>11306</v>
      </c>
      <c r="AH1030" t="s">
        <v>112</v>
      </c>
      <c r="AJ1030" t="s">
        <v>11307</v>
      </c>
      <c r="AL1030" t="s">
        <v>11308</v>
      </c>
      <c r="AM1030" t="s">
        <v>11309</v>
      </c>
      <c r="AQ1030" t="s">
        <v>11310</v>
      </c>
      <c r="AU1030" t="s">
        <v>112</v>
      </c>
      <c r="AV1030" t="s">
        <v>11311</v>
      </c>
      <c r="AW1030" t="s">
        <v>114</v>
      </c>
      <c r="AX1030" t="s">
        <v>1938</v>
      </c>
      <c r="AY1030" t="s">
        <v>11312</v>
      </c>
      <c r="AZ1030" t="s">
        <v>4</v>
      </c>
      <c r="BA1030" s="3" t="s">
        <v>115</v>
      </c>
      <c r="BB1030" s="6" t="s">
        <v>95</v>
      </c>
      <c r="BC1030" s="3" t="s">
        <v>95</v>
      </c>
      <c r="BD1030" t="s">
        <v>4</v>
      </c>
      <c r="BE1030">
        <v>6967</v>
      </c>
      <c r="BF1030" t="s">
        <v>213</v>
      </c>
      <c r="BG1030">
        <v>99.101399999999998</v>
      </c>
      <c r="BH1030" t="s">
        <v>11313</v>
      </c>
      <c r="BI1030">
        <v>90.115499999999997</v>
      </c>
      <c r="BJ1030">
        <v>88.703500000000005</v>
      </c>
      <c r="BK1030">
        <v>85.109099999999998</v>
      </c>
      <c r="BL1030">
        <v>84.210499999999996</v>
      </c>
      <c r="BM1030" t="s">
        <v>11314</v>
      </c>
      <c r="BN1030">
        <v>88.061599999999999</v>
      </c>
      <c r="BO1030">
        <v>86.649600000000007</v>
      </c>
      <c r="BP1030">
        <v>43.9024</v>
      </c>
      <c r="BQ1030" t="s">
        <v>11315</v>
      </c>
      <c r="BR1030">
        <v>37.484000000000002</v>
      </c>
      <c r="BS1030">
        <v>39.152799999999999</v>
      </c>
      <c r="BW1030">
        <v>41.335000000000001</v>
      </c>
      <c r="BX1030">
        <v>42.1053</v>
      </c>
      <c r="BY1030">
        <v>27.4711</v>
      </c>
      <c r="BZ1030">
        <v>40.179699999999997</v>
      </c>
      <c r="CA1030">
        <v>37.869100000000003</v>
      </c>
      <c r="CB1030">
        <v>25.802299999999999</v>
      </c>
      <c r="CC1030">
        <v>30.295200000000001</v>
      </c>
      <c r="CD1030">
        <v>30.295200000000001</v>
      </c>
      <c r="CE1030">
        <v>24.133500000000002</v>
      </c>
      <c r="CF1030">
        <v>31.578900000000001</v>
      </c>
      <c r="CG1030">
        <v>32.349200000000003</v>
      </c>
      <c r="CH1030">
        <v>33.247799999999998</v>
      </c>
      <c r="CI1030">
        <v>31.578900000000001</v>
      </c>
      <c r="CK1030">
        <v>8</v>
      </c>
      <c r="CL1030" t="s">
        <v>4</v>
      </c>
      <c r="CM1030" t="s">
        <v>11316</v>
      </c>
      <c r="CN1030" t="s">
        <v>11317</v>
      </c>
      <c r="CO1030" t="s">
        <v>219</v>
      </c>
      <c r="CP1030" t="s">
        <v>100</v>
      </c>
      <c r="CQ1030" t="s">
        <v>100</v>
      </c>
      <c r="CR1030" t="s">
        <v>100</v>
      </c>
      <c r="CS1030" t="s">
        <v>101</v>
      </c>
      <c r="CT1030" t="s">
        <v>152</v>
      </c>
      <c r="CU1030" t="s">
        <v>102</v>
      </c>
      <c r="CV1030" t="s">
        <v>235</v>
      </c>
    </row>
    <row r="1031" spans="1:100">
      <c r="A1031" s="3" t="s">
        <v>11318</v>
      </c>
      <c r="B1031" s="4" t="s">
        <v>11319</v>
      </c>
      <c r="C1031">
        <v>52.335475748781697</v>
      </c>
      <c r="D1031">
        <v>92.071992982553198</v>
      </c>
      <c r="E1031">
        <f>0.815154610064728</f>
        <v>0.815154610064728</v>
      </c>
      <c r="F1031">
        <v>5.1282009597304598E-2</v>
      </c>
      <c r="G1031" t="s">
        <v>4</v>
      </c>
      <c r="H1031">
        <v>52.335475748781697</v>
      </c>
      <c r="I1031">
        <v>4.7036032902570701</v>
      </c>
      <c r="J1031">
        <v>3.5120025621028801</v>
      </c>
      <c r="K1031" s="5">
        <v>7.19121330633542E-9</v>
      </c>
      <c r="L1031" t="s">
        <v>4</v>
      </c>
      <c r="M1031">
        <v>92.071992982553198</v>
      </c>
      <c r="N1031">
        <v>4.7036032902570701</v>
      </c>
      <c r="O1031">
        <v>4.3271571721676096</v>
      </c>
      <c r="P1031" s="5">
        <v>3.4172933925116899E-13</v>
      </c>
      <c r="Q1031" t="s">
        <v>4</v>
      </c>
      <c r="R1031" s="4" t="s">
        <v>87</v>
      </c>
      <c r="S1031" t="s">
        <v>4</v>
      </c>
      <c r="T1031" t="s">
        <v>88</v>
      </c>
      <c r="U1031" t="s">
        <v>89</v>
      </c>
      <c r="V1031" t="s">
        <v>90</v>
      </c>
      <c r="W1031" t="s">
        <v>91</v>
      </c>
      <c r="X1031" t="s">
        <v>4</v>
      </c>
      <c r="Y1031" t="s">
        <v>1801</v>
      </c>
      <c r="Z1031" t="s">
        <v>1802</v>
      </c>
      <c r="AA1031" t="s">
        <v>1803</v>
      </c>
      <c r="AB1031" t="s">
        <v>4</v>
      </c>
      <c r="AC1031" s="3" t="s">
        <v>11320</v>
      </c>
      <c r="AD1031" t="s">
        <v>4</v>
      </c>
      <c r="AE1031" t="s">
        <v>11321</v>
      </c>
      <c r="AF1031" t="s">
        <v>11322</v>
      </c>
      <c r="AG1031" t="s">
        <v>6403</v>
      </c>
      <c r="AH1031" t="s">
        <v>112</v>
      </c>
      <c r="AU1031" t="s">
        <v>112</v>
      </c>
      <c r="AV1031" t="s">
        <v>11323</v>
      </c>
      <c r="AW1031" t="s">
        <v>114</v>
      </c>
      <c r="AX1031" t="s">
        <v>144</v>
      </c>
      <c r="AY1031" t="s">
        <v>3750</v>
      </c>
      <c r="AZ1031" t="s">
        <v>4</v>
      </c>
      <c r="BA1031" s="3" t="s">
        <v>95</v>
      </c>
      <c r="BB1031" t="s">
        <v>96</v>
      </c>
      <c r="BC1031" s="3" t="s">
        <v>95</v>
      </c>
      <c r="BD1031" t="s">
        <v>4</v>
      </c>
      <c r="BE1031">
        <v>245</v>
      </c>
      <c r="BF1031" t="s">
        <v>322</v>
      </c>
      <c r="CK1031">
        <v>1</v>
      </c>
      <c r="CL1031" t="s">
        <v>4</v>
      </c>
      <c r="CM1031" t="s">
        <v>98</v>
      </c>
      <c r="CN1031" t="s">
        <v>98</v>
      </c>
      <c r="CO1031" t="s">
        <v>99</v>
      </c>
      <c r="CP1031" t="s">
        <v>100</v>
      </c>
      <c r="CQ1031" t="s">
        <v>100</v>
      </c>
      <c r="CR1031" t="s">
        <v>100</v>
      </c>
      <c r="CS1031" t="s">
        <v>101</v>
      </c>
      <c r="CT1031" t="s">
        <v>152</v>
      </c>
      <c r="CU1031" t="s">
        <v>102</v>
      </c>
      <c r="CV1031" t="s">
        <v>100</v>
      </c>
    </row>
    <row r="1032" spans="1:100">
      <c r="A1032" s="3" t="s">
        <v>11324</v>
      </c>
      <c r="B1032" s="4" t="s">
        <v>11325</v>
      </c>
      <c r="C1032">
        <v>12.3824478229329</v>
      </c>
      <c r="D1032">
        <v>28.840203221841801</v>
      </c>
      <c r="E1032">
        <f>-1.21567026391129</f>
        <v>-1.21567026391129</v>
      </c>
      <c r="F1032">
        <v>0.19958239510318099</v>
      </c>
      <c r="G1032" t="s">
        <v>4</v>
      </c>
      <c r="H1032">
        <v>12.3824478229329</v>
      </c>
      <c r="I1032">
        <v>1.6043579622555699</v>
      </c>
      <c r="J1032">
        <v>3.0970212749337702</v>
      </c>
      <c r="K1032">
        <v>1.3537679758513299E-2</v>
      </c>
      <c r="L1032" t="s">
        <v>4</v>
      </c>
      <c r="M1032">
        <v>28.840203221841801</v>
      </c>
      <c r="N1032">
        <v>1.6043579622555699</v>
      </c>
      <c r="O1032">
        <v>4.3126915388450699</v>
      </c>
      <c r="P1032">
        <v>3.4555853305553199E-4</v>
      </c>
      <c r="Q1032" t="s">
        <v>4</v>
      </c>
      <c r="R1032" s="4" t="s">
        <v>87</v>
      </c>
      <c r="S1032" t="s">
        <v>4</v>
      </c>
      <c r="T1032" t="s">
        <v>92</v>
      </c>
      <c r="U1032" t="s">
        <v>92</v>
      </c>
      <c r="V1032" t="s">
        <v>92</v>
      </c>
      <c r="W1032" t="s">
        <v>92</v>
      </c>
      <c r="X1032" t="s">
        <v>4</v>
      </c>
      <c r="Y1032" t="s">
        <v>92</v>
      </c>
      <c r="Z1032" t="s">
        <v>92</v>
      </c>
      <c r="AA1032" t="s">
        <v>92</v>
      </c>
      <c r="AB1032" t="s">
        <v>4</v>
      </c>
      <c r="AC1032" s="3" t="s">
        <v>93</v>
      </c>
      <c r="AD1032" t="s">
        <v>4</v>
      </c>
      <c r="AE1032" s="4" t="s">
        <v>94</v>
      </c>
      <c r="AZ1032" t="s">
        <v>4</v>
      </c>
      <c r="BA1032" s="3" t="s">
        <v>95</v>
      </c>
      <c r="BB1032" s="6" t="s">
        <v>95</v>
      </c>
      <c r="BC1032" s="3" t="s">
        <v>197</v>
      </c>
      <c r="BD1032" t="s">
        <v>4</v>
      </c>
      <c r="BE1032">
        <v>13</v>
      </c>
      <c r="BF1032" t="s">
        <v>322</v>
      </c>
      <c r="CK1032">
        <v>1</v>
      </c>
      <c r="CL1032" t="s">
        <v>4</v>
      </c>
      <c r="CM1032" t="s">
        <v>98</v>
      </c>
      <c r="CN1032" t="s">
        <v>98</v>
      </c>
      <c r="CO1032" t="s">
        <v>99</v>
      </c>
      <c r="CP1032" t="s">
        <v>100</v>
      </c>
      <c r="CQ1032" t="s">
        <v>100</v>
      </c>
      <c r="CR1032" t="s">
        <v>100</v>
      </c>
      <c r="CS1032" s="7" t="s">
        <v>101</v>
      </c>
      <c r="CT1032" t="s">
        <v>152</v>
      </c>
      <c r="CU1032" t="s">
        <v>102</v>
      </c>
      <c r="CV1032" t="s">
        <v>100</v>
      </c>
    </row>
    <row r="1033" spans="1:100">
      <c r="A1033" s="3" t="s">
        <v>11326</v>
      </c>
      <c r="B1033" s="4" t="s">
        <v>11327</v>
      </c>
      <c r="C1033">
        <v>3280.4179316190598</v>
      </c>
      <c r="D1033">
        <v>4736.5927083523402</v>
      </c>
      <c r="E1033">
        <f>0.530016755901457</f>
        <v>0.53001675590145703</v>
      </c>
      <c r="F1033">
        <v>0.101459986665656</v>
      </c>
      <c r="G1033" t="s">
        <v>4</v>
      </c>
      <c r="H1033">
        <v>3280.4179316190598</v>
      </c>
      <c r="I1033">
        <v>242.25696072939999</v>
      </c>
      <c r="J1033">
        <v>3.7497171243710801</v>
      </c>
      <c r="K1033" s="5">
        <v>1.3811726875440101E-37</v>
      </c>
      <c r="L1033" t="s">
        <v>4</v>
      </c>
      <c r="M1033">
        <v>4736.5927083523402</v>
      </c>
      <c r="N1033">
        <v>242.25696072939999</v>
      </c>
      <c r="O1033">
        <v>4.2797338802725404</v>
      </c>
      <c r="P1033" s="5">
        <v>7.6840082651416307E-49</v>
      </c>
      <c r="Q1033" t="s">
        <v>4</v>
      </c>
      <c r="R1033" s="4" t="s">
        <v>87</v>
      </c>
      <c r="S1033" t="s">
        <v>4</v>
      </c>
      <c r="T1033" t="s">
        <v>11328</v>
      </c>
      <c r="U1033" t="s">
        <v>11329</v>
      </c>
      <c r="V1033" t="s">
        <v>11330</v>
      </c>
      <c r="W1033" t="s">
        <v>1833</v>
      </c>
      <c r="X1033" t="s">
        <v>4</v>
      </c>
      <c r="Y1033" t="s">
        <v>11331</v>
      </c>
      <c r="Z1033" t="s">
        <v>11332</v>
      </c>
      <c r="AA1033" t="s">
        <v>11333</v>
      </c>
      <c r="AB1033" t="s">
        <v>4</v>
      </c>
      <c r="AC1033" s="3" t="s">
        <v>11334</v>
      </c>
      <c r="AD1033" t="s">
        <v>4</v>
      </c>
      <c r="AE1033" t="s">
        <v>11335</v>
      </c>
      <c r="AF1033" t="s">
        <v>834</v>
      </c>
      <c r="AG1033" t="s">
        <v>11336</v>
      </c>
      <c r="AH1033" t="s">
        <v>112</v>
      </c>
      <c r="AI1033" t="s">
        <v>11337</v>
      </c>
      <c r="AJ1033" t="s">
        <v>11338</v>
      </c>
      <c r="AU1033" t="s">
        <v>112</v>
      </c>
      <c r="AV1033" t="s">
        <v>11339</v>
      </c>
      <c r="AW1033" t="s">
        <v>114</v>
      </c>
      <c r="AZ1033" t="s">
        <v>4</v>
      </c>
      <c r="BA1033" s="3" t="s">
        <v>95</v>
      </c>
      <c r="BB1033" s="6" t="s">
        <v>95</v>
      </c>
      <c r="BC1033" s="3" t="s">
        <v>95</v>
      </c>
      <c r="BD1033" t="s">
        <v>4</v>
      </c>
      <c r="BE1033">
        <v>2783</v>
      </c>
      <c r="BF1033" t="s">
        <v>97</v>
      </c>
      <c r="BG1033">
        <v>94.250900000000001</v>
      </c>
      <c r="BH1033">
        <v>47.212499999999999</v>
      </c>
      <c r="BI1033">
        <v>85.365899999999996</v>
      </c>
      <c r="BJ1033">
        <v>68.728200000000001</v>
      </c>
      <c r="BK1033">
        <v>53.0488</v>
      </c>
      <c r="BL1033" t="s">
        <v>11340</v>
      </c>
      <c r="BM1033">
        <v>56.881500000000003</v>
      </c>
      <c r="BN1033">
        <v>58.710799999999999</v>
      </c>
      <c r="BO1033" t="s">
        <v>11341</v>
      </c>
      <c r="CK1033">
        <v>4</v>
      </c>
      <c r="CL1033" t="s">
        <v>4</v>
      </c>
      <c r="CM1033" t="s">
        <v>98</v>
      </c>
      <c r="CN1033" t="s">
        <v>98</v>
      </c>
      <c r="CO1033" t="s">
        <v>99</v>
      </c>
      <c r="CP1033" t="s">
        <v>100</v>
      </c>
      <c r="CQ1033" t="s">
        <v>100</v>
      </c>
      <c r="CR1033" t="s">
        <v>100</v>
      </c>
      <c r="CS1033" t="s">
        <v>101</v>
      </c>
      <c r="CT1033" t="s">
        <v>152</v>
      </c>
      <c r="CU1033" t="s">
        <v>102</v>
      </c>
      <c r="CV1033" t="s">
        <v>100</v>
      </c>
    </row>
    <row r="1034" spans="1:100">
      <c r="A1034" s="3" t="s">
        <v>11342</v>
      </c>
      <c r="B1034" s="4" t="s">
        <v>11343</v>
      </c>
      <c r="C1034">
        <v>58.575704745627199</v>
      </c>
      <c r="D1034">
        <v>90.140432478253501</v>
      </c>
      <c r="E1034">
        <f>0.620880683918927</f>
        <v>0.62088068391892703</v>
      </c>
      <c r="F1034">
        <v>0.15200899082855501</v>
      </c>
      <c r="G1034" t="s">
        <v>4</v>
      </c>
      <c r="H1034">
        <v>58.575704745627199</v>
      </c>
      <c r="I1034">
        <v>5.1561309260214703</v>
      </c>
      <c r="J1034">
        <v>3.6451136776673998</v>
      </c>
      <c r="K1034" s="5">
        <v>1.9597679630276301E-9</v>
      </c>
      <c r="L1034" t="s">
        <v>4</v>
      </c>
      <c r="M1034">
        <v>90.140432478253501</v>
      </c>
      <c r="N1034">
        <v>5.1561309260214703</v>
      </c>
      <c r="O1034">
        <v>4.2659943615863298</v>
      </c>
      <c r="P1034" s="5">
        <v>9.4451506918562498E-13</v>
      </c>
      <c r="Q1034" t="s">
        <v>4</v>
      </c>
      <c r="R1034" s="4" t="s">
        <v>87</v>
      </c>
      <c r="S1034" t="s">
        <v>4</v>
      </c>
      <c r="T1034" t="s">
        <v>88</v>
      </c>
      <c r="U1034" t="s">
        <v>89</v>
      </c>
      <c r="V1034" t="s">
        <v>90</v>
      </c>
      <c r="W1034" t="s">
        <v>91</v>
      </c>
      <c r="X1034" t="s">
        <v>4</v>
      </c>
      <c r="Y1034" t="s">
        <v>2207</v>
      </c>
      <c r="Z1034" t="s">
        <v>2208</v>
      </c>
      <c r="AA1034" t="s">
        <v>2209</v>
      </c>
      <c r="AB1034" t="s">
        <v>4</v>
      </c>
      <c r="AC1034" s="3" t="s">
        <v>426</v>
      </c>
      <c r="AD1034" t="s">
        <v>4</v>
      </c>
      <c r="AE1034" t="s">
        <v>11344</v>
      </c>
      <c r="AF1034" t="s">
        <v>11345</v>
      </c>
      <c r="AG1034" t="s">
        <v>11346</v>
      </c>
      <c r="AH1034" t="s">
        <v>112</v>
      </c>
      <c r="AU1034" t="s">
        <v>112</v>
      </c>
      <c r="AV1034" t="s">
        <v>430</v>
      </c>
      <c r="AW1034" t="s">
        <v>114</v>
      </c>
      <c r="AX1034" t="s">
        <v>144</v>
      </c>
      <c r="AY1034" t="s">
        <v>431</v>
      </c>
      <c r="AZ1034" t="s">
        <v>4</v>
      </c>
      <c r="BA1034" s="3" t="s">
        <v>95</v>
      </c>
      <c r="BB1034" t="s">
        <v>96</v>
      </c>
      <c r="BC1034" s="3" t="s">
        <v>95</v>
      </c>
      <c r="BD1034" t="s">
        <v>4</v>
      </c>
      <c r="BE1034">
        <v>4527</v>
      </c>
      <c r="BF1034" t="s">
        <v>112</v>
      </c>
      <c r="BG1034">
        <v>80.634900000000002</v>
      </c>
      <c r="BJ1034">
        <v>67.936499999999995</v>
      </c>
      <c r="BN1034" t="s">
        <v>11347</v>
      </c>
      <c r="BP1034">
        <v>22.857099999999999</v>
      </c>
      <c r="BQ1034" t="s">
        <v>11348</v>
      </c>
      <c r="BW1034" t="s">
        <v>11349</v>
      </c>
      <c r="CK1034">
        <v>5</v>
      </c>
      <c r="CL1034" t="s">
        <v>4</v>
      </c>
      <c r="CM1034" t="s">
        <v>98</v>
      </c>
      <c r="CN1034" t="s">
        <v>98</v>
      </c>
      <c r="CO1034" t="s">
        <v>99</v>
      </c>
      <c r="CP1034" t="s">
        <v>100</v>
      </c>
      <c r="CQ1034" t="s">
        <v>100</v>
      </c>
      <c r="CR1034" t="s">
        <v>100</v>
      </c>
      <c r="CS1034" t="s">
        <v>101</v>
      </c>
      <c r="CT1034" t="s">
        <v>152</v>
      </c>
      <c r="CU1034" t="s">
        <v>102</v>
      </c>
      <c r="CV1034" t="s">
        <v>100</v>
      </c>
    </row>
    <row r="1035" spans="1:100">
      <c r="A1035" s="3" t="s">
        <v>11350</v>
      </c>
      <c r="B1035" s="4" t="s">
        <v>11351</v>
      </c>
      <c r="C1035">
        <v>32.622420271709998</v>
      </c>
      <c r="D1035">
        <v>78.360631955189902</v>
      </c>
      <c r="E1035">
        <f>-1.26486166262434</f>
        <v>-1.2648616626243401</v>
      </c>
      <c r="F1035">
        <v>7.5256014690832596E-2</v>
      </c>
      <c r="G1035" t="s">
        <v>4</v>
      </c>
      <c r="H1035">
        <v>32.622420271709998</v>
      </c>
      <c r="I1035">
        <v>4.2076906102812304</v>
      </c>
      <c r="J1035">
        <v>2.95581680621205</v>
      </c>
      <c r="K1035">
        <v>4.2602297002276998E-4</v>
      </c>
      <c r="L1035" t="s">
        <v>4</v>
      </c>
      <c r="M1035">
        <v>78.360631955189902</v>
      </c>
      <c r="N1035">
        <v>4.2076906102812304</v>
      </c>
      <c r="O1035">
        <v>4.2206784688363896</v>
      </c>
      <c r="P1035" s="5">
        <v>1.6823788531894399E-7</v>
      </c>
      <c r="Q1035" t="s">
        <v>4</v>
      </c>
      <c r="R1035" s="4" t="s">
        <v>87</v>
      </c>
      <c r="S1035" t="s">
        <v>4</v>
      </c>
      <c r="T1035" t="s">
        <v>1242</v>
      </c>
      <c r="U1035" t="s">
        <v>1243</v>
      </c>
      <c r="V1035" t="s">
        <v>1244</v>
      </c>
      <c r="W1035" t="s">
        <v>203</v>
      </c>
      <c r="X1035" t="s">
        <v>4</v>
      </c>
      <c r="Y1035" t="s">
        <v>11352</v>
      </c>
      <c r="Z1035" t="s">
        <v>11353</v>
      </c>
      <c r="AA1035" t="s">
        <v>11354</v>
      </c>
      <c r="AB1035" t="s">
        <v>4</v>
      </c>
      <c r="AC1035" s="3" t="s">
        <v>11355</v>
      </c>
      <c r="AD1035" t="s">
        <v>4</v>
      </c>
      <c r="AE1035" t="s">
        <v>11356</v>
      </c>
      <c r="AF1035" t="s">
        <v>11357</v>
      </c>
      <c r="AG1035" t="s">
        <v>11358</v>
      </c>
      <c r="AH1035" t="s">
        <v>112</v>
      </c>
      <c r="AU1035" t="s">
        <v>112</v>
      </c>
      <c r="AV1035" t="s">
        <v>11359</v>
      </c>
      <c r="AW1035" t="s">
        <v>114</v>
      </c>
      <c r="AX1035" t="s">
        <v>536</v>
      </c>
      <c r="AY1035" t="s">
        <v>11360</v>
      </c>
      <c r="AZ1035" t="s">
        <v>4</v>
      </c>
      <c r="BA1035" s="3" t="s">
        <v>95</v>
      </c>
      <c r="BB1035" s="6" t="s">
        <v>95</v>
      </c>
      <c r="BC1035" s="3" t="s">
        <v>197</v>
      </c>
      <c r="BD1035" t="s">
        <v>4</v>
      </c>
      <c r="BE1035">
        <v>4049</v>
      </c>
      <c r="BF1035" t="s">
        <v>112</v>
      </c>
      <c r="BG1035">
        <v>100</v>
      </c>
      <c r="BH1035">
        <v>100</v>
      </c>
      <c r="BI1035">
        <v>99.0291</v>
      </c>
      <c r="BJ1035">
        <v>89.320400000000006</v>
      </c>
      <c r="BL1035">
        <v>82.524299999999997</v>
      </c>
      <c r="BM1035">
        <v>40.776699999999998</v>
      </c>
      <c r="BN1035">
        <v>82.524299999999997</v>
      </c>
      <c r="BR1035">
        <v>50.485399999999998</v>
      </c>
      <c r="BS1035">
        <v>36.8932</v>
      </c>
      <c r="CK1035">
        <v>5</v>
      </c>
      <c r="CL1035" t="s">
        <v>4</v>
      </c>
      <c r="CM1035" t="s">
        <v>98</v>
      </c>
      <c r="CN1035" t="s">
        <v>98</v>
      </c>
      <c r="CO1035" t="s">
        <v>99</v>
      </c>
      <c r="CP1035" t="s">
        <v>100</v>
      </c>
      <c r="CQ1035" t="s">
        <v>100</v>
      </c>
      <c r="CR1035" t="s">
        <v>100</v>
      </c>
      <c r="CS1035" t="s">
        <v>101</v>
      </c>
      <c r="CT1035" t="s">
        <v>152</v>
      </c>
      <c r="CU1035" t="s">
        <v>102</v>
      </c>
      <c r="CV1035" t="s">
        <v>100</v>
      </c>
    </row>
    <row r="1036" spans="1:100">
      <c r="A1036" s="3" t="s">
        <v>11361</v>
      </c>
      <c r="B1036" s="4" t="s">
        <v>11362</v>
      </c>
      <c r="C1036">
        <v>1572.73434880531</v>
      </c>
      <c r="D1036">
        <v>2534.1700096894301</v>
      </c>
      <c r="E1036">
        <f>0.688278606014284</f>
        <v>0.68827860601428403</v>
      </c>
      <c r="F1036">
        <v>1.0101337502017201E-2</v>
      </c>
      <c r="G1036" t="s">
        <v>4</v>
      </c>
      <c r="H1036">
        <v>1572.73434880531</v>
      </c>
      <c r="I1036">
        <v>134.353081141893</v>
      </c>
      <c r="J1036">
        <v>3.5281746741553701</v>
      </c>
      <c r="K1036" s="5">
        <v>3.15417441662292E-43</v>
      </c>
      <c r="L1036" t="s">
        <v>4</v>
      </c>
      <c r="M1036">
        <v>2534.1700096894301</v>
      </c>
      <c r="N1036">
        <v>134.353081141893</v>
      </c>
      <c r="O1036">
        <v>4.2164532801696604</v>
      </c>
      <c r="P1036" s="5">
        <v>1.26305937788679E-61</v>
      </c>
      <c r="Q1036" t="s">
        <v>4</v>
      </c>
      <c r="R1036" s="4" t="s">
        <v>87</v>
      </c>
      <c r="S1036" t="s">
        <v>4</v>
      </c>
      <c r="T1036" t="s">
        <v>11363</v>
      </c>
      <c r="U1036" t="s">
        <v>11364</v>
      </c>
      <c r="V1036" t="s">
        <v>11365</v>
      </c>
      <c r="W1036" t="s">
        <v>203</v>
      </c>
      <c r="X1036" t="s">
        <v>4</v>
      </c>
      <c r="Y1036" t="s">
        <v>11366</v>
      </c>
      <c r="Z1036" t="s">
        <v>11367</v>
      </c>
      <c r="AA1036" t="s">
        <v>11368</v>
      </c>
      <c r="AB1036" t="s">
        <v>4</v>
      </c>
      <c r="AC1036" s="3" t="s">
        <v>11369</v>
      </c>
      <c r="AD1036" t="s">
        <v>4</v>
      </c>
      <c r="AE1036" t="s">
        <v>11370</v>
      </c>
      <c r="AF1036" t="s">
        <v>11371</v>
      </c>
      <c r="AG1036" t="s">
        <v>4516</v>
      </c>
      <c r="AH1036" t="s">
        <v>112</v>
      </c>
      <c r="AL1036" t="s">
        <v>11372</v>
      </c>
      <c r="AQ1036" t="s">
        <v>11373</v>
      </c>
      <c r="AU1036" t="s">
        <v>112</v>
      </c>
      <c r="AV1036" t="s">
        <v>11374</v>
      </c>
      <c r="AW1036" t="s">
        <v>114</v>
      </c>
      <c r="AX1036" t="s">
        <v>6608</v>
      </c>
      <c r="AY1036" t="s">
        <v>11375</v>
      </c>
      <c r="AZ1036" t="s">
        <v>4</v>
      </c>
      <c r="BA1036" s="3" t="s">
        <v>115</v>
      </c>
      <c r="BB1036" s="6" t="s">
        <v>95</v>
      </c>
      <c r="BC1036" s="3" t="s">
        <v>95</v>
      </c>
      <c r="BD1036" t="s">
        <v>4</v>
      </c>
      <c r="BE1036">
        <v>9735</v>
      </c>
      <c r="BF1036" t="s">
        <v>169</v>
      </c>
      <c r="BG1036">
        <v>87.238100000000003</v>
      </c>
      <c r="BH1036">
        <v>99.8095</v>
      </c>
      <c r="BI1036">
        <v>97.142899999999997</v>
      </c>
      <c r="BJ1036">
        <v>91.8095</v>
      </c>
      <c r="BK1036">
        <v>87.619</v>
      </c>
      <c r="BL1036">
        <v>87.8095</v>
      </c>
      <c r="BM1036">
        <v>88.952399999999997</v>
      </c>
      <c r="BN1036">
        <v>88.761899999999997</v>
      </c>
      <c r="BO1036">
        <v>88.1905</v>
      </c>
      <c r="BP1036">
        <v>41.333300000000001</v>
      </c>
      <c r="BX1036">
        <v>24.1905</v>
      </c>
      <c r="CD1036" t="s">
        <v>11376</v>
      </c>
      <c r="CE1036" t="s">
        <v>11377</v>
      </c>
      <c r="CG1036">
        <v>17.333300000000001</v>
      </c>
      <c r="CH1036">
        <v>16.381</v>
      </c>
      <c r="CI1036" t="s">
        <v>11378</v>
      </c>
      <c r="CJ1036">
        <v>15.428599999999999</v>
      </c>
      <c r="CK1036">
        <v>9</v>
      </c>
      <c r="CL1036" t="s">
        <v>4</v>
      </c>
      <c r="CM1036" t="s">
        <v>98</v>
      </c>
      <c r="CN1036" t="s">
        <v>98</v>
      </c>
      <c r="CO1036" t="s">
        <v>99</v>
      </c>
      <c r="CP1036" t="s">
        <v>100</v>
      </c>
      <c r="CQ1036" t="s">
        <v>100</v>
      </c>
      <c r="CR1036" t="s">
        <v>100</v>
      </c>
      <c r="CS1036" t="s">
        <v>101</v>
      </c>
      <c r="CT1036" t="s">
        <v>152</v>
      </c>
      <c r="CU1036" t="s">
        <v>102</v>
      </c>
      <c r="CV1036" t="s">
        <v>100</v>
      </c>
    </row>
    <row r="1037" spans="1:100">
      <c r="A1037" s="3" t="s">
        <v>11379</v>
      </c>
      <c r="B1037" s="4" t="s">
        <v>11380</v>
      </c>
      <c r="C1037">
        <v>384.89333176470802</v>
      </c>
      <c r="D1037">
        <v>767.99151844098697</v>
      </c>
      <c r="E1037">
        <f>0.995540089647743</f>
        <v>0.99554008964774299</v>
      </c>
      <c r="F1037">
        <v>1.9501238508063E-4</v>
      </c>
      <c r="G1037" t="s">
        <v>4</v>
      </c>
      <c r="H1037">
        <v>384.89333176470802</v>
      </c>
      <c r="I1037">
        <v>42.814043640652699</v>
      </c>
      <c r="J1037">
        <v>3.2087895608527099</v>
      </c>
      <c r="K1037" s="5">
        <v>4.9670171256922697E-28</v>
      </c>
      <c r="L1037" t="s">
        <v>4</v>
      </c>
      <c r="M1037">
        <v>767.99151844098697</v>
      </c>
      <c r="N1037">
        <v>42.814043640652699</v>
      </c>
      <c r="O1037">
        <v>4.2043296505004504</v>
      </c>
      <c r="P1037" s="5">
        <v>6.6774966916001897E-48</v>
      </c>
      <c r="Q1037" t="s">
        <v>4</v>
      </c>
      <c r="R1037" s="4" t="s">
        <v>87</v>
      </c>
      <c r="S1037" t="s">
        <v>4</v>
      </c>
      <c r="T1037" t="s">
        <v>92</v>
      </c>
      <c r="U1037" t="s">
        <v>92</v>
      </c>
      <c r="V1037" t="s">
        <v>92</v>
      </c>
      <c r="W1037" t="s">
        <v>92</v>
      </c>
      <c r="X1037" t="s">
        <v>4</v>
      </c>
      <c r="Y1037" t="s">
        <v>92</v>
      </c>
      <c r="Z1037" t="s">
        <v>92</v>
      </c>
      <c r="AA1037" t="s">
        <v>92</v>
      </c>
      <c r="AB1037" t="s">
        <v>4</v>
      </c>
      <c r="AC1037" s="3" t="s">
        <v>93</v>
      </c>
      <c r="AD1037" t="s">
        <v>4</v>
      </c>
      <c r="AE1037" s="4" t="s">
        <v>94</v>
      </c>
      <c r="AZ1037" t="s">
        <v>4</v>
      </c>
      <c r="BA1037" s="3" t="s">
        <v>115</v>
      </c>
      <c r="BB1037" s="6" t="s">
        <v>95</v>
      </c>
      <c r="BC1037" s="3" t="s">
        <v>95</v>
      </c>
      <c r="BD1037" t="s">
        <v>4</v>
      </c>
      <c r="BE1037">
        <v>4376</v>
      </c>
      <c r="BF1037" t="s">
        <v>112</v>
      </c>
      <c r="BG1037">
        <v>95.419799999999995</v>
      </c>
      <c r="BH1037">
        <v>100</v>
      </c>
      <c r="BJ1037">
        <v>60.305300000000003</v>
      </c>
      <c r="BK1037">
        <v>51.9084</v>
      </c>
      <c r="BL1037">
        <v>47.328200000000002</v>
      </c>
      <c r="BM1037">
        <v>47.328200000000002</v>
      </c>
      <c r="BN1037">
        <v>46.564900000000002</v>
      </c>
      <c r="BO1037">
        <v>45.801499999999997</v>
      </c>
      <c r="CK1037">
        <v>5</v>
      </c>
      <c r="CL1037" t="s">
        <v>4</v>
      </c>
      <c r="CM1037" t="s">
        <v>98</v>
      </c>
      <c r="CN1037" t="s">
        <v>98</v>
      </c>
      <c r="CO1037" t="s">
        <v>99</v>
      </c>
      <c r="CP1037" t="s">
        <v>100</v>
      </c>
      <c r="CQ1037" t="s">
        <v>100</v>
      </c>
      <c r="CR1037" t="s">
        <v>100</v>
      </c>
      <c r="CS1037" t="s">
        <v>101</v>
      </c>
      <c r="CT1037" t="s">
        <v>152</v>
      </c>
      <c r="CU1037" t="s">
        <v>102</v>
      </c>
      <c r="CV1037" t="s">
        <v>100</v>
      </c>
    </row>
    <row r="1038" spans="1:100">
      <c r="A1038" s="3" t="s">
        <v>11381</v>
      </c>
      <c r="B1038" s="4" t="s">
        <v>11382</v>
      </c>
      <c r="C1038">
        <v>20.426059425702199</v>
      </c>
      <c r="D1038">
        <v>43.1489948931142</v>
      </c>
      <c r="E1038">
        <f>-1.07848581233472</f>
        <v>-1.0784858123347201</v>
      </c>
      <c r="F1038">
        <v>0.10515539012462501</v>
      </c>
      <c r="G1038" t="s">
        <v>4</v>
      </c>
      <c r="H1038">
        <v>20.426059425702199</v>
      </c>
      <c r="I1038">
        <v>2.5720261766118999</v>
      </c>
      <c r="J1038">
        <v>3.10580879065891</v>
      </c>
      <c r="K1038">
        <v>7.20897424018933E-4</v>
      </c>
      <c r="L1038" t="s">
        <v>4</v>
      </c>
      <c r="M1038">
        <v>43.1489948931142</v>
      </c>
      <c r="N1038">
        <v>2.5720261766118999</v>
      </c>
      <c r="O1038">
        <v>4.1842946029936297</v>
      </c>
      <c r="P1038" s="5">
        <v>2.23774902570263E-6</v>
      </c>
      <c r="Q1038" t="s">
        <v>4</v>
      </c>
      <c r="R1038" s="4" t="s">
        <v>87</v>
      </c>
      <c r="S1038" t="s">
        <v>4</v>
      </c>
      <c r="T1038" t="s">
        <v>92</v>
      </c>
      <c r="U1038" t="s">
        <v>92</v>
      </c>
      <c r="V1038" t="s">
        <v>92</v>
      </c>
      <c r="W1038" t="s">
        <v>92</v>
      </c>
      <c r="X1038" t="s">
        <v>4</v>
      </c>
      <c r="Y1038" t="s">
        <v>7298</v>
      </c>
      <c r="Z1038" t="s">
        <v>7299</v>
      </c>
      <c r="AA1038" t="s">
        <v>7300</v>
      </c>
      <c r="AB1038" t="s">
        <v>4</v>
      </c>
      <c r="AC1038" s="3" t="s">
        <v>9067</v>
      </c>
      <c r="AD1038" t="s">
        <v>4</v>
      </c>
      <c r="AE1038" s="4" t="s">
        <v>94</v>
      </c>
      <c r="AZ1038" t="s">
        <v>4</v>
      </c>
      <c r="BA1038" s="3" t="s">
        <v>95</v>
      </c>
      <c r="BB1038" s="6" t="s">
        <v>95</v>
      </c>
      <c r="BC1038" s="3" t="s">
        <v>197</v>
      </c>
      <c r="BD1038" t="s">
        <v>4</v>
      </c>
      <c r="BE1038">
        <v>1405</v>
      </c>
      <c r="BF1038" t="s">
        <v>151</v>
      </c>
      <c r="CK1038">
        <v>2</v>
      </c>
      <c r="CL1038" t="s">
        <v>4</v>
      </c>
      <c r="CM1038" t="s">
        <v>98</v>
      </c>
      <c r="CN1038" t="s">
        <v>98</v>
      </c>
      <c r="CO1038" t="s">
        <v>99</v>
      </c>
      <c r="CP1038" t="s">
        <v>100</v>
      </c>
      <c r="CQ1038" t="s">
        <v>100</v>
      </c>
      <c r="CR1038" t="s">
        <v>100</v>
      </c>
      <c r="CS1038" t="s">
        <v>101</v>
      </c>
      <c r="CT1038" t="s">
        <v>152</v>
      </c>
      <c r="CU1038" t="s">
        <v>102</v>
      </c>
      <c r="CV1038" t="s">
        <v>100</v>
      </c>
    </row>
    <row r="1039" spans="1:100">
      <c r="A1039" s="3" t="s">
        <v>11383</v>
      </c>
      <c r="B1039" s="4" t="s">
        <v>11384</v>
      </c>
      <c r="C1039">
        <v>2098.8703353425899</v>
      </c>
      <c r="D1039">
        <v>2807.2946909341299</v>
      </c>
      <c r="E1039">
        <f>0.419325878250087</f>
        <v>0.41932587825008699</v>
      </c>
      <c r="F1039">
        <v>3.93502990627905E-2</v>
      </c>
      <c r="G1039" t="s">
        <v>4</v>
      </c>
      <c r="H1039">
        <v>2098.8703353425899</v>
      </c>
      <c r="I1039">
        <v>155.71586105272601</v>
      </c>
      <c r="J1039">
        <v>3.76161667471025</v>
      </c>
      <c r="K1039" s="5">
        <v>4.2328765901093502E-81</v>
      </c>
      <c r="L1039" t="s">
        <v>4</v>
      </c>
      <c r="M1039">
        <v>2807.2946909341299</v>
      </c>
      <c r="N1039">
        <v>155.71586105272601</v>
      </c>
      <c r="O1039">
        <v>4.1809425529603299</v>
      </c>
      <c r="P1039" s="5">
        <v>3.0666612277910801E-100</v>
      </c>
      <c r="Q1039" t="s">
        <v>4</v>
      </c>
      <c r="R1039" s="4" t="s">
        <v>87</v>
      </c>
      <c r="S1039" t="s">
        <v>4</v>
      </c>
      <c r="T1039" t="s">
        <v>11385</v>
      </c>
      <c r="U1039" t="s">
        <v>11386</v>
      </c>
      <c r="V1039" t="s">
        <v>11387</v>
      </c>
      <c r="W1039" t="s">
        <v>976</v>
      </c>
      <c r="X1039" t="s">
        <v>4</v>
      </c>
      <c r="Y1039" t="s">
        <v>11388</v>
      </c>
      <c r="Z1039" t="s">
        <v>11389</v>
      </c>
      <c r="AA1039" t="s">
        <v>11390</v>
      </c>
      <c r="AB1039" t="s">
        <v>4</v>
      </c>
      <c r="AC1039" s="3" t="s">
        <v>11391</v>
      </c>
      <c r="AD1039" t="s">
        <v>4</v>
      </c>
      <c r="AE1039" t="s">
        <v>11392</v>
      </c>
      <c r="AF1039" t="s">
        <v>11393</v>
      </c>
      <c r="AG1039" t="s">
        <v>11394</v>
      </c>
      <c r="AH1039" t="s">
        <v>112</v>
      </c>
      <c r="AL1039" t="s">
        <v>11395</v>
      </c>
      <c r="AN1039" t="s">
        <v>11396</v>
      </c>
      <c r="AQ1039" t="s">
        <v>11397</v>
      </c>
      <c r="AU1039" t="s">
        <v>112</v>
      </c>
      <c r="AV1039" t="s">
        <v>11398</v>
      </c>
      <c r="AW1039" t="s">
        <v>114</v>
      </c>
      <c r="AX1039" t="s">
        <v>733</v>
      </c>
      <c r="AY1039" t="s">
        <v>11399</v>
      </c>
      <c r="AZ1039" t="s">
        <v>4</v>
      </c>
      <c r="BA1039" s="3" t="s">
        <v>95</v>
      </c>
      <c r="BB1039" s="6" t="s">
        <v>95</v>
      </c>
      <c r="BC1039" s="3" t="s">
        <v>95</v>
      </c>
      <c r="BD1039" t="s">
        <v>4</v>
      </c>
      <c r="BE1039">
        <v>9051</v>
      </c>
      <c r="BF1039" t="s">
        <v>169</v>
      </c>
      <c r="BG1039">
        <v>100</v>
      </c>
      <c r="BI1039">
        <v>97.382199999999997</v>
      </c>
      <c r="BJ1039">
        <v>68.062799999999996</v>
      </c>
      <c r="BK1039">
        <v>88.481700000000004</v>
      </c>
      <c r="BM1039">
        <v>73.822000000000003</v>
      </c>
      <c r="BN1039">
        <v>93.193700000000007</v>
      </c>
      <c r="BO1039">
        <v>81.151799999999994</v>
      </c>
      <c r="BP1039">
        <v>53.926699999999997</v>
      </c>
      <c r="BQ1039">
        <v>30.366499999999998</v>
      </c>
      <c r="BR1039">
        <v>40.837699999999998</v>
      </c>
      <c r="BS1039">
        <v>32.984299999999998</v>
      </c>
      <c r="BT1039">
        <v>39.790599999999998</v>
      </c>
      <c r="BU1039" t="s">
        <v>11400</v>
      </c>
      <c r="BV1039" t="s">
        <v>11401</v>
      </c>
      <c r="BX1039">
        <v>43.455500000000001</v>
      </c>
      <c r="BY1039">
        <v>44.502600000000001</v>
      </c>
      <c r="BZ1039">
        <v>42.931899999999999</v>
      </c>
      <c r="CA1039">
        <v>35.078499999999998</v>
      </c>
      <c r="CB1039">
        <v>19.895299999999999</v>
      </c>
      <c r="CD1039" t="s">
        <v>11402</v>
      </c>
      <c r="CE1039">
        <v>21.9895</v>
      </c>
      <c r="CF1039">
        <v>21.9895</v>
      </c>
      <c r="CG1039">
        <v>23.0366</v>
      </c>
      <c r="CH1039">
        <v>23.0366</v>
      </c>
      <c r="CI1039">
        <v>20.418800000000001</v>
      </c>
      <c r="CJ1039">
        <v>26.701599999999999</v>
      </c>
      <c r="CK1039">
        <v>9</v>
      </c>
      <c r="CL1039" t="s">
        <v>4</v>
      </c>
      <c r="CM1039" t="s">
        <v>11403</v>
      </c>
      <c r="CN1039" t="s">
        <v>11404</v>
      </c>
      <c r="CO1039" t="s">
        <v>1218</v>
      </c>
      <c r="CP1039" t="s">
        <v>100</v>
      </c>
      <c r="CQ1039" t="s">
        <v>100</v>
      </c>
      <c r="CR1039" t="s">
        <v>100</v>
      </c>
      <c r="CS1039" t="s">
        <v>101</v>
      </c>
      <c r="CT1039" t="s">
        <v>152</v>
      </c>
      <c r="CU1039" t="s">
        <v>102</v>
      </c>
      <c r="CV1039" t="s">
        <v>100</v>
      </c>
    </row>
    <row r="1040" spans="1:100">
      <c r="A1040" s="3" t="s">
        <v>11405</v>
      </c>
      <c r="B1040" s="4" t="s">
        <v>11406</v>
      </c>
      <c r="C1040">
        <v>19.003012571969101</v>
      </c>
      <c r="D1040">
        <v>9.1388036750529</v>
      </c>
      <c r="E1040">
        <v>1.0561356819957599</v>
      </c>
      <c r="F1040">
        <v>0.24784536527859399</v>
      </c>
      <c r="G1040" t="s">
        <v>4</v>
      </c>
      <c r="H1040">
        <v>19.003012571969101</v>
      </c>
      <c r="I1040">
        <v>0.483834107178163</v>
      </c>
      <c r="J1040">
        <v>5.2338859468962902</v>
      </c>
      <c r="K1040">
        <v>4.6117793353529801E-4</v>
      </c>
      <c r="L1040" t="s">
        <v>4</v>
      </c>
      <c r="M1040">
        <v>9.1388036750529</v>
      </c>
      <c r="N1040">
        <v>0.483834107178163</v>
      </c>
      <c r="O1040">
        <v>4.1777502649005296</v>
      </c>
      <c r="P1040">
        <v>5.8140914758526199E-3</v>
      </c>
      <c r="Q1040" t="s">
        <v>4</v>
      </c>
      <c r="R1040" s="4" t="s">
        <v>87</v>
      </c>
      <c r="S1040" t="s">
        <v>4</v>
      </c>
      <c r="T1040" t="s">
        <v>92</v>
      </c>
      <c r="U1040" t="s">
        <v>92</v>
      </c>
      <c r="V1040" t="s">
        <v>92</v>
      </c>
      <c r="W1040" t="s">
        <v>92</v>
      </c>
      <c r="X1040" t="s">
        <v>4</v>
      </c>
      <c r="Y1040" t="s">
        <v>11407</v>
      </c>
      <c r="Z1040" t="s">
        <v>11408</v>
      </c>
      <c r="AA1040" t="s">
        <v>11409</v>
      </c>
      <c r="AB1040" t="s">
        <v>4</v>
      </c>
      <c r="AC1040" s="3" t="s">
        <v>93</v>
      </c>
      <c r="AD1040" t="s">
        <v>4</v>
      </c>
      <c r="AE1040" t="s">
        <v>11410</v>
      </c>
      <c r="AF1040" t="s">
        <v>11411</v>
      </c>
      <c r="AG1040" t="s">
        <v>3210</v>
      </c>
      <c r="AH1040" t="s">
        <v>112</v>
      </c>
      <c r="AU1040" t="s">
        <v>112</v>
      </c>
      <c r="AV1040" t="s">
        <v>11412</v>
      </c>
      <c r="AW1040" t="s">
        <v>114</v>
      </c>
      <c r="AX1040" t="s">
        <v>144</v>
      </c>
      <c r="AY1040" t="s">
        <v>11413</v>
      </c>
      <c r="AZ1040" t="s">
        <v>4</v>
      </c>
      <c r="BA1040" s="3" t="s">
        <v>95</v>
      </c>
      <c r="BB1040" s="6" t="s">
        <v>95</v>
      </c>
      <c r="BC1040" s="3" t="s">
        <v>197</v>
      </c>
      <c r="BD1040" t="s">
        <v>4</v>
      </c>
      <c r="BE1040">
        <v>3834</v>
      </c>
      <c r="BF1040" t="s">
        <v>112</v>
      </c>
      <c r="BG1040">
        <v>98.666700000000006</v>
      </c>
      <c r="BH1040">
        <v>100</v>
      </c>
      <c r="BI1040">
        <v>98.666700000000006</v>
      </c>
      <c r="BJ1040">
        <v>58.666699999999999</v>
      </c>
      <c r="BM1040">
        <v>77.333299999999994</v>
      </c>
      <c r="BN1040">
        <v>78</v>
      </c>
      <c r="BO1040">
        <v>84.666700000000006</v>
      </c>
      <c r="BP1040">
        <v>60.666699999999999</v>
      </c>
      <c r="BR1040">
        <v>38</v>
      </c>
      <c r="BS1040">
        <v>28.666699999999999</v>
      </c>
      <c r="CK1040">
        <v>5</v>
      </c>
      <c r="CL1040" t="s">
        <v>4</v>
      </c>
      <c r="CM1040" t="s">
        <v>98</v>
      </c>
      <c r="CN1040" t="s">
        <v>98</v>
      </c>
      <c r="CO1040" t="s">
        <v>99</v>
      </c>
      <c r="CP1040" t="s">
        <v>100</v>
      </c>
      <c r="CQ1040" t="s">
        <v>100</v>
      </c>
      <c r="CR1040" t="s">
        <v>100</v>
      </c>
      <c r="CS1040" t="s">
        <v>101</v>
      </c>
      <c r="CT1040" t="s">
        <v>152</v>
      </c>
      <c r="CU1040" t="s">
        <v>102</v>
      </c>
      <c r="CV1040" t="s">
        <v>100</v>
      </c>
    </row>
    <row r="1041" spans="1:100">
      <c r="A1041" s="3" t="s">
        <v>11414</v>
      </c>
      <c r="B1041" s="4" t="s">
        <v>11415</v>
      </c>
      <c r="C1041">
        <v>46.025265108700403</v>
      </c>
      <c r="D1041">
        <v>49.168599372672297</v>
      </c>
      <c r="E1041">
        <f>0.0965910415581769</f>
        <v>9.6591041558176896E-2</v>
      </c>
      <c r="F1041">
        <v>0.87704013672490999</v>
      </c>
      <c r="G1041" t="s">
        <v>4</v>
      </c>
      <c r="H1041">
        <v>46.025265108700403</v>
      </c>
      <c r="I1041">
        <v>2.7682668615444199</v>
      </c>
      <c r="J1041">
        <v>4.0780925678358804</v>
      </c>
      <c r="K1041" s="5">
        <v>2.1757504871011E-7</v>
      </c>
      <c r="L1041" t="s">
        <v>4</v>
      </c>
      <c r="M1041">
        <v>49.168599372672297</v>
      </c>
      <c r="N1041">
        <v>2.7682668615444199</v>
      </c>
      <c r="O1041">
        <v>4.1746836093940596</v>
      </c>
      <c r="P1041" s="5">
        <v>8.4595586276233107E-8</v>
      </c>
      <c r="Q1041" t="s">
        <v>4</v>
      </c>
      <c r="R1041" s="4" t="s">
        <v>87</v>
      </c>
      <c r="S1041" t="s">
        <v>4</v>
      </c>
      <c r="T1041" t="s">
        <v>92</v>
      </c>
      <c r="U1041" t="s">
        <v>92</v>
      </c>
      <c r="V1041" t="s">
        <v>92</v>
      </c>
      <c r="W1041" t="s">
        <v>92</v>
      </c>
      <c r="X1041" t="s">
        <v>4</v>
      </c>
      <c r="Y1041" t="s">
        <v>92</v>
      </c>
      <c r="Z1041" t="s">
        <v>92</v>
      </c>
      <c r="AA1041" t="s">
        <v>92</v>
      </c>
      <c r="AB1041" t="s">
        <v>4</v>
      </c>
      <c r="AC1041" s="3" t="s">
        <v>93</v>
      </c>
      <c r="AD1041" t="s">
        <v>4</v>
      </c>
      <c r="AE1041" s="4" t="s">
        <v>94</v>
      </c>
      <c r="AZ1041" t="s">
        <v>4</v>
      </c>
      <c r="BA1041" s="3" t="s">
        <v>95</v>
      </c>
      <c r="BB1041" s="6" t="s">
        <v>95</v>
      </c>
      <c r="BC1041" s="3" t="s">
        <v>95</v>
      </c>
      <c r="BD1041" t="s">
        <v>4</v>
      </c>
      <c r="BE1041">
        <v>1299</v>
      </c>
      <c r="BF1041" t="s">
        <v>151</v>
      </c>
      <c r="BG1041">
        <v>59.798999999999999</v>
      </c>
      <c r="BJ1041" t="s">
        <v>11416</v>
      </c>
      <c r="CK1041">
        <v>2</v>
      </c>
      <c r="CL1041" t="s">
        <v>4</v>
      </c>
      <c r="CM1041" t="s">
        <v>98</v>
      </c>
      <c r="CN1041" t="s">
        <v>98</v>
      </c>
      <c r="CO1041" t="s">
        <v>99</v>
      </c>
      <c r="CP1041" t="s">
        <v>100</v>
      </c>
      <c r="CQ1041" t="s">
        <v>100</v>
      </c>
      <c r="CR1041" t="s">
        <v>100</v>
      </c>
      <c r="CS1041" t="s">
        <v>101</v>
      </c>
      <c r="CT1041" t="s">
        <v>152</v>
      </c>
      <c r="CU1041" t="s">
        <v>102</v>
      </c>
      <c r="CV1041" t="s">
        <v>100</v>
      </c>
    </row>
    <row r="1042" spans="1:100">
      <c r="A1042" s="3" t="s">
        <v>11417</v>
      </c>
      <c r="B1042" s="4" t="s">
        <v>11418</v>
      </c>
      <c r="C1042">
        <v>1345.21722786082</v>
      </c>
      <c r="D1042">
        <v>1363.4869720827</v>
      </c>
      <c r="E1042">
        <f>0.019472610186827</f>
        <v>1.9472610186827E-2</v>
      </c>
      <c r="F1042">
        <v>0.97097342068460102</v>
      </c>
      <c r="G1042" t="s">
        <v>4</v>
      </c>
      <c r="H1042">
        <v>1345.21722786082</v>
      </c>
      <c r="I1042">
        <v>76.741909445082698</v>
      </c>
      <c r="J1042">
        <v>4.11057093143791</v>
      </c>
      <c r="K1042" s="5">
        <v>3.1787381072337302E-23</v>
      </c>
      <c r="L1042" t="s">
        <v>4</v>
      </c>
      <c r="M1042">
        <v>1363.4869720827</v>
      </c>
      <c r="N1042">
        <v>76.741909445082698</v>
      </c>
      <c r="O1042">
        <v>4.1300435416247403</v>
      </c>
      <c r="P1042" s="5">
        <v>1.47719626843295E-23</v>
      </c>
      <c r="Q1042" t="s">
        <v>4</v>
      </c>
      <c r="R1042" s="4" t="s">
        <v>87</v>
      </c>
      <c r="S1042" t="s">
        <v>4</v>
      </c>
      <c r="T1042" t="s">
        <v>92</v>
      </c>
      <c r="U1042" t="s">
        <v>92</v>
      </c>
      <c r="V1042" t="s">
        <v>92</v>
      </c>
      <c r="W1042" t="s">
        <v>92</v>
      </c>
      <c r="X1042" t="s">
        <v>4</v>
      </c>
      <c r="Y1042" t="s">
        <v>92</v>
      </c>
      <c r="Z1042" t="s">
        <v>92</v>
      </c>
      <c r="AA1042" t="s">
        <v>92</v>
      </c>
      <c r="AB1042" t="s">
        <v>4</v>
      </c>
      <c r="AC1042" s="3" t="s">
        <v>93</v>
      </c>
      <c r="AD1042" t="s">
        <v>4</v>
      </c>
      <c r="AE1042" s="4" t="s">
        <v>94</v>
      </c>
      <c r="AZ1042" t="s">
        <v>4</v>
      </c>
      <c r="BA1042" s="3" t="s">
        <v>95</v>
      </c>
      <c r="BB1042" s="6" t="s">
        <v>95</v>
      </c>
      <c r="BC1042" s="3" t="s">
        <v>95</v>
      </c>
      <c r="BD1042" t="s">
        <v>4</v>
      </c>
      <c r="BE1042">
        <v>1347</v>
      </c>
      <c r="BF1042" t="s">
        <v>151</v>
      </c>
      <c r="BG1042">
        <v>80.471400000000003</v>
      </c>
      <c r="BH1042">
        <v>93.266000000000005</v>
      </c>
      <c r="BI1042">
        <v>73.400700000000001</v>
      </c>
      <c r="BJ1042" t="s">
        <v>11419</v>
      </c>
      <c r="CK1042">
        <v>2</v>
      </c>
      <c r="CL1042" t="s">
        <v>4</v>
      </c>
      <c r="CM1042" t="s">
        <v>98</v>
      </c>
      <c r="CN1042" t="s">
        <v>98</v>
      </c>
      <c r="CO1042" t="s">
        <v>99</v>
      </c>
      <c r="CP1042" t="s">
        <v>100</v>
      </c>
      <c r="CQ1042" t="s">
        <v>100</v>
      </c>
      <c r="CR1042" t="s">
        <v>100</v>
      </c>
      <c r="CS1042" t="s">
        <v>101</v>
      </c>
      <c r="CT1042" t="s">
        <v>152</v>
      </c>
      <c r="CU1042" t="s">
        <v>102</v>
      </c>
      <c r="CV1042" t="s">
        <v>100</v>
      </c>
    </row>
    <row r="1043" spans="1:100">
      <c r="A1043" s="3" t="s">
        <v>11420</v>
      </c>
      <c r="B1043" s="4" t="s">
        <v>11421</v>
      </c>
      <c r="C1043">
        <v>27.2273154929605</v>
      </c>
      <c r="D1043">
        <v>45.1837513598974</v>
      </c>
      <c r="E1043">
        <f>0.722262845329457</f>
        <v>0.72226284532945695</v>
      </c>
      <c r="F1043">
        <v>0.32070869923741901</v>
      </c>
      <c r="G1043" t="s">
        <v>4</v>
      </c>
      <c r="H1043">
        <v>27.2273154929605</v>
      </c>
      <c r="I1043">
        <v>2.3157392257800198</v>
      </c>
      <c r="J1043">
        <v>3.39595525504041</v>
      </c>
      <c r="K1043">
        <v>2.2659781739202501E-4</v>
      </c>
      <c r="L1043" t="s">
        <v>4</v>
      </c>
      <c r="M1043">
        <v>45.1837513598974</v>
      </c>
      <c r="N1043">
        <v>2.3157392257800198</v>
      </c>
      <c r="O1043">
        <v>4.1182181003698597</v>
      </c>
      <c r="P1043" s="5">
        <v>4.2820091722293601E-6</v>
      </c>
      <c r="Q1043" t="s">
        <v>4</v>
      </c>
      <c r="R1043" s="4" t="s">
        <v>87</v>
      </c>
      <c r="S1043" t="s">
        <v>4</v>
      </c>
      <c r="T1043" t="s">
        <v>92</v>
      </c>
      <c r="U1043" t="s">
        <v>92</v>
      </c>
      <c r="V1043" t="s">
        <v>92</v>
      </c>
      <c r="W1043" t="s">
        <v>92</v>
      </c>
      <c r="X1043" t="s">
        <v>4</v>
      </c>
      <c r="Y1043" t="s">
        <v>92</v>
      </c>
      <c r="Z1043" t="s">
        <v>92</v>
      </c>
      <c r="AA1043" t="s">
        <v>92</v>
      </c>
      <c r="AB1043" t="s">
        <v>4</v>
      </c>
      <c r="AC1043" s="3" t="s">
        <v>93</v>
      </c>
      <c r="AD1043" t="s">
        <v>4</v>
      </c>
      <c r="AE1043" s="4" t="s">
        <v>94</v>
      </c>
      <c r="AZ1043" t="s">
        <v>4</v>
      </c>
      <c r="BA1043" s="3" t="s">
        <v>95</v>
      </c>
      <c r="BB1043" s="6" t="s">
        <v>95</v>
      </c>
      <c r="BC1043" s="3" t="s">
        <v>197</v>
      </c>
      <c r="BD1043" t="s">
        <v>4</v>
      </c>
      <c r="BE1043">
        <v>1372</v>
      </c>
      <c r="BF1043" t="s">
        <v>151</v>
      </c>
      <c r="BG1043" t="s">
        <v>11422</v>
      </c>
      <c r="CK1043">
        <v>2</v>
      </c>
      <c r="CL1043" t="s">
        <v>4</v>
      </c>
      <c r="CM1043" t="s">
        <v>98</v>
      </c>
      <c r="CN1043" t="s">
        <v>98</v>
      </c>
      <c r="CO1043" t="s">
        <v>99</v>
      </c>
      <c r="CP1043" t="s">
        <v>100</v>
      </c>
      <c r="CQ1043" t="s">
        <v>100</v>
      </c>
      <c r="CR1043" t="s">
        <v>100</v>
      </c>
      <c r="CS1043" t="s">
        <v>101</v>
      </c>
      <c r="CT1043" t="s">
        <v>152</v>
      </c>
      <c r="CU1043" t="s">
        <v>102</v>
      </c>
      <c r="CV1043" t="s">
        <v>100</v>
      </c>
    </row>
    <row r="1044" spans="1:100">
      <c r="A1044" s="3" t="s">
        <v>11423</v>
      </c>
      <c r="B1044" s="4" t="s">
        <v>11424</v>
      </c>
      <c r="C1044">
        <v>19.277884944176598</v>
      </c>
      <c r="D1044">
        <v>33.938097177144499</v>
      </c>
      <c r="E1044">
        <f>0.818692760702624</f>
        <v>0.81869276070262398</v>
      </c>
      <c r="F1044">
        <v>0.28542510492449502</v>
      </c>
      <c r="G1044" t="s">
        <v>4</v>
      </c>
      <c r="H1044">
        <v>19.277884944176598</v>
      </c>
      <c r="I1044">
        <v>2.39390335087589</v>
      </c>
      <c r="J1044">
        <v>3.2853188886527298</v>
      </c>
      <c r="K1044">
        <v>1.29909386126182E-3</v>
      </c>
      <c r="L1044" t="s">
        <v>4</v>
      </c>
      <c r="M1044">
        <v>33.938097177144499</v>
      </c>
      <c r="N1044">
        <v>2.39390335087589</v>
      </c>
      <c r="O1044">
        <v>4.1040116493553596</v>
      </c>
      <c r="P1044" s="5">
        <v>3.4365101843175901E-5</v>
      </c>
      <c r="Q1044" t="s">
        <v>4</v>
      </c>
      <c r="R1044" s="4" t="s">
        <v>87</v>
      </c>
      <c r="S1044" t="s">
        <v>4</v>
      </c>
      <c r="T1044" t="s">
        <v>92</v>
      </c>
      <c r="U1044" t="s">
        <v>92</v>
      </c>
      <c r="V1044" t="s">
        <v>92</v>
      </c>
      <c r="W1044" t="s">
        <v>92</v>
      </c>
      <c r="X1044" t="s">
        <v>4</v>
      </c>
      <c r="Y1044" t="s">
        <v>7298</v>
      </c>
      <c r="Z1044" t="s">
        <v>7299</v>
      </c>
      <c r="AA1044" t="s">
        <v>7300</v>
      </c>
      <c r="AB1044" t="s">
        <v>4</v>
      </c>
      <c r="AC1044" s="3" t="s">
        <v>9067</v>
      </c>
      <c r="AD1044" t="s">
        <v>4</v>
      </c>
      <c r="AE1044" s="4" t="s">
        <v>94</v>
      </c>
      <c r="AZ1044" t="s">
        <v>4</v>
      </c>
      <c r="BA1044" s="3" t="s">
        <v>95</v>
      </c>
      <c r="BB1044" s="6" t="s">
        <v>95</v>
      </c>
      <c r="BC1044" s="3" t="s">
        <v>197</v>
      </c>
      <c r="BD1044" t="s">
        <v>4</v>
      </c>
      <c r="BE1044">
        <v>1291</v>
      </c>
      <c r="BF1044" t="s">
        <v>151</v>
      </c>
      <c r="BG1044">
        <v>86.170199999999994</v>
      </c>
      <c r="CK1044">
        <v>2</v>
      </c>
      <c r="CL1044" t="s">
        <v>4</v>
      </c>
      <c r="CM1044" t="s">
        <v>98</v>
      </c>
      <c r="CN1044" t="s">
        <v>98</v>
      </c>
      <c r="CO1044" t="s">
        <v>99</v>
      </c>
      <c r="CP1044" t="s">
        <v>100</v>
      </c>
      <c r="CQ1044" t="s">
        <v>100</v>
      </c>
      <c r="CR1044" t="s">
        <v>100</v>
      </c>
      <c r="CS1044" t="s">
        <v>101</v>
      </c>
      <c r="CT1044" t="s">
        <v>152</v>
      </c>
      <c r="CU1044" t="s">
        <v>102</v>
      </c>
      <c r="CV1044" t="s">
        <v>100</v>
      </c>
    </row>
    <row r="1045" spans="1:100">
      <c r="A1045" s="3" t="s">
        <v>11425</v>
      </c>
      <c r="B1045" s="4" t="s">
        <v>11426</v>
      </c>
      <c r="C1045">
        <v>891.59536386826301</v>
      </c>
      <c r="D1045">
        <v>1279.8394013397101</v>
      </c>
      <c r="E1045">
        <f>0.521199225749943</f>
        <v>0.52119922574994304</v>
      </c>
      <c r="F1045">
        <v>5.8664573363001703E-2</v>
      </c>
      <c r="G1045" t="s">
        <v>4</v>
      </c>
      <c r="H1045">
        <v>891.59536386826301</v>
      </c>
      <c r="I1045">
        <v>74.344888712312596</v>
      </c>
      <c r="J1045">
        <v>3.5705734406343002</v>
      </c>
      <c r="K1045" s="5">
        <v>8.9690352470150793E-40</v>
      </c>
      <c r="L1045" t="s">
        <v>4</v>
      </c>
      <c r="M1045">
        <v>1279.8394013397101</v>
      </c>
      <c r="N1045">
        <v>74.344888712312596</v>
      </c>
      <c r="O1045">
        <v>4.09177266638424</v>
      </c>
      <c r="P1045" s="5">
        <v>3.6981266854862497E-52</v>
      </c>
      <c r="Q1045" t="s">
        <v>4</v>
      </c>
      <c r="R1045" s="4" t="s">
        <v>87</v>
      </c>
      <c r="S1045" t="s">
        <v>4</v>
      </c>
      <c r="T1045" t="s">
        <v>92</v>
      </c>
      <c r="U1045" t="s">
        <v>92</v>
      </c>
      <c r="V1045" t="s">
        <v>92</v>
      </c>
      <c r="W1045" t="s">
        <v>92</v>
      </c>
      <c r="X1045" t="s">
        <v>4</v>
      </c>
      <c r="Y1045" t="s">
        <v>92</v>
      </c>
      <c r="Z1045" t="s">
        <v>92</v>
      </c>
      <c r="AA1045" t="s">
        <v>92</v>
      </c>
      <c r="AB1045" t="s">
        <v>4</v>
      </c>
      <c r="AC1045" s="3" t="s">
        <v>93</v>
      </c>
      <c r="AD1045" t="s">
        <v>4</v>
      </c>
      <c r="AE1045" s="4" t="s">
        <v>94</v>
      </c>
      <c r="AZ1045" t="s">
        <v>4</v>
      </c>
      <c r="BA1045" s="3" t="s">
        <v>115</v>
      </c>
      <c r="BB1045" s="6" t="s">
        <v>95</v>
      </c>
      <c r="BC1045" s="3" t="s">
        <v>95</v>
      </c>
      <c r="BD1045" t="s">
        <v>4</v>
      </c>
      <c r="BE1045">
        <v>1216</v>
      </c>
      <c r="BF1045" t="s">
        <v>151</v>
      </c>
      <c r="BG1045">
        <v>96.428600000000003</v>
      </c>
      <c r="BH1045">
        <v>100</v>
      </c>
      <c r="BI1045">
        <v>90.476200000000006</v>
      </c>
      <c r="BJ1045">
        <v>67.857100000000003</v>
      </c>
      <c r="BK1045">
        <v>48.214300000000001</v>
      </c>
      <c r="BL1045" t="s">
        <v>11427</v>
      </c>
      <c r="BM1045">
        <v>53.571399999999997</v>
      </c>
      <c r="BN1045">
        <v>61.904800000000002</v>
      </c>
      <c r="BO1045">
        <v>66.666700000000006</v>
      </c>
      <c r="CK1045">
        <v>2</v>
      </c>
      <c r="CL1045" t="s">
        <v>4</v>
      </c>
      <c r="CM1045" t="s">
        <v>98</v>
      </c>
      <c r="CN1045" t="s">
        <v>98</v>
      </c>
      <c r="CO1045" t="s">
        <v>99</v>
      </c>
      <c r="CP1045" t="s">
        <v>100</v>
      </c>
      <c r="CQ1045" t="s">
        <v>100</v>
      </c>
      <c r="CR1045" t="s">
        <v>100</v>
      </c>
      <c r="CS1045" t="s">
        <v>101</v>
      </c>
      <c r="CT1045" t="s">
        <v>152</v>
      </c>
      <c r="CU1045" t="s">
        <v>102</v>
      </c>
      <c r="CV1045" t="s">
        <v>100</v>
      </c>
    </row>
    <row r="1046" spans="1:100">
      <c r="A1046" s="3" t="s">
        <v>11428</v>
      </c>
      <c r="B1046" s="4" t="s">
        <v>11429</v>
      </c>
      <c r="C1046">
        <v>36.435002569092802</v>
      </c>
      <c r="D1046">
        <v>67.421702438338301</v>
      </c>
      <c r="E1046">
        <f>0.89142249596599</f>
        <v>0.89142249596598999</v>
      </c>
      <c r="F1046">
        <v>0.12073952681493</v>
      </c>
      <c r="G1046" t="s">
        <v>4</v>
      </c>
      <c r="H1046">
        <v>36.435002569092802</v>
      </c>
      <c r="I1046">
        <v>3.76724154731451</v>
      </c>
      <c r="J1046">
        <v>3.1818088618058402</v>
      </c>
      <c r="K1046" s="5">
        <v>1.54228442621626E-5</v>
      </c>
      <c r="L1046" t="s">
        <v>4</v>
      </c>
      <c r="M1046">
        <v>67.421702438338301</v>
      </c>
      <c r="N1046">
        <v>3.76724154731451</v>
      </c>
      <c r="O1046">
        <v>4.0732313577718298</v>
      </c>
      <c r="P1046" s="5">
        <v>1.22140765311035E-8</v>
      </c>
      <c r="Q1046" t="s">
        <v>4</v>
      </c>
      <c r="R1046" s="4" t="s">
        <v>87</v>
      </c>
      <c r="S1046" t="s">
        <v>4</v>
      </c>
      <c r="T1046" t="s">
        <v>11430</v>
      </c>
      <c r="U1046" t="s">
        <v>11431</v>
      </c>
      <c r="V1046" t="s">
        <v>11432</v>
      </c>
      <c r="W1046" t="s">
        <v>328</v>
      </c>
      <c r="X1046" t="s">
        <v>4</v>
      </c>
      <c r="Y1046" t="s">
        <v>11433</v>
      </c>
      <c r="Z1046" t="s">
        <v>11434</v>
      </c>
      <c r="AA1046" t="s">
        <v>11435</v>
      </c>
      <c r="AB1046" t="s">
        <v>4</v>
      </c>
      <c r="AC1046" s="3" t="s">
        <v>11436</v>
      </c>
      <c r="AD1046" t="s">
        <v>4</v>
      </c>
      <c r="AE1046" t="s">
        <v>11437</v>
      </c>
      <c r="AF1046" t="s">
        <v>11438</v>
      </c>
      <c r="AG1046" t="s">
        <v>11439</v>
      </c>
      <c r="AH1046" t="s">
        <v>112</v>
      </c>
      <c r="AJ1046" t="s">
        <v>11440</v>
      </c>
      <c r="AL1046" t="s">
        <v>11441</v>
      </c>
      <c r="AQ1046" t="s">
        <v>1693</v>
      </c>
      <c r="AR1046" t="s">
        <v>11442</v>
      </c>
      <c r="AU1046" t="s">
        <v>112</v>
      </c>
      <c r="AV1046" t="s">
        <v>11443</v>
      </c>
      <c r="AW1046" t="s">
        <v>114</v>
      </c>
      <c r="AX1046" t="s">
        <v>909</v>
      </c>
      <c r="AY1046" t="s">
        <v>11444</v>
      </c>
      <c r="AZ1046" t="s">
        <v>4</v>
      </c>
      <c r="BA1046" s="3" t="s">
        <v>95</v>
      </c>
      <c r="BB1046" t="s">
        <v>96</v>
      </c>
      <c r="BC1046" s="3" t="s">
        <v>95</v>
      </c>
      <c r="BD1046" t="s">
        <v>4</v>
      </c>
      <c r="BE1046">
        <v>6549</v>
      </c>
      <c r="BF1046" t="s">
        <v>213</v>
      </c>
      <c r="BG1046">
        <v>99.319699999999997</v>
      </c>
      <c r="BH1046">
        <v>100</v>
      </c>
      <c r="BI1046">
        <v>98.299300000000002</v>
      </c>
      <c r="BJ1046">
        <v>73.8095</v>
      </c>
      <c r="BK1046">
        <v>82.312899999999999</v>
      </c>
      <c r="BO1046" t="s">
        <v>11445</v>
      </c>
      <c r="BR1046">
        <v>34.693899999999999</v>
      </c>
      <c r="BS1046">
        <v>36.734699999999997</v>
      </c>
      <c r="BT1046">
        <v>36.734699999999997</v>
      </c>
      <c r="BU1046">
        <v>34.013599999999997</v>
      </c>
      <c r="BV1046" t="s">
        <v>11446</v>
      </c>
      <c r="BX1046">
        <v>40.476199999999999</v>
      </c>
      <c r="BY1046">
        <v>14.2857</v>
      </c>
      <c r="BZ1046">
        <v>33.673499999999997</v>
      </c>
      <c r="CA1046">
        <v>40.816299999999998</v>
      </c>
      <c r="CB1046" t="s">
        <v>11447</v>
      </c>
      <c r="CD1046">
        <v>26.870699999999999</v>
      </c>
      <c r="CF1046" t="s">
        <v>11448</v>
      </c>
      <c r="CG1046" t="s">
        <v>11449</v>
      </c>
      <c r="CH1046" t="s">
        <v>11450</v>
      </c>
      <c r="CI1046" t="s">
        <v>11451</v>
      </c>
      <c r="CK1046">
        <v>8</v>
      </c>
      <c r="CL1046" t="s">
        <v>4</v>
      </c>
      <c r="CM1046" t="s">
        <v>11452</v>
      </c>
      <c r="CN1046" t="s">
        <v>11453</v>
      </c>
      <c r="CO1046" t="s">
        <v>219</v>
      </c>
      <c r="CP1046" t="s">
        <v>100</v>
      </c>
      <c r="CQ1046" t="s">
        <v>100</v>
      </c>
      <c r="CR1046" t="s">
        <v>100</v>
      </c>
      <c r="CS1046" t="s">
        <v>101</v>
      </c>
      <c r="CT1046" t="s">
        <v>152</v>
      </c>
      <c r="CU1046" t="s">
        <v>102</v>
      </c>
      <c r="CV1046" t="s">
        <v>100</v>
      </c>
    </row>
    <row r="1047" spans="1:100">
      <c r="A1047" s="3" t="s">
        <v>11454</v>
      </c>
      <c r="B1047" s="4" t="s">
        <v>11455</v>
      </c>
      <c r="C1047">
        <v>169.25775949362901</v>
      </c>
      <c r="D1047">
        <v>305.55425589972299</v>
      </c>
      <c r="E1047">
        <f>0.849919859708495</f>
        <v>0.84991985970849504</v>
      </c>
      <c r="F1047">
        <v>1.6214405802915201E-2</v>
      </c>
      <c r="G1047" t="s">
        <v>4</v>
      </c>
      <c r="H1047">
        <v>169.25775949362901</v>
      </c>
      <c r="I1047">
        <v>19.229595038980101</v>
      </c>
      <c r="J1047">
        <v>3.1961839822624301</v>
      </c>
      <c r="K1047" s="5">
        <v>8.5862153459674097E-16</v>
      </c>
      <c r="L1047" t="s">
        <v>4</v>
      </c>
      <c r="M1047">
        <v>305.55425589972299</v>
      </c>
      <c r="N1047">
        <v>19.229595038980101</v>
      </c>
      <c r="O1047">
        <v>4.0461038419709201</v>
      </c>
      <c r="P1047" s="5">
        <v>5.0581178646305096E-25</v>
      </c>
      <c r="Q1047" t="s">
        <v>4</v>
      </c>
      <c r="R1047" s="4" t="s">
        <v>87</v>
      </c>
      <c r="S1047" t="s">
        <v>4</v>
      </c>
      <c r="T1047" t="s">
        <v>11456</v>
      </c>
      <c r="U1047" t="s">
        <v>11457</v>
      </c>
      <c r="V1047" t="s">
        <v>11458</v>
      </c>
      <c r="W1047" t="s">
        <v>203</v>
      </c>
      <c r="X1047" t="s">
        <v>4</v>
      </c>
      <c r="Y1047" t="s">
        <v>11459</v>
      </c>
      <c r="Z1047" t="s">
        <v>11460</v>
      </c>
      <c r="AA1047" t="s">
        <v>11461</v>
      </c>
      <c r="AB1047" t="s">
        <v>4</v>
      </c>
      <c r="AC1047" s="3" t="s">
        <v>11462</v>
      </c>
      <c r="AD1047" t="s">
        <v>4</v>
      </c>
      <c r="AE1047" t="s">
        <v>11463</v>
      </c>
      <c r="AF1047" t="s">
        <v>11464</v>
      </c>
      <c r="AG1047" t="s">
        <v>11465</v>
      </c>
      <c r="AH1047" t="s">
        <v>112</v>
      </c>
      <c r="AK1047" t="s">
        <v>11466</v>
      </c>
      <c r="AL1047" t="s">
        <v>11467</v>
      </c>
      <c r="AM1047" t="s">
        <v>11468</v>
      </c>
      <c r="AN1047" t="s">
        <v>10018</v>
      </c>
      <c r="AO1047" t="s">
        <v>11469</v>
      </c>
      <c r="AP1047" t="s">
        <v>11470</v>
      </c>
      <c r="AQ1047" t="s">
        <v>10021</v>
      </c>
      <c r="AU1047" t="s">
        <v>112</v>
      </c>
      <c r="AV1047" t="s">
        <v>11471</v>
      </c>
      <c r="AW1047" t="s">
        <v>114</v>
      </c>
      <c r="AX1047" t="s">
        <v>132</v>
      </c>
      <c r="AY1047" t="s">
        <v>11472</v>
      </c>
      <c r="AZ1047" t="s">
        <v>4</v>
      </c>
      <c r="BA1047" s="3" t="s">
        <v>95</v>
      </c>
      <c r="BB1047" s="6" t="s">
        <v>95</v>
      </c>
      <c r="BC1047" s="3" t="s">
        <v>95</v>
      </c>
      <c r="BD1047" t="s">
        <v>4</v>
      </c>
      <c r="BE1047">
        <v>10038</v>
      </c>
      <c r="BF1047" t="s">
        <v>169</v>
      </c>
      <c r="BG1047">
        <v>99.067599999999999</v>
      </c>
      <c r="BH1047">
        <v>76.223799999999997</v>
      </c>
      <c r="BI1047">
        <v>96.270399999999995</v>
      </c>
      <c r="BJ1047">
        <v>89.976699999999994</v>
      </c>
      <c r="BK1047">
        <v>84.382300000000001</v>
      </c>
      <c r="BL1047" t="s">
        <v>11473</v>
      </c>
      <c r="BM1047">
        <v>83.4499</v>
      </c>
      <c r="BN1047">
        <v>83.216800000000006</v>
      </c>
      <c r="BO1047">
        <v>78.321700000000007</v>
      </c>
      <c r="BP1047">
        <v>62.4709</v>
      </c>
      <c r="BQ1047" t="s">
        <v>11474</v>
      </c>
      <c r="BR1047" t="s">
        <v>11475</v>
      </c>
      <c r="BS1047">
        <v>48.2517</v>
      </c>
      <c r="BU1047">
        <v>35.198099999999997</v>
      </c>
      <c r="BV1047" t="s">
        <v>11476</v>
      </c>
      <c r="BW1047">
        <v>45.221400000000003</v>
      </c>
      <c r="BX1047" t="s">
        <v>11477</v>
      </c>
      <c r="BZ1047">
        <v>27.972000000000001</v>
      </c>
      <c r="CA1047">
        <v>43.822800000000001</v>
      </c>
      <c r="CB1047" t="s">
        <v>11478</v>
      </c>
      <c r="CC1047" t="s">
        <v>11479</v>
      </c>
      <c r="CD1047" t="s">
        <v>11480</v>
      </c>
      <c r="CF1047">
        <v>34.265700000000002</v>
      </c>
      <c r="CG1047" t="s">
        <v>11481</v>
      </c>
      <c r="CH1047" t="s">
        <v>11482</v>
      </c>
      <c r="CI1047" t="s">
        <v>11483</v>
      </c>
      <c r="CJ1047">
        <v>32.867100000000001</v>
      </c>
      <c r="CK1047">
        <v>9</v>
      </c>
      <c r="CL1047" t="s">
        <v>4</v>
      </c>
      <c r="CM1047" t="s">
        <v>11484</v>
      </c>
      <c r="CN1047" t="s">
        <v>11485</v>
      </c>
      <c r="CO1047" t="s">
        <v>663</v>
      </c>
      <c r="CP1047" t="s">
        <v>100</v>
      </c>
      <c r="CQ1047" t="s">
        <v>100</v>
      </c>
      <c r="CR1047" t="s">
        <v>100</v>
      </c>
      <c r="CS1047" t="s">
        <v>101</v>
      </c>
      <c r="CT1047" t="s">
        <v>152</v>
      </c>
      <c r="CU1047" t="s">
        <v>102</v>
      </c>
      <c r="CV1047" t="s">
        <v>100</v>
      </c>
    </row>
    <row r="1048" spans="1:100">
      <c r="A1048" s="3" t="s">
        <v>11486</v>
      </c>
      <c r="B1048" s="4" t="s">
        <v>11487</v>
      </c>
      <c r="C1048">
        <v>415.22388230901203</v>
      </c>
      <c r="D1048">
        <v>729.53213575986501</v>
      </c>
      <c r="E1048">
        <f>0.813177320259256</f>
        <v>0.81317732025925604</v>
      </c>
      <c r="F1048">
        <v>2.3565475568729402E-3</v>
      </c>
      <c r="G1048" t="s">
        <v>4</v>
      </c>
      <c r="H1048">
        <v>415.22388230901203</v>
      </c>
      <c r="I1048">
        <v>44.640113579732798</v>
      </c>
      <c r="J1048">
        <v>3.18556879975942</v>
      </c>
      <c r="K1048" s="5">
        <v>6.6883663313338204E-29</v>
      </c>
      <c r="L1048" t="s">
        <v>4</v>
      </c>
      <c r="M1048">
        <v>729.53213575986501</v>
      </c>
      <c r="N1048">
        <v>44.640113579732798</v>
      </c>
      <c r="O1048">
        <v>3.99874612001868</v>
      </c>
      <c r="P1048" s="5">
        <v>2.3087858226037599E-45</v>
      </c>
      <c r="Q1048" t="s">
        <v>4</v>
      </c>
      <c r="R1048" s="4" t="s">
        <v>87</v>
      </c>
      <c r="S1048" t="s">
        <v>4</v>
      </c>
      <c r="T1048" t="s">
        <v>11488</v>
      </c>
      <c r="U1048" t="s">
        <v>11489</v>
      </c>
      <c r="V1048" t="s">
        <v>11490</v>
      </c>
      <c r="W1048" t="s">
        <v>328</v>
      </c>
      <c r="X1048" t="s">
        <v>4</v>
      </c>
      <c r="Y1048" t="s">
        <v>2676</v>
      </c>
      <c r="Z1048" t="s">
        <v>2677</v>
      </c>
      <c r="AA1048" t="s">
        <v>2678</v>
      </c>
      <c r="AB1048" t="s">
        <v>4</v>
      </c>
      <c r="AC1048" s="3" t="s">
        <v>11491</v>
      </c>
      <c r="AD1048" t="s">
        <v>4</v>
      </c>
      <c r="AE1048" t="s">
        <v>11492</v>
      </c>
      <c r="AF1048" t="s">
        <v>11493</v>
      </c>
      <c r="AG1048" t="s">
        <v>11494</v>
      </c>
      <c r="AH1048" t="s">
        <v>112</v>
      </c>
      <c r="AI1048" t="s">
        <v>11495</v>
      </c>
      <c r="AL1048" t="s">
        <v>2682</v>
      </c>
      <c r="AQ1048" t="s">
        <v>641</v>
      </c>
      <c r="AR1048" t="s">
        <v>2683</v>
      </c>
      <c r="AU1048" t="s">
        <v>112</v>
      </c>
      <c r="AV1048" t="s">
        <v>11496</v>
      </c>
      <c r="AW1048" t="s">
        <v>114</v>
      </c>
      <c r="AX1048" t="s">
        <v>909</v>
      </c>
      <c r="AY1048" t="s">
        <v>2685</v>
      </c>
      <c r="AZ1048" t="s">
        <v>4</v>
      </c>
      <c r="BA1048" s="3" t="s">
        <v>95</v>
      </c>
      <c r="BB1048" t="s">
        <v>96</v>
      </c>
      <c r="BC1048" s="3" t="s">
        <v>95</v>
      </c>
      <c r="BD1048" t="s">
        <v>4</v>
      </c>
      <c r="BE1048">
        <v>4990</v>
      </c>
      <c r="BF1048" t="s">
        <v>282</v>
      </c>
      <c r="BG1048">
        <v>91.856099999999998</v>
      </c>
      <c r="BI1048">
        <v>95.265199999999993</v>
      </c>
      <c r="BK1048">
        <v>81.628799999999998</v>
      </c>
      <c r="BL1048">
        <v>75</v>
      </c>
      <c r="BM1048">
        <v>73.674199999999999</v>
      </c>
      <c r="BN1048">
        <v>75</v>
      </c>
      <c r="BO1048">
        <v>69.697000000000003</v>
      </c>
      <c r="BP1048">
        <v>25.946999999999999</v>
      </c>
      <c r="BR1048">
        <v>28.7879</v>
      </c>
      <c r="BS1048">
        <v>28.2197</v>
      </c>
      <c r="BW1048">
        <v>31.060600000000001</v>
      </c>
      <c r="BY1048">
        <v>22.348500000000001</v>
      </c>
      <c r="BZ1048">
        <v>25.378799999999998</v>
      </c>
      <c r="CA1048" t="s">
        <v>11497</v>
      </c>
      <c r="CC1048">
        <v>18.560600000000001</v>
      </c>
      <c r="CD1048">
        <v>20.075800000000001</v>
      </c>
      <c r="CK1048">
        <v>6</v>
      </c>
      <c r="CL1048" t="s">
        <v>4</v>
      </c>
      <c r="CM1048" t="s">
        <v>11498</v>
      </c>
      <c r="CN1048" t="s">
        <v>11499</v>
      </c>
      <c r="CO1048" t="s">
        <v>663</v>
      </c>
      <c r="CP1048" t="s">
        <v>100</v>
      </c>
      <c r="CQ1048" t="s">
        <v>100</v>
      </c>
      <c r="CR1048" t="s">
        <v>100</v>
      </c>
      <c r="CS1048" t="s">
        <v>101</v>
      </c>
      <c r="CT1048" t="s">
        <v>152</v>
      </c>
      <c r="CU1048" t="s">
        <v>102</v>
      </c>
      <c r="CV1048" t="s">
        <v>100</v>
      </c>
    </row>
    <row r="1049" spans="1:100">
      <c r="A1049" s="3" t="s">
        <v>11500</v>
      </c>
      <c r="B1049" s="4" t="s">
        <v>11501</v>
      </c>
      <c r="C1049">
        <v>7362.2676046576598</v>
      </c>
      <c r="D1049">
        <v>12779.1843474255</v>
      </c>
      <c r="E1049">
        <f>0.795580066448826</f>
        <v>0.79558006644882595</v>
      </c>
      <c r="F1049">
        <v>0.15064038856954701</v>
      </c>
      <c r="G1049" t="s">
        <v>4</v>
      </c>
      <c r="H1049">
        <v>7362.2676046576598</v>
      </c>
      <c r="I1049">
        <v>803.0963572247</v>
      </c>
      <c r="J1049">
        <v>3.1952635969824401</v>
      </c>
      <c r="K1049" s="5">
        <v>1.45266985957619E-10</v>
      </c>
      <c r="L1049" t="s">
        <v>4</v>
      </c>
      <c r="M1049">
        <v>12779.1843474255</v>
      </c>
      <c r="N1049">
        <v>803.0963572247</v>
      </c>
      <c r="O1049">
        <v>3.9908436634312698</v>
      </c>
      <c r="P1049" s="5">
        <v>4.5066324571619303E-16</v>
      </c>
      <c r="Q1049" t="s">
        <v>4</v>
      </c>
      <c r="R1049" s="4" t="s">
        <v>87</v>
      </c>
      <c r="S1049" t="s">
        <v>4</v>
      </c>
      <c r="T1049" t="s">
        <v>11502</v>
      </c>
      <c r="U1049" t="s">
        <v>11503</v>
      </c>
      <c r="V1049" t="s">
        <v>11504</v>
      </c>
      <c r="W1049" t="s">
        <v>507</v>
      </c>
      <c r="X1049" t="s">
        <v>4</v>
      </c>
      <c r="Y1049" t="s">
        <v>11505</v>
      </c>
      <c r="Z1049" t="s">
        <v>11506</v>
      </c>
      <c r="AA1049" t="s">
        <v>11506</v>
      </c>
      <c r="AB1049" t="s">
        <v>4</v>
      </c>
      <c r="AC1049" s="3" t="s">
        <v>11507</v>
      </c>
      <c r="AD1049" t="s">
        <v>4</v>
      </c>
      <c r="AE1049" t="s">
        <v>11508</v>
      </c>
      <c r="AF1049" t="s">
        <v>11509</v>
      </c>
      <c r="AG1049" t="s">
        <v>8461</v>
      </c>
      <c r="AH1049" t="s">
        <v>112</v>
      </c>
      <c r="AL1049" t="s">
        <v>11510</v>
      </c>
      <c r="AM1049" t="s">
        <v>11511</v>
      </c>
      <c r="AQ1049" t="s">
        <v>6430</v>
      </c>
      <c r="AU1049" t="s">
        <v>112</v>
      </c>
      <c r="AV1049" t="s">
        <v>11512</v>
      </c>
      <c r="AW1049" t="s">
        <v>114</v>
      </c>
      <c r="AX1049" t="s">
        <v>2139</v>
      </c>
      <c r="AY1049" t="s">
        <v>11513</v>
      </c>
      <c r="AZ1049" t="s">
        <v>4</v>
      </c>
      <c r="BA1049" s="3" t="s">
        <v>95</v>
      </c>
      <c r="BB1049" s="6" t="s">
        <v>95</v>
      </c>
      <c r="BC1049" s="3" t="s">
        <v>95</v>
      </c>
      <c r="BD1049" t="s">
        <v>4</v>
      </c>
      <c r="BE1049">
        <v>10183</v>
      </c>
      <c r="BF1049" t="s">
        <v>169</v>
      </c>
      <c r="BG1049">
        <v>93.181799999999996</v>
      </c>
      <c r="BH1049">
        <v>62.878799999999998</v>
      </c>
      <c r="BJ1049">
        <v>78.787899999999993</v>
      </c>
      <c r="BL1049">
        <v>71.969700000000003</v>
      </c>
      <c r="BM1049">
        <v>71.212100000000007</v>
      </c>
      <c r="BN1049">
        <v>71.212100000000007</v>
      </c>
      <c r="BO1049">
        <v>79.545500000000004</v>
      </c>
      <c r="BT1049">
        <v>39.393900000000002</v>
      </c>
      <c r="BX1049">
        <v>44.697000000000003</v>
      </c>
      <c r="CB1049">
        <v>59.848500000000001</v>
      </c>
      <c r="CC1049" t="s">
        <v>11514</v>
      </c>
      <c r="CD1049" t="s">
        <v>11515</v>
      </c>
      <c r="CE1049">
        <v>39.393900000000002</v>
      </c>
      <c r="CF1049" t="s">
        <v>11516</v>
      </c>
      <c r="CG1049" t="s">
        <v>11517</v>
      </c>
      <c r="CH1049">
        <v>36.363599999999998</v>
      </c>
      <c r="CI1049" t="s">
        <v>11518</v>
      </c>
      <c r="CJ1049" t="s">
        <v>11519</v>
      </c>
      <c r="CK1049">
        <v>9</v>
      </c>
      <c r="CL1049" t="s">
        <v>4</v>
      </c>
      <c r="CM1049" t="s">
        <v>98</v>
      </c>
      <c r="CN1049" t="s">
        <v>98</v>
      </c>
      <c r="CO1049" t="s">
        <v>99</v>
      </c>
      <c r="CP1049" t="s">
        <v>100</v>
      </c>
      <c r="CQ1049" t="s">
        <v>100</v>
      </c>
      <c r="CR1049" t="s">
        <v>100</v>
      </c>
      <c r="CS1049" t="s">
        <v>101</v>
      </c>
      <c r="CT1049" t="s">
        <v>152</v>
      </c>
      <c r="CU1049" t="s">
        <v>102</v>
      </c>
      <c r="CV1049" t="s">
        <v>100</v>
      </c>
    </row>
    <row r="1050" spans="1:100">
      <c r="A1050" s="3" t="s">
        <v>11520</v>
      </c>
      <c r="B1050" s="4" t="s">
        <v>11521</v>
      </c>
      <c r="C1050">
        <v>22.246451540789199</v>
      </c>
      <c r="D1050">
        <v>23.4397614362539</v>
      </c>
      <c r="E1050">
        <f>0.0666522545635665</f>
        <v>6.6652254563566493E-2</v>
      </c>
      <c r="F1050">
        <v>0.94775223130553798</v>
      </c>
      <c r="G1050" t="s">
        <v>4</v>
      </c>
      <c r="H1050">
        <v>22.246451540789199</v>
      </c>
      <c r="I1050">
        <v>1.7572136029766501</v>
      </c>
      <c r="J1050">
        <v>3.9198342550722201</v>
      </c>
      <c r="K1050">
        <v>8.9450766290886604E-4</v>
      </c>
      <c r="L1050" t="s">
        <v>4</v>
      </c>
      <c r="M1050">
        <v>23.4397614362539</v>
      </c>
      <c r="N1050">
        <v>1.7572136029766501</v>
      </c>
      <c r="O1050">
        <v>3.9864865096357902</v>
      </c>
      <c r="P1050">
        <v>6.2692040701075105E-4</v>
      </c>
      <c r="Q1050" t="s">
        <v>4</v>
      </c>
      <c r="R1050" s="4" t="s">
        <v>87</v>
      </c>
      <c r="S1050" t="s">
        <v>4</v>
      </c>
      <c r="T1050" t="s">
        <v>11522</v>
      </c>
      <c r="U1050" t="s">
        <v>11523</v>
      </c>
      <c r="V1050" t="s">
        <v>11524</v>
      </c>
      <c r="W1050" t="s">
        <v>203</v>
      </c>
      <c r="X1050" t="s">
        <v>4</v>
      </c>
      <c r="Y1050" t="s">
        <v>11525</v>
      </c>
      <c r="Z1050" t="s">
        <v>11526</v>
      </c>
      <c r="AA1050" t="s">
        <v>11527</v>
      </c>
      <c r="AB1050" t="s">
        <v>4</v>
      </c>
      <c r="AC1050" s="3" t="s">
        <v>2001</v>
      </c>
      <c r="AD1050" t="s">
        <v>4</v>
      </c>
      <c r="AE1050" t="s">
        <v>11528</v>
      </c>
      <c r="AF1050" t="s">
        <v>11529</v>
      </c>
      <c r="AG1050" t="s">
        <v>11530</v>
      </c>
      <c r="AH1050" t="s">
        <v>112</v>
      </c>
      <c r="AI1050" t="s">
        <v>3178</v>
      </c>
      <c r="AK1050" t="s">
        <v>2005</v>
      </c>
      <c r="AL1050" t="s">
        <v>2006</v>
      </c>
      <c r="AM1050" t="s">
        <v>2007</v>
      </c>
      <c r="AO1050" t="s">
        <v>2008</v>
      </c>
      <c r="AP1050" t="s">
        <v>2009</v>
      </c>
      <c r="AQ1050" t="s">
        <v>2010</v>
      </c>
      <c r="AS1050" t="s">
        <v>2011</v>
      </c>
      <c r="AU1050" t="s">
        <v>112</v>
      </c>
      <c r="AV1050" t="s">
        <v>2012</v>
      </c>
      <c r="AW1050" t="s">
        <v>114</v>
      </c>
      <c r="AX1050" t="s">
        <v>345</v>
      </c>
      <c r="AY1050" t="s">
        <v>2013</v>
      </c>
      <c r="AZ1050" t="s">
        <v>4</v>
      </c>
      <c r="BA1050" s="3" t="s">
        <v>95</v>
      </c>
      <c r="BB1050" s="6" t="s">
        <v>95</v>
      </c>
      <c r="BC1050" s="3" t="s">
        <v>95</v>
      </c>
      <c r="BD1050" t="s">
        <v>4</v>
      </c>
      <c r="BE1050">
        <v>4628</v>
      </c>
      <c r="BF1050" t="s">
        <v>112</v>
      </c>
      <c r="BG1050">
        <v>97.196299999999994</v>
      </c>
      <c r="BH1050">
        <v>100</v>
      </c>
      <c r="BZ1050">
        <v>27.102799999999998</v>
      </c>
      <c r="CK1050">
        <v>5</v>
      </c>
      <c r="CL1050" t="s">
        <v>4</v>
      </c>
      <c r="CM1050" t="s">
        <v>98</v>
      </c>
      <c r="CN1050" t="s">
        <v>98</v>
      </c>
      <c r="CO1050" t="s">
        <v>99</v>
      </c>
      <c r="CP1050" t="s">
        <v>100</v>
      </c>
      <c r="CQ1050" t="s">
        <v>100</v>
      </c>
      <c r="CR1050" t="s">
        <v>100</v>
      </c>
      <c r="CS1050" t="s">
        <v>101</v>
      </c>
      <c r="CT1050" t="s">
        <v>152</v>
      </c>
      <c r="CU1050" t="s">
        <v>102</v>
      </c>
      <c r="CV1050" t="s">
        <v>100</v>
      </c>
    </row>
    <row r="1051" spans="1:100">
      <c r="A1051" s="3" t="s">
        <v>11531</v>
      </c>
      <c r="B1051" s="4" t="s">
        <v>11532</v>
      </c>
      <c r="C1051">
        <v>40.713790510611403</v>
      </c>
      <c r="D1051">
        <v>30.288668596374698</v>
      </c>
      <c r="E1051">
        <v>0.43145070417013898</v>
      </c>
      <c r="F1051">
        <v>0.54337722782841402</v>
      </c>
      <c r="G1051" t="s">
        <v>4</v>
      </c>
      <c r="H1051">
        <v>40.713790510611403</v>
      </c>
      <c r="I1051">
        <v>2.2410477101548101</v>
      </c>
      <c r="J1051">
        <v>4.4098174460198099</v>
      </c>
      <c r="K1051" s="5">
        <v>4.2971558071604598E-6</v>
      </c>
      <c r="L1051" t="s">
        <v>4</v>
      </c>
      <c r="M1051">
        <v>30.288668596374698</v>
      </c>
      <c r="N1051">
        <v>2.2410477101548101</v>
      </c>
      <c r="O1051">
        <v>3.97836674184967</v>
      </c>
      <c r="P1051" s="5">
        <v>3.2842732960529098E-5</v>
      </c>
      <c r="Q1051" t="s">
        <v>4</v>
      </c>
      <c r="R1051" s="4" t="s">
        <v>87</v>
      </c>
      <c r="S1051" t="s">
        <v>4</v>
      </c>
      <c r="T1051" t="s">
        <v>92</v>
      </c>
      <c r="U1051" t="s">
        <v>92</v>
      </c>
      <c r="V1051" t="s">
        <v>92</v>
      </c>
      <c r="W1051" t="s">
        <v>92</v>
      </c>
      <c r="X1051" t="s">
        <v>4</v>
      </c>
      <c r="Y1051" t="s">
        <v>92</v>
      </c>
      <c r="Z1051" t="s">
        <v>92</v>
      </c>
      <c r="AA1051" t="s">
        <v>92</v>
      </c>
      <c r="AB1051" t="s">
        <v>4</v>
      </c>
      <c r="AC1051" s="3" t="s">
        <v>93</v>
      </c>
      <c r="AD1051" t="s">
        <v>4</v>
      </c>
      <c r="AE1051" s="4" t="s">
        <v>94</v>
      </c>
      <c r="AZ1051" t="s">
        <v>4</v>
      </c>
      <c r="BA1051" s="3" t="s">
        <v>95</v>
      </c>
      <c r="BB1051" t="s">
        <v>96</v>
      </c>
      <c r="BC1051" s="3" t="s">
        <v>95</v>
      </c>
      <c r="BD1051" t="s">
        <v>4</v>
      </c>
      <c r="BE1051">
        <v>116</v>
      </c>
      <c r="BF1051" t="s">
        <v>322</v>
      </c>
      <c r="CK1051">
        <v>1</v>
      </c>
      <c r="CL1051" t="s">
        <v>4</v>
      </c>
      <c r="CM1051" t="s">
        <v>98</v>
      </c>
      <c r="CN1051" t="s">
        <v>98</v>
      </c>
      <c r="CO1051" t="s">
        <v>99</v>
      </c>
      <c r="CP1051" t="s">
        <v>100</v>
      </c>
      <c r="CQ1051" t="s">
        <v>100</v>
      </c>
      <c r="CR1051" t="s">
        <v>100</v>
      </c>
      <c r="CS1051" t="s">
        <v>101</v>
      </c>
      <c r="CT1051" t="s">
        <v>152</v>
      </c>
      <c r="CU1051" t="s">
        <v>102</v>
      </c>
      <c r="CV1051" t="s">
        <v>100</v>
      </c>
    </row>
    <row r="1052" spans="1:100">
      <c r="A1052" s="3" t="s">
        <v>11533</v>
      </c>
      <c r="B1052" s="4" t="s">
        <v>11534</v>
      </c>
      <c r="C1052">
        <v>1604.2329763539301</v>
      </c>
      <c r="D1052">
        <v>2781.6721606767501</v>
      </c>
      <c r="E1052">
        <f>0.793878977690884</f>
        <v>0.793878977690884</v>
      </c>
      <c r="F1052">
        <v>3.9686214674904097E-4</v>
      </c>
      <c r="G1052" t="s">
        <v>4</v>
      </c>
      <c r="H1052">
        <v>1604.2329763539301</v>
      </c>
      <c r="I1052">
        <v>177.407656444232</v>
      </c>
      <c r="J1052">
        <v>3.17028471340288</v>
      </c>
      <c r="K1052" s="5">
        <v>2.36227752382781E-47</v>
      </c>
      <c r="L1052" t="s">
        <v>4</v>
      </c>
      <c r="M1052">
        <v>2781.6721606767501</v>
      </c>
      <c r="N1052">
        <v>177.407656444232</v>
      </c>
      <c r="O1052">
        <v>3.9641636910937699</v>
      </c>
      <c r="P1052" s="5">
        <v>6.7824566490098597E-74</v>
      </c>
      <c r="Q1052" t="s">
        <v>4</v>
      </c>
      <c r="R1052" s="4" t="s">
        <v>87</v>
      </c>
      <c r="S1052" t="s">
        <v>4</v>
      </c>
      <c r="T1052" t="s">
        <v>11535</v>
      </c>
      <c r="U1052" t="s">
        <v>11536</v>
      </c>
      <c r="V1052" t="s">
        <v>11537</v>
      </c>
      <c r="W1052" t="s">
        <v>328</v>
      </c>
      <c r="X1052" t="s">
        <v>4</v>
      </c>
      <c r="Y1052" t="s">
        <v>11538</v>
      </c>
      <c r="Z1052" t="s">
        <v>11539</v>
      </c>
      <c r="AA1052" t="s">
        <v>11540</v>
      </c>
      <c r="AB1052" t="s">
        <v>4</v>
      </c>
      <c r="AC1052" s="3" t="s">
        <v>11541</v>
      </c>
      <c r="AD1052" t="s">
        <v>4</v>
      </c>
      <c r="AE1052" t="s">
        <v>11542</v>
      </c>
      <c r="AF1052" t="s">
        <v>834</v>
      </c>
      <c r="AG1052" t="s">
        <v>11543</v>
      </c>
      <c r="AH1052" t="s">
        <v>112</v>
      </c>
      <c r="AK1052" t="s">
        <v>6627</v>
      </c>
      <c r="AL1052" t="s">
        <v>11544</v>
      </c>
      <c r="AM1052" t="s">
        <v>6629</v>
      </c>
      <c r="AN1052" t="s">
        <v>6630</v>
      </c>
      <c r="AQ1052" t="s">
        <v>6631</v>
      </c>
      <c r="AU1052" t="s">
        <v>112</v>
      </c>
      <c r="AV1052" t="s">
        <v>11545</v>
      </c>
      <c r="AW1052" t="s">
        <v>114</v>
      </c>
      <c r="AX1052" t="s">
        <v>733</v>
      </c>
      <c r="AY1052" t="s">
        <v>6633</v>
      </c>
      <c r="AZ1052" t="s">
        <v>4</v>
      </c>
      <c r="BA1052" s="3" t="s">
        <v>95</v>
      </c>
      <c r="BB1052" s="6" t="s">
        <v>95</v>
      </c>
      <c r="BC1052" s="3" t="s">
        <v>95</v>
      </c>
      <c r="BD1052" t="s">
        <v>4</v>
      </c>
      <c r="BE1052">
        <v>10524</v>
      </c>
      <c r="BF1052" t="s">
        <v>169</v>
      </c>
      <c r="BG1052">
        <v>22.628699999999998</v>
      </c>
      <c r="BH1052">
        <v>81.029799999999994</v>
      </c>
      <c r="BI1052">
        <v>97.967500000000001</v>
      </c>
      <c r="BJ1052">
        <v>24.525700000000001</v>
      </c>
      <c r="BK1052">
        <v>94.850999999999999</v>
      </c>
      <c r="BL1052">
        <v>14.4986</v>
      </c>
      <c r="BM1052">
        <v>94.850999999999999</v>
      </c>
      <c r="BN1052">
        <v>94.850999999999999</v>
      </c>
      <c r="BO1052">
        <v>94.715400000000002</v>
      </c>
      <c r="BP1052" t="s">
        <v>11546</v>
      </c>
      <c r="BQ1052">
        <v>64.769599999999997</v>
      </c>
      <c r="BR1052">
        <v>64.905199999999994</v>
      </c>
      <c r="BS1052">
        <v>63.2791</v>
      </c>
      <c r="BT1052">
        <v>54.471499999999999</v>
      </c>
      <c r="BU1052">
        <v>63.2791</v>
      </c>
      <c r="BV1052" t="s">
        <v>11547</v>
      </c>
      <c r="BW1052">
        <v>68.428200000000004</v>
      </c>
      <c r="BX1052">
        <v>70.460700000000003</v>
      </c>
      <c r="BZ1052">
        <v>68.157200000000003</v>
      </c>
      <c r="CA1052">
        <v>68.428200000000004</v>
      </c>
      <c r="CB1052">
        <v>38.075899999999997</v>
      </c>
      <c r="CC1052">
        <v>58.6721</v>
      </c>
      <c r="CD1052">
        <v>58.4011</v>
      </c>
      <c r="CE1052">
        <v>57.046100000000003</v>
      </c>
      <c r="CF1052">
        <v>59.891599999999997</v>
      </c>
      <c r="CG1052">
        <v>61.924100000000003</v>
      </c>
      <c r="CH1052">
        <v>62.059600000000003</v>
      </c>
      <c r="CI1052">
        <v>60.162599999999998</v>
      </c>
      <c r="CJ1052">
        <v>47.4255</v>
      </c>
      <c r="CK1052">
        <v>9</v>
      </c>
      <c r="CL1052" t="s">
        <v>4</v>
      </c>
      <c r="CM1052" t="s">
        <v>11548</v>
      </c>
      <c r="CN1052" t="s">
        <v>11549</v>
      </c>
      <c r="CO1052" t="s">
        <v>1218</v>
      </c>
      <c r="CP1052" t="s">
        <v>100</v>
      </c>
      <c r="CQ1052" t="s">
        <v>100</v>
      </c>
      <c r="CR1052" t="s">
        <v>100</v>
      </c>
      <c r="CS1052" t="s">
        <v>101</v>
      </c>
      <c r="CT1052" t="s">
        <v>152</v>
      </c>
      <c r="CU1052" t="s">
        <v>102</v>
      </c>
      <c r="CV1052" t="s">
        <v>100</v>
      </c>
    </row>
    <row r="1053" spans="1:100">
      <c r="A1053" s="3" t="s">
        <v>11550</v>
      </c>
      <c r="B1053" s="4" t="s">
        <v>11551</v>
      </c>
      <c r="C1053">
        <v>404.34705847684199</v>
      </c>
      <c r="D1053">
        <v>488.40131625425403</v>
      </c>
      <c r="E1053">
        <f>0.273025229698597</f>
        <v>0.27302522969859699</v>
      </c>
      <c r="F1053">
        <v>0.59194716084045595</v>
      </c>
      <c r="G1053" t="s">
        <v>4</v>
      </c>
      <c r="H1053">
        <v>404.34705847684199</v>
      </c>
      <c r="I1053">
        <v>30.713465821096399</v>
      </c>
      <c r="J1053">
        <v>3.6813968250590401</v>
      </c>
      <c r="K1053" s="5">
        <v>1.6077904205632601E-15</v>
      </c>
      <c r="L1053" t="s">
        <v>4</v>
      </c>
      <c r="M1053">
        <v>488.40131625425403</v>
      </c>
      <c r="N1053">
        <v>30.713465821096399</v>
      </c>
      <c r="O1053">
        <v>3.9544220547576399</v>
      </c>
      <c r="P1053" s="5">
        <v>6.8444471018607397E-18</v>
      </c>
      <c r="Q1053" t="s">
        <v>4</v>
      </c>
      <c r="R1053" s="4" t="s">
        <v>87</v>
      </c>
      <c r="S1053" t="s">
        <v>4</v>
      </c>
      <c r="T1053" t="s">
        <v>11552</v>
      </c>
      <c r="U1053" t="s">
        <v>11553</v>
      </c>
      <c r="V1053" t="s">
        <v>11554</v>
      </c>
      <c r="W1053" t="s">
        <v>7033</v>
      </c>
      <c r="X1053" t="s">
        <v>4</v>
      </c>
      <c r="Y1053" t="s">
        <v>11555</v>
      </c>
      <c r="Z1053" t="s">
        <v>11556</v>
      </c>
      <c r="AA1053" t="s">
        <v>11557</v>
      </c>
      <c r="AB1053" t="s">
        <v>4</v>
      </c>
      <c r="AC1053" s="3" t="s">
        <v>11558</v>
      </c>
      <c r="AD1053" t="s">
        <v>4</v>
      </c>
      <c r="AE1053" t="s">
        <v>11559</v>
      </c>
      <c r="AF1053" t="s">
        <v>11560</v>
      </c>
      <c r="AG1053" t="s">
        <v>11561</v>
      </c>
      <c r="AH1053" t="s">
        <v>112</v>
      </c>
      <c r="AU1053" t="s">
        <v>112</v>
      </c>
      <c r="AV1053" t="s">
        <v>11562</v>
      </c>
      <c r="AW1053" t="s">
        <v>114</v>
      </c>
      <c r="AZ1053" t="s">
        <v>4</v>
      </c>
      <c r="BA1053" s="3" t="s">
        <v>95</v>
      </c>
      <c r="BB1053" s="6" t="s">
        <v>95</v>
      </c>
      <c r="BC1053" s="3" t="s">
        <v>95</v>
      </c>
      <c r="BD1053" t="s">
        <v>4</v>
      </c>
      <c r="BE1053">
        <v>5471</v>
      </c>
      <c r="BF1053" t="s">
        <v>386</v>
      </c>
      <c r="BG1053">
        <v>95.704800000000006</v>
      </c>
      <c r="BH1053">
        <v>69.162999999999997</v>
      </c>
      <c r="BI1053">
        <v>84.691599999999994</v>
      </c>
      <c r="BJ1053">
        <v>62.995600000000003</v>
      </c>
      <c r="BK1053">
        <v>39.207099999999997</v>
      </c>
      <c r="BL1053">
        <v>29.5154</v>
      </c>
      <c r="BM1053">
        <v>55.837000000000003</v>
      </c>
      <c r="BN1053">
        <v>55.726900000000001</v>
      </c>
      <c r="BO1053">
        <v>53.964799999999997</v>
      </c>
      <c r="BP1053">
        <v>24.5595</v>
      </c>
      <c r="BQ1053">
        <v>20.815000000000001</v>
      </c>
      <c r="BS1053">
        <v>19.383299999999998</v>
      </c>
      <c r="BT1053">
        <v>21.0352</v>
      </c>
      <c r="BW1053">
        <v>19.052900000000001</v>
      </c>
      <c r="BX1053">
        <v>21.255500000000001</v>
      </c>
      <c r="BZ1053">
        <v>7.0484600000000004</v>
      </c>
      <c r="CA1053">
        <v>20.815000000000001</v>
      </c>
      <c r="CF1053">
        <v>10.792999999999999</v>
      </c>
      <c r="CG1053">
        <v>8.4801800000000007</v>
      </c>
      <c r="CH1053">
        <v>8.3700399999999995</v>
      </c>
      <c r="CK1053">
        <v>7</v>
      </c>
      <c r="CL1053" t="s">
        <v>4</v>
      </c>
      <c r="CM1053" t="s">
        <v>11563</v>
      </c>
      <c r="CN1053" t="s">
        <v>11564</v>
      </c>
      <c r="CO1053" t="s">
        <v>219</v>
      </c>
      <c r="CP1053" t="s">
        <v>100</v>
      </c>
      <c r="CQ1053" t="s">
        <v>100</v>
      </c>
      <c r="CR1053" t="s">
        <v>100</v>
      </c>
      <c r="CS1053" t="s">
        <v>101</v>
      </c>
      <c r="CT1053" t="s">
        <v>152</v>
      </c>
      <c r="CU1053" t="s">
        <v>102</v>
      </c>
      <c r="CV1053" t="s">
        <v>100</v>
      </c>
    </row>
    <row r="1054" spans="1:100">
      <c r="A1054" s="3" t="s">
        <v>11565</v>
      </c>
      <c r="B1054" s="4" t="s">
        <v>11566</v>
      </c>
      <c r="C1054">
        <v>815.20323082848097</v>
      </c>
      <c r="D1054">
        <v>545.71574783250503</v>
      </c>
      <c r="E1054">
        <v>0.578634569460732</v>
      </c>
      <c r="F1054">
        <v>7.2203522643937396E-2</v>
      </c>
      <c r="G1054" t="s">
        <v>4</v>
      </c>
      <c r="H1054">
        <v>815.20323082848097</v>
      </c>
      <c r="I1054">
        <v>34.620374396914798</v>
      </c>
      <c r="J1054">
        <v>4.51480345543151</v>
      </c>
      <c r="K1054" s="5">
        <v>9.5709545717472295E-43</v>
      </c>
      <c r="L1054" t="s">
        <v>4</v>
      </c>
      <c r="M1054">
        <v>545.71574783250503</v>
      </c>
      <c r="N1054">
        <v>34.620374396914798</v>
      </c>
      <c r="O1054">
        <v>3.9361688859707802</v>
      </c>
      <c r="P1054" s="5">
        <v>1.01161855617618E-32</v>
      </c>
      <c r="Q1054" t="s">
        <v>4</v>
      </c>
      <c r="R1054" s="4" t="s">
        <v>87</v>
      </c>
      <c r="S1054" t="s">
        <v>4</v>
      </c>
      <c r="T1054" t="s">
        <v>92</v>
      </c>
      <c r="U1054" t="s">
        <v>92</v>
      </c>
      <c r="V1054" t="s">
        <v>92</v>
      </c>
      <c r="W1054" t="s">
        <v>92</v>
      </c>
      <c r="X1054" t="s">
        <v>4</v>
      </c>
      <c r="Y1054" t="s">
        <v>11567</v>
      </c>
      <c r="Z1054" t="s">
        <v>11568</v>
      </c>
      <c r="AA1054" t="s">
        <v>11569</v>
      </c>
      <c r="AB1054" t="s">
        <v>4</v>
      </c>
      <c r="AC1054" s="3" t="s">
        <v>11570</v>
      </c>
      <c r="AD1054" t="s">
        <v>4</v>
      </c>
      <c r="AE1054" t="s">
        <v>11571</v>
      </c>
      <c r="AF1054" t="s">
        <v>11572</v>
      </c>
      <c r="AG1054" t="s">
        <v>11573</v>
      </c>
      <c r="AH1054" t="s">
        <v>112</v>
      </c>
      <c r="AJ1054" t="s">
        <v>11574</v>
      </c>
      <c r="AU1054" t="s">
        <v>112</v>
      </c>
      <c r="AV1054" t="s">
        <v>11575</v>
      </c>
      <c r="AW1054" t="s">
        <v>114</v>
      </c>
      <c r="AX1054" t="s">
        <v>144</v>
      </c>
      <c r="AY1054" t="s">
        <v>11576</v>
      </c>
      <c r="AZ1054" t="s">
        <v>4</v>
      </c>
      <c r="BA1054" s="3" t="s">
        <v>95</v>
      </c>
      <c r="BB1054" s="6" t="s">
        <v>95</v>
      </c>
      <c r="BC1054" s="3" t="s">
        <v>95</v>
      </c>
      <c r="BD1054" t="s">
        <v>4</v>
      </c>
      <c r="BE1054">
        <v>10062</v>
      </c>
      <c r="BF1054" t="s">
        <v>169</v>
      </c>
      <c r="BG1054">
        <v>22.7027</v>
      </c>
      <c r="BI1054">
        <v>89.549599999999998</v>
      </c>
      <c r="BJ1054">
        <v>67.027000000000001</v>
      </c>
      <c r="BK1054">
        <v>54.054099999999998</v>
      </c>
      <c r="BL1054">
        <v>39.639600000000002</v>
      </c>
      <c r="BM1054">
        <v>64.504499999999993</v>
      </c>
      <c r="BN1054">
        <v>65.945899999999995</v>
      </c>
      <c r="BO1054">
        <v>62.522500000000001</v>
      </c>
      <c r="BP1054">
        <v>21.081099999999999</v>
      </c>
      <c r="BQ1054">
        <v>20.9009</v>
      </c>
      <c r="BS1054">
        <v>19.459499999999998</v>
      </c>
      <c r="BW1054">
        <v>26.486499999999999</v>
      </c>
      <c r="BX1054">
        <v>26.666699999999999</v>
      </c>
      <c r="BZ1054">
        <v>16.3964</v>
      </c>
      <c r="CA1054">
        <v>24.144100000000002</v>
      </c>
      <c r="CB1054">
        <v>9.72973</v>
      </c>
      <c r="CC1054">
        <v>18.1982</v>
      </c>
      <c r="CD1054">
        <v>10.991</v>
      </c>
      <c r="CF1054" t="s">
        <v>11577</v>
      </c>
      <c r="CG1054">
        <v>19.279299999999999</v>
      </c>
      <c r="CI1054">
        <v>22.342300000000002</v>
      </c>
      <c r="CK1054">
        <v>9</v>
      </c>
      <c r="CL1054" t="s">
        <v>4</v>
      </c>
      <c r="CM1054" t="s">
        <v>11578</v>
      </c>
      <c r="CN1054" t="s">
        <v>11579</v>
      </c>
      <c r="CO1054" t="s">
        <v>219</v>
      </c>
      <c r="CP1054" t="s">
        <v>100</v>
      </c>
      <c r="CQ1054" t="s">
        <v>100</v>
      </c>
      <c r="CR1054" t="s">
        <v>100</v>
      </c>
      <c r="CS1054" t="s">
        <v>101</v>
      </c>
      <c r="CT1054" t="s">
        <v>152</v>
      </c>
      <c r="CU1054" t="s">
        <v>102</v>
      </c>
      <c r="CV1054" t="s">
        <v>8851</v>
      </c>
    </row>
    <row r="1055" spans="1:100">
      <c r="A1055" s="3" t="s">
        <v>11580</v>
      </c>
      <c r="B1055" s="4" t="s">
        <v>11581</v>
      </c>
      <c r="C1055">
        <v>72.9181408389707</v>
      </c>
      <c r="D1055">
        <v>125.42344763457901</v>
      </c>
      <c r="E1055">
        <f>0.781127090027247</f>
        <v>0.78112709002724701</v>
      </c>
      <c r="F1055">
        <v>3.0286520277015599E-2</v>
      </c>
      <c r="G1055" t="s">
        <v>4</v>
      </c>
      <c r="H1055">
        <v>72.9181408389707</v>
      </c>
      <c r="I1055">
        <v>8.4455776525566595</v>
      </c>
      <c r="J1055">
        <v>3.1459202045550301</v>
      </c>
      <c r="K1055" s="5">
        <v>5.2657196899760902E-11</v>
      </c>
      <c r="L1055" t="s">
        <v>4</v>
      </c>
      <c r="M1055">
        <v>125.42344763457901</v>
      </c>
      <c r="N1055">
        <v>8.4455776525566595</v>
      </c>
      <c r="O1055">
        <v>3.9270472945822799</v>
      </c>
      <c r="P1055" s="5">
        <v>6.9565525082682194E-17</v>
      </c>
      <c r="Q1055" t="s">
        <v>4</v>
      </c>
      <c r="R1055" s="4" t="s">
        <v>87</v>
      </c>
      <c r="S1055" t="s">
        <v>4</v>
      </c>
      <c r="T1055" t="s">
        <v>92</v>
      </c>
      <c r="U1055" t="s">
        <v>92</v>
      </c>
      <c r="V1055" t="s">
        <v>92</v>
      </c>
      <c r="W1055" t="s">
        <v>92</v>
      </c>
      <c r="X1055" t="s">
        <v>4</v>
      </c>
      <c r="Y1055" t="s">
        <v>92</v>
      </c>
      <c r="Z1055" t="s">
        <v>92</v>
      </c>
      <c r="AA1055" t="s">
        <v>92</v>
      </c>
      <c r="AB1055" t="s">
        <v>4</v>
      </c>
      <c r="AC1055" s="3" t="s">
        <v>93</v>
      </c>
      <c r="AD1055" t="s">
        <v>4</v>
      </c>
      <c r="AE1055" s="4" t="s">
        <v>94</v>
      </c>
      <c r="AZ1055" t="s">
        <v>4</v>
      </c>
      <c r="BA1055" s="3" t="s">
        <v>95</v>
      </c>
      <c r="BB1055" s="6" t="s">
        <v>95</v>
      </c>
      <c r="BC1055" s="3" t="s">
        <v>95</v>
      </c>
      <c r="BD1055" t="s">
        <v>4</v>
      </c>
      <c r="BE1055">
        <v>2181</v>
      </c>
      <c r="BF1055" t="s">
        <v>148</v>
      </c>
      <c r="BG1055">
        <v>73.553700000000006</v>
      </c>
      <c r="BH1055">
        <v>22.904399999999999</v>
      </c>
      <c r="BI1055" t="s">
        <v>11582</v>
      </c>
      <c r="BJ1055" t="s">
        <v>11583</v>
      </c>
      <c r="BK1055">
        <v>68.0047</v>
      </c>
      <c r="BL1055" t="s">
        <v>11584</v>
      </c>
      <c r="BM1055">
        <v>59.622199999999999</v>
      </c>
      <c r="BN1055">
        <v>68.122799999999998</v>
      </c>
      <c r="BO1055">
        <v>62.809899999999999</v>
      </c>
      <c r="CK1055">
        <v>3</v>
      </c>
      <c r="CL1055" t="s">
        <v>4</v>
      </c>
      <c r="CM1055" t="s">
        <v>98</v>
      </c>
      <c r="CN1055" t="s">
        <v>98</v>
      </c>
      <c r="CO1055" t="s">
        <v>99</v>
      </c>
      <c r="CP1055" t="s">
        <v>100</v>
      </c>
      <c r="CQ1055" t="s">
        <v>100</v>
      </c>
      <c r="CR1055" t="s">
        <v>100</v>
      </c>
      <c r="CS1055" t="s">
        <v>101</v>
      </c>
      <c r="CT1055" t="s">
        <v>152</v>
      </c>
      <c r="CU1055" t="s">
        <v>102</v>
      </c>
      <c r="CV1055" t="s">
        <v>100</v>
      </c>
    </row>
    <row r="1056" spans="1:100">
      <c r="A1056" s="3" t="s">
        <v>11585</v>
      </c>
      <c r="B1056" s="4" t="s">
        <v>11586</v>
      </c>
      <c r="C1056">
        <v>104.601278515232</v>
      </c>
      <c r="D1056">
        <v>124.761665872655</v>
      </c>
      <c r="E1056">
        <f>0.258732576417535</f>
        <v>0.258732576417535</v>
      </c>
      <c r="F1056">
        <v>0.65750713958556395</v>
      </c>
      <c r="G1056" t="s">
        <v>4</v>
      </c>
      <c r="H1056">
        <v>104.601278515232</v>
      </c>
      <c r="I1056">
        <v>8.1832514153259499</v>
      </c>
      <c r="J1056">
        <v>3.6323258897882198</v>
      </c>
      <c r="K1056" s="5">
        <v>1.2229800336278601E-9</v>
      </c>
      <c r="L1056" t="s">
        <v>4</v>
      </c>
      <c r="M1056">
        <v>124.761665872655</v>
      </c>
      <c r="N1056">
        <v>8.1832514153259499</v>
      </c>
      <c r="O1056">
        <v>3.8910584662057501</v>
      </c>
      <c r="P1056" s="5">
        <v>4.7948931966636902E-11</v>
      </c>
      <c r="Q1056" t="s">
        <v>4</v>
      </c>
      <c r="R1056" s="4" t="s">
        <v>87</v>
      </c>
      <c r="S1056" t="s">
        <v>4</v>
      </c>
      <c r="T1056" t="s">
        <v>460</v>
      </c>
      <c r="U1056" t="s">
        <v>461</v>
      </c>
      <c r="V1056" t="s">
        <v>462</v>
      </c>
      <c r="W1056" t="s">
        <v>123</v>
      </c>
      <c r="X1056" t="s">
        <v>4</v>
      </c>
      <c r="Y1056" t="s">
        <v>6643</v>
      </c>
      <c r="Z1056" t="s">
        <v>6644</v>
      </c>
      <c r="AA1056" t="s">
        <v>6645</v>
      </c>
      <c r="AB1056" t="s">
        <v>4</v>
      </c>
      <c r="AC1056" s="3" t="s">
        <v>93</v>
      </c>
      <c r="AD1056" t="s">
        <v>4</v>
      </c>
      <c r="AE1056" s="4" t="s">
        <v>94</v>
      </c>
      <c r="AZ1056" t="s">
        <v>4</v>
      </c>
      <c r="BA1056" s="3" t="s">
        <v>115</v>
      </c>
      <c r="BB1056" s="6" t="s">
        <v>95</v>
      </c>
      <c r="BC1056" s="3" t="s">
        <v>95</v>
      </c>
      <c r="BD1056" t="s">
        <v>4</v>
      </c>
      <c r="BE1056">
        <v>2370</v>
      </c>
      <c r="BF1056" t="s">
        <v>148</v>
      </c>
      <c r="BI1056">
        <v>82.295100000000005</v>
      </c>
      <c r="BM1056" t="s">
        <v>11587</v>
      </c>
      <c r="BN1056" t="s">
        <v>11588</v>
      </c>
      <c r="CK1056">
        <v>3</v>
      </c>
      <c r="CL1056" t="s">
        <v>4</v>
      </c>
      <c r="CM1056" t="s">
        <v>98</v>
      </c>
      <c r="CN1056" t="s">
        <v>98</v>
      </c>
      <c r="CO1056" t="s">
        <v>99</v>
      </c>
      <c r="CP1056" t="s">
        <v>100</v>
      </c>
      <c r="CQ1056" t="s">
        <v>100</v>
      </c>
      <c r="CR1056" t="s">
        <v>100</v>
      </c>
      <c r="CS1056" t="s">
        <v>101</v>
      </c>
      <c r="CT1056" t="s">
        <v>152</v>
      </c>
      <c r="CU1056" t="s">
        <v>102</v>
      </c>
      <c r="CV1056" t="s">
        <v>100</v>
      </c>
    </row>
    <row r="1057" spans="1:100">
      <c r="A1057" s="3" t="s">
        <v>11589</v>
      </c>
      <c r="B1057" s="4" t="s">
        <v>11590</v>
      </c>
      <c r="C1057">
        <v>393.47271498696301</v>
      </c>
      <c r="D1057">
        <v>176.19798729016</v>
      </c>
      <c r="E1057">
        <v>1.1591193361641601</v>
      </c>
      <c r="F1057">
        <v>5.02000743432253E-2</v>
      </c>
      <c r="G1057" t="s">
        <v>4</v>
      </c>
      <c r="H1057">
        <v>393.47271498696301</v>
      </c>
      <c r="I1057">
        <v>11.559468230284001</v>
      </c>
      <c r="J1057">
        <v>5.0200063071230403</v>
      </c>
      <c r="K1057" s="5">
        <v>1.22291008001934E-16</v>
      </c>
      <c r="L1057" t="s">
        <v>4</v>
      </c>
      <c r="M1057">
        <v>176.19798729016</v>
      </c>
      <c r="N1057">
        <v>11.559468230284001</v>
      </c>
      <c r="O1057">
        <v>3.8608869709588798</v>
      </c>
      <c r="P1057" s="5">
        <v>2.5636523871256499E-10</v>
      </c>
      <c r="Q1057" t="s">
        <v>4</v>
      </c>
      <c r="R1057" s="4" t="s">
        <v>87</v>
      </c>
      <c r="S1057" t="s">
        <v>4</v>
      </c>
      <c r="T1057" t="s">
        <v>92</v>
      </c>
      <c r="U1057" t="s">
        <v>92</v>
      </c>
      <c r="V1057" t="s">
        <v>92</v>
      </c>
      <c r="W1057" t="s">
        <v>92</v>
      </c>
      <c r="X1057" t="s">
        <v>4</v>
      </c>
      <c r="Y1057" t="s">
        <v>92</v>
      </c>
      <c r="Z1057" t="s">
        <v>92</v>
      </c>
      <c r="AA1057" t="s">
        <v>92</v>
      </c>
      <c r="AB1057" t="s">
        <v>4</v>
      </c>
      <c r="AC1057" s="3" t="s">
        <v>93</v>
      </c>
      <c r="AD1057" t="s">
        <v>4</v>
      </c>
      <c r="AE1057" t="s">
        <v>11591</v>
      </c>
      <c r="AF1057" t="s">
        <v>11592</v>
      </c>
      <c r="AG1057" t="s">
        <v>1518</v>
      </c>
      <c r="AH1057" t="s">
        <v>638</v>
      </c>
      <c r="AU1057" t="s">
        <v>112</v>
      </c>
      <c r="AV1057" t="s">
        <v>11593</v>
      </c>
      <c r="AW1057" t="s">
        <v>114</v>
      </c>
      <c r="AZ1057" t="s">
        <v>4</v>
      </c>
      <c r="BA1057" s="3" t="s">
        <v>115</v>
      </c>
      <c r="BB1057" s="6" t="s">
        <v>95</v>
      </c>
      <c r="BC1057" s="3" t="s">
        <v>197</v>
      </c>
      <c r="BD1057" t="s">
        <v>4</v>
      </c>
      <c r="BE1057">
        <v>4672</v>
      </c>
      <c r="BF1057" t="s">
        <v>112</v>
      </c>
      <c r="BK1057">
        <v>42.450800000000001</v>
      </c>
      <c r="BN1057">
        <v>49.015300000000003</v>
      </c>
      <c r="BO1057">
        <v>48.796500000000002</v>
      </c>
      <c r="BQ1057">
        <v>26.695799999999998</v>
      </c>
      <c r="BW1057">
        <v>24.9453</v>
      </c>
      <c r="BX1057">
        <v>27.3523</v>
      </c>
      <c r="CA1057">
        <v>10.503299999999999</v>
      </c>
      <c r="CK1057">
        <v>5</v>
      </c>
      <c r="CL1057" t="s">
        <v>4</v>
      </c>
      <c r="CM1057" t="s">
        <v>11594</v>
      </c>
      <c r="CN1057" t="s">
        <v>11595</v>
      </c>
      <c r="CO1057" t="s">
        <v>99</v>
      </c>
      <c r="CP1057" t="s">
        <v>100</v>
      </c>
      <c r="CQ1057" t="s">
        <v>100</v>
      </c>
      <c r="CR1057" t="s">
        <v>100</v>
      </c>
      <c r="CS1057" t="s">
        <v>101</v>
      </c>
      <c r="CT1057" t="s">
        <v>152</v>
      </c>
      <c r="CU1057" t="s">
        <v>102</v>
      </c>
      <c r="CV1057" t="s">
        <v>100</v>
      </c>
    </row>
    <row r="1058" spans="1:100">
      <c r="A1058" s="3" t="s">
        <v>11596</v>
      </c>
      <c r="B1058" s="4" t="s">
        <v>11597</v>
      </c>
      <c r="C1058">
        <v>602.37726883085202</v>
      </c>
      <c r="D1058">
        <v>906.96648370254002</v>
      </c>
      <c r="E1058">
        <f>0.590905556084575</f>
        <v>0.59090555608457496</v>
      </c>
      <c r="F1058">
        <v>0.100082612477693</v>
      </c>
      <c r="G1058" t="s">
        <v>4</v>
      </c>
      <c r="H1058">
        <v>602.37726883085202</v>
      </c>
      <c r="I1058">
        <v>61.9085456705319</v>
      </c>
      <c r="J1058">
        <v>3.2584713933526501</v>
      </c>
      <c r="K1058" s="5">
        <v>2.4997004932298901E-21</v>
      </c>
      <c r="L1058" t="s">
        <v>4</v>
      </c>
      <c r="M1058">
        <v>906.96648370254002</v>
      </c>
      <c r="N1058">
        <v>61.9085456705319</v>
      </c>
      <c r="O1058">
        <v>3.8493769494372301</v>
      </c>
      <c r="P1058" s="5">
        <v>1.4470495604944299E-29</v>
      </c>
      <c r="Q1058" t="s">
        <v>4</v>
      </c>
      <c r="R1058" s="4" t="s">
        <v>87</v>
      </c>
      <c r="S1058" t="s">
        <v>4</v>
      </c>
      <c r="T1058" t="s">
        <v>92</v>
      </c>
      <c r="U1058" t="s">
        <v>92</v>
      </c>
      <c r="V1058" t="s">
        <v>92</v>
      </c>
      <c r="W1058" t="s">
        <v>92</v>
      </c>
      <c r="X1058" t="s">
        <v>4</v>
      </c>
      <c r="Y1058" t="s">
        <v>11598</v>
      </c>
      <c r="Z1058" t="s">
        <v>11599</v>
      </c>
      <c r="AA1058" t="s">
        <v>11600</v>
      </c>
      <c r="AB1058" t="s">
        <v>4</v>
      </c>
      <c r="AC1058" s="3" t="s">
        <v>11601</v>
      </c>
      <c r="AD1058" t="s">
        <v>4</v>
      </c>
      <c r="AE1058" t="s">
        <v>11602</v>
      </c>
      <c r="AF1058" t="s">
        <v>11603</v>
      </c>
      <c r="AG1058" t="s">
        <v>11604</v>
      </c>
      <c r="AH1058" t="s">
        <v>112</v>
      </c>
      <c r="AL1058" t="s">
        <v>11605</v>
      </c>
      <c r="AM1058" t="s">
        <v>302</v>
      </c>
      <c r="AN1058" t="s">
        <v>11606</v>
      </c>
      <c r="AQ1058" t="s">
        <v>11607</v>
      </c>
      <c r="AU1058" t="s">
        <v>112</v>
      </c>
      <c r="AV1058" t="s">
        <v>11608</v>
      </c>
      <c r="AW1058" t="s">
        <v>114</v>
      </c>
      <c r="AX1058" t="s">
        <v>1879</v>
      </c>
      <c r="AY1058" t="s">
        <v>11609</v>
      </c>
      <c r="AZ1058" t="s">
        <v>4</v>
      </c>
      <c r="BA1058" s="3" t="s">
        <v>95</v>
      </c>
      <c r="BB1058" s="6" t="s">
        <v>95</v>
      </c>
      <c r="BC1058" s="3" t="s">
        <v>95</v>
      </c>
      <c r="BD1058" t="s">
        <v>4</v>
      </c>
      <c r="BE1058">
        <v>9706</v>
      </c>
      <c r="BF1058" t="s">
        <v>169</v>
      </c>
      <c r="BG1058">
        <v>90.974699999999999</v>
      </c>
      <c r="BI1058">
        <v>89.169700000000006</v>
      </c>
      <c r="BJ1058">
        <v>81.9495</v>
      </c>
      <c r="BK1058">
        <v>76.534300000000002</v>
      </c>
      <c r="BL1058">
        <v>78.339299999999994</v>
      </c>
      <c r="BM1058">
        <v>81.588399999999993</v>
      </c>
      <c r="BN1058">
        <v>80.866399999999999</v>
      </c>
      <c r="BO1058">
        <v>68.230999999999995</v>
      </c>
      <c r="BP1058">
        <v>32.851999999999997</v>
      </c>
      <c r="BS1058">
        <v>21.299600000000002</v>
      </c>
      <c r="BU1058">
        <v>22.7437</v>
      </c>
      <c r="BV1058" t="s">
        <v>11610</v>
      </c>
      <c r="BZ1058">
        <v>15.884499999999999</v>
      </c>
      <c r="CA1058">
        <v>24.909700000000001</v>
      </c>
      <c r="CB1058">
        <v>19.133600000000001</v>
      </c>
      <c r="CC1058">
        <v>19.494599999999998</v>
      </c>
      <c r="CD1058">
        <v>19.133600000000001</v>
      </c>
      <c r="CE1058">
        <v>17.328499999999998</v>
      </c>
      <c r="CF1058">
        <v>20.2166</v>
      </c>
      <c r="CG1058">
        <v>22.021699999999999</v>
      </c>
      <c r="CH1058">
        <v>21.660699999999999</v>
      </c>
      <c r="CI1058">
        <v>25.270800000000001</v>
      </c>
      <c r="CJ1058">
        <v>14.801399999999999</v>
      </c>
      <c r="CK1058">
        <v>9</v>
      </c>
      <c r="CL1058" t="s">
        <v>4</v>
      </c>
      <c r="CM1058" t="s">
        <v>11611</v>
      </c>
      <c r="CN1058" t="s">
        <v>11612</v>
      </c>
      <c r="CO1058" t="s">
        <v>219</v>
      </c>
      <c r="CP1058" t="s">
        <v>100</v>
      </c>
      <c r="CQ1058" t="s">
        <v>100</v>
      </c>
      <c r="CR1058" t="s">
        <v>100</v>
      </c>
      <c r="CS1058" t="s">
        <v>101</v>
      </c>
      <c r="CT1058" t="s">
        <v>152</v>
      </c>
      <c r="CU1058" t="s">
        <v>102</v>
      </c>
      <c r="CV1058" t="s">
        <v>100</v>
      </c>
    </row>
    <row r="1059" spans="1:100">
      <c r="A1059" s="3" t="s">
        <v>11613</v>
      </c>
      <c r="B1059" s="4" t="s">
        <v>11614</v>
      </c>
      <c r="C1059">
        <v>307.19699785826299</v>
      </c>
      <c r="D1059">
        <v>309.594527013929</v>
      </c>
      <c r="E1059">
        <f>0.0115819201933342</f>
        <v>1.15819201933342E-2</v>
      </c>
      <c r="F1059">
        <v>0.984572634764591</v>
      </c>
      <c r="G1059" t="s">
        <v>4</v>
      </c>
      <c r="H1059">
        <v>307.19699785826299</v>
      </c>
      <c r="I1059">
        <v>20.638263021269299</v>
      </c>
      <c r="J1059">
        <v>3.8325193665408399</v>
      </c>
      <c r="K1059" s="5">
        <v>3.3390037474460199E-14</v>
      </c>
      <c r="L1059" t="s">
        <v>4</v>
      </c>
      <c r="M1059">
        <v>309.594527013929</v>
      </c>
      <c r="N1059">
        <v>20.638263021269299</v>
      </c>
      <c r="O1059">
        <v>3.84410128673417</v>
      </c>
      <c r="P1059" s="5">
        <v>2.1008249664683101E-14</v>
      </c>
      <c r="Q1059" t="s">
        <v>4</v>
      </c>
      <c r="R1059" s="4" t="s">
        <v>87</v>
      </c>
      <c r="S1059" t="s">
        <v>4</v>
      </c>
      <c r="T1059" t="s">
        <v>460</v>
      </c>
      <c r="U1059" t="s">
        <v>461</v>
      </c>
      <c r="V1059" t="s">
        <v>462</v>
      </c>
      <c r="W1059" t="s">
        <v>123</v>
      </c>
      <c r="X1059" t="s">
        <v>4</v>
      </c>
      <c r="Y1059" t="s">
        <v>6643</v>
      </c>
      <c r="Z1059" t="s">
        <v>6644</v>
      </c>
      <c r="AA1059" t="s">
        <v>6645</v>
      </c>
      <c r="AB1059" t="s">
        <v>4</v>
      </c>
      <c r="AC1059" s="3" t="s">
        <v>93</v>
      </c>
      <c r="AD1059" t="s">
        <v>4</v>
      </c>
      <c r="AE1059" s="4" t="s">
        <v>94</v>
      </c>
      <c r="AZ1059" t="s">
        <v>4</v>
      </c>
      <c r="BA1059" s="3" t="s">
        <v>115</v>
      </c>
      <c r="BB1059" s="6" t="s">
        <v>95</v>
      </c>
      <c r="BC1059" s="3" t="s">
        <v>95</v>
      </c>
      <c r="BD1059" t="s">
        <v>4</v>
      </c>
      <c r="BE1059">
        <v>2367</v>
      </c>
      <c r="BF1059" t="s">
        <v>148</v>
      </c>
      <c r="BG1059">
        <v>87.771699999999996</v>
      </c>
      <c r="BI1059">
        <v>70.380399999999995</v>
      </c>
      <c r="BM1059" t="s">
        <v>11615</v>
      </c>
      <c r="BN1059" t="s">
        <v>11616</v>
      </c>
      <c r="CK1059">
        <v>3</v>
      </c>
      <c r="CL1059" t="s">
        <v>4</v>
      </c>
      <c r="CM1059" t="s">
        <v>98</v>
      </c>
      <c r="CN1059" t="s">
        <v>98</v>
      </c>
      <c r="CO1059" t="s">
        <v>99</v>
      </c>
      <c r="CP1059" t="s">
        <v>100</v>
      </c>
      <c r="CQ1059" t="s">
        <v>100</v>
      </c>
      <c r="CR1059" t="s">
        <v>100</v>
      </c>
      <c r="CS1059" t="s">
        <v>101</v>
      </c>
      <c r="CT1059" t="s">
        <v>152</v>
      </c>
      <c r="CU1059" t="s">
        <v>102</v>
      </c>
      <c r="CV1059" t="s">
        <v>100</v>
      </c>
    </row>
    <row r="1060" spans="1:100">
      <c r="A1060" s="3" t="s">
        <v>11617</v>
      </c>
      <c r="B1060" s="4" t="s">
        <v>11618</v>
      </c>
      <c r="C1060">
        <v>3801.2671562676601</v>
      </c>
      <c r="D1060">
        <v>6856.4239959173301</v>
      </c>
      <c r="E1060">
        <f>0.851084944709918</f>
        <v>0.85108494470991802</v>
      </c>
      <c r="F1060" s="5">
        <v>7.84589890260058E-7</v>
      </c>
      <c r="G1060" t="s">
        <v>4</v>
      </c>
      <c r="H1060">
        <v>3801.2671562676601</v>
      </c>
      <c r="I1060">
        <v>477.38541058765202</v>
      </c>
      <c r="J1060">
        <v>2.9892025855275799</v>
      </c>
      <c r="K1060" s="5">
        <v>1.1072409077701601E-70</v>
      </c>
      <c r="L1060" t="s">
        <v>4</v>
      </c>
      <c r="M1060">
        <v>6856.4239959173301</v>
      </c>
      <c r="N1060">
        <v>477.38541058765202</v>
      </c>
      <c r="O1060">
        <v>3.8402875302375001</v>
      </c>
      <c r="P1060" s="5">
        <v>1.66725305517895E-116</v>
      </c>
      <c r="Q1060" t="s">
        <v>4</v>
      </c>
      <c r="R1060" s="4" t="s">
        <v>87</v>
      </c>
      <c r="S1060" t="s">
        <v>4</v>
      </c>
      <c r="T1060" t="s">
        <v>11619</v>
      </c>
      <c r="U1060" t="s">
        <v>11620</v>
      </c>
      <c r="V1060" t="s">
        <v>11621</v>
      </c>
      <c r="W1060" t="s">
        <v>7033</v>
      </c>
      <c r="X1060" t="s">
        <v>4</v>
      </c>
      <c r="Y1060" t="s">
        <v>11622</v>
      </c>
      <c r="Z1060" t="s">
        <v>11623</v>
      </c>
      <c r="AA1060" t="s">
        <v>11624</v>
      </c>
      <c r="AB1060" t="s">
        <v>4</v>
      </c>
      <c r="AC1060" s="3" t="s">
        <v>11625</v>
      </c>
      <c r="AD1060" t="s">
        <v>4</v>
      </c>
      <c r="AE1060" t="s">
        <v>11626</v>
      </c>
      <c r="AF1060" t="s">
        <v>834</v>
      </c>
      <c r="AG1060" t="s">
        <v>11627</v>
      </c>
      <c r="AH1060" t="s">
        <v>112</v>
      </c>
      <c r="AJ1060" t="s">
        <v>11628</v>
      </c>
      <c r="AL1060" t="s">
        <v>11629</v>
      </c>
      <c r="AQ1060" t="s">
        <v>861</v>
      </c>
      <c r="AU1060" t="s">
        <v>112</v>
      </c>
      <c r="AV1060" t="s">
        <v>11630</v>
      </c>
      <c r="AW1060" t="s">
        <v>114</v>
      </c>
      <c r="AX1060" t="s">
        <v>144</v>
      </c>
      <c r="AY1060" t="s">
        <v>11631</v>
      </c>
      <c r="AZ1060" t="s">
        <v>4</v>
      </c>
      <c r="BA1060" s="3" t="s">
        <v>115</v>
      </c>
      <c r="BB1060" s="6" t="s">
        <v>95</v>
      </c>
      <c r="BC1060" s="3" t="s">
        <v>95</v>
      </c>
      <c r="BD1060" t="s">
        <v>4</v>
      </c>
      <c r="BE1060">
        <v>10190</v>
      </c>
      <c r="BF1060" t="s">
        <v>169</v>
      </c>
      <c r="BG1060">
        <v>96.125</v>
      </c>
      <c r="BH1060">
        <v>13.75</v>
      </c>
      <c r="BI1060">
        <v>77.25</v>
      </c>
      <c r="BJ1060">
        <v>53.4375</v>
      </c>
      <c r="BK1060">
        <v>69.375</v>
      </c>
      <c r="BL1060" t="s">
        <v>11632</v>
      </c>
      <c r="BM1060">
        <v>74.125</v>
      </c>
      <c r="BN1060">
        <v>72.75</v>
      </c>
      <c r="BO1060">
        <v>73.625</v>
      </c>
      <c r="BP1060">
        <v>18.1875</v>
      </c>
      <c r="BQ1060" t="s">
        <v>11633</v>
      </c>
      <c r="BR1060">
        <v>18.25</v>
      </c>
      <c r="BS1060">
        <v>12.9375</v>
      </c>
      <c r="BT1060">
        <v>19.0625</v>
      </c>
      <c r="BU1060">
        <v>19.375</v>
      </c>
      <c r="BV1060" t="s">
        <v>11634</v>
      </c>
      <c r="BW1060">
        <v>26.9375</v>
      </c>
      <c r="BX1060">
        <v>28.875</v>
      </c>
      <c r="BY1060">
        <v>12.25</v>
      </c>
      <c r="CA1060">
        <v>19.8125</v>
      </c>
      <c r="CB1060">
        <v>6.3125</v>
      </c>
      <c r="CE1060">
        <v>7.8125</v>
      </c>
      <c r="CF1060">
        <v>9.4375</v>
      </c>
      <c r="CG1060">
        <v>19.25</v>
      </c>
      <c r="CH1060">
        <v>19.75</v>
      </c>
      <c r="CI1060">
        <v>18.3125</v>
      </c>
      <c r="CJ1060">
        <v>7.8125</v>
      </c>
      <c r="CK1060">
        <v>9</v>
      </c>
      <c r="CL1060" t="s">
        <v>4</v>
      </c>
      <c r="CM1060" t="s">
        <v>11635</v>
      </c>
      <c r="CN1060" t="s">
        <v>11636</v>
      </c>
      <c r="CO1060" t="s">
        <v>219</v>
      </c>
      <c r="CP1060" t="s">
        <v>100</v>
      </c>
      <c r="CQ1060" t="s">
        <v>100</v>
      </c>
      <c r="CR1060" t="s">
        <v>100</v>
      </c>
      <c r="CS1060" t="s">
        <v>101</v>
      </c>
      <c r="CT1060" t="s">
        <v>152</v>
      </c>
      <c r="CU1060" t="s">
        <v>102</v>
      </c>
      <c r="CV1060" t="s">
        <v>100</v>
      </c>
    </row>
    <row r="1061" spans="1:100">
      <c r="A1061" s="3" t="s">
        <v>11637</v>
      </c>
      <c r="B1061" s="4" t="s">
        <v>11638</v>
      </c>
      <c r="C1061">
        <v>165.108725423224</v>
      </c>
      <c r="D1061">
        <v>229.71493699515</v>
      </c>
      <c r="E1061">
        <f>0.475677360891672</f>
        <v>0.47567736089167201</v>
      </c>
      <c r="F1061">
        <v>9.7602665342676101E-2</v>
      </c>
      <c r="G1061" t="s">
        <v>4</v>
      </c>
      <c r="H1061">
        <v>165.108725423224</v>
      </c>
      <c r="I1061">
        <v>15.3927953298967</v>
      </c>
      <c r="J1061">
        <v>3.3633105700268899</v>
      </c>
      <c r="K1061" s="5">
        <v>2.4661178587655002E-21</v>
      </c>
      <c r="L1061" t="s">
        <v>4</v>
      </c>
      <c r="M1061">
        <v>229.71493699515</v>
      </c>
      <c r="N1061">
        <v>15.3927953298967</v>
      </c>
      <c r="O1061">
        <v>3.8389879309185599</v>
      </c>
      <c r="P1061" s="5">
        <v>1.03307454513826E-27</v>
      </c>
      <c r="Q1061" t="s">
        <v>4</v>
      </c>
      <c r="R1061" s="4" t="s">
        <v>87</v>
      </c>
      <c r="S1061" t="s">
        <v>4</v>
      </c>
      <c r="T1061" t="s">
        <v>92</v>
      </c>
      <c r="U1061" t="s">
        <v>92</v>
      </c>
      <c r="V1061" t="s">
        <v>92</v>
      </c>
      <c r="W1061" t="s">
        <v>92</v>
      </c>
      <c r="X1061" t="s">
        <v>4</v>
      </c>
      <c r="Y1061" t="s">
        <v>92</v>
      </c>
      <c r="Z1061" t="s">
        <v>92</v>
      </c>
      <c r="AA1061" t="s">
        <v>92</v>
      </c>
      <c r="AB1061" t="s">
        <v>4</v>
      </c>
      <c r="AC1061" s="3" t="s">
        <v>93</v>
      </c>
      <c r="AD1061" t="s">
        <v>4</v>
      </c>
      <c r="AE1061" s="4" t="s">
        <v>94</v>
      </c>
      <c r="AZ1061" t="s">
        <v>4</v>
      </c>
      <c r="BA1061" s="3" t="s">
        <v>95</v>
      </c>
      <c r="BB1061" s="6" t="s">
        <v>95</v>
      </c>
      <c r="BC1061" s="3" t="s">
        <v>95</v>
      </c>
      <c r="BD1061" t="s">
        <v>4</v>
      </c>
      <c r="BE1061">
        <v>764</v>
      </c>
      <c r="BF1061" t="s">
        <v>604</v>
      </c>
      <c r="BG1061">
        <v>62.5</v>
      </c>
      <c r="BH1061">
        <v>39.583300000000001</v>
      </c>
      <c r="CK1061">
        <v>1.5</v>
      </c>
      <c r="CL1061" t="s">
        <v>4</v>
      </c>
      <c r="CM1061" t="s">
        <v>98</v>
      </c>
      <c r="CN1061" t="s">
        <v>98</v>
      </c>
      <c r="CO1061" t="s">
        <v>99</v>
      </c>
      <c r="CP1061" t="s">
        <v>100</v>
      </c>
      <c r="CQ1061" t="s">
        <v>100</v>
      </c>
      <c r="CR1061" t="s">
        <v>100</v>
      </c>
      <c r="CS1061" t="s">
        <v>101</v>
      </c>
      <c r="CT1061" t="s">
        <v>152</v>
      </c>
      <c r="CU1061" t="s">
        <v>102</v>
      </c>
      <c r="CV1061" t="s">
        <v>100</v>
      </c>
    </row>
    <row r="1062" spans="1:100">
      <c r="A1062" s="3" t="s">
        <v>11639</v>
      </c>
      <c r="B1062" s="4" t="s">
        <v>11640</v>
      </c>
      <c r="C1062">
        <v>62.046394071094603</v>
      </c>
      <c r="D1062">
        <v>117.94119303294001</v>
      </c>
      <c r="E1062">
        <f>0.928369202075262</f>
        <v>0.92836920207526197</v>
      </c>
      <c r="F1062">
        <v>2.6562597934508301E-2</v>
      </c>
      <c r="G1062" t="s">
        <v>4</v>
      </c>
      <c r="H1062">
        <v>62.046394071094603</v>
      </c>
      <c r="I1062">
        <v>7.5899467116381496</v>
      </c>
      <c r="J1062">
        <v>2.9088871452460898</v>
      </c>
      <c r="K1062" s="5">
        <v>2.46447705082934E-8</v>
      </c>
      <c r="L1062" t="s">
        <v>4</v>
      </c>
      <c r="M1062">
        <v>117.94119303294001</v>
      </c>
      <c r="N1062">
        <v>7.5899467116381496</v>
      </c>
      <c r="O1062">
        <v>3.8372563473213499</v>
      </c>
      <c r="P1062" s="5">
        <v>4.6104319111764001E-14</v>
      </c>
      <c r="Q1062" t="s">
        <v>4</v>
      </c>
      <c r="R1062" s="4" t="s">
        <v>87</v>
      </c>
      <c r="S1062" t="s">
        <v>4</v>
      </c>
      <c r="T1062" t="s">
        <v>460</v>
      </c>
      <c r="U1062" t="s">
        <v>461</v>
      </c>
      <c r="V1062" t="s">
        <v>462</v>
      </c>
      <c r="W1062" t="s">
        <v>123</v>
      </c>
      <c r="X1062" t="s">
        <v>4</v>
      </c>
      <c r="Y1062" t="s">
        <v>6643</v>
      </c>
      <c r="Z1062" t="s">
        <v>6644</v>
      </c>
      <c r="AA1062" t="s">
        <v>6645</v>
      </c>
      <c r="AB1062" t="s">
        <v>4</v>
      </c>
      <c r="AC1062" s="3" t="s">
        <v>93</v>
      </c>
      <c r="AD1062" t="s">
        <v>4</v>
      </c>
      <c r="AE1062" t="s">
        <v>3190</v>
      </c>
      <c r="AF1062" t="s">
        <v>6697</v>
      </c>
      <c r="AG1062" t="s">
        <v>6698</v>
      </c>
      <c r="AH1062" t="s">
        <v>112</v>
      </c>
      <c r="AJ1062" t="s">
        <v>3193</v>
      </c>
      <c r="AK1062" t="s">
        <v>3194</v>
      </c>
      <c r="AL1062" t="s">
        <v>3195</v>
      </c>
      <c r="AM1062" t="s">
        <v>3196</v>
      </c>
      <c r="AQ1062" t="s">
        <v>3197</v>
      </c>
      <c r="AU1062" t="s">
        <v>112</v>
      </c>
      <c r="AV1062" t="s">
        <v>3198</v>
      </c>
      <c r="AW1062" t="s">
        <v>114</v>
      </c>
      <c r="AX1062" t="s">
        <v>2157</v>
      </c>
      <c r="AY1062" t="s">
        <v>3199</v>
      </c>
      <c r="AZ1062" t="s">
        <v>4</v>
      </c>
      <c r="BA1062" s="3" t="s">
        <v>95</v>
      </c>
      <c r="BB1062" s="6" t="s">
        <v>95</v>
      </c>
      <c r="BC1062" s="3" t="s">
        <v>95</v>
      </c>
      <c r="BD1062" t="s">
        <v>4</v>
      </c>
      <c r="BE1062">
        <v>1682</v>
      </c>
      <c r="BF1062" t="s">
        <v>151</v>
      </c>
      <c r="BI1062">
        <v>73.578599999999994</v>
      </c>
      <c r="BJ1062" t="s">
        <v>11641</v>
      </c>
      <c r="CK1062">
        <v>2</v>
      </c>
      <c r="CL1062" t="s">
        <v>4</v>
      </c>
      <c r="CM1062" t="s">
        <v>98</v>
      </c>
      <c r="CN1062" t="s">
        <v>98</v>
      </c>
      <c r="CO1062" t="s">
        <v>99</v>
      </c>
      <c r="CP1062" t="s">
        <v>100</v>
      </c>
      <c r="CQ1062" t="s">
        <v>100</v>
      </c>
      <c r="CR1062" t="s">
        <v>100</v>
      </c>
      <c r="CS1062" t="s">
        <v>101</v>
      </c>
      <c r="CT1062" t="s">
        <v>152</v>
      </c>
      <c r="CU1062" t="s">
        <v>102</v>
      </c>
      <c r="CV1062" t="s">
        <v>100</v>
      </c>
    </row>
    <row r="1063" spans="1:100">
      <c r="A1063" s="3" t="s">
        <v>11642</v>
      </c>
      <c r="B1063" s="4" t="s">
        <v>11643</v>
      </c>
      <c r="C1063">
        <v>40.632321703982399</v>
      </c>
      <c r="D1063">
        <v>27.191852572298401</v>
      </c>
      <c r="E1063">
        <v>0.58639985594732502</v>
      </c>
      <c r="F1063">
        <v>0.62734322624015704</v>
      </c>
      <c r="G1063" t="s">
        <v>4</v>
      </c>
      <c r="H1063">
        <v>40.632321703982399</v>
      </c>
      <c r="I1063">
        <v>1.93533642871265</v>
      </c>
      <c r="J1063">
        <v>4.4162328450657897</v>
      </c>
      <c r="K1063">
        <v>6.2140813046626404E-4</v>
      </c>
      <c r="L1063" t="s">
        <v>4</v>
      </c>
      <c r="M1063">
        <v>27.191852572298401</v>
      </c>
      <c r="N1063">
        <v>1.93533642871265</v>
      </c>
      <c r="O1063">
        <v>3.8298329891184699</v>
      </c>
      <c r="P1063">
        <v>2.9892539060944298E-3</v>
      </c>
      <c r="Q1063" t="s">
        <v>4</v>
      </c>
      <c r="R1063" s="4" t="s">
        <v>87</v>
      </c>
      <c r="S1063" t="s">
        <v>4</v>
      </c>
      <c r="T1063" t="s">
        <v>88</v>
      </c>
      <c r="U1063" t="s">
        <v>89</v>
      </c>
      <c r="V1063" t="s">
        <v>90</v>
      </c>
      <c r="W1063" t="s">
        <v>91</v>
      </c>
      <c r="X1063" t="s">
        <v>4</v>
      </c>
      <c r="Y1063" t="s">
        <v>92</v>
      </c>
      <c r="Z1063" t="s">
        <v>92</v>
      </c>
      <c r="AA1063" t="s">
        <v>92</v>
      </c>
      <c r="AB1063" t="s">
        <v>4</v>
      </c>
      <c r="AC1063" s="3" t="s">
        <v>93</v>
      </c>
      <c r="AD1063" t="s">
        <v>4</v>
      </c>
      <c r="AE1063" s="4" t="s">
        <v>94</v>
      </c>
      <c r="AZ1063" t="s">
        <v>4</v>
      </c>
      <c r="BA1063" s="3" t="s">
        <v>95</v>
      </c>
      <c r="BB1063" t="s">
        <v>96</v>
      </c>
      <c r="BC1063" s="3" t="s">
        <v>95</v>
      </c>
      <c r="BD1063" t="s">
        <v>4</v>
      </c>
      <c r="BE1063">
        <v>3071</v>
      </c>
      <c r="BF1063" t="s">
        <v>97</v>
      </c>
      <c r="BG1063">
        <v>97.674400000000006</v>
      </c>
      <c r="BH1063">
        <v>98.837199999999996</v>
      </c>
      <c r="BL1063">
        <v>61.627899999999997</v>
      </c>
      <c r="CK1063">
        <v>4</v>
      </c>
      <c r="CL1063" t="s">
        <v>4</v>
      </c>
      <c r="CM1063" t="s">
        <v>98</v>
      </c>
      <c r="CN1063" t="s">
        <v>98</v>
      </c>
      <c r="CO1063" t="s">
        <v>99</v>
      </c>
      <c r="CP1063" t="s">
        <v>100</v>
      </c>
      <c r="CQ1063" t="s">
        <v>100</v>
      </c>
      <c r="CR1063" t="s">
        <v>100</v>
      </c>
      <c r="CS1063" t="s">
        <v>101</v>
      </c>
      <c r="CT1063" t="s">
        <v>152</v>
      </c>
      <c r="CU1063" t="s">
        <v>102</v>
      </c>
      <c r="CV1063" t="s">
        <v>100</v>
      </c>
    </row>
    <row r="1064" spans="1:100">
      <c r="A1064" s="3" t="s">
        <v>11644</v>
      </c>
      <c r="B1064" s="4" t="s">
        <v>11645</v>
      </c>
      <c r="C1064">
        <v>1527.08319844742</v>
      </c>
      <c r="D1064">
        <v>1478.5452780779201</v>
      </c>
      <c r="E1064">
        <v>4.6658714348217001E-2</v>
      </c>
      <c r="F1064">
        <v>0.92275948236453798</v>
      </c>
      <c r="G1064" t="s">
        <v>4</v>
      </c>
      <c r="H1064">
        <v>1527.08319844742</v>
      </c>
      <c r="I1064">
        <v>102.65694662913801</v>
      </c>
      <c r="J1064">
        <v>3.8716295719303599</v>
      </c>
      <c r="K1064" s="5">
        <v>3.2462585083281099E-24</v>
      </c>
      <c r="L1064" t="s">
        <v>4</v>
      </c>
      <c r="M1064">
        <v>1478.5452780779201</v>
      </c>
      <c r="N1064">
        <v>102.65694662913801</v>
      </c>
      <c r="O1064">
        <v>3.8249708575821399</v>
      </c>
      <c r="P1064" s="5">
        <v>8.7658351888252996E-24</v>
      </c>
      <c r="Q1064" t="s">
        <v>4</v>
      </c>
      <c r="R1064" s="4" t="s">
        <v>87</v>
      </c>
      <c r="S1064" t="s">
        <v>4</v>
      </c>
      <c r="T1064" t="s">
        <v>200</v>
      </c>
      <c r="U1064" t="s">
        <v>201</v>
      </c>
      <c r="V1064" t="s">
        <v>202</v>
      </c>
      <c r="W1064" t="s">
        <v>203</v>
      </c>
      <c r="X1064" t="s">
        <v>4</v>
      </c>
      <c r="Y1064" t="s">
        <v>204</v>
      </c>
      <c r="Z1064" t="s">
        <v>205</v>
      </c>
      <c r="AA1064" t="s">
        <v>206</v>
      </c>
      <c r="AB1064" t="s">
        <v>4</v>
      </c>
      <c r="AC1064" s="3" t="s">
        <v>207</v>
      </c>
      <c r="AD1064" t="s">
        <v>4</v>
      </c>
      <c r="AE1064" t="s">
        <v>11646</v>
      </c>
      <c r="AF1064" t="s">
        <v>11647</v>
      </c>
      <c r="AG1064" t="s">
        <v>10470</v>
      </c>
      <c r="AH1064" t="s">
        <v>112</v>
      </c>
      <c r="AJ1064" t="s">
        <v>11648</v>
      </c>
      <c r="AK1064" t="s">
        <v>11649</v>
      </c>
      <c r="AL1064" t="s">
        <v>11650</v>
      </c>
      <c r="AM1064" t="s">
        <v>11651</v>
      </c>
      <c r="AN1064" t="s">
        <v>5584</v>
      </c>
      <c r="AQ1064" t="s">
        <v>11652</v>
      </c>
      <c r="AU1064" t="s">
        <v>112</v>
      </c>
      <c r="AV1064" t="s">
        <v>211</v>
      </c>
      <c r="AW1064" t="s">
        <v>114</v>
      </c>
      <c r="AX1064" t="s">
        <v>132</v>
      </c>
      <c r="AY1064" t="s">
        <v>212</v>
      </c>
      <c r="AZ1064" t="s">
        <v>4</v>
      </c>
      <c r="BA1064" s="3" t="s">
        <v>95</v>
      </c>
      <c r="BB1064" s="6" t="s">
        <v>95</v>
      </c>
      <c r="BC1064" s="3" t="s">
        <v>95</v>
      </c>
      <c r="BD1064" t="s">
        <v>4</v>
      </c>
      <c r="BE1064">
        <v>9532</v>
      </c>
      <c r="BF1064" t="s">
        <v>169</v>
      </c>
      <c r="BI1064">
        <v>80.3125</v>
      </c>
      <c r="BJ1064">
        <v>96.875</v>
      </c>
      <c r="BK1064">
        <v>94.375</v>
      </c>
      <c r="BL1064">
        <v>95</v>
      </c>
      <c r="BM1064">
        <v>94.6875</v>
      </c>
      <c r="BN1064">
        <v>94.375</v>
      </c>
      <c r="BO1064">
        <v>95</v>
      </c>
      <c r="BP1064" t="s">
        <v>11653</v>
      </c>
      <c r="BR1064">
        <v>60.3125</v>
      </c>
      <c r="BS1064" t="s">
        <v>11654</v>
      </c>
      <c r="BT1064">
        <v>63.125</v>
      </c>
      <c r="BU1064">
        <v>66.5625</v>
      </c>
      <c r="BV1064" t="s">
        <v>11655</v>
      </c>
      <c r="BW1064">
        <v>64.0625</v>
      </c>
      <c r="BX1064" t="s">
        <v>11656</v>
      </c>
      <c r="BZ1064" t="s">
        <v>11657</v>
      </c>
      <c r="CA1064">
        <v>64.6875</v>
      </c>
      <c r="CB1064">
        <v>42.1875</v>
      </c>
      <c r="CC1064">
        <v>54.375</v>
      </c>
      <c r="CD1064" t="s">
        <v>11658</v>
      </c>
      <c r="CE1064" t="s">
        <v>11659</v>
      </c>
      <c r="CF1064" t="s">
        <v>11660</v>
      </c>
      <c r="CG1064">
        <v>55.3125</v>
      </c>
      <c r="CH1064">
        <v>52.8125</v>
      </c>
      <c r="CI1064">
        <v>60</v>
      </c>
      <c r="CJ1064">
        <v>52.1875</v>
      </c>
      <c r="CK1064">
        <v>9</v>
      </c>
      <c r="CL1064" t="s">
        <v>4</v>
      </c>
      <c r="CM1064" t="s">
        <v>233</v>
      </c>
      <c r="CN1064" t="s">
        <v>11661</v>
      </c>
      <c r="CO1064" t="s">
        <v>219</v>
      </c>
      <c r="CP1064" t="s">
        <v>100</v>
      </c>
      <c r="CQ1064" t="s">
        <v>100</v>
      </c>
      <c r="CR1064" t="s">
        <v>100</v>
      </c>
      <c r="CS1064" t="s">
        <v>101</v>
      </c>
      <c r="CT1064" t="s">
        <v>152</v>
      </c>
      <c r="CU1064" t="s">
        <v>102</v>
      </c>
      <c r="CV1064" t="s">
        <v>235</v>
      </c>
    </row>
    <row r="1065" spans="1:100">
      <c r="A1065" s="3" t="s">
        <v>11662</v>
      </c>
      <c r="B1065" s="4" t="s">
        <v>11663</v>
      </c>
      <c r="C1065">
        <v>792.32373588707799</v>
      </c>
      <c r="D1065">
        <v>883.97474734018897</v>
      </c>
      <c r="E1065">
        <f>0.157802847502829</f>
        <v>0.157802847502829</v>
      </c>
      <c r="F1065">
        <v>0.625956688150892</v>
      </c>
      <c r="G1065" t="s">
        <v>4</v>
      </c>
      <c r="H1065">
        <v>792.32373588707799</v>
      </c>
      <c r="I1065">
        <v>61.899593109115798</v>
      </c>
      <c r="J1065">
        <v>3.6602048807054302</v>
      </c>
      <c r="K1065" s="5">
        <v>9.1865555926555297E-36</v>
      </c>
      <c r="L1065" t="s">
        <v>4</v>
      </c>
      <c r="M1065">
        <v>883.97474734018897</v>
      </c>
      <c r="N1065">
        <v>61.899593109115798</v>
      </c>
      <c r="O1065">
        <v>3.8180077282082601</v>
      </c>
      <c r="P1065" s="5">
        <v>6.0809210112449699E-39</v>
      </c>
      <c r="Q1065" t="s">
        <v>4</v>
      </c>
      <c r="R1065" s="4" t="s">
        <v>87</v>
      </c>
      <c r="S1065" t="s">
        <v>4</v>
      </c>
      <c r="T1065" t="s">
        <v>11664</v>
      </c>
      <c r="U1065" t="s">
        <v>11665</v>
      </c>
      <c r="V1065" t="s">
        <v>11666</v>
      </c>
      <c r="W1065" t="s">
        <v>328</v>
      </c>
      <c r="X1065" t="s">
        <v>4</v>
      </c>
      <c r="Y1065" t="s">
        <v>11667</v>
      </c>
      <c r="Z1065" t="s">
        <v>11668</v>
      </c>
      <c r="AA1065" t="s">
        <v>11669</v>
      </c>
      <c r="AB1065" t="s">
        <v>4</v>
      </c>
      <c r="AC1065" s="3" t="s">
        <v>11670</v>
      </c>
      <c r="AD1065" t="s">
        <v>4</v>
      </c>
      <c r="AE1065" t="s">
        <v>11671</v>
      </c>
      <c r="AF1065" t="s">
        <v>11672</v>
      </c>
      <c r="AG1065" t="s">
        <v>11227</v>
      </c>
      <c r="AH1065" t="s">
        <v>11673</v>
      </c>
      <c r="AU1065" t="s">
        <v>112</v>
      </c>
      <c r="AV1065" t="s">
        <v>11674</v>
      </c>
      <c r="AW1065" t="s">
        <v>114</v>
      </c>
      <c r="AX1065" t="s">
        <v>1938</v>
      </c>
      <c r="AY1065" t="s">
        <v>11675</v>
      </c>
      <c r="AZ1065" t="s">
        <v>4</v>
      </c>
      <c r="BA1065" s="3" t="s">
        <v>95</v>
      </c>
      <c r="BB1065" s="6" t="s">
        <v>95</v>
      </c>
      <c r="BC1065" s="3" t="s">
        <v>95</v>
      </c>
      <c r="BD1065" t="s">
        <v>4</v>
      </c>
      <c r="BE1065">
        <v>2656</v>
      </c>
      <c r="BF1065" t="s">
        <v>97</v>
      </c>
      <c r="BG1065">
        <v>97.278099999999995</v>
      </c>
      <c r="BH1065">
        <v>85.207099999999997</v>
      </c>
      <c r="BI1065" t="s">
        <v>11676</v>
      </c>
      <c r="BJ1065" t="s">
        <v>11677</v>
      </c>
      <c r="BK1065">
        <v>64.260400000000004</v>
      </c>
      <c r="BL1065">
        <v>51.479300000000002</v>
      </c>
      <c r="BM1065">
        <v>62.011800000000001</v>
      </c>
      <c r="BN1065">
        <v>65.7988</v>
      </c>
      <c r="BO1065">
        <v>67.929000000000002</v>
      </c>
      <c r="BP1065">
        <v>11.5976</v>
      </c>
      <c r="CK1065">
        <v>4</v>
      </c>
      <c r="CL1065" t="s">
        <v>4</v>
      </c>
      <c r="CM1065" t="s">
        <v>98</v>
      </c>
      <c r="CN1065" t="s">
        <v>98</v>
      </c>
      <c r="CO1065" t="s">
        <v>99</v>
      </c>
      <c r="CP1065" t="s">
        <v>100</v>
      </c>
      <c r="CQ1065" t="s">
        <v>100</v>
      </c>
      <c r="CR1065" t="s">
        <v>100</v>
      </c>
      <c r="CS1065" t="s">
        <v>101</v>
      </c>
      <c r="CT1065" t="s">
        <v>152</v>
      </c>
      <c r="CU1065" t="s">
        <v>102</v>
      </c>
      <c r="CV1065" t="s">
        <v>100</v>
      </c>
    </row>
    <row r="1066" spans="1:100">
      <c r="A1066" s="3" t="s">
        <v>11678</v>
      </c>
      <c r="B1066" s="4" t="s">
        <v>11679</v>
      </c>
      <c r="C1066">
        <v>7340.8878085128299</v>
      </c>
      <c r="D1066">
        <v>6353.0451401089103</v>
      </c>
      <c r="E1066">
        <v>0.20849905409501601</v>
      </c>
      <c r="F1066">
        <v>0.66877546005256805</v>
      </c>
      <c r="G1066" t="s">
        <v>4</v>
      </c>
      <c r="H1066">
        <v>7340.8878085128299</v>
      </c>
      <c r="I1066">
        <v>450.04860552247101</v>
      </c>
      <c r="J1066">
        <v>4.02334682373038</v>
      </c>
      <c r="K1066" s="5">
        <v>8.5273363016070895E-24</v>
      </c>
      <c r="L1066" t="s">
        <v>4</v>
      </c>
      <c r="M1066">
        <v>6353.0451401089103</v>
      </c>
      <c r="N1066">
        <v>450.04860552247101</v>
      </c>
      <c r="O1066">
        <v>3.8148477696353602</v>
      </c>
      <c r="P1066" s="5">
        <v>1.27919591871722E-21</v>
      </c>
      <c r="Q1066" t="s">
        <v>4</v>
      </c>
      <c r="R1066" s="4" t="s">
        <v>87</v>
      </c>
      <c r="S1066" t="s">
        <v>4</v>
      </c>
      <c r="T1066" t="s">
        <v>92</v>
      </c>
      <c r="U1066" t="s">
        <v>92</v>
      </c>
      <c r="V1066" t="s">
        <v>92</v>
      </c>
      <c r="W1066" t="s">
        <v>92</v>
      </c>
      <c r="X1066" t="s">
        <v>4</v>
      </c>
      <c r="Y1066" t="s">
        <v>92</v>
      </c>
      <c r="Z1066" t="s">
        <v>92</v>
      </c>
      <c r="AA1066" t="s">
        <v>92</v>
      </c>
      <c r="AB1066" t="s">
        <v>4</v>
      </c>
      <c r="AC1066" s="3" t="s">
        <v>93</v>
      </c>
      <c r="AD1066" t="s">
        <v>4</v>
      </c>
      <c r="AE1066" s="4" t="s">
        <v>94</v>
      </c>
      <c r="AZ1066" t="s">
        <v>4</v>
      </c>
      <c r="BA1066" s="3" t="s">
        <v>115</v>
      </c>
      <c r="BB1066" s="6" t="s">
        <v>95</v>
      </c>
      <c r="BC1066" s="3" t="s">
        <v>95</v>
      </c>
      <c r="BD1066" t="s">
        <v>4</v>
      </c>
      <c r="BE1066">
        <v>2745</v>
      </c>
      <c r="BF1066" t="s">
        <v>97</v>
      </c>
      <c r="BG1066">
        <v>96.148099999999999</v>
      </c>
      <c r="BH1066" t="s">
        <v>11680</v>
      </c>
      <c r="BI1066">
        <v>85.481499999999997</v>
      </c>
      <c r="BJ1066">
        <v>73.925899999999999</v>
      </c>
      <c r="BK1066">
        <v>32.444400000000002</v>
      </c>
      <c r="BO1066">
        <v>63.259300000000003</v>
      </c>
      <c r="BP1066">
        <v>17.185199999999998</v>
      </c>
      <c r="CK1066">
        <v>4</v>
      </c>
      <c r="CL1066" t="s">
        <v>4</v>
      </c>
      <c r="CM1066" t="s">
        <v>98</v>
      </c>
      <c r="CN1066" t="s">
        <v>98</v>
      </c>
      <c r="CO1066" t="s">
        <v>99</v>
      </c>
      <c r="CP1066" t="s">
        <v>100</v>
      </c>
      <c r="CQ1066" t="s">
        <v>100</v>
      </c>
      <c r="CR1066" t="s">
        <v>100</v>
      </c>
      <c r="CS1066" t="s">
        <v>101</v>
      </c>
      <c r="CT1066" t="s">
        <v>152</v>
      </c>
      <c r="CU1066" t="s">
        <v>102</v>
      </c>
      <c r="CV1066" t="s">
        <v>100</v>
      </c>
    </row>
    <row r="1067" spans="1:100">
      <c r="A1067" s="3" t="s">
        <v>11681</v>
      </c>
      <c r="B1067" s="4" t="s">
        <v>11682</v>
      </c>
      <c r="C1067">
        <v>8815.6209195637894</v>
      </c>
      <c r="D1067">
        <v>8877.1295069202097</v>
      </c>
      <c r="E1067">
        <f>0.0100865256613498</f>
        <v>1.00865256613498E-2</v>
      </c>
      <c r="F1067">
        <v>0.97097342068460102</v>
      </c>
      <c r="G1067" t="s">
        <v>4</v>
      </c>
      <c r="H1067">
        <v>8815.6209195637894</v>
      </c>
      <c r="I1067">
        <v>631.75012760375103</v>
      </c>
      <c r="J1067">
        <v>3.7985983936092098</v>
      </c>
      <c r="K1067" s="5">
        <v>8.6661990723997402E-76</v>
      </c>
      <c r="L1067" t="s">
        <v>4</v>
      </c>
      <c r="M1067">
        <v>8877.1295069202097</v>
      </c>
      <c r="N1067">
        <v>631.75012760375103</v>
      </c>
      <c r="O1067">
        <v>3.8086849192705601</v>
      </c>
      <c r="P1067" s="5">
        <v>2.10593017358475E-76</v>
      </c>
      <c r="Q1067" t="s">
        <v>4</v>
      </c>
      <c r="R1067" s="4" t="s">
        <v>87</v>
      </c>
      <c r="S1067" t="s">
        <v>4</v>
      </c>
      <c r="T1067" t="s">
        <v>11683</v>
      </c>
      <c r="U1067" t="s">
        <v>11684</v>
      </c>
      <c r="V1067" t="s">
        <v>11685</v>
      </c>
      <c r="W1067" t="s">
        <v>203</v>
      </c>
      <c r="X1067" t="s">
        <v>4</v>
      </c>
      <c r="Y1067" t="s">
        <v>11686</v>
      </c>
      <c r="Z1067" t="s">
        <v>11687</v>
      </c>
      <c r="AA1067" t="s">
        <v>11688</v>
      </c>
      <c r="AB1067" t="s">
        <v>4</v>
      </c>
      <c r="AC1067" s="3" t="s">
        <v>11689</v>
      </c>
      <c r="AD1067" t="s">
        <v>4</v>
      </c>
      <c r="AE1067" t="s">
        <v>11690</v>
      </c>
      <c r="AF1067" t="s">
        <v>834</v>
      </c>
      <c r="AG1067" t="s">
        <v>11691</v>
      </c>
      <c r="AH1067" t="s">
        <v>112</v>
      </c>
      <c r="AJ1067" t="s">
        <v>11692</v>
      </c>
      <c r="AK1067" t="s">
        <v>163</v>
      </c>
      <c r="AL1067" t="s">
        <v>11693</v>
      </c>
      <c r="AM1067" t="s">
        <v>11694</v>
      </c>
      <c r="AQ1067" t="s">
        <v>6791</v>
      </c>
      <c r="AU1067" t="s">
        <v>112</v>
      </c>
      <c r="AV1067" t="s">
        <v>11695</v>
      </c>
      <c r="AW1067" t="s">
        <v>114</v>
      </c>
      <c r="AX1067" t="s">
        <v>167</v>
      </c>
      <c r="AY1067" t="s">
        <v>1967</v>
      </c>
      <c r="AZ1067" t="s">
        <v>4</v>
      </c>
      <c r="BA1067" s="3" t="s">
        <v>95</v>
      </c>
      <c r="BB1067" s="6" t="s">
        <v>95</v>
      </c>
      <c r="BC1067" s="3" t="s">
        <v>95</v>
      </c>
      <c r="BD1067" t="s">
        <v>4</v>
      </c>
      <c r="BE1067">
        <v>9436</v>
      </c>
      <c r="BF1067" t="s">
        <v>169</v>
      </c>
      <c r="BG1067">
        <v>97.497399999999999</v>
      </c>
      <c r="BH1067">
        <v>75.078199999999995</v>
      </c>
      <c r="BI1067">
        <v>90.198099999999997</v>
      </c>
      <c r="BJ1067">
        <v>54.744500000000002</v>
      </c>
      <c r="BK1067">
        <v>75.4953</v>
      </c>
      <c r="BL1067">
        <v>25.338899999999999</v>
      </c>
      <c r="BM1067">
        <v>67.257599999999996</v>
      </c>
      <c r="BN1067">
        <v>75.391000000000005</v>
      </c>
      <c r="BO1067" t="s">
        <v>11696</v>
      </c>
      <c r="BP1067">
        <v>18.561</v>
      </c>
      <c r="BR1067">
        <v>19.290900000000001</v>
      </c>
      <c r="BS1067">
        <v>17.726800000000001</v>
      </c>
      <c r="BT1067" t="s">
        <v>11697</v>
      </c>
      <c r="BX1067">
        <v>24.087599999999998</v>
      </c>
      <c r="CA1067">
        <v>21.167899999999999</v>
      </c>
      <c r="CC1067">
        <v>7.1949899999999998</v>
      </c>
      <c r="CE1067">
        <v>11.5746</v>
      </c>
      <c r="CF1067" t="s">
        <v>11698</v>
      </c>
      <c r="CG1067">
        <v>15.119899999999999</v>
      </c>
      <c r="CH1067">
        <v>15.015599999999999</v>
      </c>
      <c r="CI1067">
        <v>15.9541</v>
      </c>
      <c r="CJ1067">
        <v>14.494300000000001</v>
      </c>
      <c r="CK1067">
        <v>9</v>
      </c>
      <c r="CL1067" t="s">
        <v>4</v>
      </c>
      <c r="CM1067" t="s">
        <v>11699</v>
      </c>
      <c r="CN1067" t="s">
        <v>11700</v>
      </c>
      <c r="CO1067" t="s">
        <v>219</v>
      </c>
      <c r="CP1067" t="s">
        <v>100</v>
      </c>
      <c r="CQ1067" t="s">
        <v>100</v>
      </c>
      <c r="CR1067" t="s">
        <v>100</v>
      </c>
      <c r="CS1067" t="s">
        <v>101</v>
      </c>
      <c r="CT1067" t="s">
        <v>152</v>
      </c>
      <c r="CU1067" t="s">
        <v>102</v>
      </c>
      <c r="CV1067" t="s">
        <v>100</v>
      </c>
    </row>
    <row r="1068" spans="1:100">
      <c r="A1068" s="3" t="s">
        <v>11701</v>
      </c>
      <c r="B1068" s="4" t="s">
        <v>11702</v>
      </c>
      <c r="C1068">
        <v>38.189345981225898</v>
      </c>
      <c r="D1068">
        <v>31.113689808103199</v>
      </c>
      <c r="E1068">
        <v>0.29568532518637303</v>
      </c>
      <c r="F1068">
        <v>0.75094376119782802</v>
      </c>
      <c r="G1068" t="s">
        <v>4</v>
      </c>
      <c r="H1068">
        <v>38.189345981225898</v>
      </c>
      <c r="I1068">
        <v>2.1255378272463399</v>
      </c>
      <c r="J1068">
        <v>4.0958645462971299</v>
      </c>
      <c r="K1068" s="5">
        <v>8.3946410148432794E-5</v>
      </c>
      <c r="L1068" t="s">
        <v>4</v>
      </c>
      <c r="M1068">
        <v>31.113689808103199</v>
      </c>
      <c r="N1068">
        <v>2.1255378272463399</v>
      </c>
      <c r="O1068">
        <v>3.8001792211107501</v>
      </c>
      <c r="P1068">
        <v>2.4643563924157198E-4</v>
      </c>
      <c r="Q1068" t="s">
        <v>4</v>
      </c>
      <c r="R1068" s="4" t="s">
        <v>87</v>
      </c>
      <c r="S1068" t="s">
        <v>4</v>
      </c>
      <c r="T1068" t="s">
        <v>92</v>
      </c>
      <c r="U1068" t="s">
        <v>92</v>
      </c>
      <c r="V1068" t="s">
        <v>92</v>
      </c>
      <c r="W1068" t="s">
        <v>92</v>
      </c>
      <c r="X1068" t="s">
        <v>4</v>
      </c>
      <c r="Y1068" t="s">
        <v>92</v>
      </c>
      <c r="Z1068" t="s">
        <v>92</v>
      </c>
      <c r="AA1068" t="s">
        <v>92</v>
      </c>
      <c r="AB1068" t="s">
        <v>4</v>
      </c>
      <c r="AC1068" s="3" t="s">
        <v>93</v>
      </c>
      <c r="AD1068" t="s">
        <v>4</v>
      </c>
      <c r="AE1068" s="4" t="s">
        <v>94</v>
      </c>
      <c r="AZ1068" t="s">
        <v>4</v>
      </c>
      <c r="BA1068" s="3" t="s">
        <v>95</v>
      </c>
      <c r="BB1068" s="6" t="s">
        <v>95</v>
      </c>
      <c r="BC1068" s="3" t="s">
        <v>95</v>
      </c>
      <c r="BD1068" t="s">
        <v>4</v>
      </c>
      <c r="BE1068">
        <v>1196</v>
      </c>
      <c r="BF1068" t="s">
        <v>151</v>
      </c>
      <c r="BG1068">
        <v>54.917999999999999</v>
      </c>
      <c r="BI1068">
        <v>43.442599999999999</v>
      </c>
      <c r="CK1068">
        <v>2</v>
      </c>
      <c r="CL1068" t="s">
        <v>4</v>
      </c>
      <c r="CM1068" t="s">
        <v>98</v>
      </c>
      <c r="CN1068" t="s">
        <v>98</v>
      </c>
      <c r="CO1068" t="s">
        <v>99</v>
      </c>
      <c r="CP1068" t="s">
        <v>100</v>
      </c>
      <c r="CQ1068" t="s">
        <v>100</v>
      </c>
      <c r="CR1068" t="s">
        <v>100</v>
      </c>
      <c r="CS1068" t="s">
        <v>101</v>
      </c>
      <c r="CT1068" t="s">
        <v>152</v>
      </c>
      <c r="CU1068" t="s">
        <v>102</v>
      </c>
      <c r="CV1068" t="s">
        <v>100</v>
      </c>
    </row>
    <row r="1069" spans="1:100">
      <c r="A1069" s="3" t="s">
        <v>11703</v>
      </c>
      <c r="B1069" s="4" t="s">
        <v>11704</v>
      </c>
      <c r="C1069">
        <v>143.86242710265799</v>
      </c>
      <c r="D1069">
        <v>231.15457898631701</v>
      </c>
      <c r="E1069">
        <f>0.685044012094775</f>
        <v>0.68504401209477495</v>
      </c>
      <c r="F1069">
        <v>0.10618737961343599</v>
      </c>
      <c r="G1069" t="s">
        <v>4</v>
      </c>
      <c r="H1069">
        <v>143.86242710265799</v>
      </c>
      <c r="I1069">
        <v>15.798465311978999</v>
      </c>
      <c r="J1069">
        <v>3.1032666045519401</v>
      </c>
      <c r="K1069" s="5">
        <v>7.9305775524074002E-12</v>
      </c>
      <c r="L1069" t="s">
        <v>4</v>
      </c>
      <c r="M1069">
        <v>231.15457898631701</v>
      </c>
      <c r="N1069">
        <v>15.798465311978999</v>
      </c>
      <c r="O1069">
        <v>3.7883106166467102</v>
      </c>
      <c r="P1069" s="5">
        <v>2.3503645862115099E-17</v>
      </c>
      <c r="Q1069" t="s">
        <v>4</v>
      </c>
      <c r="R1069" s="4" t="s">
        <v>87</v>
      </c>
      <c r="S1069" t="s">
        <v>4</v>
      </c>
      <c r="T1069" t="s">
        <v>92</v>
      </c>
      <c r="U1069" t="s">
        <v>92</v>
      </c>
      <c r="V1069" t="s">
        <v>92</v>
      </c>
      <c r="W1069" t="s">
        <v>92</v>
      </c>
      <c r="X1069" t="s">
        <v>4</v>
      </c>
      <c r="Y1069" t="s">
        <v>11705</v>
      </c>
      <c r="Z1069" t="s">
        <v>11706</v>
      </c>
      <c r="AA1069" t="s">
        <v>11707</v>
      </c>
      <c r="AB1069" t="s">
        <v>4</v>
      </c>
      <c r="AC1069" s="3" t="s">
        <v>93</v>
      </c>
      <c r="AD1069" t="s">
        <v>4</v>
      </c>
      <c r="AE1069" t="s">
        <v>11708</v>
      </c>
      <c r="AF1069" t="s">
        <v>834</v>
      </c>
      <c r="AG1069" t="s">
        <v>11709</v>
      </c>
      <c r="AH1069" t="s">
        <v>112</v>
      </c>
      <c r="AJ1069" t="s">
        <v>11710</v>
      </c>
      <c r="AL1069" t="s">
        <v>11711</v>
      </c>
      <c r="AQ1069" t="s">
        <v>861</v>
      </c>
      <c r="AU1069" t="s">
        <v>112</v>
      </c>
      <c r="AV1069" t="s">
        <v>11712</v>
      </c>
      <c r="AW1069" t="s">
        <v>114</v>
      </c>
      <c r="AX1069" t="s">
        <v>733</v>
      </c>
      <c r="AY1069" t="s">
        <v>11713</v>
      </c>
      <c r="AZ1069" t="s">
        <v>4</v>
      </c>
      <c r="BA1069" s="3" t="s">
        <v>115</v>
      </c>
      <c r="BB1069" s="6" t="s">
        <v>95</v>
      </c>
      <c r="BC1069" s="3" t="s">
        <v>95</v>
      </c>
      <c r="BD1069" t="s">
        <v>4</v>
      </c>
      <c r="BE1069">
        <v>6912</v>
      </c>
      <c r="BF1069" t="s">
        <v>213</v>
      </c>
      <c r="BG1069" t="s">
        <v>11714</v>
      </c>
      <c r="BH1069">
        <v>14.2212</v>
      </c>
      <c r="BI1069">
        <v>72.460499999999996</v>
      </c>
      <c r="BJ1069">
        <v>48.683199999999999</v>
      </c>
      <c r="BK1069">
        <v>57.486800000000002</v>
      </c>
      <c r="BL1069" t="s">
        <v>11715</v>
      </c>
      <c r="BM1069">
        <v>45.748699999999999</v>
      </c>
      <c r="BN1069">
        <v>45.598199999999999</v>
      </c>
      <c r="BO1069">
        <v>56.5839</v>
      </c>
      <c r="BP1069">
        <v>34.762999999999998</v>
      </c>
      <c r="BQ1069">
        <v>24.8307</v>
      </c>
      <c r="BR1069">
        <v>29.4206</v>
      </c>
      <c r="BS1069">
        <v>27.1633</v>
      </c>
      <c r="BT1069">
        <v>21.745699999999999</v>
      </c>
      <c r="BU1069">
        <v>20.015000000000001</v>
      </c>
      <c r="BV1069" t="s">
        <v>11716</v>
      </c>
      <c r="BW1069">
        <v>18.133900000000001</v>
      </c>
      <c r="BX1069">
        <v>22.1219</v>
      </c>
      <c r="BY1069">
        <v>25.959399999999999</v>
      </c>
      <c r="BZ1069">
        <v>8.6531199999999995</v>
      </c>
      <c r="CA1069">
        <v>19.864599999999999</v>
      </c>
      <c r="CB1069">
        <v>10.157999999999999</v>
      </c>
      <c r="CC1069">
        <v>16.403300000000002</v>
      </c>
      <c r="CD1069">
        <v>17.381499999999999</v>
      </c>
      <c r="CF1069">
        <v>14.5974</v>
      </c>
      <c r="CG1069">
        <v>8.6531199999999995</v>
      </c>
      <c r="CH1069">
        <v>12.4153</v>
      </c>
      <c r="CK1069">
        <v>8</v>
      </c>
      <c r="CL1069" t="s">
        <v>4</v>
      </c>
      <c r="CM1069" t="s">
        <v>11717</v>
      </c>
      <c r="CN1069" t="s">
        <v>11718</v>
      </c>
      <c r="CO1069" t="s">
        <v>219</v>
      </c>
      <c r="CP1069" t="s">
        <v>100</v>
      </c>
      <c r="CQ1069" t="s">
        <v>100</v>
      </c>
      <c r="CR1069" t="s">
        <v>100</v>
      </c>
      <c r="CS1069" t="s">
        <v>101</v>
      </c>
      <c r="CT1069" t="s">
        <v>152</v>
      </c>
      <c r="CU1069" t="s">
        <v>102</v>
      </c>
      <c r="CV1069" t="s">
        <v>100</v>
      </c>
    </row>
    <row r="1070" spans="1:100">
      <c r="A1070" s="3" t="s">
        <v>11719</v>
      </c>
      <c r="B1070" s="4" t="s">
        <v>11720</v>
      </c>
      <c r="C1070">
        <v>2209.1905387483398</v>
      </c>
      <c r="D1070">
        <v>1676.6547210610499</v>
      </c>
      <c r="E1070">
        <v>0.397746595051089</v>
      </c>
      <c r="F1070">
        <v>0.251275904188139</v>
      </c>
      <c r="G1070" t="s">
        <v>4</v>
      </c>
      <c r="H1070">
        <v>2209.1905387483398</v>
      </c>
      <c r="I1070">
        <v>120.127871427633</v>
      </c>
      <c r="J1070">
        <v>4.1795794918521896</v>
      </c>
      <c r="K1070" s="5">
        <v>1.5736547277534301E-40</v>
      </c>
      <c r="L1070" t="s">
        <v>4</v>
      </c>
      <c r="M1070">
        <v>1676.6547210610499</v>
      </c>
      <c r="N1070">
        <v>120.127871427633</v>
      </c>
      <c r="O1070">
        <v>3.7818328968011001</v>
      </c>
      <c r="P1070" s="5">
        <v>1.8357090856377101E-33</v>
      </c>
      <c r="Q1070" t="s">
        <v>4</v>
      </c>
      <c r="R1070" s="4" t="s">
        <v>87</v>
      </c>
      <c r="S1070" t="s">
        <v>4</v>
      </c>
      <c r="T1070" t="s">
        <v>92</v>
      </c>
      <c r="U1070" t="s">
        <v>92</v>
      </c>
      <c r="V1070" t="s">
        <v>92</v>
      </c>
      <c r="W1070" t="s">
        <v>92</v>
      </c>
      <c r="X1070" t="s">
        <v>4</v>
      </c>
      <c r="Y1070" t="s">
        <v>92</v>
      </c>
      <c r="Z1070" t="s">
        <v>92</v>
      </c>
      <c r="AA1070" t="s">
        <v>92</v>
      </c>
      <c r="AB1070" t="s">
        <v>4</v>
      </c>
      <c r="AC1070" s="3" t="s">
        <v>93</v>
      </c>
      <c r="AD1070" t="s">
        <v>4</v>
      </c>
      <c r="AE1070" s="4" t="s">
        <v>94</v>
      </c>
      <c r="AZ1070" t="s">
        <v>4</v>
      </c>
      <c r="BA1070" s="3" t="s">
        <v>115</v>
      </c>
      <c r="BB1070" s="6" t="s">
        <v>95</v>
      </c>
      <c r="BC1070" s="3" t="s">
        <v>95</v>
      </c>
      <c r="BD1070" t="s">
        <v>4</v>
      </c>
      <c r="BE1070">
        <v>2240</v>
      </c>
      <c r="BF1070" t="s">
        <v>148</v>
      </c>
      <c r="BG1070">
        <v>92.844999999999999</v>
      </c>
      <c r="BH1070">
        <v>81.090299999999999</v>
      </c>
      <c r="BI1070">
        <v>87.563900000000004</v>
      </c>
      <c r="BJ1070" t="s">
        <v>11721</v>
      </c>
      <c r="BK1070">
        <v>62.350900000000003</v>
      </c>
      <c r="BL1070" t="s">
        <v>11722</v>
      </c>
      <c r="BM1070">
        <v>64.735900000000001</v>
      </c>
      <c r="BN1070">
        <v>62.180599999999998</v>
      </c>
      <c r="BO1070">
        <v>62.691699999999997</v>
      </c>
      <c r="CK1070">
        <v>3</v>
      </c>
      <c r="CL1070" t="s">
        <v>4</v>
      </c>
      <c r="CM1070" t="s">
        <v>98</v>
      </c>
      <c r="CN1070" t="s">
        <v>98</v>
      </c>
      <c r="CO1070" t="s">
        <v>99</v>
      </c>
      <c r="CP1070" t="s">
        <v>100</v>
      </c>
      <c r="CQ1070" t="s">
        <v>100</v>
      </c>
      <c r="CR1070" t="s">
        <v>100</v>
      </c>
      <c r="CS1070" t="s">
        <v>101</v>
      </c>
      <c r="CT1070" t="s">
        <v>152</v>
      </c>
      <c r="CU1070" t="s">
        <v>102</v>
      </c>
      <c r="CV1070" t="s">
        <v>100</v>
      </c>
    </row>
    <row r="1071" spans="1:100">
      <c r="A1071" s="3" t="s">
        <v>11723</v>
      </c>
      <c r="B1071" s="4" t="s">
        <v>11724</v>
      </c>
      <c r="C1071">
        <v>75.241273191646499</v>
      </c>
      <c r="D1071">
        <v>126.175203357756</v>
      </c>
      <c r="E1071">
        <f>0.749685503952213</f>
        <v>0.74968550395221301</v>
      </c>
      <c r="F1071">
        <v>0.20934270150689099</v>
      </c>
      <c r="G1071" t="s">
        <v>4</v>
      </c>
      <c r="H1071">
        <v>75.241273191646499</v>
      </c>
      <c r="I1071">
        <v>8.9920247025623503</v>
      </c>
      <c r="J1071">
        <v>3.01502010652049</v>
      </c>
      <c r="K1071" s="5">
        <v>2.21686338888469E-6</v>
      </c>
      <c r="L1071" t="s">
        <v>4</v>
      </c>
      <c r="M1071">
        <v>126.175203357756</v>
      </c>
      <c r="N1071">
        <v>8.9920247025623503</v>
      </c>
      <c r="O1071">
        <v>3.7647056104727001</v>
      </c>
      <c r="P1071" s="5">
        <v>1.43628416823738E-9</v>
      </c>
      <c r="Q1071" t="s">
        <v>4</v>
      </c>
      <c r="R1071" s="4" t="s">
        <v>87</v>
      </c>
      <c r="S1071" t="s">
        <v>4</v>
      </c>
      <c r="T1071" t="s">
        <v>460</v>
      </c>
      <c r="U1071" t="s">
        <v>461</v>
      </c>
      <c r="V1071" t="s">
        <v>462</v>
      </c>
      <c r="W1071" t="s">
        <v>123</v>
      </c>
      <c r="X1071" t="s">
        <v>4</v>
      </c>
      <c r="Y1071" t="s">
        <v>6643</v>
      </c>
      <c r="Z1071" t="s">
        <v>6644</v>
      </c>
      <c r="AA1071" t="s">
        <v>6645</v>
      </c>
      <c r="AB1071" t="s">
        <v>4</v>
      </c>
      <c r="AC1071" s="3" t="s">
        <v>93</v>
      </c>
      <c r="AD1071" t="s">
        <v>4</v>
      </c>
      <c r="AE1071" t="s">
        <v>3190</v>
      </c>
      <c r="AF1071" t="s">
        <v>11111</v>
      </c>
      <c r="AG1071" t="s">
        <v>11725</v>
      </c>
      <c r="AH1071" t="s">
        <v>112</v>
      </c>
      <c r="AJ1071" t="s">
        <v>3193</v>
      </c>
      <c r="AK1071" t="s">
        <v>3194</v>
      </c>
      <c r="AL1071" t="s">
        <v>3195</v>
      </c>
      <c r="AM1071" t="s">
        <v>3196</v>
      </c>
      <c r="AQ1071" t="s">
        <v>3197</v>
      </c>
      <c r="AU1071" t="s">
        <v>112</v>
      </c>
      <c r="AV1071" t="s">
        <v>3198</v>
      </c>
      <c r="AW1071" t="s">
        <v>114</v>
      </c>
      <c r="AX1071" t="s">
        <v>2157</v>
      </c>
      <c r="AY1071" t="s">
        <v>3199</v>
      </c>
      <c r="AZ1071" t="s">
        <v>4</v>
      </c>
      <c r="BA1071" s="3" t="s">
        <v>95</v>
      </c>
      <c r="BB1071" s="6" t="s">
        <v>95</v>
      </c>
      <c r="BC1071" s="3" t="s">
        <v>95</v>
      </c>
      <c r="BD1071" t="s">
        <v>4</v>
      </c>
      <c r="BE1071">
        <v>1698</v>
      </c>
      <c r="BF1071" t="s">
        <v>151</v>
      </c>
      <c r="BG1071">
        <v>94.755200000000002</v>
      </c>
      <c r="CK1071">
        <v>2</v>
      </c>
      <c r="CL1071" t="s">
        <v>4</v>
      </c>
      <c r="CM1071" t="s">
        <v>98</v>
      </c>
      <c r="CN1071" t="s">
        <v>98</v>
      </c>
      <c r="CO1071" t="s">
        <v>99</v>
      </c>
      <c r="CP1071" t="s">
        <v>100</v>
      </c>
      <c r="CQ1071" t="s">
        <v>100</v>
      </c>
      <c r="CR1071" t="s">
        <v>100</v>
      </c>
      <c r="CS1071" t="s">
        <v>101</v>
      </c>
      <c r="CT1071" t="s">
        <v>152</v>
      </c>
      <c r="CU1071" t="s">
        <v>102</v>
      </c>
      <c r="CV1071" t="s">
        <v>100</v>
      </c>
    </row>
    <row r="1072" spans="1:100">
      <c r="A1072" s="3" t="s">
        <v>11726</v>
      </c>
      <c r="B1072" s="4" t="s">
        <v>11727</v>
      </c>
      <c r="C1072">
        <v>31.411385831711399</v>
      </c>
      <c r="D1072">
        <v>58.395087002545203</v>
      </c>
      <c r="E1072">
        <f>0.899440330389108</f>
        <v>0.89944033038910798</v>
      </c>
      <c r="F1072">
        <v>0.15290910809604899</v>
      </c>
      <c r="G1072" t="s">
        <v>4</v>
      </c>
      <c r="H1072">
        <v>31.411385831711399</v>
      </c>
      <c r="I1072">
        <v>3.9634822322470402</v>
      </c>
      <c r="J1072">
        <v>2.8616697846889299</v>
      </c>
      <c r="K1072">
        <v>1.84468769167816E-4</v>
      </c>
      <c r="L1072" t="s">
        <v>4</v>
      </c>
      <c r="M1072">
        <v>58.395087002545203</v>
      </c>
      <c r="N1072">
        <v>3.9634822322470402</v>
      </c>
      <c r="O1072">
        <v>3.7611101150780399</v>
      </c>
      <c r="P1072" s="5">
        <v>3.69392802664356E-7</v>
      </c>
      <c r="Q1072" t="s">
        <v>4</v>
      </c>
      <c r="R1072" s="4" t="s">
        <v>87</v>
      </c>
      <c r="S1072" t="s">
        <v>4</v>
      </c>
      <c r="T1072" t="s">
        <v>460</v>
      </c>
      <c r="U1072" t="s">
        <v>461</v>
      </c>
      <c r="V1072" t="s">
        <v>462</v>
      </c>
      <c r="W1072" t="s">
        <v>123</v>
      </c>
      <c r="X1072" t="s">
        <v>4</v>
      </c>
      <c r="Y1072" t="s">
        <v>6643</v>
      </c>
      <c r="Z1072" t="s">
        <v>6644</v>
      </c>
      <c r="AA1072" t="s">
        <v>6645</v>
      </c>
      <c r="AB1072" t="s">
        <v>4</v>
      </c>
      <c r="AC1072" s="3" t="s">
        <v>93</v>
      </c>
      <c r="AD1072" t="s">
        <v>4</v>
      </c>
      <c r="AE1072" t="s">
        <v>3190</v>
      </c>
      <c r="AF1072" t="s">
        <v>11728</v>
      </c>
      <c r="AG1072" t="s">
        <v>3192</v>
      </c>
      <c r="AH1072" t="s">
        <v>112</v>
      </c>
      <c r="AJ1072" t="s">
        <v>3193</v>
      </c>
      <c r="AK1072" t="s">
        <v>3194</v>
      </c>
      <c r="AL1072" t="s">
        <v>3195</v>
      </c>
      <c r="AM1072" t="s">
        <v>3196</v>
      </c>
      <c r="AQ1072" t="s">
        <v>3197</v>
      </c>
      <c r="AU1072" t="s">
        <v>112</v>
      </c>
      <c r="AV1072" t="s">
        <v>3198</v>
      </c>
      <c r="AW1072" t="s">
        <v>114</v>
      </c>
      <c r="AX1072" t="s">
        <v>2157</v>
      </c>
      <c r="AY1072" t="s">
        <v>3199</v>
      </c>
      <c r="AZ1072" t="s">
        <v>4</v>
      </c>
      <c r="BA1072" s="3" t="s">
        <v>95</v>
      </c>
      <c r="BB1072" s="6" t="s">
        <v>95</v>
      </c>
      <c r="BC1072" s="3" t="s">
        <v>95</v>
      </c>
      <c r="BD1072" t="s">
        <v>4</v>
      </c>
      <c r="BE1072">
        <v>1685</v>
      </c>
      <c r="BF1072" t="s">
        <v>151</v>
      </c>
      <c r="BI1072">
        <v>71.428600000000003</v>
      </c>
      <c r="BJ1072" t="s">
        <v>11729</v>
      </c>
      <c r="CK1072">
        <v>2</v>
      </c>
      <c r="CL1072" t="s">
        <v>4</v>
      </c>
      <c r="CM1072" t="s">
        <v>98</v>
      </c>
      <c r="CN1072" t="s">
        <v>98</v>
      </c>
      <c r="CO1072" t="s">
        <v>99</v>
      </c>
      <c r="CP1072" t="s">
        <v>100</v>
      </c>
      <c r="CQ1072" t="s">
        <v>100</v>
      </c>
      <c r="CR1072" t="s">
        <v>100</v>
      </c>
      <c r="CS1072" t="s">
        <v>101</v>
      </c>
      <c r="CT1072" t="s">
        <v>152</v>
      </c>
      <c r="CU1072" t="s">
        <v>102</v>
      </c>
      <c r="CV1072" t="s">
        <v>100</v>
      </c>
    </row>
    <row r="1073" spans="1:100">
      <c r="A1073" s="3" t="s">
        <v>11730</v>
      </c>
      <c r="B1073" s="4" t="s">
        <v>11731</v>
      </c>
      <c r="C1073">
        <v>8.4613500216577595</v>
      </c>
      <c r="D1073">
        <v>27.0632544043679</v>
      </c>
      <c r="E1073">
        <f>-1.67210973271347</f>
        <v>-1.67210973271347</v>
      </c>
      <c r="F1073">
        <v>0.11159197527123201</v>
      </c>
      <c r="G1073" t="s">
        <v>4</v>
      </c>
      <c r="H1073">
        <v>8.4613500216577595</v>
      </c>
      <c r="I1073">
        <v>1.68508876427962</v>
      </c>
      <c r="J1073">
        <v>2.08039280089965</v>
      </c>
      <c r="K1073">
        <v>0.103445529484604</v>
      </c>
      <c r="L1073" t="s">
        <v>4</v>
      </c>
      <c r="M1073">
        <v>27.0632544043679</v>
      </c>
      <c r="N1073">
        <v>1.68508876427962</v>
      </c>
      <c r="O1073">
        <v>3.7525025336131201</v>
      </c>
      <c r="P1073">
        <v>1.73332049889669E-3</v>
      </c>
      <c r="Q1073" t="s">
        <v>4</v>
      </c>
      <c r="R1073" s="4" t="s">
        <v>87</v>
      </c>
      <c r="S1073" t="s">
        <v>4</v>
      </c>
      <c r="T1073" t="s">
        <v>11732</v>
      </c>
      <c r="U1073" t="s">
        <v>11733</v>
      </c>
      <c r="V1073" t="s">
        <v>11734</v>
      </c>
      <c r="W1073" t="s">
        <v>976</v>
      </c>
      <c r="X1073" t="s">
        <v>4</v>
      </c>
      <c r="Y1073" t="s">
        <v>11735</v>
      </c>
      <c r="Z1073" t="s">
        <v>11736</v>
      </c>
      <c r="AA1073" t="s">
        <v>11737</v>
      </c>
      <c r="AB1073" t="s">
        <v>4</v>
      </c>
      <c r="AC1073" s="3" t="s">
        <v>11738</v>
      </c>
      <c r="AD1073" t="s">
        <v>4</v>
      </c>
      <c r="AE1073" s="4" t="s">
        <v>94</v>
      </c>
      <c r="AZ1073" t="s">
        <v>4</v>
      </c>
      <c r="BA1073" s="3" t="s">
        <v>95</v>
      </c>
      <c r="BB1073" t="s">
        <v>96</v>
      </c>
      <c r="BC1073" s="3" t="s">
        <v>95</v>
      </c>
      <c r="BD1073" t="s">
        <v>4</v>
      </c>
      <c r="BE1073">
        <v>836</v>
      </c>
      <c r="BF1073" t="s">
        <v>604</v>
      </c>
      <c r="BG1073">
        <v>77.108400000000003</v>
      </c>
      <c r="BH1073">
        <v>63.855400000000003</v>
      </c>
      <c r="CK1073">
        <v>1.5</v>
      </c>
      <c r="CL1073" t="s">
        <v>4</v>
      </c>
      <c r="CM1073" t="s">
        <v>98</v>
      </c>
      <c r="CN1073" t="s">
        <v>98</v>
      </c>
      <c r="CO1073" t="s">
        <v>99</v>
      </c>
      <c r="CP1073" t="s">
        <v>100</v>
      </c>
      <c r="CQ1073" t="s">
        <v>100</v>
      </c>
      <c r="CR1073" t="s">
        <v>100</v>
      </c>
      <c r="CS1073" t="s">
        <v>100</v>
      </c>
      <c r="CT1073" t="s">
        <v>152</v>
      </c>
      <c r="CU1073" t="s">
        <v>102</v>
      </c>
      <c r="CV1073" t="s">
        <v>100</v>
      </c>
    </row>
    <row r="1074" spans="1:100">
      <c r="A1074" s="3" t="s">
        <v>11739</v>
      </c>
      <c r="B1074" s="4" t="s">
        <v>11740</v>
      </c>
      <c r="C1074">
        <v>2339.1301776810801</v>
      </c>
      <c r="D1074">
        <v>2377.1276896640002</v>
      </c>
      <c r="E1074">
        <f>0.0233732313554675</f>
        <v>2.33732313554675E-2</v>
      </c>
      <c r="F1074">
        <v>0.95451552983961596</v>
      </c>
      <c r="G1074" t="s">
        <v>4</v>
      </c>
      <c r="H1074">
        <v>2339.1301776810801</v>
      </c>
      <c r="I1074">
        <v>176.03708903159901</v>
      </c>
      <c r="J1074">
        <v>3.7238177399013299</v>
      </c>
      <c r="K1074" s="5">
        <v>1.07120898768917E-32</v>
      </c>
      <c r="L1074" t="s">
        <v>4</v>
      </c>
      <c r="M1074">
        <v>2377.1276896640002</v>
      </c>
      <c r="N1074">
        <v>176.03708903159901</v>
      </c>
      <c r="O1074">
        <v>3.7471909712567899</v>
      </c>
      <c r="P1074" s="5">
        <v>3.0952036433573499E-33</v>
      </c>
      <c r="Q1074" t="s">
        <v>4</v>
      </c>
      <c r="R1074" s="4" t="s">
        <v>87</v>
      </c>
      <c r="S1074" t="s">
        <v>4</v>
      </c>
      <c r="T1074" t="s">
        <v>2243</v>
      </c>
      <c r="U1074" t="s">
        <v>2244</v>
      </c>
      <c r="V1074" t="s">
        <v>2245</v>
      </c>
      <c r="W1074" t="s">
        <v>123</v>
      </c>
      <c r="X1074" t="s">
        <v>4</v>
      </c>
      <c r="Y1074" t="s">
        <v>11741</v>
      </c>
      <c r="Z1074" t="s">
        <v>11742</v>
      </c>
      <c r="AA1074" t="s">
        <v>11743</v>
      </c>
      <c r="AB1074" t="s">
        <v>4</v>
      </c>
      <c r="AC1074" s="3" t="s">
        <v>11744</v>
      </c>
      <c r="AD1074" t="s">
        <v>4</v>
      </c>
      <c r="AE1074" t="s">
        <v>11745</v>
      </c>
      <c r="AF1074" t="s">
        <v>834</v>
      </c>
      <c r="AG1074" t="s">
        <v>11746</v>
      </c>
      <c r="AH1074" t="s">
        <v>112</v>
      </c>
      <c r="AU1074" t="s">
        <v>112</v>
      </c>
      <c r="AV1074" t="s">
        <v>11747</v>
      </c>
      <c r="AW1074" t="s">
        <v>114</v>
      </c>
      <c r="AX1074" t="s">
        <v>144</v>
      </c>
      <c r="AY1074" t="s">
        <v>11748</v>
      </c>
      <c r="AZ1074" t="s">
        <v>4</v>
      </c>
      <c r="BA1074" s="3" t="s">
        <v>115</v>
      </c>
      <c r="BB1074" s="6" t="s">
        <v>95</v>
      </c>
      <c r="BC1074" s="3" t="s">
        <v>95</v>
      </c>
      <c r="BD1074" t="s">
        <v>4</v>
      </c>
      <c r="BE1074">
        <v>7944</v>
      </c>
      <c r="BF1074" t="s">
        <v>213</v>
      </c>
      <c r="BG1074">
        <v>98.510400000000004</v>
      </c>
      <c r="BI1074">
        <v>93.588099999999997</v>
      </c>
      <c r="BJ1074">
        <v>59.391199999999998</v>
      </c>
      <c r="BK1074">
        <v>52.914499999999997</v>
      </c>
      <c r="BN1074">
        <v>76.619200000000006</v>
      </c>
      <c r="BR1074">
        <v>3.3031100000000002</v>
      </c>
      <c r="CA1074">
        <v>3.6269399999999998</v>
      </c>
      <c r="CC1074">
        <v>6.1528499999999999</v>
      </c>
      <c r="CG1074" t="s">
        <v>11749</v>
      </c>
      <c r="CH1074" t="s">
        <v>11750</v>
      </c>
      <c r="CK1074">
        <v>8</v>
      </c>
      <c r="CL1074" t="s">
        <v>4</v>
      </c>
      <c r="CM1074" t="s">
        <v>11751</v>
      </c>
      <c r="CN1074" t="s">
        <v>11752</v>
      </c>
      <c r="CO1074" t="s">
        <v>219</v>
      </c>
      <c r="CP1074" t="s">
        <v>100</v>
      </c>
      <c r="CQ1074" t="s">
        <v>100</v>
      </c>
      <c r="CR1074" t="s">
        <v>100</v>
      </c>
      <c r="CS1074" t="s">
        <v>101</v>
      </c>
      <c r="CT1074" t="s">
        <v>152</v>
      </c>
      <c r="CU1074" t="s">
        <v>102</v>
      </c>
      <c r="CV1074" t="s">
        <v>100</v>
      </c>
    </row>
    <row r="1075" spans="1:100">
      <c r="A1075" s="3" t="s">
        <v>11753</v>
      </c>
      <c r="B1075" s="4" t="s">
        <v>11754</v>
      </c>
      <c r="C1075">
        <v>1241.9703365266</v>
      </c>
      <c r="D1075">
        <v>2313.3821754181299</v>
      </c>
      <c r="E1075">
        <f>0.896909872102272</f>
        <v>0.89690987210227202</v>
      </c>
      <c r="F1075" s="5">
        <v>3.4389064392768501E-5</v>
      </c>
      <c r="G1075" t="s">
        <v>4</v>
      </c>
      <c r="H1075">
        <v>1241.9703365266</v>
      </c>
      <c r="I1075">
        <v>172.114984501089</v>
      </c>
      <c r="J1075">
        <v>2.8449056934386099</v>
      </c>
      <c r="K1075" s="5">
        <v>9.0188025575251996E-40</v>
      </c>
      <c r="L1075" t="s">
        <v>4</v>
      </c>
      <c r="M1075">
        <v>2313.3821754181299</v>
      </c>
      <c r="N1075">
        <v>172.114984501089</v>
      </c>
      <c r="O1075">
        <v>3.7418155655408798</v>
      </c>
      <c r="P1075" s="5">
        <v>1.57371788701987E-68</v>
      </c>
      <c r="Q1075" t="s">
        <v>4</v>
      </c>
      <c r="R1075" s="4" t="s">
        <v>87</v>
      </c>
      <c r="S1075" t="s">
        <v>4</v>
      </c>
      <c r="T1075" t="s">
        <v>92</v>
      </c>
      <c r="U1075" t="s">
        <v>92</v>
      </c>
      <c r="V1075" t="s">
        <v>92</v>
      </c>
      <c r="W1075" t="s">
        <v>92</v>
      </c>
      <c r="X1075" t="s">
        <v>4</v>
      </c>
      <c r="Y1075" t="s">
        <v>92</v>
      </c>
      <c r="Z1075" t="s">
        <v>92</v>
      </c>
      <c r="AA1075" t="s">
        <v>92</v>
      </c>
      <c r="AB1075" t="s">
        <v>4</v>
      </c>
      <c r="AC1075" s="3" t="s">
        <v>93</v>
      </c>
      <c r="AD1075" t="s">
        <v>4</v>
      </c>
      <c r="AE1075" s="4" t="s">
        <v>94</v>
      </c>
      <c r="AZ1075" t="s">
        <v>4</v>
      </c>
      <c r="BA1075" s="3" t="s">
        <v>95</v>
      </c>
      <c r="BB1075" s="6" t="s">
        <v>95</v>
      </c>
      <c r="BC1075" s="3" t="s">
        <v>95</v>
      </c>
      <c r="BD1075" t="s">
        <v>4</v>
      </c>
      <c r="BE1075">
        <v>2147</v>
      </c>
      <c r="BF1075" t="s">
        <v>148</v>
      </c>
      <c r="BG1075">
        <v>93.567300000000003</v>
      </c>
      <c r="BH1075">
        <v>66.666700000000006</v>
      </c>
      <c r="BI1075">
        <v>80.701800000000006</v>
      </c>
      <c r="BJ1075">
        <v>72.514600000000002</v>
      </c>
      <c r="BK1075">
        <v>69.005899999999997</v>
      </c>
      <c r="BL1075">
        <v>42.1053</v>
      </c>
      <c r="BM1075">
        <v>73.099400000000003</v>
      </c>
      <c r="BN1075">
        <v>70.760199999999998</v>
      </c>
      <c r="BO1075">
        <v>69.590599999999995</v>
      </c>
      <c r="CK1075">
        <v>3</v>
      </c>
      <c r="CL1075" t="s">
        <v>4</v>
      </c>
      <c r="CM1075" t="s">
        <v>98</v>
      </c>
      <c r="CN1075" t="s">
        <v>98</v>
      </c>
      <c r="CO1075" t="s">
        <v>99</v>
      </c>
      <c r="CP1075" t="s">
        <v>100</v>
      </c>
      <c r="CQ1075" t="s">
        <v>100</v>
      </c>
      <c r="CR1075" t="s">
        <v>100</v>
      </c>
      <c r="CS1075" t="s">
        <v>101</v>
      </c>
      <c r="CT1075" t="s">
        <v>152</v>
      </c>
      <c r="CU1075" t="s">
        <v>102</v>
      </c>
      <c r="CV1075" t="s">
        <v>100</v>
      </c>
    </row>
    <row r="1076" spans="1:100">
      <c r="A1076" s="3" t="s">
        <v>11755</v>
      </c>
      <c r="B1076" s="4" t="s">
        <v>11756</v>
      </c>
      <c r="C1076">
        <v>38.170129557840703</v>
      </c>
      <c r="D1076">
        <v>24.352024182764001</v>
      </c>
      <c r="E1076">
        <v>0.65279106235132001</v>
      </c>
      <c r="F1076">
        <v>0.32035238493899298</v>
      </c>
      <c r="G1076" t="s">
        <v>4</v>
      </c>
      <c r="H1076">
        <v>38.170129557840703</v>
      </c>
      <c r="I1076">
        <v>1.7885200743904099</v>
      </c>
      <c r="J1076">
        <v>4.3909430792826996</v>
      </c>
      <c r="K1076" s="5">
        <v>4.0500399956464002E-6</v>
      </c>
      <c r="L1076" t="s">
        <v>4</v>
      </c>
      <c r="M1076">
        <v>24.352024182764001</v>
      </c>
      <c r="N1076">
        <v>1.7885200743904099</v>
      </c>
      <c r="O1076">
        <v>3.7381520169313802</v>
      </c>
      <c r="P1076" s="5">
        <v>9.4713745926086997E-5</v>
      </c>
      <c r="Q1076" t="s">
        <v>4</v>
      </c>
      <c r="R1076" s="4" t="s">
        <v>87</v>
      </c>
      <c r="S1076" t="s">
        <v>4</v>
      </c>
      <c r="T1076" t="s">
        <v>92</v>
      </c>
      <c r="U1076" t="s">
        <v>92</v>
      </c>
      <c r="V1076" t="s">
        <v>92</v>
      </c>
      <c r="W1076" t="s">
        <v>92</v>
      </c>
      <c r="X1076" t="s">
        <v>4</v>
      </c>
      <c r="Y1076" t="s">
        <v>92</v>
      </c>
      <c r="Z1076" t="s">
        <v>92</v>
      </c>
      <c r="AA1076" t="s">
        <v>92</v>
      </c>
      <c r="AB1076" t="s">
        <v>4</v>
      </c>
      <c r="AC1076" s="3" t="s">
        <v>93</v>
      </c>
      <c r="AD1076" t="s">
        <v>4</v>
      </c>
      <c r="AE1076" t="s">
        <v>11757</v>
      </c>
      <c r="AF1076" t="s">
        <v>11758</v>
      </c>
      <c r="AG1076" t="s">
        <v>11759</v>
      </c>
      <c r="AH1076" t="s">
        <v>638</v>
      </c>
      <c r="AU1076" t="s">
        <v>112</v>
      </c>
      <c r="AV1076" t="s">
        <v>11760</v>
      </c>
      <c r="AW1076" t="s">
        <v>114</v>
      </c>
      <c r="AX1076" t="s">
        <v>2139</v>
      </c>
      <c r="AY1076" t="s">
        <v>11761</v>
      </c>
      <c r="AZ1076" t="s">
        <v>4</v>
      </c>
      <c r="BA1076" s="3" t="s">
        <v>115</v>
      </c>
      <c r="BB1076" s="6" t="s">
        <v>95</v>
      </c>
      <c r="BC1076" s="3" t="s">
        <v>95</v>
      </c>
      <c r="BD1076" t="s">
        <v>4</v>
      </c>
      <c r="BE1076">
        <v>4543</v>
      </c>
      <c r="BF1076" t="s">
        <v>112</v>
      </c>
      <c r="BG1076">
        <v>30.078099999999999</v>
      </c>
      <c r="BI1076">
        <v>28.515599999999999</v>
      </c>
      <c r="BJ1076">
        <v>27.343800000000002</v>
      </c>
      <c r="BK1076">
        <v>67.578100000000006</v>
      </c>
      <c r="BN1076">
        <v>68.359399999999994</v>
      </c>
      <c r="BP1076">
        <v>44.531199999999998</v>
      </c>
      <c r="BR1076">
        <v>29.6875</v>
      </c>
      <c r="BS1076">
        <v>27.343800000000002</v>
      </c>
      <c r="CK1076">
        <v>5</v>
      </c>
      <c r="CL1076" t="s">
        <v>4</v>
      </c>
      <c r="CM1076" t="s">
        <v>98</v>
      </c>
      <c r="CN1076" t="s">
        <v>98</v>
      </c>
      <c r="CO1076" t="s">
        <v>99</v>
      </c>
      <c r="CP1076" t="s">
        <v>100</v>
      </c>
      <c r="CQ1076" t="s">
        <v>100</v>
      </c>
      <c r="CR1076" t="s">
        <v>100</v>
      </c>
      <c r="CS1076" t="s">
        <v>101</v>
      </c>
      <c r="CT1076" t="s">
        <v>152</v>
      </c>
      <c r="CU1076" t="s">
        <v>102</v>
      </c>
      <c r="CV1076" t="s">
        <v>100</v>
      </c>
    </row>
    <row r="1077" spans="1:100">
      <c r="A1077" s="3" t="s">
        <v>11762</v>
      </c>
      <c r="B1077" s="4" t="s">
        <v>11763</v>
      </c>
      <c r="C1077">
        <v>47939.089027259899</v>
      </c>
      <c r="D1077">
        <v>29255.128459482799</v>
      </c>
      <c r="E1077">
        <v>0.71251520021116799</v>
      </c>
      <c r="F1077">
        <v>0.277222260629928</v>
      </c>
      <c r="G1077" t="s">
        <v>4</v>
      </c>
      <c r="H1077">
        <v>47939.089027259899</v>
      </c>
      <c r="I1077">
        <v>2199.0964853442101</v>
      </c>
      <c r="J1077">
        <v>4.4464158079874601</v>
      </c>
      <c r="K1077" s="5">
        <v>1.06961396388367E-14</v>
      </c>
      <c r="L1077" t="s">
        <v>4</v>
      </c>
      <c r="M1077">
        <v>29255.128459482799</v>
      </c>
      <c r="N1077">
        <v>2199.0964853442101</v>
      </c>
      <c r="O1077">
        <v>3.73390060777629</v>
      </c>
      <c r="P1077" s="5">
        <v>8.5655960625221195E-11</v>
      </c>
      <c r="Q1077" t="s">
        <v>4</v>
      </c>
      <c r="R1077" s="4" t="s">
        <v>87</v>
      </c>
      <c r="S1077" t="s">
        <v>4</v>
      </c>
      <c r="T1077" t="s">
        <v>11502</v>
      </c>
      <c r="U1077" t="s">
        <v>11503</v>
      </c>
      <c r="V1077" t="s">
        <v>11504</v>
      </c>
      <c r="W1077" t="s">
        <v>507</v>
      </c>
      <c r="X1077" t="s">
        <v>4</v>
      </c>
      <c r="Y1077" t="s">
        <v>11764</v>
      </c>
      <c r="Z1077" t="s">
        <v>11765</v>
      </c>
      <c r="AA1077" t="s">
        <v>11766</v>
      </c>
      <c r="AB1077" t="s">
        <v>4</v>
      </c>
      <c r="AC1077" s="3" t="s">
        <v>11767</v>
      </c>
      <c r="AD1077" t="s">
        <v>4</v>
      </c>
      <c r="AE1077" t="s">
        <v>11768</v>
      </c>
      <c r="AF1077" t="s">
        <v>11769</v>
      </c>
      <c r="AG1077" t="s">
        <v>11770</v>
      </c>
      <c r="AH1077" t="s">
        <v>112</v>
      </c>
      <c r="AU1077" t="s">
        <v>112</v>
      </c>
      <c r="AV1077" t="s">
        <v>6431</v>
      </c>
      <c r="AW1077" t="s">
        <v>114</v>
      </c>
      <c r="AX1077" t="s">
        <v>2139</v>
      </c>
      <c r="AY1077" t="s">
        <v>6432</v>
      </c>
      <c r="AZ1077" t="s">
        <v>4</v>
      </c>
      <c r="BA1077" s="3" t="s">
        <v>95</v>
      </c>
      <c r="BB1077" s="6" t="s">
        <v>95</v>
      </c>
      <c r="BC1077" s="3" t="s">
        <v>95</v>
      </c>
      <c r="BD1077" t="s">
        <v>4</v>
      </c>
      <c r="BE1077">
        <v>10115</v>
      </c>
      <c r="BF1077" t="s">
        <v>169</v>
      </c>
      <c r="BG1077">
        <v>100</v>
      </c>
      <c r="BI1077">
        <v>98.412700000000001</v>
      </c>
      <c r="BJ1077">
        <v>100</v>
      </c>
      <c r="BK1077">
        <v>100</v>
      </c>
      <c r="BL1077">
        <v>57.936500000000002</v>
      </c>
      <c r="BN1077">
        <v>98.412700000000001</v>
      </c>
      <c r="BO1077">
        <v>100</v>
      </c>
      <c r="BQ1077" t="s">
        <v>11771</v>
      </c>
      <c r="BR1077" t="s">
        <v>11772</v>
      </c>
      <c r="BS1077" t="s">
        <v>11773</v>
      </c>
      <c r="BT1077" t="s">
        <v>11774</v>
      </c>
      <c r="BU1077">
        <v>90.476200000000006</v>
      </c>
      <c r="BV1077" t="s">
        <v>11775</v>
      </c>
      <c r="BW1077" t="s">
        <v>11776</v>
      </c>
      <c r="BY1077">
        <v>41.269799999999996</v>
      </c>
      <c r="CA1077" t="s">
        <v>11777</v>
      </c>
      <c r="CB1077" t="s">
        <v>11778</v>
      </c>
      <c r="CC1077" t="s">
        <v>11779</v>
      </c>
      <c r="CD1077" t="s">
        <v>11780</v>
      </c>
      <c r="CE1077" t="s">
        <v>11781</v>
      </c>
      <c r="CG1077">
        <v>85.714299999999994</v>
      </c>
      <c r="CH1077">
        <v>84.920599999999993</v>
      </c>
      <c r="CI1077" t="s">
        <v>11782</v>
      </c>
      <c r="CJ1077">
        <v>75.396799999999999</v>
      </c>
      <c r="CK1077">
        <v>9</v>
      </c>
      <c r="CL1077" t="s">
        <v>4</v>
      </c>
      <c r="CM1077" t="s">
        <v>11783</v>
      </c>
      <c r="CN1077" t="s">
        <v>11784</v>
      </c>
      <c r="CO1077" t="s">
        <v>11785</v>
      </c>
      <c r="CP1077" t="s">
        <v>100</v>
      </c>
      <c r="CQ1077" t="s">
        <v>100</v>
      </c>
      <c r="CR1077" t="s">
        <v>100</v>
      </c>
      <c r="CS1077" t="s">
        <v>101</v>
      </c>
      <c r="CT1077" t="s">
        <v>152</v>
      </c>
      <c r="CU1077" t="s">
        <v>102</v>
      </c>
      <c r="CV1077" t="s">
        <v>100</v>
      </c>
    </row>
    <row r="1078" spans="1:100">
      <c r="A1078" s="3" t="s">
        <v>11786</v>
      </c>
      <c r="B1078" s="4" t="s">
        <v>11787</v>
      </c>
      <c r="C1078">
        <v>1595.4650951600699</v>
      </c>
      <c r="D1078">
        <v>2205.27545106054</v>
      </c>
      <c r="E1078">
        <f>0.467185101280427</f>
        <v>0.46718510128042701</v>
      </c>
      <c r="F1078">
        <v>0.151264096308451</v>
      </c>
      <c r="G1078" t="s">
        <v>4</v>
      </c>
      <c r="H1078">
        <v>1595.4650951600699</v>
      </c>
      <c r="I1078">
        <v>164.506911300767</v>
      </c>
      <c r="J1078">
        <v>3.26537656963399</v>
      </c>
      <c r="K1078" s="5">
        <v>4.23173570068162E-28</v>
      </c>
      <c r="L1078" t="s">
        <v>4</v>
      </c>
      <c r="M1078">
        <v>2205.27545106054</v>
      </c>
      <c r="N1078">
        <v>164.506911300767</v>
      </c>
      <c r="O1078">
        <v>3.73256167091442</v>
      </c>
      <c r="P1078" s="5">
        <v>1.34035385342979E-36</v>
      </c>
      <c r="Q1078" t="s">
        <v>4</v>
      </c>
      <c r="R1078" s="4" t="s">
        <v>87</v>
      </c>
      <c r="S1078" t="s">
        <v>4</v>
      </c>
      <c r="T1078" t="s">
        <v>11788</v>
      </c>
      <c r="U1078" t="s">
        <v>11789</v>
      </c>
      <c r="V1078" t="s">
        <v>11790</v>
      </c>
      <c r="W1078" t="s">
        <v>328</v>
      </c>
      <c r="X1078" t="s">
        <v>4</v>
      </c>
      <c r="Y1078" t="s">
        <v>11791</v>
      </c>
      <c r="Z1078" t="s">
        <v>11792</v>
      </c>
      <c r="AA1078" t="s">
        <v>11793</v>
      </c>
      <c r="AB1078" t="s">
        <v>4</v>
      </c>
      <c r="AC1078" s="3" t="s">
        <v>11794</v>
      </c>
      <c r="AD1078" t="s">
        <v>4</v>
      </c>
      <c r="AE1078" t="s">
        <v>11795</v>
      </c>
      <c r="AF1078" t="s">
        <v>834</v>
      </c>
      <c r="AG1078" t="s">
        <v>11796</v>
      </c>
      <c r="AH1078" t="s">
        <v>112</v>
      </c>
      <c r="AJ1078" t="s">
        <v>11797</v>
      </c>
      <c r="AK1078" t="s">
        <v>6627</v>
      </c>
      <c r="AL1078" t="s">
        <v>11798</v>
      </c>
      <c r="AM1078" t="s">
        <v>11799</v>
      </c>
      <c r="AQ1078" t="s">
        <v>11800</v>
      </c>
      <c r="AU1078" t="s">
        <v>112</v>
      </c>
      <c r="AV1078" t="s">
        <v>11801</v>
      </c>
      <c r="AW1078" t="s">
        <v>114</v>
      </c>
      <c r="AX1078" t="s">
        <v>733</v>
      </c>
      <c r="AY1078" t="s">
        <v>11802</v>
      </c>
      <c r="AZ1078" t="s">
        <v>4</v>
      </c>
      <c r="BA1078" s="3" t="s">
        <v>95</v>
      </c>
      <c r="BB1078" s="6" t="s">
        <v>95</v>
      </c>
      <c r="BC1078" s="3" t="s">
        <v>95</v>
      </c>
      <c r="BD1078" t="s">
        <v>4</v>
      </c>
      <c r="BE1078">
        <v>9136</v>
      </c>
      <c r="BF1078" t="s">
        <v>169</v>
      </c>
      <c r="BG1078">
        <v>13.555999999999999</v>
      </c>
      <c r="BH1078">
        <v>86.640500000000003</v>
      </c>
      <c r="BI1078">
        <v>73.968599999999995</v>
      </c>
      <c r="BJ1078">
        <v>73.575599999999994</v>
      </c>
      <c r="BK1078">
        <v>56.4833</v>
      </c>
      <c r="BL1078">
        <v>23.6739</v>
      </c>
      <c r="BM1078">
        <v>27.111999999999998</v>
      </c>
      <c r="BN1078">
        <v>70.137500000000003</v>
      </c>
      <c r="BO1078">
        <v>70.334000000000003</v>
      </c>
      <c r="BP1078">
        <v>37.5246</v>
      </c>
      <c r="BQ1078">
        <v>26.620799999999999</v>
      </c>
      <c r="BR1078">
        <v>27.8978</v>
      </c>
      <c r="BS1078">
        <v>24.950900000000001</v>
      </c>
      <c r="BT1078">
        <v>5.7956799999999999</v>
      </c>
      <c r="BU1078">
        <v>11.3949</v>
      </c>
      <c r="BV1078" t="s">
        <v>11803</v>
      </c>
      <c r="BW1078">
        <v>10.5108</v>
      </c>
      <c r="BX1078">
        <v>33.104100000000003</v>
      </c>
      <c r="BY1078">
        <v>12.770099999999999</v>
      </c>
      <c r="BZ1078">
        <v>6.3850699999999998</v>
      </c>
      <c r="CA1078">
        <v>30.844799999999999</v>
      </c>
      <c r="CB1078" t="s">
        <v>11804</v>
      </c>
      <c r="CC1078">
        <v>27.504899999999999</v>
      </c>
      <c r="CD1078">
        <v>25.835000000000001</v>
      </c>
      <c r="CF1078">
        <v>24.558</v>
      </c>
      <c r="CG1078" t="s">
        <v>11805</v>
      </c>
      <c r="CH1078" t="s">
        <v>11806</v>
      </c>
      <c r="CI1078">
        <v>28.487200000000001</v>
      </c>
      <c r="CJ1078">
        <v>22.2986</v>
      </c>
      <c r="CK1078">
        <v>9</v>
      </c>
      <c r="CL1078" t="s">
        <v>4</v>
      </c>
      <c r="CM1078" t="s">
        <v>11807</v>
      </c>
      <c r="CN1078" t="s">
        <v>11808</v>
      </c>
      <c r="CO1078" t="s">
        <v>219</v>
      </c>
      <c r="CP1078" t="s">
        <v>100</v>
      </c>
      <c r="CQ1078" t="s">
        <v>100</v>
      </c>
      <c r="CR1078" t="s">
        <v>100</v>
      </c>
      <c r="CS1078" t="s">
        <v>101</v>
      </c>
      <c r="CT1078" t="s">
        <v>152</v>
      </c>
      <c r="CU1078" t="s">
        <v>102</v>
      </c>
      <c r="CV1078" t="s">
        <v>100</v>
      </c>
    </row>
    <row r="1079" spans="1:100">
      <c r="A1079" s="3" t="s">
        <v>11809</v>
      </c>
      <c r="B1079" s="4" t="s">
        <v>11810</v>
      </c>
      <c r="C1079">
        <v>1397.5409418873501</v>
      </c>
      <c r="D1079">
        <v>2602.0829414354398</v>
      </c>
      <c r="E1079">
        <f>0.896593327014879</f>
        <v>0.89659332701487904</v>
      </c>
      <c r="F1079" s="5">
        <v>2.5534918652443802E-5</v>
      </c>
      <c r="G1079" t="s">
        <v>4</v>
      </c>
      <c r="H1079">
        <v>1397.5409418873501</v>
      </c>
      <c r="I1079">
        <v>197.29352435730399</v>
      </c>
      <c r="J1079">
        <v>2.8325483567687701</v>
      </c>
      <c r="K1079" s="5">
        <v>4.5224826690609502E-41</v>
      </c>
      <c r="L1079" t="s">
        <v>4</v>
      </c>
      <c r="M1079">
        <v>2602.0829414354398</v>
      </c>
      <c r="N1079">
        <v>197.29352435730399</v>
      </c>
      <c r="O1079">
        <v>3.72914168378365</v>
      </c>
      <c r="P1079" s="5">
        <v>6.3728518813411301E-71</v>
      </c>
      <c r="Q1079" t="s">
        <v>4</v>
      </c>
      <c r="R1079" s="4" t="s">
        <v>87</v>
      </c>
      <c r="S1079" t="s">
        <v>4</v>
      </c>
      <c r="T1079" t="s">
        <v>92</v>
      </c>
      <c r="U1079" t="s">
        <v>92</v>
      </c>
      <c r="V1079" t="s">
        <v>92</v>
      </c>
      <c r="W1079" t="s">
        <v>92</v>
      </c>
      <c r="X1079" t="s">
        <v>4</v>
      </c>
      <c r="Y1079" t="s">
        <v>92</v>
      </c>
      <c r="Z1079" t="s">
        <v>92</v>
      </c>
      <c r="AA1079" t="s">
        <v>92</v>
      </c>
      <c r="AB1079" t="s">
        <v>4</v>
      </c>
      <c r="AC1079" s="3" t="s">
        <v>93</v>
      </c>
      <c r="AD1079" t="s">
        <v>4</v>
      </c>
      <c r="AE1079" s="4" t="s">
        <v>94</v>
      </c>
      <c r="AZ1079" t="s">
        <v>4</v>
      </c>
      <c r="BA1079" s="3" t="s">
        <v>115</v>
      </c>
      <c r="BB1079" s="6" t="s">
        <v>95</v>
      </c>
      <c r="BC1079" s="3" t="s">
        <v>95</v>
      </c>
      <c r="BD1079" t="s">
        <v>4</v>
      </c>
      <c r="BE1079">
        <v>2960</v>
      </c>
      <c r="BF1079" t="s">
        <v>97</v>
      </c>
      <c r="BG1079">
        <v>99.2042</v>
      </c>
      <c r="BH1079">
        <v>100</v>
      </c>
      <c r="BI1079">
        <v>96.286500000000004</v>
      </c>
      <c r="BJ1079">
        <v>92.572900000000004</v>
      </c>
      <c r="BK1079">
        <v>90.185699999999997</v>
      </c>
      <c r="BL1079">
        <v>89.655199999999994</v>
      </c>
      <c r="BM1079">
        <v>88.859399999999994</v>
      </c>
      <c r="BN1079">
        <v>90.450900000000004</v>
      </c>
      <c r="BO1079">
        <v>87.533199999999994</v>
      </c>
      <c r="BP1079">
        <v>43.2361</v>
      </c>
      <c r="CK1079">
        <v>4</v>
      </c>
      <c r="CL1079" t="s">
        <v>4</v>
      </c>
      <c r="CM1079" t="s">
        <v>98</v>
      </c>
      <c r="CN1079" t="s">
        <v>98</v>
      </c>
      <c r="CO1079" t="s">
        <v>99</v>
      </c>
      <c r="CP1079" t="s">
        <v>100</v>
      </c>
      <c r="CQ1079" t="s">
        <v>100</v>
      </c>
      <c r="CR1079" t="s">
        <v>100</v>
      </c>
      <c r="CS1079" t="s">
        <v>101</v>
      </c>
      <c r="CT1079" t="s">
        <v>152</v>
      </c>
      <c r="CU1079" t="s">
        <v>102</v>
      </c>
      <c r="CV1079" t="s">
        <v>100</v>
      </c>
    </row>
    <row r="1080" spans="1:100">
      <c r="A1080" s="3" t="s">
        <v>11811</v>
      </c>
      <c r="B1080" s="4" t="s">
        <v>11812</v>
      </c>
      <c r="C1080">
        <v>3659.3521303832099</v>
      </c>
      <c r="D1080">
        <v>4746.2497443130296</v>
      </c>
      <c r="E1080">
        <f>0.375304694931213</f>
        <v>0.37530469493121299</v>
      </c>
      <c r="F1080">
        <v>8.5502859049604002E-2</v>
      </c>
      <c r="G1080" t="s">
        <v>4</v>
      </c>
      <c r="H1080">
        <v>3659.3521303832099</v>
      </c>
      <c r="I1080">
        <v>357.66396395394401</v>
      </c>
      <c r="J1080">
        <v>3.3505486523297598</v>
      </c>
      <c r="K1080" s="5">
        <v>2.2250739865162099E-63</v>
      </c>
      <c r="L1080" t="s">
        <v>4</v>
      </c>
      <c r="M1080">
        <v>4746.2497443130296</v>
      </c>
      <c r="N1080">
        <v>357.66396395394401</v>
      </c>
      <c r="O1080">
        <v>3.7258533472609701</v>
      </c>
      <c r="P1080" s="5">
        <v>2.06868724458741E-78</v>
      </c>
      <c r="Q1080" t="s">
        <v>4</v>
      </c>
      <c r="R1080" s="4" t="s">
        <v>87</v>
      </c>
      <c r="S1080" t="s">
        <v>4</v>
      </c>
      <c r="T1080" t="s">
        <v>92</v>
      </c>
      <c r="U1080" t="s">
        <v>92</v>
      </c>
      <c r="V1080" t="s">
        <v>92</v>
      </c>
      <c r="W1080" t="s">
        <v>92</v>
      </c>
      <c r="X1080" t="s">
        <v>4</v>
      </c>
      <c r="Y1080" t="s">
        <v>92</v>
      </c>
      <c r="Z1080" t="s">
        <v>92</v>
      </c>
      <c r="AA1080" t="s">
        <v>92</v>
      </c>
      <c r="AB1080" t="s">
        <v>4</v>
      </c>
      <c r="AC1080" s="3" t="s">
        <v>93</v>
      </c>
      <c r="AD1080" t="s">
        <v>4</v>
      </c>
      <c r="AE1080" s="4" t="s">
        <v>94</v>
      </c>
      <c r="AZ1080" t="s">
        <v>4</v>
      </c>
      <c r="BA1080" s="3" t="s">
        <v>115</v>
      </c>
      <c r="BB1080" s="6" t="s">
        <v>95</v>
      </c>
      <c r="BC1080" s="3" t="s">
        <v>95</v>
      </c>
      <c r="BD1080" t="s">
        <v>4</v>
      </c>
      <c r="BE1080">
        <v>2645</v>
      </c>
      <c r="BF1080" t="s">
        <v>97</v>
      </c>
      <c r="BG1080">
        <v>99.086200000000005</v>
      </c>
      <c r="BH1080" t="s">
        <v>11813</v>
      </c>
      <c r="BI1080">
        <v>93.603099999999998</v>
      </c>
      <c r="BJ1080">
        <v>82.506500000000003</v>
      </c>
      <c r="BK1080">
        <v>79.765000000000001</v>
      </c>
      <c r="BL1080" t="s">
        <v>11814</v>
      </c>
      <c r="BM1080">
        <v>80.287199999999999</v>
      </c>
      <c r="BN1080">
        <v>79.503900000000002</v>
      </c>
      <c r="BO1080">
        <v>78.981700000000004</v>
      </c>
      <c r="CK1080">
        <v>4</v>
      </c>
      <c r="CL1080" t="s">
        <v>4</v>
      </c>
      <c r="CM1080" t="s">
        <v>98</v>
      </c>
      <c r="CN1080" t="s">
        <v>98</v>
      </c>
      <c r="CO1080" t="s">
        <v>99</v>
      </c>
      <c r="CP1080" t="s">
        <v>100</v>
      </c>
      <c r="CQ1080" t="s">
        <v>100</v>
      </c>
      <c r="CR1080" t="s">
        <v>100</v>
      </c>
      <c r="CS1080" t="s">
        <v>101</v>
      </c>
      <c r="CT1080" t="s">
        <v>152</v>
      </c>
      <c r="CU1080" t="s">
        <v>102</v>
      </c>
      <c r="CV1080" t="s">
        <v>100</v>
      </c>
    </row>
    <row r="1081" spans="1:100">
      <c r="A1081" s="3" t="s">
        <v>11815</v>
      </c>
      <c r="B1081" s="4" t="s">
        <v>11816</v>
      </c>
      <c r="C1081">
        <v>1997.4974947400301</v>
      </c>
      <c r="D1081">
        <v>2518.1613094778399</v>
      </c>
      <c r="E1081">
        <f>0.33416437923324</f>
        <v>0.33416437923323999</v>
      </c>
      <c r="F1081">
        <v>0.228109767620156</v>
      </c>
      <c r="G1081" t="s">
        <v>4</v>
      </c>
      <c r="H1081">
        <v>1997.4974947400301</v>
      </c>
      <c r="I1081">
        <v>188.78573334618699</v>
      </c>
      <c r="J1081">
        <v>3.39000680324772</v>
      </c>
      <c r="K1081" s="5">
        <v>1.92895568300917E-41</v>
      </c>
      <c r="L1081" t="s">
        <v>4</v>
      </c>
      <c r="M1081">
        <v>2518.1613094778399</v>
      </c>
      <c r="N1081">
        <v>188.78573334618699</v>
      </c>
      <c r="O1081">
        <v>3.7241711824809598</v>
      </c>
      <c r="P1081" s="5">
        <v>5.3076215460665999E-50</v>
      </c>
      <c r="Q1081" t="s">
        <v>4</v>
      </c>
      <c r="R1081" s="4" t="s">
        <v>87</v>
      </c>
      <c r="S1081" t="s">
        <v>4</v>
      </c>
      <c r="T1081" t="s">
        <v>11817</v>
      </c>
      <c r="U1081" t="s">
        <v>11818</v>
      </c>
      <c r="V1081" t="s">
        <v>11819</v>
      </c>
      <c r="W1081" t="s">
        <v>328</v>
      </c>
      <c r="X1081" t="s">
        <v>4</v>
      </c>
      <c r="Y1081" t="s">
        <v>11820</v>
      </c>
      <c r="Z1081" t="s">
        <v>11821</v>
      </c>
      <c r="AA1081" t="s">
        <v>11822</v>
      </c>
      <c r="AB1081" t="s">
        <v>4</v>
      </c>
      <c r="AC1081" s="3" t="s">
        <v>11823</v>
      </c>
      <c r="AD1081" t="s">
        <v>4</v>
      </c>
      <c r="AE1081" t="s">
        <v>11824</v>
      </c>
      <c r="AF1081" t="s">
        <v>834</v>
      </c>
      <c r="AG1081" t="s">
        <v>11825</v>
      </c>
      <c r="AH1081" t="s">
        <v>112</v>
      </c>
      <c r="AJ1081" t="s">
        <v>11826</v>
      </c>
      <c r="AK1081" t="s">
        <v>6627</v>
      </c>
      <c r="AL1081" t="s">
        <v>11827</v>
      </c>
      <c r="AM1081" t="s">
        <v>6629</v>
      </c>
      <c r="AN1081" t="s">
        <v>6630</v>
      </c>
      <c r="AQ1081" t="s">
        <v>11828</v>
      </c>
      <c r="AU1081" t="s">
        <v>112</v>
      </c>
      <c r="AV1081" t="s">
        <v>11829</v>
      </c>
      <c r="AW1081" t="s">
        <v>114</v>
      </c>
      <c r="AX1081" t="s">
        <v>733</v>
      </c>
      <c r="AY1081" t="s">
        <v>6633</v>
      </c>
      <c r="AZ1081" t="s">
        <v>4</v>
      </c>
      <c r="BA1081" s="3" t="s">
        <v>95</v>
      </c>
      <c r="BB1081" s="6" t="s">
        <v>95</v>
      </c>
      <c r="BC1081" s="3" t="s">
        <v>95</v>
      </c>
      <c r="BD1081" t="s">
        <v>4</v>
      </c>
      <c r="BE1081">
        <v>9063</v>
      </c>
      <c r="BF1081" t="s">
        <v>169</v>
      </c>
      <c r="BG1081" t="s">
        <v>11830</v>
      </c>
      <c r="BH1081">
        <v>36.016399999999997</v>
      </c>
      <c r="BI1081">
        <v>90.177400000000006</v>
      </c>
      <c r="BJ1081">
        <v>93.860799999999998</v>
      </c>
      <c r="BK1081">
        <v>81.718999999999994</v>
      </c>
      <c r="BL1081">
        <v>30.968599999999999</v>
      </c>
      <c r="BM1081">
        <v>92.769400000000005</v>
      </c>
      <c r="BN1081">
        <v>92.769400000000005</v>
      </c>
      <c r="BO1081" t="s">
        <v>11831</v>
      </c>
      <c r="BP1081">
        <v>72.578400000000002</v>
      </c>
      <c r="BQ1081">
        <v>54.8431</v>
      </c>
      <c r="BR1081">
        <v>56.480200000000004</v>
      </c>
      <c r="BS1081">
        <v>56.753100000000003</v>
      </c>
      <c r="BU1081">
        <v>58.3902</v>
      </c>
      <c r="BV1081" t="s">
        <v>11832</v>
      </c>
      <c r="BW1081">
        <v>63.710799999999999</v>
      </c>
      <c r="BX1081">
        <v>62.755800000000001</v>
      </c>
      <c r="BZ1081">
        <v>64.938599999999994</v>
      </c>
      <c r="CA1081">
        <v>55.9345</v>
      </c>
      <c r="CB1081">
        <v>58.253700000000002</v>
      </c>
      <c r="CC1081">
        <v>52.523899999999998</v>
      </c>
      <c r="CD1081">
        <v>52.250999999999998</v>
      </c>
      <c r="CE1081">
        <v>51.432499999999997</v>
      </c>
      <c r="CF1081">
        <v>54.570300000000003</v>
      </c>
      <c r="CG1081">
        <v>54.297400000000003</v>
      </c>
      <c r="CH1081">
        <v>54.0246</v>
      </c>
      <c r="CI1081">
        <v>43.383400000000002</v>
      </c>
      <c r="CJ1081">
        <v>44.474800000000002</v>
      </c>
      <c r="CK1081">
        <v>9</v>
      </c>
      <c r="CL1081" t="s">
        <v>4</v>
      </c>
      <c r="CM1081" t="s">
        <v>11833</v>
      </c>
      <c r="CN1081" t="s">
        <v>11834</v>
      </c>
      <c r="CO1081" t="s">
        <v>1218</v>
      </c>
      <c r="CP1081" t="s">
        <v>100</v>
      </c>
      <c r="CQ1081" t="s">
        <v>100</v>
      </c>
      <c r="CR1081" t="s">
        <v>100</v>
      </c>
      <c r="CS1081" t="s">
        <v>101</v>
      </c>
      <c r="CT1081" t="s">
        <v>152</v>
      </c>
      <c r="CU1081" t="s">
        <v>102</v>
      </c>
      <c r="CV1081" t="s">
        <v>100</v>
      </c>
    </row>
    <row r="1082" spans="1:100">
      <c r="A1082" s="3" t="s">
        <v>11835</v>
      </c>
      <c r="B1082" s="4" t="s">
        <v>11836</v>
      </c>
      <c r="C1082">
        <v>24.5434635527651</v>
      </c>
      <c r="D1082">
        <v>24.472059413025899</v>
      </c>
      <c r="E1082">
        <v>8.0203636132212001E-4</v>
      </c>
      <c r="F1082">
        <v>0.99941976621994699</v>
      </c>
      <c r="G1082" t="s">
        <v>4</v>
      </c>
      <c r="H1082">
        <v>24.5434635527651</v>
      </c>
      <c r="I1082">
        <v>1.93533642871265</v>
      </c>
      <c r="J1082">
        <v>3.7108406730439198</v>
      </c>
      <c r="K1082">
        <v>3.5809196008738399E-4</v>
      </c>
      <c r="L1082" t="s">
        <v>4</v>
      </c>
      <c r="M1082">
        <v>24.472059413025899</v>
      </c>
      <c r="N1082">
        <v>1.93533642871265</v>
      </c>
      <c r="O1082">
        <v>3.7100386366825902</v>
      </c>
      <c r="P1082">
        <v>3.1304090548775899E-4</v>
      </c>
      <c r="Q1082" t="s">
        <v>4</v>
      </c>
      <c r="R1082" s="4" t="s">
        <v>87</v>
      </c>
      <c r="S1082" t="s">
        <v>4</v>
      </c>
      <c r="T1082" t="s">
        <v>92</v>
      </c>
      <c r="U1082" t="s">
        <v>92</v>
      </c>
      <c r="V1082" t="s">
        <v>92</v>
      </c>
      <c r="W1082" t="s">
        <v>92</v>
      </c>
      <c r="X1082" t="s">
        <v>4</v>
      </c>
      <c r="Y1082" t="s">
        <v>92</v>
      </c>
      <c r="Z1082" t="s">
        <v>92</v>
      </c>
      <c r="AA1082" t="s">
        <v>92</v>
      </c>
      <c r="AB1082" t="s">
        <v>4</v>
      </c>
      <c r="AC1082" s="3" t="s">
        <v>93</v>
      </c>
      <c r="AD1082" t="s">
        <v>4</v>
      </c>
      <c r="AE1082" t="s">
        <v>3190</v>
      </c>
      <c r="AF1082" t="s">
        <v>11837</v>
      </c>
      <c r="AG1082" t="s">
        <v>11838</v>
      </c>
      <c r="AH1082" t="s">
        <v>112</v>
      </c>
      <c r="AJ1082" t="s">
        <v>3193</v>
      </c>
      <c r="AK1082" t="s">
        <v>3194</v>
      </c>
      <c r="AL1082" t="s">
        <v>3195</v>
      </c>
      <c r="AM1082" t="s">
        <v>3196</v>
      </c>
      <c r="AQ1082" t="s">
        <v>3197</v>
      </c>
      <c r="AU1082" t="s">
        <v>112</v>
      </c>
      <c r="AV1082" t="s">
        <v>3198</v>
      </c>
      <c r="AW1082" t="s">
        <v>114</v>
      </c>
      <c r="AX1082" t="s">
        <v>2157</v>
      </c>
      <c r="AY1082" t="s">
        <v>3199</v>
      </c>
      <c r="AZ1082" t="s">
        <v>4</v>
      </c>
      <c r="BA1082" s="3" t="s">
        <v>115</v>
      </c>
      <c r="BB1082" s="6" t="s">
        <v>95</v>
      </c>
      <c r="BC1082" s="3" t="s">
        <v>95</v>
      </c>
      <c r="BD1082" t="s">
        <v>4</v>
      </c>
      <c r="BE1082">
        <v>929</v>
      </c>
      <c r="BF1082" t="s">
        <v>604</v>
      </c>
      <c r="BG1082">
        <v>36.521700000000003</v>
      </c>
      <c r="BH1082">
        <v>51.304299999999998</v>
      </c>
      <c r="CK1082">
        <v>1.5</v>
      </c>
      <c r="CL1082" t="s">
        <v>4</v>
      </c>
      <c r="CM1082" t="s">
        <v>98</v>
      </c>
      <c r="CN1082" t="s">
        <v>98</v>
      </c>
      <c r="CO1082" t="s">
        <v>99</v>
      </c>
      <c r="CP1082" t="s">
        <v>100</v>
      </c>
      <c r="CQ1082" t="s">
        <v>100</v>
      </c>
      <c r="CR1082" t="s">
        <v>100</v>
      </c>
      <c r="CS1082" t="s">
        <v>101</v>
      </c>
      <c r="CT1082" t="s">
        <v>152</v>
      </c>
      <c r="CU1082" t="s">
        <v>102</v>
      </c>
      <c r="CV1082" t="s">
        <v>100</v>
      </c>
    </row>
    <row r="1083" spans="1:100">
      <c r="A1083" s="3" t="s">
        <v>11839</v>
      </c>
      <c r="B1083" s="4" t="s">
        <v>11840</v>
      </c>
      <c r="C1083">
        <v>2899.2980290907799</v>
      </c>
      <c r="D1083">
        <v>4111.2284492499202</v>
      </c>
      <c r="E1083">
        <f>0.504065826096049</f>
        <v>0.504065826096049</v>
      </c>
      <c r="F1083">
        <v>2.5880374706958399E-2</v>
      </c>
      <c r="G1083" t="s">
        <v>4</v>
      </c>
      <c r="H1083">
        <v>2899.2980290907799</v>
      </c>
      <c r="I1083">
        <v>314.23849775040702</v>
      </c>
      <c r="J1083">
        <v>3.1984122244600401</v>
      </c>
      <c r="K1083" s="5">
        <v>1.4686364635306901E-52</v>
      </c>
      <c r="L1083" t="s">
        <v>4</v>
      </c>
      <c r="M1083">
        <v>4111.2284492499202</v>
      </c>
      <c r="N1083">
        <v>314.23849775040702</v>
      </c>
      <c r="O1083">
        <v>3.7024780505560799</v>
      </c>
      <c r="P1083" s="5">
        <v>2.2196741133477499E-70</v>
      </c>
      <c r="Q1083" t="s">
        <v>4</v>
      </c>
      <c r="R1083" s="4" t="s">
        <v>87</v>
      </c>
      <c r="S1083" t="s">
        <v>4</v>
      </c>
      <c r="T1083" t="s">
        <v>11841</v>
      </c>
      <c r="U1083" t="s">
        <v>11842</v>
      </c>
      <c r="V1083" t="s">
        <v>11843</v>
      </c>
      <c r="W1083" t="s">
        <v>203</v>
      </c>
      <c r="X1083" t="s">
        <v>4</v>
      </c>
      <c r="Y1083" t="s">
        <v>11844</v>
      </c>
      <c r="Z1083" t="s">
        <v>11845</v>
      </c>
      <c r="AA1083" t="s">
        <v>11846</v>
      </c>
      <c r="AB1083" t="s">
        <v>4</v>
      </c>
      <c r="AC1083" s="3" t="s">
        <v>11847</v>
      </c>
      <c r="AD1083" t="s">
        <v>4</v>
      </c>
      <c r="AE1083" t="s">
        <v>11848</v>
      </c>
      <c r="AF1083" t="s">
        <v>834</v>
      </c>
      <c r="AG1083" t="s">
        <v>11849</v>
      </c>
      <c r="AH1083" t="s">
        <v>112</v>
      </c>
      <c r="AJ1083" t="s">
        <v>11850</v>
      </c>
      <c r="AL1083" t="s">
        <v>11851</v>
      </c>
      <c r="AQ1083" t="s">
        <v>861</v>
      </c>
      <c r="AU1083" t="s">
        <v>112</v>
      </c>
      <c r="AV1083" t="s">
        <v>11852</v>
      </c>
      <c r="AW1083" t="s">
        <v>114</v>
      </c>
      <c r="AX1083" t="s">
        <v>1938</v>
      </c>
      <c r="AY1083" t="s">
        <v>11853</v>
      </c>
      <c r="AZ1083" t="s">
        <v>4</v>
      </c>
      <c r="BA1083" s="3" t="s">
        <v>115</v>
      </c>
      <c r="BB1083" s="6" t="s">
        <v>95</v>
      </c>
      <c r="BC1083" s="3" t="s">
        <v>95</v>
      </c>
      <c r="BD1083" t="s">
        <v>4</v>
      </c>
      <c r="BE1083">
        <v>6251</v>
      </c>
      <c r="BF1083" t="s">
        <v>213</v>
      </c>
      <c r="BI1083">
        <v>65.277799999999999</v>
      </c>
      <c r="CC1083">
        <v>14.379099999999999</v>
      </c>
      <c r="CD1083" t="s">
        <v>11854</v>
      </c>
      <c r="CE1083">
        <v>17.075199999999999</v>
      </c>
      <c r="CF1083">
        <v>14.787599999999999</v>
      </c>
      <c r="CG1083">
        <v>17.402000000000001</v>
      </c>
      <c r="CH1083">
        <v>17.1569</v>
      </c>
      <c r="CI1083">
        <v>16.258199999999999</v>
      </c>
      <c r="CK1083">
        <v>8</v>
      </c>
      <c r="CL1083" t="s">
        <v>4</v>
      </c>
      <c r="CM1083" t="s">
        <v>98</v>
      </c>
      <c r="CN1083" t="s">
        <v>98</v>
      </c>
      <c r="CO1083" t="s">
        <v>99</v>
      </c>
      <c r="CP1083" t="s">
        <v>100</v>
      </c>
      <c r="CQ1083" t="s">
        <v>100</v>
      </c>
      <c r="CR1083" t="s">
        <v>100</v>
      </c>
      <c r="CS1083" t="s">
        <v>101</v>
      </c>
      <c r="CT1083" t="s">
        <v>152</v>
      </c>
      <c r="CU1083" t="s">
        <v>102</v>
      </c>
      <c r="CV1083" t="s">
        <v>100</v>
      </c>
    </row>
    <row r="1084" spans="1:100">
      <c r="A1084" s="3" t="s">
        <v>11855</v>
      </c>
      <c r="B1084" s="4" t="s">
        <v>11856</v>
      </c>
      <c r="C1084">
        <v>1755.03494251137</v>
      </c>
      <c r="D1084">
        <v>2010.33796675745</v>
      </c>
      <c r="E1084">
        <f>0.195545036849349</f>
        <v>0.19554503684934901</v>
      </c>
      <c r="F1084">
        <v>0.54333471660366806</v>
      </c>
      <c r="G1084" t="s">
        <v>4</v>
      </c>
      <c r="H1084">
        <v>1755.03494251137</v>
      </c>
      <c r="I1084">
        <v>154.40096136397901</v>
      </c>
      <c r="J1084">
        <v>3.4972938902636002</v>
      </c>
      <c r="K1084" s="5">
        <v>8.6390776358264701E-36</v>
      </c>
      <c r="L1084" t="s">
        <v>4</v>
      </c>
      <c r="M1084">
        <v>2010.33796675745</v>
      </c>
      <c r="N1084">
        <v>154.40096136397901</v>
      </c>
      <c r="O1084">
        <v>3.69283892711295</v>
      </c>
      <c r="P1084" s="5">
        <v>6.1702343057761299E-40</v>
      </c>
      <c r="Q1084" t="s">
        <v>4</v>
      </c>
      <c r="R1084" s="4" t="s">
        <v>87</v>
      </c>
      <c r="S1084" t="s">
        <v>4</v>
      </c>
      <c r="T1084" t="s">
        <v>11857</v>
      </c>
      <c r="U1084" t="s">
        <v>11858</v>
      </c>
      <c r="V1084" t="s">
        <v>11859</v>
      </c>
      <c r="W1084" t="s">
        <v>203</v>
      </c>
      <c r="X1084" t="s">
        <v>4</v>
      </c>
      <c r="Y1084" t="s">
        <v>11860</v>
      </c>
      <c r="Z1084" t="s">
        <v>11861</v>
      </c>
      <c r="AA1084" t="s">
        <v>11862</v>
      </c>
      <c r="AB1084" t="s">
        <v>4</v>
      </c>
      <c r="AC1084" s="3" t="s">
        <v>11863</v>
      </c>
      <c r="AD1084" t="s">
        <v>4</v>
      </c>
      <c r="AE1084" t="s">
        <v>11864</v>
      </c>
      <c r="AF1084" t="s">
        <v>11865</v>
      </c>
      <c r="AG1084" t="s">
        <v>11866</v>
      </c>
      <c r="AH1084" t="s">
        <v>112</v>
      </c>
      <c r="AJ1084" t="s">
        <v>11867</v>
      </c>
      <c r="AL1084" t="s">
        <v>11868</v>
      </c>
      <c r="AM1084" t="s">
        <v>11869</v>
      </c>
      <c r="AQ1084" t="s">
        <v>879</v>
      </c>
      <c r="AU1084" t="s">
        <v>112</v>
      </c>
      <c r="AV1084" t="s">
        <v>11870</v>
      </c>
      <c r="AW1084" t="s">
        <v>114</v>
      </c>
      <c r="AX1084" t="s">
        <v>167</v>
      </c>
      <c r="AY1084" t="s">
        <v>11871</v>
      </c>
      <c r="AZ1084" t="s">
        <v>4</v>
      </c>
      <c r="BA1084" s="3" t="s">
        <v>95</v>
      </c>
      <c r="BB1084" s="6" t="s">
        <v>95</v>
      </c>
      <c r="BC1084" s="3" t="s">
        <v>95</v>
      </c>
      <c r="BD1084" t="s">
        <v>4</v>
      </c>
      <c r="BE1084">
        <v>8656</v>
      </c>
      <c r="BF1084" t="s">
        <v>169</v>
      </c>
      <c r="BG1084">
        <v>100</v>
      </c>
      <c r="BH1084">
        <v>100</v>
      </c>
      <c r="BI1084">
        <v>61.956499999999998</v>
      </c>
      <c r="BJ1084">
        <v>91.304299999999998</v>
      </c>
      <c r="BK1084">
        <v>91.304299999999998</v>
      </c>
      <c r="BL1084">
        <v>85.869600000000005</v>
      </c>
      <c r="BN1084">
        <v>86.956500000000005</v>
      </c>
      <c r="BO1084">
        <v>86.956500000000005</v>
      </c>
      <c r="BP1084">
        <v>66.304299999999998</v>
      </c>
      <c r="BQ1084">
        <v>57.608699999999999</v>
      </c>
      <c r="BR1084">
        <v>61.956499999999998</v>
      </c>
      <c r="BS1084">
        <v>61.956499999999998</v>
      </c>
      <c r="BU1084">
        <v>39.130400000000002</v>
      </c>
      <c r="BV1084">
        <v>52.173900000000003</v>
      </c>
      <c r="BW1084">
        <v>50</v>
      </c>
      <c r="BX1084">
        <v>68.478300000000004</v>
      </c>
      <c r="BZ1084">
        <v>68.478300000000004</v>
      </c>
      <c r="CA1084">
        <v>65.217399999999998</v>
      </c>
      <c r="CB1084">
        <v>55.434800000000003</v>
      </c>
      <c r="CC1084">
        <v>53.260899999999999</v>
      </c>
      <c r="CD1084">
        <v>53.260899999999999</v>
      </c>
      <c r="CE1084" t="s">
        <v>11872</v>
      </c>
      <c r="CF1084" t="s">
        <v>11873</v>
      </c>
      <c r="CG1084" t="s">
        <v>11874</v>
      </c>
      <c r="CH1084" t="s">
        <v>11875</v>
      </c>
      <c r="CI1084" t="s">
        <v>11876</v>
      </c>
      <c r="CJ1084">
        <v>43.478299999999997</v>
      </c>
      <c r="CK1084">
        <v>9</v>
      </c>
      <c r="CL1084" t="s">
        <v>4</v>
      </c>
      <c r="CM1084" t="s">
        <v>11877</v>
      </c>
      <c r="CN1084" t="s">
        <v>11878</v>
      </c>
      <c r="CO1084" t="s">
        <v>99</v>
      </c>
      <c r="CP1084" t="s">
        <v>100</v>
      </c>
      <c r="CQ1084" t="s">
        <v>100</v>
      </c>
      <c r="CR1084" t="s">
        <v>100</v>
      </c>
      <c r="CS1084" t="s">
        <v>101</v>
      </c>
      <c r="CT1084" t="s">
        <v>152</v>
      </c>
      <c r="CU1084" t="s">
        <v>102</v>
      </c>
      <c r="CV1084" t="s">
        <v>100</v>
      </c>
    </row>
    <row r="1085" spans="1:100">
      <c r="A1085" s="3" t="s">
        <v>11879</v>
      </c>
      <c r="B1085" s="4" t="s">
        <v>11880</v>
      </c>
      <c r="C1085">
        <v>1550.8335095366001</v>
      </c>
      <c r="D1085">
        <v>2379.0021369883102</v>
      </c>
      <c r="E1085">
        <f>0.617406184427091</f>
        <v>0.61740618442709105</v>
      </c>
      <c r="F1085">
        <v>6.1665302479635101E-2</v>
      </c>
      <c r="G1085" t="s">
        <v>4</v>
      </c>
      <c r="H1085">
        <v>1550.8335095366001</v>
      </c>
      <c r="I1085">
        <v>182.33574249511901</v>
      </c>
      <c r="J1085">
        <v>3.0746238907822798</v>
      </c>
      <c r="K1085" s="5">
        <v>5.4864159734856302E-24</v>
      </c>
      <c r="L1085" t="s">
        <v>4</v>
      </c>
      <c r="M1085">
        <v>2379.0021369883102</v>
      </c>
      <c r="N1085">
        <v>182.33574249511901</v>
      </c>
      <c r="O1085">
        <v>3.6920300752093702</v>
      </c>
      <c r="P1085" s="5">
        <v>2.4313006288319799E-34</v>
      </c>
      <c r="Q1085" t="s">
        <v>4</v>
      </c>
      <c r="R1085" s="4" t="s">
        <v>87</v>
      </c>
      <c r="S1085" t="s">
        <v>4</v>
      </c>
      <c r="T1085" t="s">
        <v>92</v>
      </c>
      <c r="U1085" t="s">
        <v>92</v>
      </c>
      <c r="V1085" t="s">
        <v>92</v>
      </c>
      <c r="W1085" t="s">
        <v>92</v>
      </c>
      <c r="X1085" t="s">
        <v>4</v>
      </c>
      <c r="Y1085" t="s">
        <v>92</v>
      </c>
      <c r="Z1085" t="s">
        <v>92</v>
      </c>
      <c r="AA1085" t="s">
        <v>92</v>
      </c>
      <c r="AB1085" t="s">
        <v>4</v>
      </c>
      <c r="AC1085" s="3" t="s">
        <v>93</v>
      </c>
      <c r="AD1085" t="s">
        <v>4</v>
      </c>
      <c r="AE1085" t="s">
        <v>11881</v>
      </c>
      <c r="AF1085" t="s">
        <v>11882</v>
      </c>
      <c r="AG1085" t="s">
        <v>4680</v>
      </c>
      <c r="AH1085" t="s">
        <v>638</v>
      </c>
      <c r="AU1085" t="s">
        <v>112</v>
      </c>
      <c r="AV1085" t="s">
        <v>11883</v>
      </c>
      <c r="AW1085" t="s">
        <v>114</v>
      </c>
      <c r="AZ1085" t="s">
        <v>4</v>
      </c>
      <c r="BA1085" s="3" t="s">
        <v>115</v>
      </c>
      <c r="BB1085" s="6" t="s">
        <v>95</v>
      </c>
      <c r="BC1085" s="3" t="s">
        <v>95</v>
      </c>
      <c r="BD1085" t="s">
        <v>4</v>
      </c>
      <c r="BE1085">
        <v>2507</v>
      </c>
      <c r="BF1085" t="s">
        <v>97</v>
      </c>
      <c r="BG1085">
        <v>96.5625</v>
      </c>
      <c r="BH1085">
        <v>51.25</v>
      </c>
      <c r="BI1085">
        <v>88.593800000000002</v>
      </c>
      <c r="BJ1085">
        <v>65</v>
      </c>
      <c r="BK1085">
        <v>44.843800000000002</v>
      </c>
      <c r="BL1085" t="s">
        <v>11884</v>
      </c>
      <c r="BM1085" t="s">
        <v>11885</v>
      </c>
      <c r="BN1085">
        <v>56.25</v>
      </c>
      <c r="BO1085">
        <v>48.125</v>
      </c>
      <c r="BP1085">
        <v>18.125</v>
      </c>
      <c r="CK1085">
        <v>4</v>
      </c>
      <c r="CL1085" t="s">
        <v>4</v>
      </c>
      <c r="CM1085" t="s">
        <v>98</v>
      </c>
      <c r="CN1085" t="s">
        <v>98</v>
      </c>
      <c r="CO1085" t="s">
        <v>99</v>
      </c>
      <c r="CP1085" t="s">
        <v>100</v>
      </c>
      <c r="CQ1085" t="s">
        <v>100</v>
      </c>
      <c r="CR1085" t="s">
        <v>100</v>
      </c>
      <c r="CS1085" t="s">
        <v>101</v>
      </c>
      <c r="CT1085" t="s">
        <v>152</v>
      </c>
      <c r="CU1085" t="s">
        <v>102</v>
      </c>
      <c r="CV1085" t="s">
        <v>100</v>
      </c>
    </row>
    <row r="1086" spans="1:100">
      <c r="A1086" s="3" t="s">
        <v>11886</v>
      </c>
      <c r="B1086" s="4" t="s">
        <v>11887</v>
      </c>
      <c r="C1086">
        <v>78.093585090869894</v>
      </c>
      <c r="D1086">
        <v>130.98331598303599</v>
      </c>
      <c r="E1086">
        <f>0.745610238903348</f>
        <v>0.74561023890334799</v>
      </c>
      <c r="F1086">
        <v>7.8827567770640095E-2</v>
      </c>
      <c r="G1086" t="s">
        <v>4</v>
      </c>
      <c r="H1086">
        <v>78.093585090869894</v>
      </c>
      <c r="I1086">
        <v>9.6781387810718797</v>
      </c>
      <c r="J1086">
        <v>2.9456612133925399</v>
      </c>
      <c r="K1086" s="5">
        <v>3.40757909061E-9</v>
      </c>
      <c r="L1086" t="s">
        <v>4</v>
      </c>
      <c r="M1086">
        <v>130.98331598303599</v>
      </c>
      <c r="N1086">
        <v>9.6781387810718797</v>
      </c>
      <c r="O1086">
        <v>3.6912714522958798</v>
      </c>
      <c r="P1086" s="5">
        <v>4.1246439903929198E-14</v>
      </c>
      <c r="Q1086" t="s">
        <v>4</v>
      </c>
      <c r="R1086" s="4" t="s">
        <v>87</v>
      </c>
      <c r="S1086" t="s">
        <v>4</v>
      </c>
      <c r="T1086" t="s">
        <v>460</v>
      </c>
      <c r="U1086" t="s">
        <v>461</v>
      </c>
      <c r="V1086" t="s">
        <v>462</v>
      </c>
      <c r="W1086" t="s">
        <v>123</v>
      </c>
      <c r="X1086" t="s">
        <v>4</v>
      </c>
      <c r="Y1086" t="s">
        <v>6643</v>
      </c>
      <c r="Z1086" t="s">
        <v>6644</v>
      </c>
      <c r="AA1086" t="s">
        <v>6645</v>
      </c>
      <c r="AB1086" t="s">
        <v>4</v>
      </c>
      <c r="AC1086" s="3" t="s">
        <v>93</v>
      </c>
      <c r="AD1086" t="s">
        <v>4</v>
      </c>
      <c r="AE1086" t="s">
        <v>3190</v>
      </c>
      <c r="AF1086" t="s">
        <v>11888</v>
      </c>
      <c r="AG1086" t="s">
        <v>11889</v>
      </c>
      <c r="AH1086" t="s">
        <v>112</v>
      </c>
      <c r="AJ1086" t="s">
        <v>3193</v>
      </c>
      <c r="AK1086" t="s">
        <v>3194</v>
      </c>
      <c r="AL1086" t="s">
        <v>3195</v>
      </c>
      <c r="AM1086" t="s">
        <v>3196</v>
      </c>
      <c r="AQ1086" t="s">
        <v>3197</v>
      </c>
      <c r="AU1086" t="s">
        <v>112</v>
      </c>
      <c r="AV1086" t="s">
        <v>3198</v>
      </c>
      <c r="AW1086" t="s">
        <v>114</v>
      </c>
      <c r="AX1086" t="s">
        <v>2157</v>
      </c>
      <c r="AY1086" t="s">
        <v>3199</v>
      </c>
      <c r="AZ1086" t="s">
        <v>4</v>
      </c>
      <c r="BA1086" s="3" t="s">
        <v>95</v>
      </c>
      <c r="BB1086" s="6" t="s">
        <v>95</v>
      </c>
      <c r="BC1086" s="3" t="s">
        <v>95</v>
      </c>
      <c r="BD1086" t="s">
        <v>4</v>
      </c>
      <c r="BE1086">
        <v>1683</v>
      </c>
      <c r="BF1086" t="s">
        <v>151</v>
      </c>
      <c r="BI1086">
        <v>66.431100000000001</v>
      </c>
      <c r="BJ1086" t="s">
        <v>11890</v>
      </c>
      <c r="CK1086">
        <v>2</v>
      </c>
      <c r="CL1086" t="s">
        <v>4</v>
      </c>
      <c r="CM1086" t="s">
        <v>98</v>
      </c>
      <c r="CN1086" t="s">
        <v>98</v>
      </c>
      <c r="CO1086" t="s">
        <v>99</v>
      </c>
      <c r="CP1086" t="s">
        <v>100</v>
      </c>
      <c r="CQ1086" t="s">
        <v>100</v>
      </c>
      <c r="CR1086" t="s">
        <v>100</v>
      </c>
      <c r="CS1086" t="s">
        <v>101</v>
      </c>
      <c r="CT1086" t="s">
        <v>152</v>
      </c>
      <c r="CU1086" t="s">
        <v>102</v>
      </c>
      <c r="CV1086" t="s">
        <v>100</v>
      </c>
    </row>
    <row r="1087" spans="1:100">
      <c r="A1087" s="3" t="s">
        <v>11891</v>
      </c>
      <c r="B1087" s="4" t="s">
        <v>11892</v>
      </c>
      <c r="C1087">
        <v>108.382299273022</v>
      </c>
      <c r="D1087">
        <v>205.579897235755</v>
      </c>
      <c r="E1087">
        <f>0.925536458503169</f>
        <v>0.92553645850316901</v>
      </c>
      <c r="F1087">
        <v>2.9207233348968398E-2</v>
      </c>
      <c r="G1087" t="s">
        <v>4</v>
      </c>
      <c r="H1087">
        <v>108.382299273022</v>
      </c>
      <c r="I1087">
        <v>15.589036014829199</v>
      </c>
      <c r="J1087">
        <v>2.74612780684348</v>
      </c>
      <c r="K1087" s="5">
        <v>3.1748707841094899E-9</v>
      </c>
      <c r="L1087" t="s">
        <v>4</v>
      </c>
      <c r="M1087">
        <v>205.579897235755</v>
      </c>
      <c r="N1087">
        <v>15.589036014829199</v>
      </c>
      <c r="O1087">
        <v>3.6716642653466498</v>
      </c>
      <c r="P1087" s="5">
        <v>5.6161153185553603E-16</v>
      </c>
      <c r="Q1087" t="s">
        <v>4</v>
      </c>
      <c r="R1087" s="4" t="s">
        <v>87</v>
      </c>
      <c r="S1087" t="s">
        <v>4</v>
      </c>
      <c r="T1087" t="s">
        <v>460</v>
      </c>
      <c r="U1087" t="s">
        <v>461</v>
      </c>
      <c r="V1087" t="s">
        <v>462</v>
      </c>
      <c r="W1087" t="s">
        <v>123</v>
      </c>
      <c r="X1087" t="s">
        <v>4</v>
      </c>
      <c r="Y1087" t="s">
        <v>6643</v>
      </c>
      <c r="Z1087" t="s">
        <v>6644</v>
      </c>
      <c r="AA1087" t="s">
        <v>6645</v>
      </c>
      <c r="AB1087" t="s">
        <v>4</v>
      </c>
      <c r="AC1087" s="3" t="s">
        <v>93</v>
      </c>
      <c r="AD1087" t="s">
        <v>4</v>
      </c>
      <c r="AE1087" t="s">
        <v>3190</v>
      </c>
      <c r="AF1087" t="s">
        <v>11893</v>
      </c>
      <c r="AG1087" t="s">
        <v>11227</v>
      </c>
      <c r="AH1087" t="s">
        <v>112</v>
      </c>
      <c r="AJ1087" t="s">
        <v>3193</v>
      </c>
      <c r="AK1087" t="s">
        <v>3194</v>
      </c>
      <c r="AL1087" t="s">
        <v>3195</v>
      </c>
      <c r="AM1087" t="s">
        <v>3196</v>
      </c>
      <c r="AQ1087" t="s">
        <v>3197</v>
      </c>
      <c r="AU1087" t="s">
        <v>112</v>
      </c>
      <c r="AV1087" t="s">
        <v>3198</v>
      </c>
      <c r="AW1087" t="s">
        <v>114</v>
      </c>
      <c r="AX1087" t="s">
        <v>2157</v>
      </c>
      <c r="AY1087" t="s">
        <v>3199</v>
      </c>
      <c r="AZ1087" t="s">
        <v>4</v>
      </c>
      <c r="BA1087" s="3" t="s">
        <v>115</v>
      </c>
      <c r="BB1087" s="6" t="s">
        <v>95</v>
      </c>
      <c r="BC1087" s="3" t="s">
        <v>95</v>
      </c>
      <c r="BD1087" t="s">
        <v>4</v>
      </c>
      <c r="BE1087">
        <v>1623</v>
      </c>
      <c r="BF1087" t="s">
        <v>151</v>
      </c>
      <c r="BG1087" t="s">
        <v>11894</v>
      </c>
      <c r="CK1087">
        <v>2</v>
      </c>
      <c r="CL1087" t="s">
        <v>4</v>
      </c>
      <c r="CM1087" t="s">
        <v>98</v>
      </c>
      <c r="CN1087" t="s">
        <v>98</v>
      </c>
      <c r="CO1087" t="s">
        <v>99</v>
      </c>
      <c r="CP1087" t="s">
        <v>100</v>
      </c>
      <c r="CQ1087" t="s">
        <v>100</v>
      </c>
      <c r="CR1087" t="s">
        <v>100</v>
      </c>
      <c r="CS1087" t="s">
        <v>101</v>
      </c>
      <c r="CT1087" t="s">
        <v>152</v>
      </c>
      <c r="CU1087" t="s">
        <v>102</v>
      </c>
      <c r="CV1087" t="s">
        <v>100</v>
      </c>
    </row>
    <row r="1088" spans="1:100">
      <c r="A1088" s="3" t="s">
        <v>11895</v>
      </c>
      <c r="B1088" s="4" t="s">
        <v>11896</v>
      </c>
      <c r="C1088">
        <v>126.424355534349</v>
      </c>
      <c r="D1088">
        <v>251.510160103678</v>
      </c>
      <c r="E1088">
        <f>0.99323613903782</f>
        <v>0.99323613903782004</v>
      </c>
      <c r="F1088">
        <v>8.0565351352627101E-2</v>
      </c>
      <c r="G1088" t="s">
        <v>4</v>
      </c>
      <c r="H1088">
        <v>126.424355534349</v>
      </c>
      <c r="I1088">
        <v>18.881049418292601</v>
      </c>
      <c r="J1088">
        <v>2.6715739555521401</v>
      </c>
      <c r="K1088" s="5">
        <v>3.0764578868347298E-6</v>
      </c>
      <c r="L1088" t="s">
        <v>4</v>
      </c>
      <c r="M1088">
        <v>251.510160103678</v>
      </c>
      <c r="N1088">
        <v>18.881049418292601</v>
      </c>
      <c r="O1088">
        <v>3.66481009458996</v>
      </c>
      <c r="P1088" s="5">
        <v>4.7073008158894898E-11</v>
      </c>
      <c r="Q1088" t="s">
        <v>4</v>
      </c>
      <c r="R1088" s="4" t="s">
        <v>87</v>
      </c>
      <c r="S1088" t="s">
        <v>4</v>
      </c>
      <c r="T1088" t="s">
        <v>92</v>
      </c>
      <c r="U1088" t="s">
        <v>92</v>
      </c>
      <c r="V1088" t="s">
        <v>92</v>
      </c>
      <c r="W1088" t="s">
        <v>92</v>
      </c>
      <c r="X1088" t="s">
        <v>4</v>
      </c>
      <c r="Y1088" t="s">
        <v>92</v>
      </c>
      <c r="Z1088" t="s">
        <v>92</v>
      </c>
      <c r="AA1088" t="s">
        <v>92</v>
      </c>
      <c r="AB1088" t="s">
        <v>4</v>
      </c>
      <c r="AC1088" s="3" t="s">
        <v>93</v>
      </c>
      <c r="AD1088" t="s">
        <v>4</v>
      </c>
      <c r="AE1088" t="s">
        <v>3190</v>
      </c>
      <c r="AF1088" t="s">
        <v>11897</v>
      </c>
      <c r="AG1088" t="s">
        <v>11898</v>
      </c>
      <c r="AH1088" t="s">
        <v>112</v>
      </c>
      <c r="AJ1088" t="s">
        <v>3193</v>
      </c>
      <c r="AK1088" t="s">
        <v>3194</v>
      </c>
      <c r="AL1088" t="s">
        <v>3195</v>
      </c>
      <c r="AM1088" t="s">
        <v>3196</v>
      </c>
      <c r="AQ1088" t="s">
        <v>3197</v>
      </c>
      <c r="AU1088" t="s">
        <v>112</v>
      </c>
      <c r="AV1088" t="s">
        <v>3198</v>
      </c>
      <c r="AW1088" t="s">
        <v>114</v>
      </c>
      <c r="AX1088" t="s">
        <v>2157</v>
      </c>
      <c r="AY1088" t="s">
        <v>3199</v>
      </c>
      <c r="AZ1088" t="s">
        <v>4</v>
      </c>
      <c r="BA1088" s="3" t="s">
        <v>115</v>
      </c>
      <c r="BB1088" s="6" t="s">
        <v>95</v>
      </c>
      <c r="BC1088" s="3" t="s">
        <v>95</v>
      </c>
      <c r="BD1088" t="s">
        <v>4</v>
      </c>
      <c r="BE1088">
        <v>2372</v>
      </c>
      <c r="BF1088" t="s">
        <v>148</v>
      </c>
      <c r="BG1088">
        <v>94.197999999999993</v>
      </c>
      <c r="BI1088">
        <v>83.276499999999999</v>
      </c>
      <c r="BM1088" t="s">
        <v>11899</v>
      </c>
      <c r="BN1088" t="s">
        <v>11900</v>
      </c>
      <c r="CK1088">
        <v>3</v>
      </c>
      <c r="CL1088" t="s">
        <v>4</v>
      </c>
      <c r="CM1088" t="s">
        <v>98</v>
      </c>
      <c r="CN1088" t="s">
        <v>98</v>
      </c>
      <c r="CO1088" t="s">
        <v>99</v>
      </c>
      <c r="CP1088" t="s">
        <v>100</v>
      </c>
      <c r="CQ1088" t="s">
        <v>100</v>
      </c>
      <c r="CR1088" t="s">
        <v>100</v>
      </c>
      <c r="CS1088" t="s">
        <v>101</v>
      </c>
      <c r="CT1088" t="s">
        <v>152</v>
      </c>
      <c r="CU1088" t="s">
        <v>102</v>
      </c>
      <c r="CV1088" t="s">
        <v>100</v>
      </c>
    </row>
    <row r="1089" spans="1:100">
      <c r="A1089" s="3" t="s">
        <v>11901</v>
      </c>
      <c r="B1089" s="4" t="s">
        <v>11902</v>
      </c>
      <c r="C1089">
        <v>25.790265713782802</v>
      </c>
      <c r="D1089">
        <v>34.711338150731898</v>
      </c>
      <c r="E1089">
        <f>0.436812520520513</f>
        <v>0.436812520520513</v>
      </c>
      <c r="F1089">
        <v>0.53780773689924999</v>
      </c>
      <c r="G1089" t="s">
        <v>4</v>
      </c>
      <c r="H1089">
        <v>25.790265713782802</v>
      </c>
      <c r="I1089">
        <v>2.9150832158666602</v>
      </c>
      <c r="J1089">
        <v>3.2090068783030401</v>
      </c>
      <c r="K1089">
        <v>2.5496998483102502E-4</v>
      </c>
      <c r="L1089" t="s">
        <v>4</v>
      </c>
      <c r="M1089">
        <v>34.711338150731898</v>
      </c>
      <c r="N1089">
        <v>2.9150832158666602</v>
      </c>
      <c r="O1089">
        <v>3.6458193988235501</v>
      </c>
      <c r="P1089" s="5">
        <v>2.1438764942644699E-5</v>
      </c>
      <c r="Q1089" t="s">
        <v>4</v>
      </c>
      <c r="R1089" s="4" t="s">
        <v>87</v>
      </c>
      <c r="S1089" t="s">
        <v>4</v>
      </c>
      <c r="T1089" t="s">
        <v>11903</v>
      </c>
      <c r="U1089" t="s">
        <v>11904</v>
      </c>
      <c r="V1089" t="s">
        <v>11905</v>
      </c>
      <c r="W1089" t="s">
        <v>328</v>
      </c>
      <c r="X1089" t="s">
        <v>4</v>
      </c>
      <c r="Y1089" t="s">
        <v>11906</v>
      </c>
      <c r="Z1089" t="s">
        <v>11907</v>
      </c>
      <c r="AA1089" t="s">
        <v>11908</v>
      </c>
      <c r="AB1089" t="s">
        <v>4</v>
      </c>
      <c r="AC1089" s="3" t="s">
        <v>11909</v>
      </c>
      <c r="AD1089" t="s">
        <v>4</v>
      </c>
      <c r="AE1089" t="s">
        <v>11910</v>
      </c>
      <c r="AF1089" t="s">
        <v>11911</v>
      </c>
      <c r="AG1089" t="s">
        <v>11912</v>
      </c>
      <c r="AH1089" t="s">
        <v>112</v>
      </c>
      <c r="AI1089" t="s">
        <v>11913</v>
      </c>
      <c r="AJ1089" t="s">
        <v>11914</v>
      </c>
      <c r="AL1089" t="s">
        <v>11915</v>
      </c>
      <c r="AQ1089" t="s">
        <v>1693</v>
      </c>
      <c r="AR1089" t="s">
        <v>11916</v>
      </c>
      <c r="AU1089" t="s">
        <v>112</v>
      </c>
      <c r="AV1089" t="s">
        <v>11917</v>
      </c>
      <c r="AW1089" t="s">
        <v>114</v>
      </c>
      <c r="AX1089" t="s">
        <v>700</v>
      </c>
      <c r="AY1089" t="s">
        <v>11918</v>
      </c>
      <c r="AZ1089" t="s">
        <v>4</v>
      </c>
      <c r="BA1089" s="3" t="s">
        <v>95</v>
      </c>
      <c r="BB1089" t="s">
        <v>96</v>
      </c>
      <c r="BC1089" s="3" t="s">
        <v>95</v>
      </c>
      <c r="BD1089" t="s">
        <v>4</v>
      </c>
      <c r="BE1089">
        <v>10184</v>
      </c>
      <c r="BF1089" t="s">
        <v>169</v>
      </c>
      <c r="BG1089">
        <v>98.520099999999999</v>
      </c>
      <c r="BH1089">
        <v>37.420699999999997</v>
      </c>
      <c r="BI1089">
        <v>91.543300000000002</v>
      </c>
      <c r="BJ1089">
        <v>45.243099999999998</v>
      </c>
      <c r="BM1089">
        <v>30.021100000000001</v>
      </c>
      <c r="BN1089">
        <v>59.619399999999999</v>
      </c>
      <c r="BO1089">
        <v>69.3446</v>
      </c>
      <c r="BP1089">
        <v>45.877400000000002</v>
      </c>
      <c r="BQ1089" t="s">
        <v>11919</v>
      </c>
      <c r="BR1089" t="s">
        <v>11920</v>
      </c>
      <c r="BS1089">
        <v>35.518000000000001</v>
      </c>
      <c r="BU1089">
        <v>23.8901</v>
      </c>
      <c r="BV1089" t="s">
        <v>11921</v>
      </c>
      <c r="BW1089">
        <v>30.021100000000001</v>
      </c>
      <c r="BX1089">
        <v>38.477800000000002</v>
      </c>
      <c r="BY1089">
        <v>34.0381</v>
      </c>
      <c r="BZ1089">
        <v>29.809699999999999</v>
      </c>
      <c r="CA1089" t="s">
        <v>11922</v>
      </c>
      <c r="CB1089">
        <v>31.9239</v>
      </c>
      <c r="CD1089">
        <v>30.232600000000001</v>
      </c>
      <c r="CF1089">
        <v>31.501100000000001</v>
      </c>
      <c r="CG1089" t="s">
        <v>11923</v>
      </c>
      <c r="CH1089" t="s">
        <v>11924</v>
      </c>
      <c r="CI1089" t="s">
        <v>11925</v>
      </c>
      <c r="CJ1089">
        <v>16.9133</v>
      </c>
      <c r="CK1089">
        <v>9</v>
      </c>
      <c r="CL1089" t="s">
        <v>4</v>
      </c>
      <c r="CM1089" t="s">
        <v>11926</v>
      </c>
      <c r="CN1089" t="s">
        <v>11927</v>
      </c>
      <c r="CO1089" t="s">
        <v>11928</v>
      </c>
      <c r="CP1089" t="s">
        <v>100</v>
      </c>
      <c r="CQ1089" t="s">
        <v>100</v>
      </c>
      <c r="CR1089" t="s">
        <v>100</v>
      </c>
      <c r="CS1089" t="s">
        <v>101</v>
      </c>
      <c r="CT1089" t="s">
        <v>152</v>
      </c>
      <c r="CU1089" t="s">
        <v>102</v>
      </c>
      <c r="CV1089" t="s">
        <v>100</v>
      </c>
    </row>
    <row r="1090" spans="1:100">
      <c r="A1090" s="3" t="s">
        <v>11929</v>
      </c>
      <c r="B1090" s="4" t="s">
        <v>11930</v>
      </c>
      <c r="C1090">
        <v>161.71566304448501</v>
      </c>
      <c r="D1090">
        <v>135.29547599111601</v>
      </c>
      <c r="E1090">
        <v>0.25675502453932503</v>
      </c>
      <c r="F1090">
        <v>0.71858935838498605</v>
      </c>
      <c r="G1090" t="s">
        <v>4</v>
      </c>
      <c r="H1090">
        <v>161.71566304448501</v>
      </c>
      <c r="I1090">
        <v>10.389520044596299</v>
      </c>
      <c r="J1090">
        <v>3.89051304387332</v>
      </c>
      <c r="K1090" s="5">
        <v>4.3363669197181199E-9</v>
      </c>
      <c r="L1090" t="s">
        <v>4</v>
      </c>
      <c r="M1090">
        <v>135.29547599111601</v>
      </c>
      <c r="N1090">
        <v>10.389520044596299</v>
      </c>
      <c r="O1090">
        <v>3.6337580193339898</v>
      </c>
      <c r="P1090" s="5">
        <v>3.7525689628737302E-8</v>
      </c>
      <c r="Q1090" t="s">
        <v>4</v>
      </c>
      <c r="R1090" s="4" t="s">
        <v>87</v>
      </c>
      <c r="S1090" t="s">
        <v>4</v>
      </c>
      <c r="T1090" t="s">
        <v>92</v>
      </c>
      <c r="U1090" t="s">
        <v>92</v>
      </c>
      <c r="V1090" t="s">
        <v>92</v>
      </c>
      <c r="W1090" t="s">
        <v>92</v>
      </c>
      <c r="X1090" t="s">
        <v>4</v>
      </c>
      <c r="Y1090" t="s">
        <v>92</v>
      </c>
      <c r="Z1090" t="s">
        <v>92</v>
      </c>
      <c r="AA1090" t="s">
        <v>92</v>
      </c>
      <c r="AB1090" t="s">
        <v>4</v>
      </c>
      <c r="AC1090" s="3" t="s">
        <v>93</v>
      </c>
      <c r="AD1090" t="s">
        <v>4</v>
      </c>
      <c r="AE1090" s="4" t="s">
        <v>94</v>
      </c>
      <c r="AZ1090" t="s">
        <v>4</v>
      </c>
      <c r="BA1090" s="3" t="s">
        <v>95</v>
      </c>
      <c r="BB1090" s="6" t="s">
        <v>95</v>
      </c>
      <c r="BC1090" s="3" t="s">
        <v>95</v>
      </c>
      <c r="BD1090" t="s">
        <v>4</v>
      </c>
      <c r="BE1090">
        <v>3083</v>
      </c>
      <c r="BF1090" t="s">
        <v>97</v>
      </c>
      <c r="BG1090">
        <v>22.360199999999999</v>
      </c>
      <c r="BH1090">
        <v>23.602499999999999</v>
      </c>
      <c r="BI1090">
        <v>54.347799999999999</v>
      </c>
      <c r="BJ1090">
        <v>61.801200000000001</v>
      </c>
      <c r="BK1090">
        <v>24.223600000000001</v>
      </c>
      <c r="BL1090">
        <v>18.323</v>
      </c>
      <c r="BM1090">
        <v>57.764000000000003</v>
      </c>
      <c r="BN1090">
        <v>57.453400000000002</v>
      </c>
      <c r="BO1090">
        <v>40.683199999999999</v>
      </c>
      <c r="BP1090">
        <v>22.981400000000001</v>
      </c>
      <c r="CK1090">
        <v>4</v>
      </c>
      <c r="CL1090" t="s">
        <v>4</v>
      </c>
      <c r="CM1090" t="s">
        <v>98</v>
      </c>
      <c r="CN1090" t="s">
        <v>98</v>
      </c>
      <c r="CO1090" t="s">
        <v>99</v>
      </c>
      <c r="CP1090" t="s">
        <v>100</v>
      </c>
      <c r="CQ1090" t="s">
        <v>100</v>
      </c>
      <c r="CR1090" t="s">
        <v>100</v>
      </c>
      <c r="CS1090" t="s">
        <v>101</v>
      </c>
      <c r="CT1090" t="s">
        <v>152</v>
      </c>
      <c r="CU1090" t="s">
        <v>102</v>
      </c>
      <c r="CV1090" t="s">
        <v>100</v>
      </c>
    </row>
    <row r="1091" spans="1:100">
      <c r="A1091" s="3" t="s">
        <v>11931</v>
      </c>
      <c r="B1091" s="4" t="s">
        <v>11932</v>
      </c>
      <c r="C1091">
        <v>35.286542103295503</v>
      </c>
      <c r="D1091">
        <v>26.5451403979988</v>
      </c>
      <c r="E1091">
        <v>0.418682862814933</v>
      </c>
      <c r="F1091">
        <v>0.58617013363164205</v>
      </c>
      <c r="G1091" t="s">
        <v>4</v>
      </c>
      <c r="H1091">
        <v>35.286542103295503</v>
      </c>
      <c r="I1091">
        <v>1.83190511860186</v>
      </c>
      <c r="J1091">
        <v>4.0403826551131603</v>
      </c>
      <c r="K1091" s="5">
        <v>2.6800361393542199E-5</v>
      </c>
      <c r="L1091" t="s">
        <v>4</v>
      </c>
      <c r="M1091">
        <v>26.5451403979988</v>
      </c>
      <c r="N1091">
        <v>1.83190511860186</v>
      </c>
      <c r="O1091">
        <v>3.6216997922982301</v>
      </c>
      <c r="P1091">
        <v>1.6631979914523399E-4</v>
      </c>
      <c r="Q1091" t="s">
        <v>4</v>
      </c>
      <c r="R1091" s="4" t="s">
        <v>87</v>
      </c>
      <c r="S1091" t="s">
        <v>4</v>
      </c>
      <c r="T1091" t="s">
        <v>11933</v>
      </c>
      <c r="U1091" t="s">
        <v>11934</v>
      </c>
      <c r="V1091" t="s">
        <v>11935</v>
      </c>
      <c r="W1091" t="s">
        <v>91</v>
      </c>
      <c r="X1091" t="s">
        <v>4</v>
      </c>
      <c r="Y1091" t="s">
        <v>11936</v>
      </c>
      <c r="Z1091" t="s">
        <v>11937</v>
      </c>
      <c r="AA1091" t="s">
        <v>11938</v>
      </c>
      <c r="AB1091" t="s">
        <v>4</v>
      </c>
      <c r="AC1091" s="3" t="s">
        <v>11939</v>
      </c>
      <c r="AD1091" t="s">
        <v>4</v>
      </c>
      <c r="AE1091" t="s">
        <v>11940</v>
      </c>
      <c r="AF1091" t="s">
        <v>11941</v>
      </c>
      <c r="AG1091" t="s">
        <v>11942</v>
      </c>
      <c r="AH1091" t="s">
        <v>112</v>
      </c>
      <c r="AJ1091" t="s">
        <v>11943</v>
      </c>
      <c r="AL1091" t="s">
        <v>11944</v>
      </c>
      <c r="AQ1091" t="s">
        <v>1028</v>
      </c>
      <c r="AU1091" t="s">
        <v>112</v>
      </c>
      <c r="AV1091" t="s">
        <v>11945</v>
      </c>
      <c r="AW1091" t="s">
        <v>114</v>
      </c>
      <c r="AX1091" t="s">
        <v>144</v>
      </c>
      <c r="AY1091" t="s">
        <v>11946</v>
      </c>
      <c r="AZ1091" t="s">
        <v>4</v>
      </c>
      <c r="BA1091" s="3" t="s">
        <v>95</v>
      </c>
      <c r="BB1091" s="6" t="s">
        <v>95</v>
      </c>
      <c r="BC1091" s="3" t="s">
        <v>197</v>
      </c>
      <c r="BD1091" t="s">
        <v>4</v>
      </c>
      <c r="BE1091">
        <v>3449</v>
      </c>
      <c r="BF1091" t="s">
        <v>112</v>
      </c>
      <c r="BG1091">
        <v>97.7273</v>
      </c>
      <c r="BH1091">
        <v>71.818200000000004</v>
      </c>
      <c r="BJ1091" t="s">
        <v>11947</v>
      </c>
      <c r="BK1091">
        <v>70</v>
      </c>
      <c r="BN1091" t="s">
        <v>11948</v>
      </c>
      <c r="BP1091">
        <v>40.454500000000003</v>
      </c>
      <c r="BR1091" t="s">
        <v>11949</v>
      </c>
      <c r="BS1091">
        <v>32.7273</v>
      </c>
      <c r="BU1091" t="s">
        <v>11950</v>
      </c>
      <c r="BV1091" t="s">
        <v>11951</v>
      </c>
      <c r="BW1091" t="s">
        <v>11952</v>
      </c>
      <c r="BX1091" t="s">
        <v>11953</v>
      </c>
      <c r="BZ1091" t="s">
        <v>11954</v>
      </c>
      <c r="CA1091">
        <v>30.909099999999999</v>
      </c>
      <c r="CF1091" t="s">
        <v>11955</v>
      </c>
      <c r="CG1091" t="s">
        <v>11956</v>
      </c>
      <c r="CH1091" t="s">
        <v>11957</v>
      </c>
      <c r="CI1091" t="s">
        <v>11958</v>
      </c>
      <c r="CK1091">
        <v>5</v>
      </c>
      <c r="CL1091" t="s">
        <v>4</v>
      </c>
      <c r="CM1091" t="s">
        <v>11959</v>
      </c>
      <c r="CN1091" t="s">
        <v>11960</v>
      </c>
      <c r="CO1091" t="s">
        <v>99</v>
      </c>
      <c r="CP1091" t="s">
        <v>100</v>
      </c>
      <c r="CQ1091" t="s">
        <v>100</v>
      </c>
      <c r="CR1091" t="s">
        <v>100</v>
      </c>
      <c r="CS1091" t="s">
        <v>101</v>
      </c>
      <c r="CT1091" t="s">
        <v>152</v>
      </c>
      <c r="CU1091" t="s">
        <v>102</v>
      </c>
      <c r="CV1091" t="s">
        <v>100</v>
      </c>
    </row>
    <row r="1092" spans="1:100">
      <c r="A1092" s="3" t="s">
        <v>11961</v>
      </c>
      <c r="B1092" s="8" t="s">
        <v>811</v>
      </c>
      <c r="C1092">
        <v>49.366623167897401</v>
      </c>
      <c r="D1092">
        <v>100.66639560571301</v>
      </c>
      <c r="E1092">
        <f>-1.02755831274934</f>
        <v>-1.02755831274934</v>
      </c>
      <c r="F1092">
        <v>0.120557988269698</v>
      </c>
      <c r="G1092" t="s">
        <v>4</v>
      </c>
      <c r="H1092">
        <v>49.366623167897401</v>
      </c>
      <c r="I1092">
        <v>8.3840747491487004</v>
      </c>
      <c r="J1092">
        <v>2.5921901184027698</v>
      </c>
      <c r="K1092">
        <v>2.8320049788519602E-4</v>
      </c>
      <c r="L1092" t="s">
        <v>4</v>
      </c>
      <c r="M1092">
        <v>100.66639560571301</v>
      </c>
      <c r="N1092">
        <v>8.3840747491487004</v>
      </c>
      <c r="O1092">
        <v>3.61974843115211</v>
      </c>
      <c r="P1092" s="5">
        <v>1.47468509223624E-7</v>
      </c>
      <c r="Q1092" t="s">
        <v>4</v>
      </c>
      <c r="R1092" s="4" t="s">
        <v>95</v>
      </c>
      <c r="S1092" t="s">
        <v>4</v>
      </c>
      <c r="T1092" t="s">
        <v>92</v>
      </c>
      <c r="U1092" t="s">
        <v>92</v>
      </c>
      <c r="V1092" t="s">
        <v>92</v>
      </c>
      <c r="W1092" t="s">
        <v>92</v>
      </c>
      <c r="X1092" t="s">
        <v>4</v>
      </c>
      <c r="Y1092" t="s">
        <v>92</v>
      </c>
      <c r="Z1092" t="s">
        <v>92</v>
      </c>
      <c r="AA1092" t="s">
        <v>92</v>
      </c>
      <c r="AB1092" t="s">
        <v>4</v>
      </c>
      <c r="AC1092" s="3" t="s">
        <v>11962</v>
      </c>
      <c r="AD1092" t="s">
        <v>4</v>
      </c>
      <c r="AE1092" t="s">
        <v>11097</v>
      </c>
      <c r="AF1092" t="s">
        <v>834</v>
      </c>
      <c r="AG1092" t="s">
        <v>11963</v>
      </c>
      <c r="AH1092" t="s">
        <v>386</v>
      </c>
      <c r="AU1092" t="s">
        <v>112</v>
      </c>
      <c r="AV1092" t="s">
        <v>11100</v>
      </c>
      <c r="AW1092" t="s">
        <v>114</v>
      </c>
      <c r="AX1092" t="s">
        <v>1938</v>
      </c>
      <c r="AY1092" t="s">
        <v>11101</v>
      </c>
      <c r="AZ1092" t="s">
        <v>4</v>
      </c>
      <c r="BA1092" s="3" t="s">
        <v>812</v>
      </c>
      <c r="BB1092" s="3" t="s">
        <v>812</v>
      </c>
      <c r="BC1092" s="3" t="s">
        <v>812</v>
      </c>
      <c r="BD1092" t="s">
        <v>4</v>
      </c>
      <c r="BE1092" s="3" t="s">
        <v>812</v>
      </c>
      <c r="BF1092" s="3" t="s">
        <v>812</v>
      </c>
      <c r="BG1092" s="3" t="s">
        <v>812</v>
      </c>
      <c r="BH1092" s="3" t="s">
        <v>812</v>
      </c>
      <c r="BI1092" s="3" t="s">
        <v>812</v>
      </c>
      <c r="BJ1092" s="3" t="s">
        <v>812</v>
      </c>
      <c r="BK1092" s="3" t="s">
        <v>812</v>
      </c>
      <c r="BL1092" s="3" t="s">
        <v>812</v>
      </c>
      <c r="BM1092" s="3" t="s">
        <v>812</v>
      </c>
      <c r="BN1092" s="3" t="s">
        <v>812</v>
      </c>
      <c r="BO1092" s="3" t="s">
        <v>812</v>
      </c>
      <c r="BP1092" s="3" t="s">
        <v>812</v>
      </c>
      <c r="BQ1092" s="3" t="s">
        <v>812</v>
      </c>
      <c r="BR1092" s="3" t="s">
        <v>812</v>
      </c>
      <c r="BS1092" s="3" t="s">
        <v>812</v>
      </c>
      <c r="BT1092" s="3" t="s">
        <v>812</v>
      </c>
      <c r="BU1092" s="3" t="s">
        <v>812</v>
      </c>
      <c r="BV1092" s="3" t="s">
        <v>812</v>
      </c>
      <c r="BW1092" s="3" t="s">
        <v>812</v>
      </c>
      <c r="BX1092" s="3" t="s">
        <v>812</v>
      </c>
      <c r="BY1092" s="3" t="s">
        <v>812</v>
      </c>
      <c r="BZ1092" s="3" t="s">
        <v>812</v>
      </c>
      <c r="CA1092" s="3" t="s">
        <v>812</v>
      </c>
      <c r="CB1092" s="3" t="s">
        <v>812</v>
      </c>
      <c r="CC1092" s="3" t="s">
        <v>812</v>
      </c>
      <c r="CD1092" s="3" t="s">
        <v>812</v>
      </c>
      <c r="CE1092" s="3" t="s">
        <v>812</v>
      </c>
      <c r="CF1092" s="3" t="s">
        <v>812</v>
      </c>
      <c r="CG1092" s="3" t="s">
        <v>812</v>
      </c>
      <c r="CH1092" s="3" t="s">
        <v>812</v>
      </c>
      <c r="CI1092" s="3" t="s">
        <v>812</v>
      </c>
      <c r="CJ1092" s="3" t="s">
        <v>812</v>
      </c>
      <c r="CK1092" s="3" t="s">
        <v>812</v>
      </c>
      <c r="CL1092" t="s">
        <v>4</v>
      </c>
      <c r="CM1092" s="3" t="s">
        <v>812</v>
      </c>
      <c r="CN1092" s="3" t="s">
        <v>812</v>
      </c>
      <c r="CO1092" s="3" t="s">
        <v>812</v>
      </c>
      <c r="CP1092" t="s">
        <v>100</v>
      </c>
      <c r="CQ1092" t="s">
        <v>100</v>
      </c>
      <c r="CR1092" t="s">
        <v>100</v>
      </c>
      <c r="CS1092" t="s">
        <v>101</v>
      </c>
      <c r="CT1092" t="s">
        <v>152</v>
      </c>
      <c r="CU1092" t="s">
        <v>102</v>
      </c>
      <c r="CV1092" t="s">
        <v>100</v>
      </c>
    </row>
    <row r="1093" spans="1:100">
      <c r="A1093" s="3" t="s">
        <v>11964</v>
      </c>
      <c r="B1093" s="4" t="s">
        <v>11965</v>
      </c>
      <c r="C1093">
        <v>26.372017466192599</v>
      </c>
      <c r="D1093">
        <v>11.399732462370199</v>
      </c>
      <c r="E1093">
        <v>1.2093686255705201</v>
      </c>
      <c r="F1093">
        <v>0.192712152839212</v>
      </c>
      <c r="G1093" t="s">
        <v>4</v>
      </c>
      <c r="H1093">
        <v>26.372017466192599</v>
      </c>
      <c r="I1093">
        <v>0.967668214356326</v>
      </c>
      <c r="J1093">
        <v>4.8208532685900103</v>
      </c>
      <c r="K1093">
        <v>4.0213897168542799E-4</v>
      </c>
      <c r="L1093" t="s">
        <v>4</v>
      </c>
      <c r="M1093">
        <v>11.399732462370199</v>
      </c>
      <c r="N1093">
        <v>0.967668214356326</v>
      </c>
      <c r="O1093">
        <v>3.61148464301949</v>
      </c>
      <c r="P1093">
        <v>9.2577301406403505E-3</v>
      </c>
      <c r="Q1093" t="s">
        <v>4</v>
      </c>
      <c r="R1093" s="4" t="s">
        <v>87</v>
      </c>
      <c r="S1093" t="s">
        <v>4</v>
      </c>
      <c r="T1093" t="s">
        <v>92</v>
      </c>
      <c r="U1093" t="s">
        <v>92</v>
      </c>
      <c r="V1093" t="s">
        <v>92</v>
      </c>
      <c r="W1093" t="s">
        <v>92</v>
      </c>
      <c r="X1093" t="s">
        <v>4</v>
      </c>
      <c r="Y1093" t="s">
        <v>92</v>
      </c>
      <c r="Z1093" t="s">
        <v>92</v>
      </c>
      <c r="AA1093" t="s">
        <v>92</v>
      </c>
      <c r="AB1093" t="s">
        <v>4</v>
      </c>
      <c r="AC1093" s="3" t="s">
        <v>93</v>
      </c>
      <c r="AD1093" t="s">
        <v>4</v>
      </c>
      <c r="AE1093" s="4" t="s">
        <v>94</v>
      </c>
      <c r="AZ1093" t="s">
        <v>4</v>
      </c>
      <c r="BA1093" s="3" t="s">
        <v>95</v>
      </c>
      <c r="BB1093" s="6" t="s">
        <v>95</v>
      </c>
      <c r="BC1093" s="3" t="s">
        <v>95</v>
      </c>
      <c r="BD1093" t="s">
        <v>4</v>
      </c>
      <c r="BE1093">
        <v>1392</v>
      </c>
      <c r="BF1093" t="s">
        <v>151</v>
      </c>
      <c r="BH1093">
        <v>100</v>
      </c>
      <c r="BI1093">
        <v>77.235799999999998</v>
      </c>
      <c r="CK1093">
        <v>2</v>
      </c>
      <c r="CL1093" t="s">
        <v>4</v>
      </c>
      <c r="CM1093" t="s">
        <v>98</v>
      </c>
      <c r="CN1093" t="s">
        <v>98</v>
      </c>
      <c r="CO1093" t="s">
        <v>99</v>
      </c>
      <c r="CP1093" t="s">
        <v>100</v>
      </c>
      <c r="CQ1093" t="s">
        <v>100</v>
      </c>
      <c r="CR1093" t="s">
        <v>100</v>
      </c>
      <c r="CS1093" t="s">
        <v>101</v>
      </c>
      <c r="CT1093" t="s">
        <v>152</v>
      </c>
      <c r="CU1093" t="s">
        <v>102</v>
      </c>
      <c r="CV1093" t="s">
        <v>100</v>
      </c>
    </row>
    <row r="1094" spans="1:100">
      <c r="A1094" s="3" t="s">
        <v>11966</v>
      </c>
      <c r="B1094" s="4" t="s">
        <v>11967</v>
      </c>
      <c r="C1094">
        <v>483.96635786127598</v>
      </c>
      <c r="D1094">
        <v>623.53645639014201</v>
      </c>
      <c r="E1094">
        <f>0.365263944557283</f>
        <v>0.365263944557283</v>
      </c>
      <c r="F1094">
        <v>0.20291788355350801</v>
      </c>
      <c r="G1094" t="s">
        <v>4</v>
      </c>
      <c r="H1094">
        <v>483.96635786127598</v>
      </c>
      <c r="I1094">
        <v>50.391005846950698</v>
      </c>
      <c r="J1094">
        <v>3.2391010032343401</v>
      </c>
      <c r="K1094" s="5">
        <v>1.14050622256444E-29</v>
      </c>
      <c r="L1094" t="s">
        <v>4</v>
      </c>
      <c r="M1094">
        <v>623.53645639014201</v>
      </c>
      <c r="N1094">
        <v>50.391005846950698</v>
      </c>
      <c r="O1094">
        <v>3.60436494779163</v>
      </c>
      <c r="P1094" s="5">
        <v>1.09393389567156E-36</v>
      </c>
      <c r="Q1094" t="s">
        <v>4</v>
      </c>
      <c r="R1094" s="4" t="s">
        <v>87</v>
      </c>
      <c r="S1094" t="s">
        <v>4</v>
      </c>
      <c r="T1094" t="s">
        <v>11968</v>
      </c>
      <c r="U1094" t="s">
        <v>11969</v>
      </c>
      <c r="V1094" t="s">
        <v>11970</v>
      </c>
      <c r="W1094" t="s">
        <v>1845</v>
      </c>
      <c r="X1094" t="s">
        <v>4</v>
      </c>
      <c r="Y1094" t="s">
        <v>11971</v>
      </c>
      <c r="Z1094" t="s">
        <v>11972</v>
      </c>
      <c r="AA1094" t="s">
        <v>11973</v>
      </c>
      <c r="AB1094" t="s">
        <v>4</v>
      </c>
      <c r="AC1094" s="3" t="s">
        <v>93</v>
      </c>
      <c r="AD1094" t="s">
        <v>4</v>
      </c>
      <c r="AE1094" t="s">
        <v>11974</v>
      </c>
      <c r="AF1094" t="s">
        <v>11975</v>
      </c>
      <c r="AG1094" t="s">
        <v>11976</v>
      </c>
      <c r="AH1094" t="s">
        <v>112</v>
      </c>
      <c r="AJ1094" t="s">
        <v>11977</v>
      </c>
      <c r="AL1094" t="s">
        <v>11978</v>
      </c>
      <c r="AM1094" t="s">
        <v>11979</v>
      </c>
      <c r="AQ1094" t="s">
        <v>11980</v>
      </c>
      <c r="AU1094" t="s">
        <v>112</v>
      </c>
      <c r="AV1094" t="s">
        <v>11981</v>
      </c>
      <c r="AW1094" t="s">
        <v>114</v>
      </c>
      <c r="AX1094" t="s">
        <v>733</v>
      </c>
      <c r="AY1094" t="s">
        <v>11982</v>
      </c>
      <c r="AZ1094" t="s">
        <v>4</v>
      </c>
      <c r="BA1094" s="3" t="s">
        <v>95</v>
      </c>
      <c r="BB1094" s="6" t="s">
        <v>95</v>
      </c>
      <c r="BC1094" s="3" t="s">
        <v>95</v>
      </c>
      <c r="BD1094" t="s">
        <v>4</v>
      </c>
      <c r="BE1094">
        <v>10375</v>
      </c>
      <c r="BF1094" t="s">
        <v>169</v>
      </c>
      <c r="BG1094">
        <v>99.724500000000006</v>
      </c>
      <c r="BH1094">
        <v>96.418700000000001</v>
      </c>
      <c r="BI1094">
        <v>85.123999999999995</v>
      </c>
      <c r="BJ1094">
        <v>91.184600000000003</v>
      </c>
      <c r="BK1094">
        <v>81.542699999999996</v>
      </c>
      <c r="BL1094">
        <v>80.165300000000002</v>
      </c>
      <c r="BM1094">
        <v>81.818200000000004</v>
      </c>
      <c r="BN1094">
        <v>87.603300000000004</v>
      </c>
      <c r="BO1094">
        <v>83.195599999999999</v>
      </c>
      <c r="BP1094">
        <v>79.6143</v>
      </c>
      <c r="BQ1094" t="s">
        <v>11983</v>
      </c>
      <c r="BR1094">
        <v>55.096400000000003</v>
      </c>
      <c r="BS1094">
        <v>72.451800000000006</v>
      </c>
      <c r="BT1094">
        <v>62.534399999999998</v>
      </c>
      <c r="BU1094">
        <v>62.534399999999998</v>
      </c>
      <c r="BV1094" t="s">
        <v>11984</v>
      </c>
      <c r="BW1094">
        <v>58.953200000000002</v>
      </c>
      <c r="BX1094">
        <v>59.504100000000001</v>
      </c>
      <c r="BZ1094">
        <v>54.820900000000002</v>
      </c>
      <c r="CA1094">
        <v>51.5152</v>
      </c>
      <c r="CB1094">
        <v>38.292000000000002</v>
      </c>
      <c r="CC1094">
        <v>66.115700000000004</v>
      </c>
      <c r="CD1094">
        <v>68.319599999999994</v>
      </c>
      <c r="CE1094">
        <v>65.289299999999997</v>
      </c>
      <c r="CF1094">
        <v>53.167999999999999</v>
      </c>
      <c r="CG1094">
        <v>58.1267</v>
      </c>
      <c r="CH1094">
        <v>65.289299999999997</v>
      </c>
      <c r="CI1094">
        <v>65.013800000000003</v>
      </c>
      <c r="CJ1094">
        <v>56.749299999999998</v>
      </c>
      <c r="CK1094">
        <v>9</v>
      </c>
      <c r="CL1094" t="s">
        <v>4</v>
      </c>
      <c r="CM1094" t="s">
        <v>11985</v>
      </c>
      <c r="CN1094" t="s">
        <v>11986</v>
      </c>
      <c r="CO1094" t="s">
        <v>219</v>
      </c>
      <c r="CP1094" t="s">
        <v>100</v>
      </c>
      <c r="CQ1094" t="s">
        <v>100</v>
      </c>
      <c r="CR1094" t="s">
        <v>100</v>
      </c>
      <c r="CS1094" t="s">
        <v>101</v>
      </c>
      <c r="CT1094" t="s">
        <v>152</v>
      </c>
      <c r="CU1094" t="s">
        <v>102</v>
      </c>
      <c r="CV1094" t="s">
        <v>8851</v>
      </c>
    </row>
    <row r="1095" spans="1:100">
      <c r="A1095" s="3" t="s">
        <v>11987</v>
      </c>
      <c r="B1095" s="4" t="s">
        <v>11988</v>
      </c>
      <c r="C1095">
        <v>77.666621896505902</v>
      </c>
      <c r="D1095">
        <v>35.900668615840502</v>
      </c>
      <c r="E1095">
        <v>1.11511022992723</v>
      </c>
      <c r="F1095">
        <v>8.8701154436439694E-2</v>
      </c>
      <c r="G1095" t="s">
        <v>4</v>
      </c>
      <c r="H1095">
        <v>77.666621896505902</v>
      </c>
      <c r="I1095">
        <v>2.5059406243137099</v>
      </c>
      <c r="J1095">
        <v>4.7125080418689897</v>
      </c>
      <c r="K1095" s="5">
        <v>1.5696809050231701E-8</v>
      </c>
      <c r="L1095" t="s">
        <v>4</v>
      </c>
      <c r="M1095">
        <v>35.900668615840502</v>
      </c>
      <c r="N1095">
        <v>2.5059406243137099</v>
      </c>
      <c r="O1095">
        <v>3.59739781194176</v>
      </c>
      <c r="P1095" s="5">
        <v>2.0319033111403999E-5</v>
      </c>
      <c r="Q1095" t="s">
        <v>4</v>
      </c>
      <c r="R1095" s="4" t="s">
        <v>87</v>
      </c>
      <c r="S1095" t="s">
        <v>4</v>
      </c>
      <c r="T1095" t="s">
        <v>92</v>
      </c>
      <c r="U1095" t="s">
        <v>92</v>
      </c>
      <c r="V1095" t="s">
        <v>92</v>
      </c>
      <c r="W1095" t="s">
        <v>92</v>
      </c>
      <c r="X1095" t="s">
        <v>4</v>
      </c>
      <c r="Y1095" t="s">
        <v>92</v>
      </c>
      <c r="Z1095" t="s">
        <v>92</v>
      </c>
      <c r="AA1095" t="s">
        <v>92</v>
      </c>
      <c r="AB1095" t="s">
        <v>4</v>
      </c>
      <c r="AC1095" s="3" t="s">
        <v>93</v>
      </c>
      <c r="AD1095" t="s">
        <v>4</v>
      </c>
      <c r="AE1095" s="4" t="s">
        <v>94</v>
      </c>
      <c r="AZ1095" t="s">
        <v>4</v>
      </c>
      <c r="BA1095" s="3" t="s">
        <v>95</v>
      </c>
      <c r="BB1095" s="6" t="s">
        <v>95</v>
      </c>
      <c r="BC1095" s="3" t="s">
        <v>95</v>
      </c>
      <c r="BD1095" t="s">
        <v>4</v>
      </c>
      <c r="BE1095">
        <v>1302</v>
      </c>
      <c r="BF1095" t="s">
        <v>151</v>
      </c>
      <c r="BG1095">
        <v>96.470600000000005</v>
      </c>
      <c r="BH1095">
        <v>92.549000000000007</v>
      </c>
      <c r="BI1095" t="s">
        <v>11989</v>
      </c>
      <c r="BJ1095">
        <v>65.490200000000002</v>
      </c>
      <c r="BK1095">
        <v>50.196100000000001</v>
      </c>
      <c r="BL1095">
        <v>58.431399999999996</v>
      </c>
      <c r="BM1095">
        <v>59.215699999999998</v>
      </c>
      <c r="BN1095">
        <v>58.039200000000001</v>
      </c>
      <c r="BO1095">
        <v>53.333300000000001</v>
      </c>
      <c r="CK1095">
        <v>2</v>
      </c>
      <c r="CL1095" t="s">
        <v>4</v>
      </c>
      <c r="CM1095" t="s">
        <v>98</v>
      </c>
      <c r="CN1095" t="s">
        <v>98</v>
      </c>
      <c r="CO1095" t="s">
        <v>99</v>
      </c>
      <c r="CP1095" t="s">
        <v>100</v>
      </c>
      <c r="CQ1095" t="s">
        <v>100</v>
      </c>
      <c r="CR1095" t="s">
        <v>100</v>
      </c>
      <c r="CS1095" t="s">
        <v>101</v>
      </c>
      <c r="CT1095" t="s">
        <v>152</v>
      </c>
      <c r="CU1095" t="s">
        <v>102</v>
      </c>
      <c r="CV1095" t="s">
        <v>100</v>
      </c>
    </row>
    <row r="1096" spans="1:100">
      <c r="A1096" s="3" t="s">
        <v>11990</v>
      </c>
      <c r="B1096" s="4" t="s">
        <v>11991</v>
      </c>
      <c r="C1096">
        <v>52599.161493594896</v>
      </c>
      <c r="D1096">
        <v>44087.569844839803</v>
      </c>
      <c r="E1096">
        <v>0.25466450227731202</v>
      </c>
      <c r="F1096">
        <v>0.64480119392902402</v>
      </c>
      <c r="G1096" t="s">
        <v>4</v>
      </c>
      <c r="H1096">
        <v>52599.161493594896</v>
      </c>
      <c r="I1096">
        <v>3660.5146520915</v>
      </c>
      <c r="J1096">
        <v>3.8449938586429502</v>
      </c>
      <c r="K1096" s="5">
        <v>3.421653236509E-17</v>
      </c>
      <c r="L1096" t="s">
        <v>4</v>
      </c>
      <c r="M1096">
        <v>44087.569844839803</v>
      </c>
      <c r="N1096">
        <v>3660.5146520915</v>
      </c>
      <c r="O1096">
        <v>3.5903293563656402</v>
      </c>
      <c r="P1096" s="5">
        <v>2.9480663269730201E-15</v>
      </c>
      <c r="Q1096" t="s">
        <v>4</v>
      </c>
      <c r="R1096" s="4" t="s">
        <v>87</v>
      </c>
      <c r="S1096" t="s">
        <v>4</v>
      </c>
      <c r="T1096" t="s">
        <v>11502</v>
      </c>
      <c r="U1096" t="s">
        <v>11503</v>
      </c>
      <c r="V1096" t="s">
        <v>11504</v>
      </c>
      <c r="W1096" t="s">
        <v>507</v>
      </c>
      <c r="X1096" t="s">
        <v>4</v>
      </c>
      <c r="Y1096" t="s">
        <v>11992</v>
      </c>
      <c r="Z1096" t="s">
        <v>11993</v>
      </c>
      <c r="AA1096" t="s">
        <v>11994</v>
      </c>
      <c r="AB1096" t="s">
        <v>4</v>
      </c>
      <c r="AC1096" s="3" t="s">
        <v>11995</v>
      </c>
      <c r="AD1096" t="s">
        <v>4</v>
      </c>
      <c r="AE1096" t="s">
        <v>11996</v>
      </c>
      <c r="AF1096" t="s">
        <v>11997</v>
      </c>
      <c r="AG1096" t="s">
        <v>11998</v>
      </c>
      <c r="AH1096" t="s">
        <v>314</v>
      </c>
      <c r="AU1096" t="s">
        <v>112</v>
      </c>
      <c r="AV1096" t="s">
        <v>11999</v>
      </c>
      <c r="AW1096" t="s">
        <v>114</v>
      </c>
      <c r="AX1096" t="s">
        <v>2139</v>
      </c>
      <c r="AY1096" t="s">
        <v>12000</v>
      </c>
      <c r="AZ1096" t="s">
        <v>4</v>
      </c>
      <c r="BA1096" s="3" t="s">
        <v>95</v>
      </c>
      <c r="BB1096" s="6" t="s">
        <v>95</v>
      </c>
      <c r="BC1096" s="3" t="s">
        <v>95</v>
      </c>
      <c r="BD1096" t="s">
        <v>4</v>
      </c>
      <c r="BE1096">
        <v>9149</v>
      </c>
      <c r="BF1096" t="s">
        <v>169</v>
      </c>
      <c r="BI1096" t="s">
        <v>12001</v>
      </c>
      <c r="BJ1096">
        <v>71.739099999999993</v>
      </c>
      <c r="BK1096">
        <v>71.739099999999993</v>
      </c>
      <c r="BL1096">
        <v>71.739099999999993</v>
      </c>
      <c r="BN1096">
        <v>71.739099999999993</v>
      </c>
      <c r="BP1096">
        <v>71.739099999999993</v>
      </c>
      <c r="BR1096" t="s">
        <v>12002</v>
      </c>
      <c r="BS1096" t="s">
        <v>12003</v>
      </c>
      <c r="BV1096">
        <v>51.449300000000001</v>
      </c>
      <c r="BW1096">
        <v>72.463800000000006</v>
      </c>
      <c r="BX1096" t="s">
        <v>12004</v>
      </c>
      <c r="BY1096">
        <v>63.768099999999997</v>
      </c>
      <c r="BZ1096" t="s">
        <v>12005</v>
      </c>
      <c r="CA1096" t="s">
        <v>12006</v>
      </c>
      <c r="CB1096">
        <v>71.739099999999993</v>
      </c>
      <c r="CC1096" t="s">
        <v>12007</v>
      </c>
      <c r="CD1096" t="s">
        <v>12008</v>
      </c>
      <c r="CE1096">
        <v>69.565200000000004</v>
      </c>
      <c r="CF1096" t="s">
        <v>12009</v>
      </c>
      <c r="CG1096" t="s">
        <v>12010</v>
      </c>
      <c r="CH1096" t="s">
        <v>12011</v>
      </c>
      <c r="CI1096">
        <v>55.7971</v>
      </c>
      <c r="CJ1096">
        <v>14.492800000000001</v>
      </c>
      <c r="CK1096">
        <v>9</v>
      </c>
      <c r="CL1096" t="s">
        <v>4</v>
      </c>
      <c r="CM1096" t="s">
        <v>12012</v>
      </c>
      <c r="CN1096" t="s">
        <v>12013</v>
      </c>
      <c r="CO1096" t="s">
        <v>12014</v>
      </c>
      <c r="CP1096" t="s">
        <v>100</v>
      </c>
      <c r="CQ1096" t="s">
        <v>100</v>
      </c>
      <c r="CR1096" t="s">
        <v>100</v>
      </c>
      <c r="CS1096" t="s">
        <v>101</v>
      </c>
      <c r="CT1096" t="s">
        <v>152</v>
      </c>
      <c r="CU1096" t="s">
        <v>102</v>
      </c>
      <c r="CV1096" t="s">
        <v>100</v>
      </c>
    </row>
    <row r="1097" spans="1:100">
      <c r="A1097" s="3" t="s">
        <v>12015</v>
      </c>
      <c r="B1097" s="4" t="s">
        <v>12016</v>
      </c>
      <c r="C1097">
        <v>171.16194108658101</v>
      </c>
      <c r="D1097">
        <v>143.66459113381899</v>
      </c>
      <c r="E1097">
        <v>0.25045467504146002</v>
      </c>
      <c r="F1097">
        <v>0.67015342840509995</v>
      </c>
      <c r="G1097" t="s">
        <v>4</v>
      </c>
      <c r="H1097">
        <v>171.16194108658101</v>
      </c>
      <c r="I1097">
        <v>11.907107918429</v>
      </c>
      <c r="J1097">
        <v>3.8204802836737199</v>
      </c>
      <c r="K1097" s="5">
        <v>1.35433967794647E-11</v>
      </c>
      <c r="L1097" t="s">
        <v>4</v>
      </c>
      <c r="M1097">
        <v>143.66459113381899</v>
      </c>
      <c r="N1097">
        <v>11.907107918429</v>
      </c>
      <c r="O1097">
        <v>3.5700256086322599</v>
      </c>
      <c r="P1097" s="5">
        <v>2.4251439945369102E-10</v>
      </c>
      <c r="Q1097" t="s">
        <v>4</v>
      </c>
      <c r="R1097" s="4" t="s">
        <v>87</v>
      </c>
      <c r="S1097" t="s">
        <v>4</v>
      </c>
      <c r="T1097" t="s">
        <v>9444</v>
      </c>
      <c r="U1097" t="s">
        <v>9445</v>
      </c>
      <c r="V1097" t="s">
        <v>9446</v>
      </c>
      <c r="W1097" t="s">
        <v>976</v>
      </c>
      <c r="X1097" t="s">
        <v>4</v>
      </c>
      <c r="Y1097" t="s">
        <v>4041</v>
      </c>
      <c r="Z1097" t="s">
        <v>4042</v>
      </c>
      <c r="AA1097" t="s">
        <v>4042</v>
      </c>
      <c r="AB1097" t="s">
        <v>4</v>
      </c>
      <c r="AC1097" s="3" t="s">
        <v>10623</v>
      </c>
      <c r="AD1097" t="s">
        <v>4</v>
      </c>
      <c r="AE1097" t="s">
        <v>12017</v>
      </c>
      <c r="AF1097" t="s">
        <v>12018</v>
      </c>
      <c r="AG1097" t="s">
        <v>12019</v>
      </c>
      <c r="AH1097" t="s">
        <v>282</v>
      </c>
      <c r="AU1097" t="s">
        <v>112</v>
      </c>
      <c r="AV1097" t="s">
        <v>12020</v>
      </c>
      <c r="AW1097" t="s">
        <v>114</v>
      </c>
      <c r="AX1097" t="s">
        <v>909</v>
      </c>
      <c r="AY1097" t="s">
        <v>4051</v>
      </c>
      <c r="AZ1097" t="s">
        <v>4</v>
      </c>
      <c r="BA1097" s="3" t="s">
        <v>95</v>
      </c>
      <c r="BB1097" t="s">
        <v>96</v>
      </c>
      <c r="BC1097" s="3" t="s">
        <v>95</v>
      </c>
      <c r="BD1097" t="s">
        <v>4</v>
      </c>
      <c r="BE1097">
        <v>5657</v>
      </c>
      <c r="BF1097" t="s">
        <v>386</v>
      </c>
      <c r="BG1097">
        <v>97.905799999999999</v>
      </c>
      <c r="BH1097">
        <v>46.073300000000003</v>
      </c>
      <c r="BI1097">
        <v>95.026200000000003</v>
      </c>
      <c r="BJ1097">
        <v>35.078499999999998</v>
      </c>
      <c r="BK1097">
        <v>38.743499999999997</v>
      </c>
      <c r="BL1097">
        <v>34.555</v>
      </c>
      <c r="BM1097">
        <v>61.256500000000003</v>
      </c>
      <c r="BN1097">
        <v>66.230400000000003</v>
      </c>
      <c r="BO1097">
        <v>79.581199999999995</v>
      </c>
      <c r="BP1097">
        <v>46.858600000000003</v>
      </c>
      <c r="BR1097">
        <v>39.005200000000002</v>
      </c>
      <c r="BS1097">
        <v>36.3874</v>
      </c>
      <c r="BT1097">
        <v>33.507899999999999</v>
      </c>
      <c r="BV1097" t="s">
        <v>12021</v>
      </c>
      <c r="CF1097" t="s">
        <v>12022</v>
      </c>
      <c r="CK1097">
        <v>7</v>
      </c>
      <c r="CL1097" t="s">
        <v>4</v>
      </c>
      <c r="CM1097" t="s">
        <v>98</v>
      </c>
      <c r="CN1097" t="s">
        <v>98</v>
      </c>
      <c r="CO1097" t="s">
        <v>99</v>
      </c>
      <c r="CP1097" t="s">
        <v>100</v>
      </c>
      <c r="CQ1097" t="s">
        <v>100</v>
      </c>
      <c r="CR1097" t="s">
        <v>100</v>
      </c>
      <c r="CS1097" t="s">
        <v>101</v>
      </c>
      <c r="CT1097" t="s">
        <v>152</v>
      </c>
      <c r="CU1097" t="s">
        <v>102</v>
      </c>
      <c r="CV1097" t="s">
        <v>100</v>
      </c>
    </row>
    <row r="1098" spans="1:100">
      <c r="A1098" s="3" t="s">
        <v>12023</v>
      </c>
      <c r="B1098" s="4" t="s">
        <v>12024</v>
      </c>
      <c r="C1098">
        <v>276.39107517766701</v>
      </c>
      <c r="D1098">
        <v>357.66505960964599</v>
      </c>
      <c r="E1098">
        <f>0.372422455555896</f>
        <v>0.37242245555589598</v>
      </c>
      <c r="F1098">
        <v>0.26435084631718803</v>
      </c>
      <c r="G1098" t="s">
        <v>4</v>
      </c>
      <c r="H1098">
        <v>276.39107517766701</v>
      </c>
      <c r="I1098">
        <v>29.9814000214473</v>
      </c>
      <c r="J1098">
        <v>3.1889287089909799</v>
      </c>
      <c r="K1098" s="5">
        <v>1.1124161362813E-20</v>
      </c>
      <c r="L1098" t="s">
        <v>4</v>
      </c>
      <c r="M1098">
        <v>357.66505960964599</v>
      </c>
      <c r="N1098">
        <v>29.9814000214473</v>
      </c>
      <c r="O1098">
        <v>3.5613511645468798</v>
      </c>
      <c r="P1098" s="5">
        <v>1.04808601161544E-25</v>
      </c>
      <c r="Q1098" t="s">
        <v>4</v>
      </c>
      <c r="R1098" s="4" t="s">
        <v>87</v>
      </c>
      <c r="S1098" t="s">
        <v>4</v>
      </c>
      <c r="T1098" t="s">
        <v>92</v>
      </c>
      <c r="U1098" t="s">
        <v>92</v>
      </c>
      <c r="V1098" t="s">
        <v>92</v>
      </c>
      <c r="W1098" t="s">
        <v>92</v>
      </c>
      <c r="X1098" t="s">
        <v>4</v>
      </c>
      <c r="Y1098" t="s">
        <v>92</v>
      </c>
      <c r="Z1098" t="s">
        <v>92</v>
      </c>
      <c r="AA1098" t="s">
        <v>92</v>
      </c>
      <c r="AB1098" t="s">
        <v>4</v>
      </c>
      <c r="AC1098" s="3" t="s">
        <v>93</v>
      </c>
      <c r="AD1098" t="s">
        <v>4</v>
      </c>
      <c r="AE1098" t="s">
        <v>11370</v>
      </c>
      <c r="AF1098" t="s">
        <v>12025</v>
      </c>
      <c r="AG1098" t="s">
        <v>298</v>
      </c>
      <c r="AH1098" t="s">
        <v>112</v>
      </c>
      <c r="AL1098" t="s">
        <v>11372</v>
      </c>
      <c r="AQ1098" t="s">
        <v>11373</v>
      </c>
      <c r="AU1098" t="s">
        <v>112</v>
      </c>
      <c r="AV1098" t="s">
        <v>11374</v>
      </c>
      <c r="AW1098" t="s">
        <v>114</v>
      </c>
      <c r="AX1098" t="s">
        <v>6608</v>
      </c>
      <c r="AY1098" t="s">
        <v>11375</v>
      </c>
      <c r="AZ1098" t="s">
        <v>4</v>
      </c>
      <c r="BA1098" s="3" t="s">
        <v>95</v>
      </c>
      <c r="BB1098" s="6" t="s">
        <v>95</v>
      </c>
      <c r="BC1098" s="3" t="s">
        <v>95</v>
      </c>
      <c r="BD1098" t="s">
        <v>4</v>
      </c>
      <c r="BE1098">
        <v>1488</v>
      </c>
      <c r="BF1098" t="s">
        <v>151</v>
      </c>
      <c r="CK1098">
        <v>2</v>
      </c>
      <c r="CL1098" t="s">
        <v>4</v>
      </c>
      <c r="CM1098" t="s">
        <v>98</v>
      </c>
      <c r="CN1098" t="s">
        <v>98</v>
      </c>
      <c r="CO1098" t="s">
        <v>99</v>
      </c>
      <c r="CP1098" t="s">
        <v>100</v>
      </c>
      <c r="CQ1098" t="s">
        <v>100</v>
      </c>
      <c r="CR1098" t="s">
        <v>100</v>
      </c>
      <c r="CS1098" t="s">
        <v>101</v>
      </c>
      <c r="CT1098" t="s">
        <v>152</v>
      </c>
      <c r="CU1098" t="s">
        <v>102</v>
      </c>
      <c r="CV1098" t="s">
        <v>100</v>
      </c>
    </row>
    <row r="1099" spans="1:100">
      <c r="A1099" s="3" t="s">
        <v>12026</v>
      </c>
      <c r="B1099" s="4" t="s">
        <v>12027</v>
      </c>
      <c r="C1099">
        <v>5566.3707420970904</v>
      </c>
      <c r="D1099">
        <v>9109.0859960637008</v>
      </c>
      <c r="E1099">
        <f>0.71065563452984</f>
        <v>0.71065563452984004</v>
      </c>
      <c r="F1099">
        <v>1.61337123026878E-2</v>
      </c>
      <c r="G1099" t="s">
        <v>4</v>
      </c>
      <c r="H1099">
        <v>5566.3707420970904</v>
      </c>
      <c r="I1099">
        <v>772.20806496983005</v>
      </c>
      <c r="J1099">
        <v>2.8480724601389702</v>
      </c>
      <c r="K1099" s="5">
        <v>3.6503853417850898E-26</v>
      </c>
      <c r="L1099" t="s">
        <v>4</v>
      </c>
      <c r="M1099">
        <v>9109.0859960637008</v>
      </c>
      <c r="N1099">
        <v>772.20806496983005</v>
      </c>
      <c r="O1099">
        <v>3.55872809466881</v>
      </c>
      <c r="P1099" s="5">
        <v>1.7646996457169E-40</v>
      </c>
      <c r="Q1099" t="s">
        <v>4</v>
      </c>
      <c r="R1099" s="4" t="s">
        <v>87</v>
      </c>
      <c r="S1099" t="s">
        <v>4</v>
      </c>
      <c r="T1099" t="s">
        <v>92</v>
      </c>
      <c r="U1099" t="s">
        <v>92</v>
      </c>
      <c r="V1099" t="s">
        <v>92</v>
      </c>
      <c r="W1099" t="s">
        <v>92</v>
      </c>
      <c r="X1099" t="s">
        <v>4</v>
      </c>
      <c r="Y1099" t="s">
        <v>92</v>
      </c>
      <c r="Z1099" t="s">
        <v>92</v>
      </c>
      <c r="AA1099" t="s">
        <v>92</v>
      </c>
      <c r="AB1099" t="s">
        <v>4</v>
      </c>
      <c r="AC1099" s="3" t="s">
        <v>12028</v>
      </c>
      <c r="AD1099" t="s">
        <v>4</v>
      </c>
      <c r="AE1099" t="s">
        <v>12029</v>
      </c>
      <c r="AF1099" t="s">
        <v>12030</v>
      </c>
      <c r="AG1099" t="s">
        <v>12031</v>
      </c>
      <c r="AH1099" t="s">
        <v>112</v>
      </c>
      <c r="AJ1099" t="s">
        <v>1001</v>
      </c>
      <c r="AU1099" t="s">
        <v>112</v>
      </c>
      <c r="AV1099" t="s">
        <v>12032</v>
      </c>
      <c r="AW1099" t="s">
        <v>114</v>
      </c>
      <c r="AX1099" t="s">
        <v>8318</v>
      </c>
      <c r="AY1099" t="s">
        <v>12033</v>
      </c>
      <c r="AZ1099" t="s">
        <v>4</v>
      </c>
      <c r="BA1099" s="3" t="s">
        <v>115</v>
      </c>
      <c r="BB1099" s="6" t="s">
        <v>95</v>
      </c>
      <c r="BC1099" s="3" t="s">
        <v>95</v>
      </c>
      <c r="BD1099" t="s">
        <v>4</v>
      </c>
      <c r="BE1099">
        <v>3504</v>
      </c>
      <c r="BF1099" t="s">
        <v>112</v>
      </c>
      <c r="BG1099">
        <v>96.753299999999996</v>
      </c>
      <c r="BH1099">
        <v>94.675299999999993</v>
      </c>
      <c r="BI1099">
        <v>87.402600000000007</v>
      </c>
      <c r="BK1099">
        <v>26.7532</v>
      </c>
      <c r="BL1099">
        <v>36.623399999999997</v>
      </c>
      <c r="BN1099">
        <v>57.662300000000002</v>
      </c>
      <c r="BO1099">
        <v>55.194800000000001</v>
      </c>
      <c r="BP1099">
        <v>26.363600000000002</v>
      </c>
      <c r="CK1099">
        <v>5</v>
      </c>
      <c r="CL1099" t="s">
        <v>4</v>
      </c>
      <c r="CM1099" t="s">
        <v>98</v>
      </c>
      <c r="CN1099" t="s">
        <v>98</v>
      </c>
      <c r="CO1099" t="s">
        <v>99</v>
      </c>
      <c r="CP1099" t="s">
        <v>100</v>
      </c>
      <c r="CQ1099" t="s">
        <v>100</v>
      </c>
      <c r="CR1099" t="s">
        <v>100</v>
      </c>
      <c r="CS1099" t="s">
        <v>101</v>
      </c>
      <c r="CT1099" t="s">
        <v>152</v>
      </c>
      <c r="CU1099" t="s">
        <v>102</v>
      </c>
      <c r="CV1099" t="s">
        <v>100</v>
      </c>
    </row>
    <row r="1100" spans="1:100">
      <c r="A1100" s="3" t="s">
        <v>12034</v>
      </c>
      <c r="B1100" s="4" t="s">
        <v>12035</v>
      </c>
      <c r="C1100">
        <v>282.46625072741398</v>
      </c>
      <c r="D1100">
        <v>184.50250451519699</v>
      </c>
      <c r="E1100">
        <v>0.61540115891182701</v>
      </c>
      <c r="F1100">
        <v>0.103654839959947</v>
      </c>
      <c r="G1100" t="s">
        <v>4</v>
      </c>
      <c r="H1100">
        <v>282.46625072741398</v>
      </c>
      <c r="I1100">
        <v>16.516791794444799</v>
      </c>
      <c r="J1100">
        <v>4.1471684427795097</v>
      </c>
      <c r="K1100" s="5">
        <v>2.23946129542847E-23</v>
      </c>
      <c r="L1100" t="s">
        <v>4</v>
      </c>
      <c r="M1100">
        <v>184.50250451519699</v>
      </c>
      <c r="N1100">
        <v>16.516791794444799</v>
      </c>
      <c r="O1100">
        <v>3.5317672838676799</v>
      </c>
      <c r="P1100" s="5">
        <v>3.5052701745864103E-17</v>
      </c>
      <c r="Q1100" t="s">
        <v>4</v>
      </c>
      <c r="R1100" s="4" t="s">
        <v>87</v>
      </c>
      <c r="S1100" t="s">
        <v>4</v>
      </c>
      <c r="T1100" t="s">
        <v>92</v>
      </c>
      <c r="U1100" t="s">
        <v>92</v>
      </c>
      <c r="V1100" t="s">
        <v>92</v>
      </c>
      <c r="W1100" t="s">
        <v>92</v>
      </c>
      <c r="X1100" t="s">
        <v>4</v>
      </c>
      <c r="Y1100" t="s">
        <v>92</v>
      </c>
      <c r="Z1100" t="s">
        <v>92</v>
      </c>
      <c r="AA1100" t="s">
        <v>92</v>
      </c>
      <c r="AB1100" t="s">
        <v>4</v>
      </c>
      <c r="AC1100" s="3" t="s">
        <v>93</v>
      </c>
      <c r="AD1100" t="s">
        <v>4</v>
      </c>
      <c r="AE1100" s="4" t="s">
        <v>94</v>
      </c>
      <c r="AZ1100" t="s">
        <v>4</v>
      </c>
      <c r="BA1100" s="3" t="s">
        <v>95</v>
      </c>
      <c r="BB1100" s="6" t="s">
        <v>95</v>
      </c>
      <c r="BC1100" s="3" t="s">
        <v>95</v>
      </c>
      <c r="BD1100" t="s">
        <v>4</v>
      </c>
      <c r="BE1100">
        <v>743</v>
      </c>
      <c r="BF1100" t="s">
        <v>604</v>
      </c>
      <c r="BH1100">
        <v>88.235299999999995</v>
      </c>
      <c r="CK1100">
        <v>1.5</v>
      </c>
      <c r="CL1100" t="s">
        <v>4</v>
      </c>
      <c r="CM1100" t="s">
        <v>98</v>
      </c>
      <c r="CN1100" t="s">
        <v>98</v>
      </c>
      <c r="CO1100" t="s">
        <v>99</v>
      </c>
      <c r="CP1100" t="s">
        <v>100</v>
      </c>
      <c r="CQ1100" t="s">
        <v>100</v>
      </c>
      <c r="CR1100" t="s">
        <v>100</v>
      </c>
      <c r="CS1100" t="s">
        <v>101</v>
      </c>
      <c r="CT1100" t="s">
        <v>152</v>
      </c>
      <c r="CU1100" t="s">
        <v>102</v>
      </c>
      <c r="CV1100" t="s">
        <v>100</v>
      </c>
    </row>
    <row r="1101" spans="1:100">
      <c r="A1101" s="3" t="s">
        <v>12036</v>
      </c>
      <c r="B1101" s="4" t="s">
        <v>12037</v>
      </c>
      <c r="C1101">
        <v>1105.32212538627</v>
      </c>
      <c r="D1101">
        <v>1555.5562266618001</v>
      </c>
      <c r="E1101">
        <f>0.493175312819929</f>
        <v>0.49317531281992899</v>
      </c>
      <c r="F1101">
        <v>3.8660730407305499E-2</v>
      </c>
      <c r="G1101" t="s">
        <v>4</v>
      </c>
      <c r="H1101">
        <v>1105.32212538627</v>
      </c>
      <c r="I1101">
        <v>133.65926703259899</v>
      </c>
      <c r="J1101">
        <v>3.0362832150766699</v>
      </c>
      <c r="K1101" s="5">
        <v>4.1221024286793601E-40</v>
      </c>
      <c r="L1101" t="s">
        <v>4</v>
      </c>
      <c r="M1101">
        <v>1555.5562266618001</v>
      </c>
      <c r="N1101">
        <v>133.65926703259899</v>
      </c>
      <c r="O1101">
        <v>3.5294585278966002</v>
      </c>
      <c r="P1101" s="5">
        <v>4.2110690080396799E-54</v>
      </c>
      <c r="Q1101" t="s">
        <v>4</v>
      </c>
      <c r="R1101" s="4" t="s">
        <v>87</v>
      </c>
      <c r="S1101" t="s">
        <v>4</v>
      </c>
      <c r="T1101" t="s">
        <v>92</v>
      </c>
      <c r="U1101" t="s">
        <v>92</v>
      </c>
      <c r="V1101" t="s">
        <v>92</v>
      </c>
      <c r="W1101" t="s">
        <v>92</v>
      </c>
      <c r="X1101" t="s">
        <v>4</v>
      </c>
      <c r="Y1101" t="s">
        <v>92</v>
      </c>
      <c r="Z1101" t="s">
        <v>92</v>
      </c>
      <c r="AA1101" t="s">
        <v>92</v>
      </c>
      <c r="AB1101" t="s">
        <v>4</v>
      </c>
      <c r="AC1101" s="3" t="s">
        <v>93</v>
      </c>
      <c r="AD1101" t="s">
        <v>4</v>
      </c>
      <c r="AE1101" s="4" t="s">
        <v>94</v>
      </c>
      <c r="AZ1101" t="s">
        <v>4</v>
      </c>
      <c r="BA1101" s="3" t="s">
        <v>95</v>
      </c>
      <c r="BB1101" s="6" t="s">
        <v>95</v>
      </c>
      <c r="BC1101" s="3" t="s">
        <v>197</v>
      </c>
      <c r="BD1101" t="s">
        <v>4</v>
      </c>
      <c r="BE1101">
        <v>1468</v>
      </c>
      <c r="BF1101" t="s">
        <v>151</v>
      </c>
      <c r="BI1101" t="s">
        <v>12038</v>
      </c>
      <c r="BJ1101">
        <v>64.071899999999999</v>
      </c>
      <c r="BL1101">
        <v>50</v>
      </c>
      <c r="BM1101">
        <v>49.101799999999997</v>
      </c>
      <c r="BN1101">
        <v>49.101799999999997</v>
      </c>
      <c r="BO1101">
        <v>23.353300000000001</v>
      </c>
      <c r="CK1101">
        <v>2</v>
      </c>
      <c r="CL1101" t="s">
        <v>4</v>
      </c>
      <c r="CM1101" t="s">
        <v>98</v>
      </c>
      <c r="CN1101" t="s">
        <v>98</v>
      </c>
      <c r="CO1101" t="s">
        <v>99</v>
      </c>
      <c r="CP1101" t="s">
        <v>100</v>
      </c>
      <c r="CQ1101" t="s">
        <v>100</v>
      </c>
      <c r="CR1101" t="s">
        <v>100</v>
      </c>
      <c r="CS1101" t="s">
        <v>101</v>
      </c>
      <c r="CT1101" t="s">
        <v>152</v>
      </c>
      <c r="CU1101" t="s">
        <v>102</v>
      </c>
      <c r="CV1101" t="s">
        <v>100</v>
      </c>
    </row>
    <row r="1102" spans="1:100">
      <c r="A1102" s="3" t="s">
        <v>12039</v>
      </c>
      <c r="B1102" s="4" t="s">
        <v>12040</v>
      </c>
      <c r="C1102">
        <v>4925.0134731684502</v>
      </c>
      <c r="D1102">
        <v>4376.0794678121601</v>
      </c>
      <c r="E1102">
        <v>0.17044280125077199</v>
      </c>
      <c r="F1102">
        <v>0.67100402762165301</v>
      </c>
      <c r="G1102" t="s">
        <v>4</v>
      </c>
      <c r="H1102">
        <v>4925.0134731684502</v>
      </c>
      <c r="I1102">
        <v>378.954512262072</v>
      </c>
      <c r="J1102">
        <v>3.6938227810845001</v>
      </c>
      <c r="K1102" s="5">
        <v>4.73613933525611E-29</v>
      </c>
      <c r="L1102" t="s">
        <v>4</v>
      </c>
      <c r="M1102">
        <v>4376.0794678121601</v>
      </c>
      <c r="N1102">
        <v>378.954512262072</v>
      </c>
      <c r="O1102">
        <v>3.52337997983373</v>
      </c>
      <c r="P1102" s="5">
        <v>1.1763264069904801E-26</v>
      </c>
      <c r="Q1102" t="s">
        <v>4</v>
      </c>
      <c r="R1102" s="4" t="s">
        <v>87</v>
      </c>
      <c r="S1102" t="s">
        <v>4</v>
      </c>
      <c r="T1102" t="s">
        <v>92</v>
      </c>
      <c r="U1102" t="s">
        <v>92</v>
      </c>
      <c r="V1102" t="s">
        <v>92</v>
      </c>
      <c r="W1102" t="s">
        <v>92</v>
      </c>
      <c r="X1102" t="s">
        <v>4</v>
      </c>
      <c r="Y1102" t="s">
        <v>92</v>
      </c>
      <c r="Z1102" t="s">
        <v>92</v>
      </c>
      <c r="AA1102" t="s">
        <v>92</v>
      </c>
      <c r="AB1102" t="s">
        <v>4</v>
      </c>
      <c r="AC1102" s="3" t="s">
        <v>93</v>
      </c>
      <c r="AD1102" t="s">
        <v>4</v>
      </c>
      <c r="AE1102" s="4" t="s">
        <v>94</v>
      </c>
      <c r="AZ1102" t="s">
        <v>4</v>
      </c>
      <c r="BA1102" s="3" t="s">
        <v>115</v>
      </c>
      <c r="BB1102" s="6" t="s">
        <v>95</v>
      </c>
      <c r="BC1102" s="3" t="s">
        <v>95</v>
      </c>
      <c r="BD1102" t="s">
        <v>4</v>
      </c>
      <c r="BE1102">
        <v>2270</v>
      </c>
      <c r="BF1102" t="s">
        <v>148</v>
      </c>
      <c r="BG1102">
        <v>97.7273</v>
      </c>
      <c r="BH1102" t="s">
        <v>12041</v>
      </c>
      <c r="BI1102">
        <v>91</v>
      </c>
      <c r="BJ1102">
        <v>75.818200000000004</v>
      </c>
      <c r="BK1102">
        <v>61.090899999999998</v>
      </c>
      <c r="BM1102">
        <v>62.545499999999997</v>
      </c>
      <c r="BN1102">
        <v>67.363600000000005</v>
      </c>
      <c r="BO1102" t="s">
        <v>12042</v>
      </c>
      <c r="CK1102">
        <v>3</v>
      </c>
      <c r="CL1102" t="s">
        <v>4</v>
      </c>
      <c r="CM1102" t="s">
        <v>98</v>
      </c>
      <c r="CN1102" t="s">
        <v>98</v>
      </c>
      <c r="CO1102" t="s">
        <v>99</v>
      </c>
      <c r="CP1102" t="s">
        <v>100</v>
      </c>
      <c r="CQ1102" t="s">
        <v>100</v>
      </c>
      <c r="CR1102" t="s">
        <v>100</v>
      </c>
      <c r="CS1102" t="s">
        <v>101</v>
      </c>
      <c r="CT1102" t="s">
        <v>152</v>
      </c>
      <c r="CU1102" t="s">
        <v>102</v>
      </c>
      <c r="CV1102" t="s">
        <v>100</v>
      </c>
    </row>
    <row r="1103" spans="1:100">
      <c r="A1103" s="3" t="s">
        <v>12043</v>
      </c>
      <c r="B1103" s="4" t="s">
        <v>12044</v>
      </c>
      <c r="C1103">
        <v>2041.85903186837</v>
      </c>
      <c r="D1103">
        <v>2933.5066316693801</v>
      </c>
      <c r="E1103">
        <f>0.522657959052935</f>
        <v>0.522657959052935</v>
      </c>
      <c r="F1103">
        <v>5.01671793895419E-3</v>
      </c>
      <c r="G1103" t="s">
        <v>4</v>
      </c>
      <c r="H1103">
        <v>2041.85903186837</v>
      </c>
      <c r="I1103">
        <v>255.05462979033101</v>
      </c>
      <c r="J1103">
        <v>2.9977190544001</v>
      </c>
      <c r="K1103" s="5">
        <v>8.3136071814642795E-63</v>
      </c>
      <c r="L1103" t="s">
        <v>4</v>
      </c>
      <c r="M1103">
        <v>2933.5066316693801</v>
      </c>
      <c r="N1103">
        <v>255.05462979033101</v>
      </c>
      <c r="O1103">
        <v>3.5203770134530399</v>
      </c>
      <c r="P1103" s="5">
        <v>1.34163762445261E-86</v>
      </c>
      <c r="Q1103" t="s">
        <v>4</v>
      </c>
      <c r="R1103" s="4" t="s">
        <v>87</v>
      </c>
      <c r="S1103" t="s">
        <v>4</v>
      </c>
      <c r="T1103" t="s">
        <v>12045</v>
      </c>
      <c r="U1103" t="s">
        <v>12046</v>
      </c>
      <c r="V1103" t="s">
        <v>12047</v>
      </c>
      <c r="W1103" t="s">
        <v>328</v>
      </c>
      <c r="X1103" t="s">
        <v>4</v>
      </c>
      <c r="Y1103" t="s">
        <v>12048</v>
      </c>
      <c r="Z1103" t="s">
        <v>12049</v>
      </c>
      <c r="AA1103" t="s">
        <v>12050</v>
      </c>
      <c r="AB1103" t="s">
        <v>4</v>
      </c>
      <c r="AC1103" s="3" t="s">
        <v>12051</v>
      </c>
      <c r="AD1103" t="s">
        <v>4</v>
      </c>
      <c r="AE1103" t="s">
        <v>12052</v>
      </c>
      <c r="AF1103" t="s">
        <v>12053</v>
      </c>
      <c r="AG1103" t="s">
        <v>11465</v>
      </c>
      <c r="AH1103" t="s">
        <v>112</v>
      </c>
      <c r="AL1103" t="s">
        <v>12054</v>
      </c>
      <c r="AQ1103" t="s">
        <v>12055</v>
      </c>
      <c r="AU1103" t="s">
        <v>112</v>
      </c>
      <c r="AV1103" t="s">
        <v>12056</v>
      </c>
      <c r="AW1103" t="s">
        <v>114</v>
      </c>
      <c r="AX1103" t="s">
        <v>167</v>
      </c>
      <c r="AY1103" t="s">
        <v>12057</v>
      </c>
      <c r="AZ1103" t="s">
        <v>4</v>
      </c>
      <c r="BA1103" s="3" t="s">
        <v>115</v>
      </c>
      <c r="BB1103" s="6" t="s">
        <v>95</v>
      </c>
      <c r="BC1103" s="3" t="s">
        <v>95</v>
      </c>
      <c r="BD1103" t="s">
        <v>4</v>
      </c>
      <c r="BE1103">
        <v>9798</v>
      </c>
      <c r="BF1103" t="s">
        <v>169</v>
      </c>
      <c r="BG1103">
        <v>97.054699999999997</v>
      </c>
      <c r="BH1103">
        <v>20.897600000000001</v>
      </c>
      <c r="BI1103">
        <v>74.333799999999997</v>
      </c>
      <c r="BJ1103">
        <v>49.7896</v>
      </c>
      <c r="BK1103">
        <v>54.417999999999999</v>
      </c>
      <c r="BL1103">
        <v>54.277700000000003</v>
      </c>
      <c r="BM1103">
        <v>59.747500000000002</v>
      </c>
      <c r="BN1103">
        <v>66.199200000000005</v>
      </c>
      <c r="BO1103">
        <v>8.1346399999999992</v>
      </c>
      <c r="BP1103">
        <v>23.4222</v>
      </c>
      <c r="BQ1103">
        <v>22.1599</v>
      </c>
      <c r="BR1103">
        <v>27.0687</v>
      </c>
      <c r="BS1103">
        <v>13.7447</v>
      </c>
      <c r="BT1103">
        <v>19.775600000000001</v>
      </c>
      <c r="BU1103">
        <v>21.5989</v>
      </c>
      <c r="BV1103" t="s">
        <v>12058</v>
      </c>
      <c r="BW1103" t="s">
        <v>12059</v>
      </c>
      <c r="BX1103">
        <v>27.6297</v>
      </c>
      <c r="BZ1103">
        <v>25.2454</v>
      </c>
      <c r="CA1103">
        <v>25.8065</v>
      </c>
      <c r="CB1103">
        <v>17.812100000000001</v>
      </c>
      <c r="CC1103">
        <v>23.1417</v>
      </c>
      <c r="CD1103">
        <v>21.739100000000001</v>
      </c>
      <c r="CE1103">
        <v>15.568</v>
      </c>
      <c r="CF1103">
        <v>17.952300000000001</v>
      </c>
      <c r="CG1103">
        <v>21.178100000000001</v>
      </c>
      <c r="CH1103">
        <v>20.757400000000001</v>
      </c>
      <c r="CI1103">
        <v>18.934100000000001</v>
      </c>
      <c r="CJ1103">
        <v>9.3969100000000001</v>
      </c>
      <c r="CK1103">
        <v>9</v>
      </c>
      <c r="CL1103" t="s">
        <v>4</v>
      </c>
      <c r="CM1103" t="s">
        <v>12060</v>
      </c>
      <c r="CN1103" t="s">
        <v>12061</v>
      </c>
      <c r="CO1103" t="s">
        <v>1218</v>
      </c>
      <c r="CP1103" t="s">
        <v>100</v>
      </c>
      <c r="CQ1103" t="s">
        <v>100</v>
      </c>
      <c r="CR1103" t="s">
        <v>100</v>
      </c>
      <c r="CS1103" t="s">
        <v>101</v>
      </c>
      <c r="CT1103" t="s">
        <v>152</v>
      </c>
      <c r="CU1103" t="s">
        <v>102</v>
      </c>
      <c r="CV1103" t="s">
        <v>100</v>
      </c>
    </row>
    <row r="1104" spans="1:100">
      <c r="A1104" s="3" t="s">
        <v>12062</v>
      </c>
      <c r="B1104" s="4" t="s">
        <v>12063</v>
      </c>
      <c r="C1104">
        <v>776.40058448530397</v>
      </c>
      <c r="D1104">
        <v>1219.25786114948</v>
      </c>
      <c r="E1104">
        <f>0.651020269012701</f>
        <v>0.65102026901270105</v>
      </c>
      <c r="F1104">
        <v>4.0330088956344002E-3</v>
      </c>
      <c r="G1104" t="s">
        <v>4</v>
      </c>
      <c r="H1104">
        <v>776.40058448530397</v>
      </c>
      <c r="I1104">
        <v>107.166476327124</v>
      </c>
      <c r="J1104">
        <v>2.8676578795214498</v>
      </c>
      <c r="K1104" s="5">
        <v>1.26438959721947E-36</v>
      </c>
      <c r="L1104" t="s">
        <v>4</v>
      </c>
      <c r="M1104">
        <v>1219.25786114948</v>
      </c>
      <c r="N1104">
        <v>107.166476327124</v>
      </c>
      <c r="O1104">
        <v>3.5186781485341498</v>
      </c>
      <c r="P1104" s="5">
        <v>5.6884165121058701E-55</v>
      </c>
      <c r="Q1104" t="s">
        <v>4</v>
      </c>
      <c r="R1104" s="4" t="s">
        <v>87</v>
      </c>
      <c r="S1104" t="s">
        <v>4</v>
      </c>
      <c r="T1104" t="s">
        <v>92</v>
      </c>
      <c r="U1104" t="s">
        <v>92</v>
      </c>
      <c r="V1104" t="s">
        <v>92</v>
      </c>
      <c r="W1104" t="s">
        <v>92</v>
      </c>
      <c r="X1104" t="s">
        <v>4</v>
      </c>
      <c r="Y1104" t="s">
        <v>12064</v>
      </c>
      <c r="Z1104" t="s">
        <v>12065</v>
      </c>
      <c r="AA1104" t="s">
        <v>12066</v>
      </c>
      <c r="AB1104" t="s">
        <v>4</v>
      </c>
      <c r="AC1104" s="3" t="s">
        <v>12067</v>
      </c>
      <c r="AD1104" t="s">
        <v>4</v>
      </c>
      <c r="AE1104" t="s">
        <v>12068</v>
      </c>
      <c r="AF1104" t="s">
        <v>12069</v>
      </c>
      <c r="AG1104" t="s">
        <v>3622</v>
      </c>
      <c r="AH1104" t="s">
        <v>282</v>
      </c>
      <c r="AU1104" t="s">
        <v>112</v>
      </c>
      <c r="AV1104" t="s">
        <v>12070</v>
      </c>
      <c r="AW1104" t="s">
        <v>114</v>
      </c>
      <c r="AX1104" t="s">
        <v>167</v>
      </c>
      <c r="AY1104" t="s">
        <v>12071</v>
      </c>
      <c r="AZ1104" t="s">
        <v>4</v>
      </c>
      <c r="BA1104" s="3" t="s">
        <v>95</v>
      </c>
      <c r="BB1104" s="6" t="s">
        <v>95</v>
      </c>
      <c r="BC1104" s="3" t="s">
        <v>95</v>
      </c>
      <c r="BD1104" t="s">
        <v>4</v>
      </c>
      <c r="BE1104">
        <v>2646</v>
      </c>
      <c r="BF1104" t="s">
        <v>97</v>
      </c>
      <c r="BG1104">
        <v>94.303799999999995</v>
      </c>
      <c r="BH1104">
        <v>100</v>
      </c>
      <c r="BI1104">
        <v>71.519000000000005</v>
      </c>
      <c r="BK1104">
        <v>85.442999999999998</v>
      </c>
      <c r="BL1104">
        <v>36.7089</v>
      </c>
      <c r="BM1104">
        <v>75.316500000000005</v>
      </c>
      <c r="BN1104">
        <v>75.316500000000005</v>
      </c>
      <c r="BO1104">
        <v>88.607600000000005</v>
      </c>
      <c r="BP1104" t="s">
        <v>12072</v>
      </c>
      <c r="CK1104">
        <v>4</v>
      </c>
      <c r="CL1104" t="s">
        <v>4</v>
      </c>
      <c r="CM1104" t="s">
        <v>98</v>
      </c>
      <c r="CN1104" t="s">
        <v>98</v>
      </c>
      <c r="CO1104" t="s">
        <v>99</v>
      </c>
      <c r="CP1104" t="s">
        <v>100</v>
      </c>
      <c r="CQ1104" t="s">
        <v>100</v>
      </c>
      <c r="CR1104" t="s">
        <v>100</v>
      </c>
      <c r="CS1104" t="s">
        <v>101</v>
      </c>
      <c r="CT1104" t="s">
        <v>152</v>
      </c>
      <c r="CU1104" t="s">
        <v>102</v>
      </c>
      <c r="CV1104" t="s">
        <v>100</v>
      </c>
    </row>
    <row r="1105" spans="1:100">
      <c r="A1105" s="3" t="s">
        <v>12073</v>
      </c>
      <c r="B1105" s="4" t="s">
        <v>12074</v>
      </c>
      <c r="C1105">
        <v>4224.6867786574803</v>
      </c>
      <c r="D1105">
        <v>2418.76202444822</v>
      </c>
      <c r="E1105">
        <v>0.80453611447496698</v>
      </c>
      <c r="F1105">
        <v>1.9296757629946801E-2</v>
      </c>
      <c r="G1105" t="s">
        <v>4</v>
      </c>
      <c r="H1105">
        <v>4224.6867786574803</v>
      </c>
      <c r="I1105">
        <v>212.61252547463101</v>
      </c>
      <c r="J1105">
        <v>4.3129628462596203</v>
      </c>
      <c r="K1105" s="5">
        <v>1.5910366065102701E-42</v>
      </c>
      <c r="L1105" t="s">
        <v>4</v>
      </c>
      <c r="M1105">
        <v>2418.76202444822</v>
      </c>
      <c r="N1105">
        <v>212.61252547463101</v>
      </c>
      <c r="O1105">
        <v>3.5084267317846498</v>
      </c>
      <c r="P1105" s="5">
        <v>1.41736103300193E-28</v>
      </c>
      <c r="Q1105" t="s">
        <v>4</v>
      </c>
      <c r="R1105" s="4" t="s">
        <v>87</v>
      </c>
      <c r="S1105" t="s">
        <v>4</v>
      </c>
      <c r="T1105" t="s">
        <v>92</v>
      </c>
      <c r="U1105" t="s">
        <v>92</v>
      </c>
      <c r="V1105" t="s">
        <v>92</v>
      </c>
      <c r="W1105" t="s">
        <v>92</v>
      </c>
      <c r="X1105" t="s">
        <v>4</v>
      </c>
      <c r="Y1105" t="s">
        <v>12075</v>
      </c>
      <c r="Z1105" t="s">
        <v>12076</v>
      </c>
      <c r="AA1105" t="s">
        <v>12076</v>
      </c>
      <c r="AB1105" t="s">
        <v>4</v>
      </c>
      <c r="AC1105" s="3" t="s">
        <v>12077</v>
      </c>
      <c r="AD1105" t="s">
        <v>4</v>
      </c>
      <c r="AE1105" s="4" t="s">
        <v>94</v>
      </c>
      <c r="AZ1105" t="s">
        <v>4</v>
      </c>
      <c r="BA1105" s="3" t="s">
        <v>95</v>
      </c>
      <c r="BB1105" s="6" t="s">
        <v>95</v>
      </c>
      <c r="BC1105" s="3" t="s">
        <v>95</v>
      </c>
      <c r="BD1105" t="s">
        <v>4</v>
      </c>
      <c r="BE1105">
        <v>2051</v>
      </c>
      <c r="BF1105" t="s">
        <v>148</v>
      </c>
      <c r="BG1105">
        <v>97.463800000000006</v>
      </c>
      <c r="BH1105" t="s">
        <v>12078</v>
      </c>
      <c r="BI1105">
        <v>91.666700000000006</v>
      </c>
      <c r="BJ1105">
        <v>71.376800000000003</v>
      </c>
      <c r="BL1105">
        <v>19.2029</v>
      </c>
      <c r="BM1105">
        <v>57.608699999999999</v>
      </c>
      <c r="BN1105">
        <v>57.246400000000001</v>
      </c>
      <c r="BO1105" t="s">
        <v>12079</v>
      </c>
      <c r="CK1105">
        <v>3</v>
      </c>
      <c r="CL1105" t="s">
        <v>4</v>
      </c>
      <c r="CM1105" t="s">
        <v>98</v>
      </c>
      <c r="CN1105" t="s">
        <v>98</v>
      </c>
      <c r="CO1105" t="s">
        <v>99</v>
      </c>
      <c r="CP1105" t="s">
        <v>100</v>
      </c>
      <c r="CQ1105" t="s">
        <v>100</v>
      </c>
      <c r="CR1105" t="s">
        <v>100</v>
      </c>
      <c r="CS1105" t="s">
        <v>101</v>
      </c>
      <c r="CT1105" t="s">
        <v>152</v>
      </c>
      <c r="CU1105" t="s">
        <v>102</v>
      </c>
      <c r="CV1105" t="s">
        <v>100</v>
      </c>
    </row>
    <row r="1106" spans="1:100">
      <c r="A1106" s="3" t="s">
        <v>12080</v>
      </c>
      <c r="B1106" s="4" t="s">
        <v>12081</v>
      </c>
      <c r="C1106">
        <v>2542.8087253859799</v>
      </c>
      <c r="D1106">
        <v>3455.7065922791699</v>
      </c>
      <c r="E1106">
        <f>0.442864433394542</f>
        <v>0.44286443339454201</v>
      </c>
      <c r="F1106">
        <v>1.4879901014527901E-2</v>
      </c>
      <c r="G1106" t="s">
        <v>4</v>
      </c>
      <c r="H1106">
        <v>2542.8087253859799</v>
      </c>
      <c r="I1106">
        <v>308.25250941675802</v>
      </c>
      <c r="J1106">
        <v>3.0503509221233598</v>
      </c>
      <c r="K1106" s="5">
        <v>2.7494301212919599E-70</v>
      </c>
      <c r="L1106" t="s">
        <v>4</v>
      </c>
      <c r="M1106">
        <v>3455.7065922791699</v>
      </c>
      <c r="N1106">
        <v>308.25250941675802</v>
      </c>
      <c r="O1106">
        <v>3.49321535551791</v>
      </c>
      <c r="P1106" s="5">
        <v>3.5196907220629898E-92</v>
      </c>
      <c r="Q1106" t="s">
        <v>4</v>
      </c>
      <c r="R1106" s="4" t="s">
        <v>87</v>
      </c>
      <c r="S1106" t="s">
        <v>4</v>
      </c>
      <c r="T1106" t="s">
        <v>12082</v>
      </c>
      <c r="U1106" t="s">
        <v>12083</v>
      </c>
      <c r="V1106" t="s">
        <v>12084</v>
      </c>
      <c r="W1106" t="s">
        <v>7694</v>
      </c>
      <c r="X1106" t="s">
        <v>4</v>
      </c>
      <c r="Y1106" t="s">
        <v>12085</v>
      </c>
      <c r="Z1106" t="s">
        <v>12086</v>
      </c>
      <c r="AA1106" t="s">
        <v>12087</v>
      </c>
      <c r="AB1106" t="s">
        <v>4</v>
      </c>
      <c r="AC1106" s="3" t="s">
        <v>93</v>
      </c>
      <c r="AD1106" t="s">
        <v>4</v>
      </c>
      <c r="AE1106" s="4" t="s">
        <v>94</v>
      </c>
      <c r="AZ1106" t="s">
        <v>4</v>
      </c>
      <c r="BA1106" s="3" t="s">
        <v>115</v>
      </c>
      <c r="BB1106" s="6" t="s">
        <v>95</v>
      </c>
      <c r="BC1106" s="3" t="s">
        <v>95</v>
      </c>
      <c r="BD1106" t="s">
        <v>4</v>
      </c>
      <c r="BE1106">
        <v>8252</v>
      </c>
      <c r="BF1106" t="s">
        <v>213</v>
      </c>
      <c r="BG1106">
        <v>96.842100000000002</v>
      </c>
      <c r="BH1106">
        <v>81.954899999999995</v>
      </c>
      <c r="BI1106" t="s">
        <v>12088</v>
      </c>
      <c r="BL1106">
        <v>44.360900000000001</v>
      </c>
      <c r="BM1106">
        <v>69.924800000000005</v>
      </c>
      <c r="BN1106">
        <v>70.977400000000003</v>
      </c>
      <c r="BP1106">
        <v>16.9925</v>
      </c>
      <c r="CK1106">
        <v>8</v>
      </c>
      <c r="CL1106" t="s">
        <v>4</v>
      </c>
      <c r="CM1106" t="s">
        <v>98</v>
      </c>
      <c r="CN1106" t="s">
        <v>98</v>
      </c>
      <c r="CO1106" t="s">
        <v>99</v>
      </c>
      <c r="CP1106" t="s">
        <v>100</v>
      </c>
      <c r="CQ1106" t="s">
        <v>100</v>
      </c>
      <c r="CR1106" t="s">
        <v>100</v>
      </c>
      <c r="CS1106" t="s">
        <v>101</v>
      </c>
      <c r="CT1106" t="s">
        <v>152</v>
      </c>
      <c r="CU1106" t="s">
        <v>102</v>
      </c>
      <c r="CV1106" t="s">
        <v>100</v>
      </c>
    </row>
    <row r="1107" spans="1:100">
      <c r="A1107" s="3" t="s">
        <v>12089</v>
      </c>
      <c r="B1107" s="4" t="s">
        <v>12090</v>
      </c>
      <c r="C1107">
        <v>4120.4367061858502</v>
      </c>
      <c r="D1107">
        <v>2773.0267426666801</v>
      </c>
      <c r="E1107">
        <v>0.57129390673221903</v>
      </c>
      <c r="F1107">
        <v>0.12757360419168901</v>
      </c>
      <c r="G1107" t="s">
        <v>4</v>
      </c>
      <c r="H1107">
        <v>4120.4367061858502</v>
      </c>
      <c r="I1107">
        <v>247.08759314091</v>
      </c>
      <c r="J1107">
        <v>4.0515751467794301</v>
      </c>
      <c r="K1107" s="5">
        <v>1.8164907405849101E-33</v>
      </c>
      <c r="L1107" t="s">
        <v>4</v>
      </c>
      <c r="M1107">
        <v>2773.0267426666801</v>
      </c>
      <c r="N1107">
        <v>247.08759314091</v>
      </c>
      <c r="O1107">
        <v>3.4802812400472098</v>
      </c>
      <c r="P1107" s="5">
        <v>4.6135729249293901E-25</v>
      </c>
      <c r="Q1107" t="s">
        <v>4</v>
      </c>
      <c r="R1107" s="4" t="s">
        <v>87</v>
      </c>
      <c r="S1107" t="s">
        <v>4</v>
      </c>
      <c r="T1107" t="s">
        <v>92</v>
      </c>
      <c r="U1107" t="s">
        <v>92</v>
      </c>
      <c r="V1107" t="s">
        <v>92</v>
      </c>
      <c r="W1107" t="s">
        <v>92</v>
      </c>
      <c r="X1107" t="s">
        <v>4</v>
      </c>
      <c r="Y1107" t="s">
        <v>6134</v>
      </c>
      <c r="Z1107" t="s">
        <v>6135</v>
      </c>
      <c r="AA1107" t="s">
        <v>6136</v>
      </c>
      <c r="AB1107" t="s">
        <v>4</v>
      </c>
      <c r="AC1107" s="3" t="s">
        <v>93</v>
      </c>
      <c r="AD1107" t="s">
        <v>4</v>
      </c>
      <c r="AE1107" s="4" t="s">
        <v>94</v>
      </c>
      <c r="AZ1107" t="s">
        <v>4</v>
      </c>
      <c r="BA1107" s="3" t="s">
        <v>115</v>
      </c>
      <c r="BB1107" s="6" t="s">
        <v>95</v>
      </c>
      <c r="BC1107" s="3" t="s">
        <v>95</v>
      </c>
      <c r="BD1107" t="s">
        <v>4</v>
      </c>
      <c r="BE1107">
        <v>2250</v>
      </c>
      <c r="BF1107" t="s">
        <v>148</v>
      </c>
      <c r="BG1107" t="s">
        <v>12091</v>
      </c>
      <c r="BH1107">
        <v>30.232600000000001</v>
      </c>
      <c r="BI1107">
        <v>76.532799999999995</v>
      </c>
      <c r="BJ1107" t="s">
        <v>12092</v>
      </c>
      <c r="BK1107">
        <v>9.6194500000000005</v>
      </c>
      <c r="BL1107">
        <v>13.424899999999999</v>
      </c>
      <c r="BM1107">
        <v>49.365699999999997</v>
      </c>
      <c r="BN1107">
        <v>52.536999999999999</v>
      </c>
      <c r="BO1107">
        <v>35.623699999999999</v>
      </c>
      <c r="CK1107">
        <v>3</v>
      </c>
      <c r="CL1107" t="s">
        <v>4</v>
      </c>
      <c r="CM1107" t="s">
        <v>98</v>
      </c>
      <c r="CN1107" t="s">
        <v>98</v>
      </c>
      <c r="CO1107" t="s">
        <v>99</v>
      </c>
      <c r="CP1107" t="s">
        <v>100</v>
      </c>
      <c r="CQ1107" t="s">
        <v>100</v>
      </c>
      <c r="CR1107" t="s">
        <v>100</v>
      </c>
      <c r="CS1107" t="s">
        <v>101</v>
      </c>
      <c r="CT1107" t="s">
        <v>152</v>
      </c>
      <c r="CU1107" t="s">
        <v>102</v>
      </c>
      <c r="CV1107" t="s">
        <v>100</v>
      </c>
    </row>
    <row r="1108" spans="1:100">
      <c r="A1108" s="3" t="s">
        <v>12093</v>
      </c>
      <c r="B1108" s="4" t="s">
        <v>12094</v>
      </c>
      <c r="C1108">
        <v>161.10272962675799</v>
      </c>
      <c r="D1108">
        <v>306.78508516441201</v>
      </c>
      <c r="E1108">
        <f>0.929051282404799</f>
        <v>0.92905128240479895</v>
      </c>
      <c r="F1108">
        <v>1.8908759054857099E-2</v>
      </c>
      <c r="G1108" t="s">
        <v>4</v>
      </c>
      <c r="H1108">
        <v>161.10272962675799</v>
      </c>
      <c r="I1108">
        <v>27.8906412750854</v>
      </c>
      <c r="J1108">
        <v>2.5475881777629099</v>
      </c>
      <c r="K1108" s="5">
        <v>5.8653202868538903E-10</v>
      </c>
      <c r="L1108" t="s">
        <v>4</v>
      </c>
      <c r="M1108">
        <v>306.78508516441201</v>
      </c>
      <c r="N1108">
        <v>27.8906412750854</v>
      </c>
      <c r="O1108">
        <v>3.4766394601677102</v>
      </c>
      <c r="P1108" s="5">
        <v>5.8841769395706103E-18</v>
      </c>
      <c r="Q1108" t="s">
        <v>4</v>
      </c>
      <c r="R1108" s="4" t="s">
        <v>87</v>
      </c>
      <c r="S1108" t="s">
        <v>4</v>
      </c>
      <c r="T1108" t="s">
        <v>92</v>
      </c>
      <c r="U1108" t="s">
        <v>92</v>
      </c>
      <c r="V1108" t="s">
        <v>92</v>
      </c>
      <c r="W1108" t="s">
        <v>92</v>
      </c>
      <c r="X1108" t="s">
        <v>4</v>
      </c>
      <c r="Y1108" t="s">
        <v>92</v>
      </c>
      <c r="Z1108" t="s">
        <v>92</v>
      </c>
      <c r="AA1108" t="s">
        <v>92</v>
      </c>
      <c r="AB1108" t="s">
        <v>4</v>
      </c>
      <c r="AC1108" s="3" t="s">
        <v>93</v>
      </c>
      <c r="AD1108" t="s">
        <v>4</v>
      </c>
      <c r="AE1108" t="s">
        <v>12095</v>
      </c>
      <c r="AF1108" t="s">
        <v>12096</v>
      </c>
      <c r="AG1108" t="s">
        <v>12097</v>
      </c>
      <c r="AH1108" t="s">
        <v>112</v>
      </c>
      <c r="AU1108" t="s">
        <v>112</v>
      </c>
      <c r="AV1108" t="s">
        <v>12098</v>
      </c>
      <c r="AW1108" t="s">
        <v>114</v>
      </c>
      <c r="AZ1108" t="s">
        <v>4</v>
      </c>
      <c r="BA1108" s="3" t="s">
        <v>95</v>
      </c>
      <c r="BB1108" s="6" t="s">
        <v>95</v>
      </c>
      <c r="BC1108" s="3" t="s">
        <v>95</v>
      </c>
      <c r="BD1108" t="s">
        <v>4</v>
      </c>
      <c r="BE1108">
        <v>5194</v>
      </c>
      <c r="BF1108" t="s">
        <v>282</v>
      </c>
      <c r="BG1108">
        <v>96.958200000000005</v>
      </c>
      <c r="BH1108">
        <v>95.817499999999995</v>
      </c>
      <c r="BI1108">
        <v>91.064599999999999</v>
      </c>
      <c r="BJ1108">
        <v>76.235699999999994</v>
      </c>
      <c r="BK1108">
        <v>69.771900000000002</v>
      </c>
      <c r="BL1108">
        <v>71.2928</v>
      </c>
      <c r="BM1108">
        <v>72.813699999999997</v>
      </c>
      <c r="BN1108">
        <v>73.764300000000006</v>
      </c>
      <c r="BO1108">
        <v>72.433499999999995</v>
      </c>
      <c r="BP1108">
        <v>42.395400000000002</v>
      </c>
      <c r="BQ1108">
        <v>44.486699999999999</v>
      </c>
      <c r="BR1108">
        <v>43.536099999999998</v>
      </c>
      <c r="BS1108">
        <v>44.296599999999998</v>
      </c>
      <c r="BT1108">
        <v>37.832700000000003</v>
      </c>
      <c r="BV1108" t="s">
        <v>12099</v>
      </c>
      <c r="BW1108">
        <v>37.2624</v>
      </c>
      <c r="BX1108">
        <v>44.486699999999999</v>
      </c>
      <c r="BZ1108">
        <v>44.486699999999999</v>
      </c>
      <c r="CC1108">
        <v>36.882100000000001</v>
      </c>
      <c r="CD1108">
        <v>35.361199999999997</v>
      </c>
      <c r="CK1108">
        <v>6</v>
      </c>
      <c r="CL1108" t="s">
        <v>4</v>
      </c>
      <c r="CM1108" t="s">
        <v>98</v>
      </c>
      <c r="CN1108" t="s">
        <v>98</v>
      </c>
      <c r="CO1108" t="s">
        <v>99</v>
      </c>
      <c r="CP1108" t="s">
        <v>100</v>
      </c>
      <c r="CQ1108" t="s">
        <v>100</v>
      </c>
      <c r="CR1108" t="s">
        <v>100</v>
      </c>
      <c r="CS1108" t="s">
        <v>101</v>
      </c>
      <c r="CT1108" t="s">
        <v>152</v>
      </c>
      <c r="CU1108" t="s">
        <v>102</v>
      </c>
      <c r="CV1108" t="s">
        <v>100</v>
      </c>
    </row>
    <row r="1109" spans="1:100">
      <c r="A1109" s="3" t="s">
        <v>12100</v>
      </c>
      <c r="B1109" s="4" t="s">
        <v>12101</v>
      </c>
      <c r="C1109">
        <v>1910.1136072066099</v>
      </c>
      <c r="D1109">
        <v>1986.99872742355</v>
      </c>
      <c r="E1109">
        <f>0.0570742844556496</f>
        <v>5.7074284455649597E-2</v>
      </c>
      <c r="F1109">
        <v>0.880062648251277</v>
      </c>
      <c r="G1109" t="s">
        <v>4</v>
      </c>
      <c r="H1109">
        <v>1910.1136072066099</v>
      </c>
      <c r="I1109">
        <v>177.51462197947899</v>
      </c>
      <c r="J1109">
        <v>3.41729257934165</v>
      </c>
      <c r="K1109" s="5">
        <v>4.0179152603153097E-30</v>
      </c>
      <c r="L1109" t="s">
        <v>4</v>
      </c>
      <c r="M1109">
        <v>1986.99872742355</v>
      </c>
      <c r="N1109">
        <v>177.51462197947899</v>
      </c>
      <c r="O1109">
        <v>3.4743668637973002</v>
      </c>
      <c r="P1109" s="5">
        <v>3.09461666650691E-31</v>
      </c>
      <c r="Q1109" t="s">
        <v>4</v>
      </c>
      <c r="R1109" s="4" t="s">
        <v>87</v>
      </c>
      <c r="S1109" t="s">
        <v>4</v>
      </c>
      <c r="T1109" t="s">
        <v>420</v>
      </c>
      <c r="U1109" t="s">
        <v>421</v>
      </c>
      <c r="V1109" t="s">
        <v>422</v>
      </c>
      <c r="W1109" t="s">
        <v>91</v>
      </c>
      <c r="X1109" t="s">
        <v>4</v>
      </c>
      <c r="Y1109" t="s">
        <v>12102</v>
      </c>
      <c r="Z1109" t="s">
        <v>12103</v>
      </c>
      <c r="AA1109" t="s">
        <v>12104</v>
      </c>
      <c r="AB1109" t="s">
        <v>4</v>
      </c>
      <c r="AC1109" s="3" t="s">
        <v>12105</v>
      </c>
      <c r="AD1109" t="s">
        <v>4</v>
      </c>
      <c r="AE1109" t="s">
        <v>12106</v>
      </c>
      <c r="AF1109" t="s">
        <v>834</v>
      </c>
      <c r="AG1109" t="s">
        <v>12107</v>
      </c>
      <c r="AH1109" t="s">
        <v>112</v>
      </c>
      <c r="AI1109" t="s">
        <v>12108</v>
      </c>
      <c r="AJ1109" t="s">
        <v>12109</v>
      </c>
      <c r="AL1109" t="s">
        <v>12110</v>
      </c>
      <c r="AQ1109" t="s">
        <v>12111</v>
      </c>
      <c r="AU1109" t="s">
        <v>112</v>
      </c>
      <c r="AV1109" t="s">
        <v>12112</v>
      </c>
      <c r="AW1109" t="s">
        <v>114</v>
      </c>
      <c r="AX1109" t="s">
        <v>4098</v>
      </c>
      <c r="AY1109" t="s">
        <v>12113</v>
      </c>
      <c r="AZ1109" t="s">
        <v>4</v>
      </c>
      <c r="BA1109" s="3" t="s">
        <v>95</v>
      </c>
      <c r="BB1109" t="s">
        <v>96</v>
      </c>
      <c r="BC1109" s="3" t="s">
        <v>95</v>
      </c>
      <c r="BD1109" t="s">
        <v>4</v>
      </c>
      <c r="BE1109">
        <v>6654</v>
      </c>
      <c r="BF1109" t="s">
        <v>213</v>
      </c>
      <c r="BG1109">
        <v>97.238699999999994</v>
      </c>
      <c r="BH1109">
        <v>28.2544</v>
      </c>
      <c r="BI1109">
        <v>94.280100000000004</v>
      </c>
      <c r="BJ1109">
        <v>75.838300000000004</v>
      </c>
      <c r="BK1109">
        <v>81.903400000000005</v>
      </c>
      <c r="BL1109">
        <v>11.4398</v>
      </c>
      <c r="BM1109">
        <v>78.550299999999993</v>
      </c>
      <c r="BN1109">
        <v>81.360900000000001</v>
      </c>
      <c r="BO1109" t="s">
        <v>12114</v>
      </c>
      <c r="BP1109">
        <v>11.834300000000001</v>
      </c>
      <c r="BR1109">
        <v>27.810700000000001</v>
      </c>
      <c r="BW1109">
        <v>32.643000000000001</v>
      </c>
      <c r="BX1109" t="s">
        <v>12115</v>
      </c>
      <c r="BY1109">
        <v>5.1282100000000002</v>
      </c>
      <c r="BZ1109" t="s">
        <v>12116</v>
      </c>
      <c r="CA1109">
        <v>10.059200000000001</v>
      </c>
      <c r="CG1109" t="s">
        <v>12117</v>
      </c>
      <c r="CH1109" t="s">
        <v>12118</v>
      </c>
      <c r="CI1109" t="s">
        <v>12119</v>
      </c>
      <c r="CK1109">
        <v>8</v>
      </c>
      <c r="CL1109" t="s">
        <v>4</v>
      </c>
      <c r="CM1109" t="s">
        <v>12120</v>
      </c>
      <c r="CN1109" t="s">
        <v>12121</v>
      </c>
      <c r="CO1109" t="s">
        <v>663</v>
      </c>
      <c r="CP1109" t="s">
        <v>100</v>
      </c>
      <c r="CQ1109" t="s">
        <v>100</v>
      </c>
      <c r="CR1109" t="s">
        <v>100</v>
      </c>
      <c r="CS1109" t="s">
        <v>101</v>
      </c>
      <c r="CT1109" t="s">
        <v>152</v>
      </c>
      <c r="CU1109" t="s">
        <v>102</v>
      </c>
      <c r="CV1109" t="s">
        <v>100</v>
      </c>
    </row>
    <row r="1110" spans="1:100">
      <c r="A1110" s="3" t="s">
        <v>12122</v>
      </c>
      <c r="B1110" s="4" t="s">
        <v>12123</v>
      </c>
      <c r="C1110">
        <v>51.5472438619122</v>
      </c>
      <c r="D1110">
        <v>19.798531279354201</v>
      </c>
      <c r="E1110">
        <v>1.39043623787189</v>
      </c>
      <c r="F1110">
        <v>6.9800087190989304E-2</v>
      </c>
      <c r="G1110" t="s">
        <v>4</v>
      </c>
      <c r="H1110">
        <v>51.5472438619122</v>
      </c>
      <c r="I1110">
        <v>1.6417037200681699</v>
      </c>
      <c r="J1110">
        <v>4.8585101007999496</v>
      </c>
      <c r="K1110" s="5">
        <v>2.7186586746224698E-6</v>
      </c>
      <c r="L1110" t="s">
        <v>4</v>
      </c>
      <c r="M1110">
        <v>19.798531279354201</v>
      </c>
      <c r="N1110">
        <v>1.6417037200681699</v>
      </c>
      <c r="O1110">
        <v>3.4680738629280499</v>
      </c>
      <c r="P1110">
        <v>1.0281109735517701E-3</v>
      </c>
      <c r="Q1110" t="s">
        <v>4</v>
      </c>
      <c r="R1110" s="4" t="s">
        <v>87</v>
      </c>
      <c r="S1110" t="s">
        <v>4</v>
      </c>
      <c r="T1110" t="s">
        <v>460</v>
      </c>
      <c r="U1110" t="s">
        <v>461</v>
      </c>
      <c r="V1110" t="s">
        <v>462</v>
      </c>
      <c r="W1110" t="s">
        <v>123</v>
      </c>
      <c r="X1110" t="s">
        <v>4</v>
      </c>
      <c r="Y1110" t="s">
        <v>463</v>
      </c>
      <c r="Z1110" t="s">
        <v>464</v>
      </c>
      <c r="AA1110" t="s">
        <v>465</v>
      </c>
      <c r="AB1110" t="s">
        <v>4</v>
      </c>
      <c r="AC1110" s="3" t="s">
        <v>12124</v>
      </c>
      <c r="AD1110" t="s">
        <v>4</v>
      </c>
      <c r="AE1110" t="s">
        <v>467</v>
      </c>
      <c r="AF1110" t="s">
        <v>12125</v>
      </c>
      <c r="AG1110" t="s">
        <v>12126</v>
      </c>
      <c r="AH1110" t="s">
        <v>169</v>
      </c>
      <c r="AU1110" t="s">
        <v>112</v>
      </c>
      <c r="AV1110" t="s">
        <v>470</v>
      </c>
      <c r="AW1110" t="s">
        <v>114</v>
      </c>
      <c r="AX1110" t="s">
        <v>144</v>
      </c>
      <c r="AY1110" t="s">
        <v>471</v>
      </c>
      <c r="AZ1110" t="s">
        <v>4</v>
      </c>
      <c r="BA1110" s="3" t="s">
        <v>95</v>
      </c>
      <c r="BB1110" s="6" t="s">
        <v>95</v>
      </c>
      <c r="BC1110" s="3" t="s">
        <v>197</v>
      </c>
      <c r="BD1110" t="s">
        <v>4</v>
      </c>
      <c r="BE1110">
        <v>1149</v>
      </c>
      <c r="BF1110" t="s">
        <v>151</v>
      </c>
      <c r="BH1110">
        <v>52.6738</v>
      </c>
      <c r="CK1110">
        <v>2</v>
      </c>
      <c r="CL1110" t="s">
        <v>4</v>
      </c>
      <c r="CM1110" t="s">
        <v>98</v>
      </c>
      <c r="CN1110" t="s">
        <v>98</v>
      </c>
      <c r="CO1110" t="s">
        <v>99</v>
      </c>
      <c r="CP1110" t="s">
        <v>100</v>
      </c>
      <c r="CQ1110" t="s">
        <v>100</v>
      </c>
      <c r="CR1110" t="s">
        <v>100</v>
      </c>
      <c r="CS1110" t="s">
        <v>101</v>
      </c>
      <c r="CT1110" t="s">
        <v>152</v>
      </c>
      <c r="CU1110" t="s">
        <v>102</v>
      </c>
      <c r="CV1110" t="s">
        <v>100</v>
      </c>
    </row>
    <row r="1111" spans="1:100">
      <c r="A1111" s="3" t="s">
        <v>12127</v>
      </c>
      <c r="B1111" s="4" t="s">
        <v>12128</v>
      </c>
      <c r="C1111">
        <v>108.59240349993399</v>
      </c>
      <c r="D1111">
        <v>137.685093933535</v>
      </c>
      <c r="E1111">
        <f>0.346400759921703</f>
        <v>0.34640075992170299</v>
      </c>
      <c r="F1111">
        <v>0.50296701205170202</v>
      </c>
      <c r="G1111" t="s">
        <v>4</v>
      </c>
      <c r="H1111">
        <v>108.59240349993399</v>
      </c>
      <c r="I1111">
        <v>11.841022366130799</v>
      </c>
      <c r="J1111">
        <v>3.1171499188567999</v>
      </c>
      <c r="K1111" s="5">
        <v>3.6564255833217201E-9</v>
      </c>
      <c r="L1111" t="s">
        <v>4</v>
      </c>
      <c r="M1111">
        <v>137.685093933535</v>
      </c>
      <c r="N1111">
        <v>11.841022366130799</v>
      </c>
      <c r="O1111">
        <v>3.4635506787785002</v>
      </c>
      <c r="P1111" s="5">
        <v>3.2255391567347701E-11</v>
      </c>
      <c r="Q1111" t="s">
        <v>4</v>
      </c>
      <c r="R1111" s="4" t="s">
        <v>87</v>
      </c>
      <c r="S1111" t="s">
        <v>4</v>
      </c>
      <c r="T1111" t="s">
        <v>460</v>
      </c>
      <c r="U1111" t="s">
        <v>461</v>
      </c>
      <c r="V1111" t="s">
        <v>462</v>
      </c>
      <c r="W1111" t="s">
        <v>123</v>
      </c>
      <c r="X1111" t="s">
        <v>4</v>
      </c>
      <c r="Y1111" t="s">
        <v>6643</v>
      </c>
      <c r="Z1111" t="s">
        <v>6644</v>
      </c>
      <c r="AA1111" t="s">
        <v>6645</v>
      </c>
      <c r="AB1111" t="s">
        <v>4</v>
      </c>
      <c r="AC1111" s="3" t="s">
        <v>93</v>
      </c>
      <c r="AD1111" t="s">
        <v>4</v>
      </c>
      <c r="AE1111" t="s">
        <v>3190</v>
      </c>
      <c r="AF1111" t="s">
        <v>11893</v>
      </c>
      <c r="AG1111" t="s">
        <v>11227</v>
      </c>
      <c r="AH1111" t="s">
        <v>112</v>
      </c>
      <c r="AJ1111" t="s">
        <v>3193</v>
      </c>
      <c r="AK1111" t="s">
        <v>3194</v>
      </c>
      <c r="AL1111" t="s">
        <v>3195</v>
      </c>
      <c r="AM1111" t="s">
        <v>3196</v>
      </c>
      <c r="AQ1111" t="s">
        <v>3197</v>
      </c>
      <c r="AU1111" t="s">
        <v>112</v>
      </c>
      <c r="AV1111" t="s">
        <v>3198</v>
      </c>
      <c r="AW1111" t="s">
        <v>114</v>
      </c>
      <c r="AX1111" t="s">
        <v>2157</v>
      </c>
      <c r="AY1111" t="s">
        <v>3199</v>
      </c>
      <c r="AZ1111" t="s">
        <v>4</v>
      </c>
      <c r="BA1111" s="3" t="s">
        <v>95</v>
      </c>
      <c r="BB1111" s="6" t="s">
        <v>95</v>
      </c>
      <c r="BC1111" s="3" t="s">
        <v>95</v>
      </c>
      <c r="BD1111" t="s">
        <v>4</v>
      </c>
      <c r="BE1111">
        <v>1715</v>
      </c>
      <c r="BF1111" t="s">
        <v>151</v>
      </c>
      <c r="BG1111">
        <v>97.561000000000007</v>
      </c>
      <c r="BI1111">
        <v>75.609800000000007</v>
      </c>
      <c r="CK1111">
        <v>2</v>
      </c>
      <c r="CL1111" t="s">
        <v>4</v>
      </c>
      <c r="CM1111" t="s">
        <v>98</v>
      </c>
      <c r="CN1111" t="s">
        <v>98</v>
      </c>
      <c r="CO1111" t="s">
        <v>99</v>
      </c>
      <c r="CP1111" t="s">
        <v>100</v>
      </c>
      <c r="CQ1111" t="s">
        <v>100</v>
      </c>
      <c r="CR1111" t="s">
        <v>100</v>
      </c>
      <c r="CS1111" t="s">
        <v>101</v>
      </c>
      <c r="CT1111" t="s">
        <v>152</v>
      </c>
      <c r="CU1111" t="s">
        <v>102</v>
      </c>
      <c r="CV1111" t="s">
        <v>100</v>
      </c>
    </row>
    <row r="1112" spans="1:100">
      <c r="A1112" s="3" t="s">
        <v>12129</v>
      </c>
      <c r="B1112" s="4" t="s">
        <v>12130</v>
      </c>
      <c r="C1112">
        <v>170.183520051795</v>
      </c>
      <c r="D1112">
        <v>278.74943410416103</v>
      </c>
      <c r="E1112">
        <f>0.711507341013612</f>
        <v>0.71150734101361202</v>
      </c>
      <c r="F1112">
        <v>0.35906051305813702</v>
      </c>
      <c r="G1112" t="s">
        <v>4</v>
      </c>
      <c r="H1112">
        <v>170.183520051795</v>
      </c>
      <c r="I1112">
        <v>25.3389530365091</v>
      </c>
      <c r="J1112">
        <v>2.7383942079965502</v>
      </c>
      <c r="K1112">
        <v>1.7532709625658701E-4</v>
      </c>
      <c r="L1112" t="s">
        <v>4</v>
      </c>
      <c r="M1112">
        <v>278.74943410416103</v>
      </c>
      <c r="N1112">
        <v>25.3389530365091</v>
      </c>
      <c r="O1112">
        <v>3.4499015490101601</v>
      </c>
      <c r="P1112" s="5">
        <v>1.1961655843941801E-6</v>
      </c>
      <c r="Q1112" t="s">
        <v>4</v>
      </c>
      <c r="R1112" s="4" t="s">
        <v>87</v>
      </c>
      <c r="S1112" t="s">
        <v>4</v>
      </c>
      <c r="T1112" t="s">
        <v>12131</v>
      </c>
      <c r="U1112" t="s">
        <v>12132</v>
      </c>
      <c r="V1112" t="s">
        <v>12133</v>
      </c>
      <c r="W1112" t="s">
        <v>507</v>
      </c>
      <c r="X1112" t="s">
        <v>4</v>
      </c>
      <c r="Y1112" t="s">
        <v>12134</v>
      </c>
      <c r="Z1112" t="s">
        <v>12135</v>
      </c>
      <c r="AA1112" t="s">
        <v>12136</v>
      </c>
      <c r="AB1112" t="s">
        <v>4</v>
      </c>
      <c r="AC1112" s="3" t="s">
        <v>12137</v>
      </c>
      <c r="AD1112" t="s">
        <v>4</v>
      </c>
      <c r="AE1112" t="s">
        <v>12138</v>
      </c>
      <c r="AF1112" t="s">
        <v>834</v>
      </c>
      <c r="AG1112" t="s">
        <v>12139</v>
      </c>
      <c r="AH1112" t="s">
        <v>112</v>
      </c>
      <c r="AU1112" t="s">
        <v>112</v>
      </c>
      <c r="AV1112" t="s">
        <v>12140</v>
      </c>
      <c r="AW1112" t="s">
        <v>114</v>
      </c>
      <c r="AX1112" t="s">
        <v>1938</v>
      </c>
      <c r="AY1112" t="s">
        <v>10405</v>
      </c>
      <c r="AZ1112" t="s">
        <v>4</v>
      </c>
      <c r="BA1112" s="3" t="s">
        <v>115</v>
      </c>
      <c r="BB1112" s="6" t="s">
        <v>95</v>
      </c>
      <c r="BC1112" s="3" t="s">
        <v>95</v>
      </c>
      <c r="BD1112" t="s">
        <v>4</v>
      </c>
      <c r="BE1112">
        <v>6698</v>
      </c>
      <c r="BF1112" t="s">
        <v>213</v>
      </c>
      <c r="BG1112">
        <v>78.112300000000005</v>
      </c>
      <c r="BH1112">
        <v>89.829099999999997</v>
      </c>
      <c r="BI1112">
        <v>79.983699999999999</v>
      </c>
      <c r="BJ1112">
        <v>64.117199999999997</v>
      </c>
      <c r="BK1112">
        <v>61.432099999999998</v>
      </c>
      <c r="BL1112">
        <v>12.6119</v>
      </c>
      <c r="BM1112">
        <v>57.038200000000003</v>
      </c>
      <c r="BN1112">
        <v>62.6526</v>
      </c>
      <c r="BO1112">
        <v>63.3035</v>
      </c>
      <c r="BP1112">
        <v>39.137500000000003</v>
      </c>
      <c r="BQ1112">
        <v>35.313299999999998</v>
      </c>
      <c r="BR1112">
        <v>39.9512</v>
      </c>
      <c r="BS1112">
        <v>36.533799999999999</v>
      </c>
      <c r="CE1112">
        <v>29.861699999999999</v>
      </c>
      <c r="CF1112">
        <v>37.3474</v>
      </c>
      <c r="CG1112">
        <v>41.253100000000003</v>
      </c>
      <c r="CH1112">
        <v>41.090299999999999</v>
      </c>
      <c r="CI1112" t="s">
        <v>12141</v>
      </c>
      <c r="CK1112">
        <v>8</v>
      </c>
      <c r="CL1112" t="s">
        <v>4</v>
      </c>
      <c r="CM1112" t="s">
        <v>98</v>
      </c>
      <c r="CN1112" t="s">
        <v>98</v>
      </c>
      <c r="CO1112" t="s">
        <v>99</v>
      </c>
      <c r="CP1112" t="s">
        <v>100</v>
      </c>
      <c r="CQ1112" t="s">
        <v>100</v>
      </c>
      <c r="CR1112" t="s">
        <v>100</v>
      </c>
      <c r="CS1112" t="s">
        <v>101</v>
      </c>
      <c r="CT1112" t="s">
        <v>152</v>
      </c>
      <c r="CU1112" t="s">
        <v>102</v>
      </c>
      <c r="CV1112" t="s">
        <v>100</v>
      </c>
    </row>
    <row r="1113" spans="1:100">
      <c r="A1113" s="3" t="s">
        <v>12142</v>
      </c>
      <c r="B1113" s="4" t="s">
        <v>12143</v>
      </c>
      <c r="C1113">
        <v>1776.84525294022</v>
      </c>
      <c r="D1113">
        <v>995.41998056736304</v>
      </c>
      <c r="E1113">
        <v>0.83575354353496301</v>
      </c>
      <c r="F1113">
        <v>1.35830754973557E-3</v>
      </c>
      <c r="G1113" t="s">
        <v>4</v>
      </c>
      <c r="H1113">
        <v>1776.84525294022</v>
      </c>
      <c r="I1113">
        <v>91.251248601605198</v>
      </c>
      <c r="J1113">
        <v>4.2848741115866202</v>
      </c>
      <c r="K1113" s="5">
        <v>2.2362970695734301E-61</v>
      </c>
      <c r="L1113" t="s">
        <v>4</v>
      </c>
      <c r="M1113">
        <v>995.41998056736304</v>
      </c>
      <c r="N1113">
        <v>91.251248601605198</v>
      </c>
      <c r="O1113">
        <v>3.4491205680516499</v>
      </c>
      <c r="P1113" s="5">
        <v>4.7533845516358002E-40</v>
      </c>
      <c r="Q1113" t="s">
        <v>4</v>
      </c>
      <c r="R1113" s="4" t="s">
        <v>87</v>
      </c>
      <c r="S1113" t="s">
        <v>4</v>
      </c>
      <c r="T1113" t="s">
        <v>684</v>
      </c>
      <c r="U1113" t="s">
        <v>685</v>
      </c>
      <c r="V1113" t="s">
        <v>686</v>
      </c>
      <c r="W1113" t="s">
        <v>123</v>
      </c>
      <c r="X1113" t="s">
        <v>4</v>
      </c>
      <c r="Y1113" t="s">
        <v>3163</v>
      </c>
      <c r="Z1113" t="s">
        <v>3164</v>
      </c>
      <c r="AA1113" t="s">
        <v>3165</v>
      </c>
      <c r="AB1113" t="s">
        <v>4</v>
      </c>
      <c r="AC1113" s="3" t="s">
        <v>3166</v>
      </c>
      <c r="AD1113" t="s">
        <v>4</v>
      </c>
      <c r="AE1113" t="s">
        <v>12144</v>
      </c>
      <c r="AF1113" t="s">
        <v>12145</v>
      </c>
      <c r="AG1113" t="s">
        <v>12146</v>
      </c>
      <c r="AH1113" t="s">
        <v>386</v>
      </c>
      <c r="AU1113" t="s">
        <v>112</v>
      </c>
      <c r="AV1113" t="s">
        <v>12147</v>
      </c>
      <c r="AW1113" t="s">
        <v>114</v>
      </c>
      <c r="AX1113" t="s">
        <v>371</v>
      </c>
      <c r="AY1113" t="s">
        <v>12148</v>
      </c>
      <c r="AZ1113" t="s">
        <v>4</v>
      </c>
      <c r="BA1113" s="3" t="s">
        <v>95</v>
      </c>
      <c r="BB1113" s="6" t="s">
        <v>95</v>
      </c>
      <c r="BC1113" s="3" t="s">
        <v>95</v>
      </c>
      <c r="BD1113" t="s">
        <v>4</v>
      </c>
      <c r="BE1113">
        <v>4114</v>
      </c>
      <c r="BF1113" t="s">
        <v>112</v>
      </c>
      <c r="BG1113">
        <v>81.967200000000005</v>
      </c>
      <c r="BH1113">
        <v>58.360700000000001</v>
      </c>
      <c r="BI1113">
        <v>83.278700000000001</v>
      </c>
      <c r="BJ1113">
        <v>23.9344</v>
      </c>
      <c r="BK1113">
        <v>31.4754</v>
      </c>
      <c r="BM1113">
        <v>20.6557</v>
      </c>
      <c r="BN1113">
        <v>36.3934</v>
      </c>
      <c r="BO1113">
        <v>34.426200000000001</v>
      </c>
      <c r="BP1113">
        <v>26.885200000000001</v>
      </c>
      <c r="BQ1113" t="s">
        <v>12149</v>
      </c>
      <c r="BR1113">
        <v>15.082000000000001</v>
      </c>
      <c r="BV1113" t="s">
        <v>12150</v>
      </c>
      <c r="BW1113">
        <v>18.360700000000001</v>
      </c>
      <c r="BX1113">
        <v>22.295100000000001</v>
      </c>
      <c r="BZ1113">
        <v>13.7705</v>
      </c>
      <c r="CA1113">
        <v>19.3443</v>
      </c>
      <c r="CG1113" t="s">
        <v>12151</v>
      </c>
      <c r="CH1113" t="s">
        <v>12151</v>
      </c>
      <c r="CI1113">
        <v>15.082000000000001</v>
      </c>
      <c r="CK1113">
        <v>5</v>
      </c>
      <c r="CL1113" t="s">
        <v>4</v>
      </c>
      <c r="CM1113" t="s">
        <v>5080</v>
      </c>
      <c r="CN1113" t="s">
        <v>12152</v>
      </c>
      <c r="CO1113" t="s">
        <v>1218</v>
      </c>
      <c r="CP1113" t="s">
        <v>100</v>
      </c>
      <c r="CQ1113" t="s">
        <v>100</v>
      </c>
      <c r="CR1113" t="s">
        <v>100</v>
      </c>
      <c r="CS1113" t="s">
        <v>101</v>
      </c>
      <c r="CT1113" t="s">
        <v>152</v>
      </c>
      <c r="CU1113" t="s">
        <v>102</v>
      </c>
      <c r="CV1113" t="s">
        <v>100</v>
      </c>
    </row>
    <row r="1114" spans="1:100">
      <c r="A1114" s="3" t="s">
        <v>12153</v>
      </c>
      <c r="B1114" s="4" t="s">
        <v>12154</v>
      </c>
      <c r="C1114">
        <v>2404.8494126451401</v>
      </c>
      <c r="D1114">
        <v>3052.2151981966199</v>
      </c>
      <c r="E1114">
        <f>0.343903194462313</f>
        <v>0.34390319446231299</v>
      </c>
      <c r="F1114">
        <v>8.7129686901534803E-2</v>
      </c>
      <c r="G1114" t="s">
        <v>4</v>
      </c>
      <c r="H1114">
        <v>2404.8494126451401</v>
      </c>
      <c r="I1114">
        <v>280.44571632559098</v>
      </c>
      <c r="J1114">
        <v>3.0989798277749898</v>
      </c>
      <c r="K1114" s="5">
        <v>6.1580461585587899E-62</v>
      </c>
      <c r="L1114" t="s">
        <v>4</v>
      </c>
      <c r="M1114">
        <v>3052.2151981966199</v>
      </c>
      <c r="N1114">
        <v>280.44571632559098</v>
      </c>
      <c r="O1114">
        <v>3.4428830222373001</v>
      </c>
      <c r="P1114" s="5">
        <v>1.74254366101273E-76</v>
      </c>
      <c r="Q1114" t="s">
        <v>4</v>
      </c>
      <c r="R1114" s="4" t="s">
        <v>87</v>
      </c>
      <c r="S1114" t="s">
        <v>4</v>
      </c>
      <c r="T1114" t="s">
        <v>12155</v>
      </c>
      <c r="U1114" t="s">
        <v>12156</v>
      </c>
      <c r="V1114" t="s">
        <v>12157</v>
      </c>
      <c r="W1114" t="s">
        <v>203</v>
      </c>
      <c r="X1114" t="s">
        <v>4</v>
      </c>
      <c r="Y1114" t="s">
        <v>12158</v>
      </c>
      <c r="Z1114" t="s">
        <v>12159</v>
      </c>
      <c r="AA1114" t="s">
        <v>12160</v>
      </c>
      <c r="AB1114" t="s">
        <v>4</v>
      </c>
      <c r="AC1114" s="3" t="s">
        <v>12161</v>
      </c>
      <c r="AD1114" t="s">
        <v>4</v>
      </c>
      <c r="AE1114" t="s">
        <v>12162</v>
      </c>
      <c r="AF1114" t="s">
        <v>834</v>
      </c>
      <c r="AG1114" t="s">
        <v>12163</v>
      </c>
      <c r="AH1114" t="s">
        <v>169</v>
      </c>
      <c r="AU1114" t="s">
        <v>112</v>
      </c>
      <c r="AV1114" t="s">
        <v>12164</v>
      </c>
      <c r="AW1114" t="s">
        <v>114</v>
      </c>
      <c r="AX1114" t="s">
        <v>1938</v>
      </c>
      <c r="AY1114" t="s">
        <v>12165</v>
      </c>
      <c r="AZ1114" t="s">
        <v>4</v>
      </c>
      <c r="BA1114" s="3" t="s">
        <v>115</v>
      </c>
      <c r="BB1114" s="6" t="s">
        <v>95</v>
      </c>
      <c r="BC1114" s="3" t="s">
        <v>95</v>
      </c>
      <c r="BD1114" t="s">
        <v>4</v>
      </c>
      <c r="BE1114">
        <v>9393</v>
      </c>
      <c r="BF1114" t="s">
        <v>169</v>
      </c>
      <c r="BG1114">
        <v>99.196799999999996</v>
      </c>
      <c r="BH1114">
        <v>52.342700000000001</v>
      </c>
      <c r="BI1114">
        <v>92.503299999999996</v>
      </c>
      <c r="BJ1114">
        <v>83.132499999999993</v>
      </c>
      <c r="BK1114">
        <v>74.966499999999996</v>
      </c>
      <c r="BL1114" t="s">
        <v>12166</v>
      </c>
      <c r="BM1114" t="s">
        <v>12167</v>
      </c>
      <c r="BN1114">
        <v>79.651899999999998</v>
      </c>
      <c r="BP1114">
        <v>31.860800000000001</v>
      </c>
      <c r="BW1114">
        <v>22.8916</v>
      </c>
      <c r="BX1114" t="s">
        <v>12168</v>
      </c>
      <c r="BY1114">
        <v>20.6158</v>
      </c>
      <c r="CB1114">
        <v>19.277100000000001</v>
      </c>
      <c r="CD1114">
        <v>23.5609</v>
      </c>
      <c r="CF1114" t="s">
        <v>12169</v>
      </c>
      <c r="CG1114">
        <v>27.577000000000002</v>
      </c>
      <c r="CH1114">
        <v>26.907599999999999</v>
      </c>
      <c r="CI1114">
        <v>24.765699999999999</v>
      </c>
      <c r="CJ1114">
        <v>19.009399999999999</v>
      </c>
      <c r="CK1114">
        <v>9</v>
      </c>
      <c r="CL1114" t="s">
        <v>4</v>
      </c>
      <c r="CM1114" t="s">
        <v>98</v>
      </c>
      <c r="CN1114" t="s">
        <v>98</v>
      </c>
      <c r="CO1114" t="s">
        <v>99</v>
      </c>
      <c r="CP1114" t="s">
        <v>100</v>
      </c>
      <c r="CQ1114" t="s">
        <v>100</v>
      </c>
      <c r="CR1114" t="s">
        <v>100</v>
      </c>
      <c r="CS1114" t="s">
        <v>101</v>
      </c>
      <c r="CT1114" t="s">
        <v>152</v>
      </c>
      <c r="CU1114" t="s">
        <v>102</v>
      </c>
      <c r="CV1114" t="s">
        <v>100</v>
      </c>
    </row>
    <row r="1115" spans="1:100">
      <c r="A1115" s="3" t="s">
        <v>12170</v>
      </c>
      <c r="B1115" s="4" t="s">
        <v>12171</v>
      </c>
      <c r="C1115">
        <v>77.741953658254104</v>
      </c>
      <c r="D1115">
        <v>96.077805919461298</v>
      </c>
      <c r="E1115">
        <f>0.305092649566213</f>
        <v>0.30509264956621301</v>
      </c>
      <c r="F1115">
        <v>0.60688564006230505</v>
      </c>
      <c r="G1115" t="s">
        <v>4</v>
      </c>
      <c r="H1115">
        <v>77.741953658254104</v>
      </c>
      <c r="I1115">
        <v>9.1256524446673506</v>
      </c>
      <c r="J1115">
        <v>3.0950793259389799</v>
      </c>
      <c r="K1115" s="5">
        <v>3.23356034489194E-7</v>
      </c>
      <c r="L1115" t="s">
        <v>4</v>
      </c>
      <c r="M1115">
        <v>96.077805919461298</v>
      </c>
      <c r="N1115">
        <v>9.1256524446673506</v>
      </c>
      <c r="O1115">
        <v>3.4001719755051898</v>
      </c>
      <c r="P1115" s="5">
        <v>1.24732056297324E-8</v>
      </c>
      <c r="Q1115" t="s">
        <v>4</v>
      </c>
      <c r="R1115" s="4" t="s">
        <v>87</v>
      </c>
      <c r="S1115" t="s">
        <v>4</v>
      </c>
      <c r="T1115" t="s">
        <v>92</v>
      </c>
      <c r="U1115" t="s">
        <v>92</v>
      </c>
      <c r="V1115" t="s">
        <v>92</v>
      </c>
      <c r="W1115" t="s">
        <v>92</v>
      </c>
      <c r="X1115" t="s">
        <v>4</v>
      </c>
      <c r="Y1115" t="s">
        <v>92</v>
      </c>
      <c r="Z1115" t="s">
        <v>92</v>
      </c>
      <c r="AA1115" t="s">
        <v>92</v>
      </c>
      <c r="AB1115" t="s">
        <v>4</v>
      </c>
      <c r="AC1115" s="3" t="s">
        <v>93</v>
      </c>
      <c r="AD1115" t="s">
        <v>4</v>
      </c>
      <c r="AE1115" s="4" t="s">
        <v>94</v>
      </c>
      <c r="AZ1115" t="s">
        <v>4</v>
      </c>
      <c r="BA1115" s="3" t="s">
        <v>95</v>
      </c>
      <c r="BB1115" s="6" t="s">
        <v>95</v>
      </c>
      <c r="BC1115" s="3" t="s">
        <v>95</v>
      </c>
      <c r="BD1115" t="s">
        <v>4</v>
      </c>
      <c r="BE1115">
        <v>2692</v>
      </c>
      <c r="BF1115" t="s">
        <v>97</v>
      </c>
      <c r="BG1115">
        <v>93.366100000000003</v>
      </c>
      <c r="BH1115">
        <v>61.4251</v>
      </c>
      <c r="BI1115">
        <v>65.356300000000005</v>
      </c>
      <c r="BJ1115" t="s">
        <v>12172</v>
      </c>
      <c r="BK1115">
        <v>38.3292</v>
      </c>
      <c r="BM1115">
        <v>37.100700000000003</v>
      </c>
      <c r="BN1115">
        <v>43.488900000000001</v>
      </c>
      <c r="BO1115">
        <v>23.832899999999999</v>
      </c>
      <c r="BP1115" t="s">
        <v>12173</v>
      </c>
      <c r="CK1115">
        <v>4</v>
      </c>
      <c r="CL1115" t="s">
        <v>4</v>
      </c>
      <c r="CM1115" t="s">
        <v>98</v>
      </c>
      <c r="CN1115" t="s">
        <v>98</v>
      </c>
      <c r="CO1115" t="s">
        <v>99</v>
      </c>
      <c r="CP1115" t="s">
        <v>100</v>
      </c>
      <c r="CQ1115" t="s">
        <v>100</v>
      </c>
      <c r="CR1115" t="s">
        <v>100</v>
      </c>
      <c r="CS1115" t="s">
        <v>101</v>
      </c>
      <c r="CT1115" t="s">
        <v>152</v>
      </c>
      <c r="CU1115" t="s">
        <v>102</v>
      </c>
      <c r="CV1115" t="s">
        <v>100</v>
      </c>
    </row>
    <row r="1116" spans="1:100">
      <c r="A1116" s="3" t="s">
        <v>12174</v>
      </c>
      <c r="B1116" s="4" t="s">
        <v>12175</v>
      </c>
      <c r="C1116">
        <v>2692.4910707127801</v>
      </c>
      <c r="D1116">
        <v>2441.3316696397501</v>
      </c>
      <c r="E1116">
        <v>0.141187743131339</v>
      </c>
      <c r="F1116">
        <v>0.77449089311688302</v>
      </c>
      <c r="G1116" t="s">
        <v>4</v>
      </c>
      <c r="H1116">
        <v>2692.4910707127801</v>
      </c>
      <c r="I1116">
        <v>229.89988322264799</v>
      </c>
      <c r="J1116">
        <v>3.5408426211572901</v>
      </c>
      <c r="K1116" s="5">
        <v>1.7942354861639899E-18</v>
      </c>
      <c r="L1116" t="s">
        <v>4</v>
      </c>
      <c r="M1116">
        <v>2441.3316696397501</v>
      </c>
      <c r="N1116">
        <v>229.89988322264799</v>
      </c>
      <c r="O1116">
        <v>3.3996548780259501</v>
      </c>
      <c r="P1116" s="5">
        <v>3.0720355718472702E-17</v>
      </c>
      <c r="Q1116" t="s">
        <v>4</v>
      </c>
      <c r="R1116" s="4" t="s">
        <v>87</v>
      </c>
      <c r="S1116" t="s">
        <v>4</v>
      </c>
      <c r="T1116" t="s">
        <v>2145</v>
      </c>
      <c r="U1116" t="s">
        <v>2146</v>
      </c>
      <c r="V1116" t="s">
        <v>2147</v>
      </c>
      <c r="W1116" t="s">
        <v>203</v>
      </c>
      <c r="X1116" t="s">
        <v>4</v>
      </c>
      <c r="Y1116" t="s">
        <v>2148</v>
      </c>
      <c r="Z1116" t="s">
        <v>2149</v>
      </c>
      <c r="AA1116" t="s">
        <v>2150</v>
      </c>
      <c r="AB1116" t="s">
        <v>4</v>
      </c>
      <c r="AC1116" s="3" t="s">
        <v>12176</v>
      </c>
      <c r="AD1116" t="s">
        <v>4</v>
      </c>
      <c r="AE1116" t="s">
        <v>12177</v>
      </c>
      <c r="AF1116" t="s">
        <v>12178</v>
      </c>
      <c r="AG1116" t="s">
        <v>12179</v>
      </c>
      <c r="AH1116" t="s">
        <v>112</v>
      </c>
      <c r="AI1116" t="s">
        <v>12180</v>
      </c>
      <c r="AJ1116" t="s">
        <v>12181</v>
      </c>
      <c r="AL1116" t="s">
        <v>2154</v>
      </c>
      <c r="AM1116" t="s">
        <v>2155</v>
      </c>
      <c r="AQ1116" t="s">
        <v>303</v>
      </c>
      <c r="AU1116" t="s">
        <v>112</v>
      </c>
      <c r="AV1116" t="s">
        <v>12182</v>
      </c>
      <c r="AW1116" t="s">
        <v>114</v>
      </c>
      <c r="AX1116" t="s">
        <v>1879</v>
      </c>
      <c r="AY1116" t="s">
        <v>2158</v>
      </c>
      <c r="AZ1116" t="s">
        <v>4</v>
      </c>
      <c r="BA1116" s="3" t="s">
        <v>95</v>
      </c>
      <c r="BB1116" s="6" t="s">
        <v>95</v>
      </c>
      <c r="BC1116" s="3" t="s">
        <v>95</v>
      </c>
      <c r="BD1116" t="s">
        <v>4</v>
      </c>
      <c r="BE1116">
        <v>5935</v>
      </c>
      <c r="BF1116" t="s">
        <v>213</v>
      </c>
      <c r="BG1116">
        <v>96.399299999999997</v>
      </c>
      <c r="BH1116">
        <v>99.181700000000006</v>
      </c>
      <c r="BI1116">
        <v>87.724999999999994</v>
      </c>
      <c r="BJ1116">
        <v>75.7774</v>
      </c>
      <c r="BK1116">
        <v>59.901800000000001</v>
      </c>
      <c r="BL1116">
        <v>48.281500000000001</v>
      </c>
      <c r="BM1116">
        <v>61.8658</v>
      </c>
      <c r="BN1116">
        <v>61.8658</v>
      </c>
      <c r="BO1116">
        <v>62.3568</v>
      </c>
      <c r="BP1116" t="s">
        <v>12183</v>
      </c>
      <c r="BR1116">
        <v>12.929600000000001</v>
      </c>
      <c r="BW1116">
        <v>25.368200000000002</v>
      </c>
      <c r="BX1116">
        <v>30.769200000000001</v>
      </c>
      <c r="BY1116">
        <v>18.8216</v>
      </c>
      <c r="BZ1116">
        <v>24.7136</v>
      </c>
      <c r="CA1116">
        <v>28.805199999999999</v>
      </c>
      <c r="CB1116">
        <v>28.477900000000002</v>
      </c>
      <c r="CC1116">
        <v>23.240600000000001</v>
      </c>
      <c r="CD1116">
        <v>27.168600000000001</v>
      </c>
      <c r="CF1116">
        <v>24.058900000000001</v>
      </c>
      <c r="CG1116" t="s">
        <v>12184</v>
      </c>
      <c r="CH1116">
        <v>23.7316</v>
      </c>
      <c r="CI1116" t="s">
        <v>12185</v>
      </c>
      <c r="CK1116">
        <v>8</v>
      </c>
      <c r="CL1116" t="s">
        <v>4</v>
      </c>
      <c r="CM1116" t="s">
        <v>12186</v>
      </c>
      <c r="CN1116" t="s">
        <v>12187</v>
      </c>
      <c r="CO1116" t="s">
        <v>219</v>
      </c>
      <c r="CP1116" t="s">
        <v>100</v>
      </c>
      <c r="CQ1116" t="s">
        <v>100</v>
      </c>
      <c r="CR1116" t="s">
        <v>100</v>
      </c>
      <c r="CS1116" t="s">
        <v>101</v>
      </c>
      <c r="CT1116" t="s">
        <v>152</v>
      </c>
      <c r="CU1116" t="s">
        <v>102</v>
      </c>
      <c r="CV1116" t="s">
        <v>4540</v>
      </c>
    </row>
    <row r="1117" spans="1:100">
      <c r="A1117" s="3" t="s">
        <v>12188</v>
      </c>
      <c r="B1117" s="4" t="s">
        <v>12189</v>
      </c>
      <c r="C1117">
        <v>74.709337625890996</v>
      </c>
      <c r="D1117">
        <v>41.195415731194501</v>
      </c>
      <c r="E1117">
        <v>0.85753818085688205</v>
      </c>
      <c r="F1117">
        <v>0.17235259427578101</v>
      </c>
      <c r="G1117" t="s">
        <v>4</v>
      </c>
      <c r="H1117">
        <v>74.709337625890996</v>
      </c>
      <c r="I1117">
        <v>4.48813470670847</v>
      </c>
      <c r="J1117">
        <v>4.2516119436937503</v>
      </c>
      <c r="K1117" s="5">
        <v>2.0635663286663199E-8</v>
      </c>
      <c r="L1117" t="s">
        <v>4</v>
      </c>
      <c r="M1117">
        <v>41.195415731194501</v>
      </c>
      <c r="N1117">
        <v>4.48813470670847</v>
      </c>
      <c r="O1117">
        <v>3.3940737628368698</v>
      </c>
      <c r="P1117" s="5">
        <v>9.3718404263161107E-6</v>
      </c>
      <c r="Q1117" t="s">
        <v>4</v>
      </c>
      <c r="R1117" s="4" t="s">
        <v>87</v>
      </c>
      <c r="S1117" t="s">
        <v>4</v>
      </c>
      <c r="T1117" t="s">
        <v>92</v>
      </c>
      <c r="U1117" t="s">
        <v>92</v>
      </c>
      <c r="V1117" t="s">
        <v>92</v>
      </c>
      <c r="W1117" t="s">
        <v>92</v>
      </c>
      <c r="X1117" t="s">
        <v>4</v>
      </c>
      <c r="Y1117" t="s">
        <v>92</v>
      </c>
      <c r="Z1117" t="s">
        <v>92</v>
      </c>
      <c r="AA1117" t="s">
        <v>92</v>
      </c>
      <c r="AB1117" t="s">
        <v>4</v>
      </c>
      <c r="AC1117" s="3" t="s">
        <v>93</v>
      </c>
      <c r="AD1117" t="s">
        <v>4</v>
      </c>
      <c r="AE1117" t="s">
        <v>12190</v>
      </c>
      <c r="AF1117" t="s">
        <v>12191</v>
      </c>
      <c r="AG1117" t="s">
        <v>454</v>
      </c>
      <c r="AH1117" t="s">
        <v>112</v>
      </c>
      <c r="AU1117" t="s">
        <v>112</v>
      </c>
      <c r="AV1117" t="s">
        <v>12192</v>
      </c>
      <c r="AW1117" t="s">
        <v>114</v>
      </c>
      <c r="AZ1117" t="s">
        <v>4</v>
      </c>
      <c r="BA1117" s="3" t="s">
        <v>95</v>
      </c>
      <c r="BB1117" t="s">
        <v>96</v>
      </c>
      <c r="BC1117" s="3" t="s">
        <v>95</v>
      </c>
      <c r="BD1117" t="s">
        <v>4</v>
      </c>
      <c r="BE1117">
        <v>1785</v>
      </c>
      <c r="BF1117" t="s">
        <v>148</v>
      </c>
      <c r="BG1117">
        <v>89.830500000000001</v>
      </c>
      <c r="BH1117">
        <v>99.435000000000002</v>
      </c>
      <c r="BI1117">
        <v>34.463299999999997</v>
      </c>
      <c r="BJ1117">
        <v>55.367199999999997</v>
      </c>
      <c r="BK1117">
        <v>45.197699999999998</v>
      </c>
      <c r="BL1117">
        <v>23.163799999999998</v>
      </c>
      <c r="BM1117">
        <v>36.158200000000001</v>
      </c>
      <c r="BN1117">
        <v>35.593200000000003</v>
      </c>
      <c r="BO1117">
        <v>55.932200000000002</v>
      </c>
      <c r="CK1117">
        <v>3</v>
      </c>
      <c r="CL1117" t="s">
        <v>4</v>
      </c>
      <c r="CM1117" t="s">
        <v>98</v>
      </c>
      <c r="CN1117" t="s">
        <v>98</v>
      </c>
      <c r="CO1117" t="s">
        <v>99</v>
      </c>
      <c r="CP1117" t="s">
        <v>100</v>
      </c>
      <c r="CQ1117" t="s">
        <v>100</v>
      </c>
      <c r="CR1117" t="s">
        <v>100</v>
      </c>
      <c r="CS1117" t="s">
        <v>101</v>
      </c>
      <c r="CT1117" t="s">
        <v>152</v>
      </c>
      <c r="CU1117" t="s">
        <v>102</v>
      </c>
      <c r="CV1117" t="s">
        <v>100</v>
      </c>
    </row>
    <row r="1118" spans="1:100">
      <c r="A1118" s="3" t="s">
        <v>12193</v>
      </c>
      <c r="B1118" s="4" t="s">
        <v>12194</v>
      </c>
      <c r="C1118">
        <v>108.918200576121</v>
      </c>
      <c r="D1118">
        <v>90.171443412649793</v>
      </c>
      <c r="E1118">
        <v>0.27372102158556399</v>
      </c>
      <c r="F1118">
        <v>0.54245993884650101</v>
      </c>
      <c r="G1118" t="s">
        <v>4</v>
      </c>
      <c r="H1118">
        <v>108.918200576121</v>
      </c>
      <c r="I1118">
        <v>8.4829234103692706</v>
      </c>
      <c r="J1118">
        <v>3.66755362101136</v>
      </c>
      <c r="K1118" s="5">
        <v>5.9778395418114401E-13</v>
      </c>
      <c r="L1118" t="s">
        <v>4</v>
      </c>
      <c r="M1118">
        <v>90.171443412649793</v>
      </c>
      <c r="N1118">
        <v>8.4829234103692706</v>
      </c>
      <c r="O1118">
        <v>3.3938325994257901</v>
      </c>
      <c r="P1118" s="5">
        <v>2.8688610822648599E-11</v>
      </c>
      <c r="Q1118" t="s">
        <v>4</v>
      </c>
      <c r="R1118" s="4" t="s">
        <v>87</v>
      </c>
      <c r="S1118" t="s">
        <v>4</v>
      </c>
      <c r="T1118" t="s">
        <v>92</v>
      </c>
      <c r="U1118" t="s">
        <v>92</v>
      </c>
      <c r="V1118" t="s">
        <v>92</v>
      </c>
      <c r="W1118" t="s">
        <v>92</v>
      </c>
      <c r="X1118" t="s">
        <v>4</v>
      </c>
      <c r="Y1118" t="s">
        <v>92</v>
      </c>
      <c r="Z1118" t="s">
        <v>92</v>
      </c>
      <c r="AA1118" t="s">
        <v>92</v>
      </c>
      <c r="AB1118" t="s">
        <v>4</v>
      </c>
      <c r="AC1118" s="3" t="s">
        <v>93</v>
      </c>
      <c r="AD1118" t="s">
        <v>4</v>
      </c>
      <c r="AE1118" s="4" t="s">
        <v>94</v>
      </c>
      <c r="AZ1118" t="s">
        <v>4</v>
      </c>
      <c r="BA1118" s="3" t="s">
        <v>115</v>
      </c>
      <c r="BB1118" s="6" t="s">
        <v>95</v>
      </c>
      <c r="BC1118" s="3" t="s">
        <v>95</v>
      </c>
      <c r="BD1118" t="s">
        <v>4</v>
      </c>
      <c r="BE1118">
        <v>4174</v>
      </c>
      <c r="BF1118" t="s">
        <v>112</v>
      </c>
      <c r="BG1118">
        <v>75.657899999999998</v>
      </c>
      <c r="BH1118">
        <v>77.631600000000006</v>
      </c>
      <c r="BI1118">
        <v>82.236800000000002</v>
      </c>
      <c r="BJ1118" t="s">
        <v>12195</v>
      </c>
      <c r="BK1118">
        <v>60.526299999999999</v>
      </c>
      <c r="BN1118">
        <v>49.342100000000002</v>
      </c>
      <c r="BO1118">
        <v>55.263199999999998</v>
      </c>
      <c r="BR1118" t="s">
        <v>12196</v>
      </c>
      <c r="BS1118">
        <v>26.315799999999999</v>
      </c>
      <c r="CK1118">
        <v>5</v>
      </c>
      <c r="CL1118" t="s">
        <v>4</v>
      </c>
      <c r="CM1118" t="s">
        <v>98</v>
      </c>
      <c r="CN1118" t="s">
        <v>98</v>
      </c>
      <c r="CO1118" t="s">
        <v>99</v>
      </c>
      <c r="CP1118" t="s">
        <v>100</v>
      </c>
      <c r="CQ1118" t="s">
        <v>100</v>
      </c>
      <c r="CR1118" t="s">
        <v>100</v>
      </c>
      <c r="CS1118" t="s">
        <v>101</v>
      </c>
      <c r="CT1118" t="s">
        <v>152</v>
      </c>
      <c r="CU1118" t="s">
        <v>102</v>
      </c>
      <c r="CV1118" t="s">
        <v>100</v>
      </c>
    </row>
    <row r="1119" spans="1:100">
      <c r="A1119" s="3" t="s">
        <v>12197</v>
      </c>
      <c r="B1119" s="4" t="s">
        <v>12198</v>
      </c>
      <c r="C1119">
        <v>1303.4439783555799</v>
      </c>
      <c r="D1119">
        <v>2386.0680444925401</v>
      </c>
      <c r="E1119">
        <f>0.872418514369978</f>
        <v>0.87241851436997797</v>
      </c>
      <c r="F1119" s="5">
        <v>5.03077606357792E-5</v>
      </c>
      <c r="G1119" t="s">
        <v>4</v>
      </c>
      <c r="H1119">
        <v>1303.4439783555799</v>
      </c>
      <c r="I1119">
        <v>225.20872236225199</v>
      </c>
      <c r="J1119">
        <v>2.5200074108547001</v>
      </c>
      <c r="K1119" s="5">
        <v>8.4066400882080601E-33</v>
      </c>
      <c r="L1119" t="s">
        <v>4</v>
      </c>
      <c r="M1119">
        <v>2386.0680444925401</v>
      </c>
      <c r="N1119">
        <v>225.20872236225199</v>
      </c>
      <c r="O1119">
        <v>3.3924259252246798</v>
      </c>
      <c r="P1119" s="5">
        <v>4.8472958443135298E-59</v>
      </c>
      <c r="Q1119" t="s">
        <v>4</v>
      </c>
      <c r="R1119" s="4" t="s">
        <v>87</v>
      </c>
      <c r="S1119" t="s">
        <v>4</v>
      </c>
      <c r="T1119" t="s">
        <v>12199</v>
      </c>
      <c r="U1119" t="s">
        <v>12200</v>
      </c>
      <c r="V1119" t="s">
        <v>12201</v>
      </c>
      <c r="W1119" t="s">
        <v>7033</v>
      </c>
      <c r="X1119" t="s">
        <v>4</v>
      </c>
      <c r="Y1119" t="s">
        <v>12202</v>
      </c>
      <c r="Z1119" t="s">
        <v>12203</v>
      </c>
      <c r="AA1119" t="s">
        <v>12204</v>
      </c>
      <c r="AB1119" t="s">
        <v>4</v>
      </c>
      <c r="AC1119" s="3" t="s">
        <v>12205</v>
      </c>
      <c r="AD1119" t="s">
        <v>4</v>
      </c>
      <c r="AE1119" t="s">
        <v>12206</v>
      </c>
      <c r="AF1119" t="s">
        <v>834</v>
      </c>
      <c r="AG1119" t="s">
        <v>12207</v>
      </c>
      <c r="AH1119" t="s">
        <v>282</v>
      </c>
      <c r="AU1119" t="s">
        <v>112</v>
      </c>
      <c r="AV1119" t="s">
        <v>12208</v>
      </c>
      <c r="AW1119" t="s">
        <v>114</v>
      </c>
      <c r="AZ1119" t="s">
        <v>4</v>
      </c>
      <c r="BA1119" s="3" t="s">
        <v>95</v>
      </c>
      <c r="BB1119" s="6" t="s">
        <v>95</v>
      </c>
      <c r="BC1119" s="3" t="s">
        <v>95</v>
      </c>
      <c r="BD1119" t="s">
        <v>4</v>
      </c>
      <c r="BE1119">
        <v>6920</v>
      </c>
      <c r="BF1119" t="s">
        <v>213</v>
      </c>
      <c r="BG1119">
        <v>94.494200000000006</v>
      </c>
      <c r="BH1119">
        <v>56.338000000000001</v>
      </c>
      <c r="BI1119">
        <v>89.884799999999998</v>
      </c>
      <c r="BJ1119">
        <v>80.409700000000001</v>
      </c>
      <c r="BK1119">
        <v>79.257400000000004</v>
      </c>
      <c r="BL1119">
        <v>12.2919</v>
      </c>
      <c r="BM1119">
        <v>20.486599999999999</v>
      </c>
      <c r="BN1119">
        <v>73.623599999999996</v>
      </c>
      <c r="BO1119">
        <v>75.4161</v>
      </c>
      <c r="BP1119">
        <v>15.8771</v>
      </c>
      <c r="BQ1119">
        <v>20.230499999999999</v>
      </c>
      <c r="BX1119" t="s">
        <v>12209</v>
      </c>
      <c r="CA1119">
        <v>14.3406</v>
      </c>
      <c r="CB1119">
        <v>13.9565</v>
      </c>
      <c r="CD1119">
        <v>16.773399999999999</v>
      </c>
      <c r="CG1119" t="s">
        <v>12210</v>
      </c>
      <c r="CH1119">
        <v>12.8041</v>
      </c>
      <c r="CI1119" t="s">
        <v>12211</v>
      </c>
      <c r="CK1119">
        <v>8</v>
      </c>
      <c r="CL1119" t="s">
        <v>4</v>
      </c>
      <c r="CM1119" t="s">
        <v>12212</v>
      </c>
      <c r="CN1119" t="s">
        <v>12213</v>
      </c>
      <c r="CO1119" t="s">
        <v>1218</v>
      </c>
      <c r="CP1119" t="s">
        <v>100</v>
      </c>
      <c r="CQ1119" t="s">
        <v>100</v>
      </c>
      <c r="CR1119" t="s">
        <v>100</v>
      </c>
      <c r="CS1119" t="s">
        <v>101</v>
      </c>
      <c r="CT1119" t="s">
        <v>152</v>
      </c>
      <c r="CU1119" t="s">
        <v>102</v>
      </c>
      <c r="CV1119" t="s">
        <v>100</v>
      </c>
    </row>
    <row r="1120" spans="1:100">
      <c r="A1120" s="3" t="s">
        <v>12214</v>
      </c>
      <c r="B1120" s="4" t="s">
        <v>12215</v>
      </c>
      <c r="C1120">
        <v>17377.981560004599</v>
      </c>
      <c r="D1120">
        <v>17238.913460886601</v>
      </c>
      <c r="E1120">
        <v>1.1584534569352401E-2</v>
      </c>
      <c r="F1120">
        <v>0.978583323682919</v>
      </c>
      <c r="G1120" t="s">
        <v>4</v>
      </c>
      <c r="H1120">
        <v>17377.981560004599</v>
      </c>
      <c r="I1120">
        <v>1644.34894677075</v>
      </c>
      <c r="J1120">
        <v>3.4001030035717101</v>
      </c>
      <c r="K1120" s="5">
        <v>4.71217946536168E-26</v>
      </c>
      <c r="L1120" t="s">
        <v>4</v>
      </c>
      <c r="M1120">
        <v>17238.913460886601</v>
      </c>
      <c r="N1120">
        <v>1644.34894677075</v>
      </c>
      <c r="O1120">
        <v>3.38851846900236</v>
      </c>
      <c r="P1120" s="5">
        <v>5.1161864241360599E-26</v>
      </c>
      <c r="Q1120" t="s">
        <v>4</v>
      </c>
      <c r="R1120" s="4" t="s">
        <v>87</v>
      </c>
      <c r="S1120" t="s">
        <v>4</v>
      </c>
      <c r="T1120" t="s">
        <v>11502</v>
      </c>
      <c r="U1120" t="s">
        <v>11503</v>
      </c>
      <c r="V1120" t="s">
        <v>11504</v>
      </c>
      <c r="W1120" t="s">
        <v>507</v>
      </c>
      <c r="X1120" t="s">
        <v>4</v>
      </c>
      <c r="Y1120" t="s">
        <v>12216</v>
      </c>
      <c r="Z1120" t="s">
        <v>12217</v>
      </c>
      <c r="AA1120" t="s">
        <v>12217</v>
      </c>
      <c r="AB1120" t="s">
        <v>4</v>
      </c>
      <c r="AC1120" s="3" t="s">
        <v>12218</v>
      </c>
      <c r="AD1120" t="s">
        <v>4</v>
      </c>
      <c r="AE1120" t="s">
        <v>12219</v>
      </c>
      <c r="AF1120" t="s">
        <v>12220</v>
      </c>
      <c r="AG1120" t="s">
        <v>12221</v>
      </c>
      <c r="AH1120" t="s">
        <v>12222</v>
      </c>
      <c r="AU1120" t="s">
        <v>112</v>
      </c>
      <c r="AV1120" t="s">
        <v>12223</v>
      </c>
      <c r="AW1120" t="s">
        <v>114</v>
      </c>
      <c r="AX1120" t="s">
        <v>2139</v>
      </c>
      <c r="AY1120" t="s">
        <v>12000</v>
      </c>
      <c r="AZ1120" t="s">
        <v>4</v>
      </c>
      <c r="BA1120" s="3" t="s">
        <v>95</v>
      </c>
      <c r="BB1120" s="6" t="s">
        <v>95</v>
      </c>
      <c r="BC1120" s="3" t="s">
        <v>95</v>
      </c>
      <c r="BD1120" t="s">
        <v>4</v>
      </c>
      <c r="BE1120">
        <v>8985</v>
      </c>
      <c r="BF1120" t="s">
        <v>169</v>
      </c>
      <c r="BN1120">
        <v>33.552599999999998</v>
      </c>
      <c r="BR1120">
        <v>36.842100000000002</v>
      </c>
      <c r="BV1120">
        <v>46.052599999999998</v>
      </c>
      <c r="BY1120">
        <v>63.157899999999998</v>
      </c>
      <c r="CF1120">
        <v>88.815799999999996</v>
      </c>
      <c r="CG1120">
        <v>88.815799999999996</v>
      </c>
      <c r="CI1120" t="s">
        <v>12224</v>
      </c>
      <c r="CJ1120" t="s">
        <v>12225</v>
      </c>
      <c r="CK1120">
        <v>9</v>
      </c>
      <c r="CL1120" t="s">
        <v>4</v>
      </c>
      <c r="CM1120" t="s">
        <v>98</v>
      </c>
      <c r="CN1120" t="s">
        <v>98</v>
      </c>
      <c r="CO1120" t="s">
        <v>99</v>
      </c>
      <c r="CP1120" t="s">
        <v>100</v>
      </c>
      <c r="CQ1120" t="s">
        <v>100</v>
      </c>
      <c r="CR1120" t="s">
        <v>100</v>
      </c>
      <c r="CS1120" t="s">
        <v>101</v>
      </c>
      <c r="CT1120" t="s">
        <v>152</v>
      </c>
      <c r="CU1120" t="s">
        <v>102</v>
      </c>
      <c r="CV1120" t="s">
        <v>100</v>
      </c>
    </row>
    <row r="1121" spans="1:100">
      <c r="A1121" s="3" t="s">
        <v>12226</v>
      </c>
      <c r="B1121" s="4" t="s">
        <v>12227</v>
      </c>
      <c r="C1121">
        <v>1602.16344072071</v>
      </c>
      <c r="D1121">
        <v>1162.8867424806999</v>
      </c>
      <c r="E1121">
        <v>0.462214051778505</v>
      </c>
      <c r="F1121">
        <v>0.35049225796845002</v>
      </c>
      <c r="G1121" t="s">
        <v>4</v>
      </c>
      <c r="H1121">
        <v>1602.16344072071</v>
      </c>
      <c r="I1121">
        <v>109.908418950412</v>
      </c>
      <c r="J1121">
        <v>3.84979178444617</v>
      </c>
      <c r="K1121" s="5">
        <v>1.8245447214048302E-18</v>
      </c>
      <c r="L1121" t="s">
        <v>4</v>
      </c>
      <c r="M1121">
        <v>1162.8867424806999</v>
      </c>
      <c r="N1121">
        <v>109.908418950412</v>
      </c>
      <c r="O1121">
        <v>3.3875777326676699</v>
      </c>
      <c r="P1121" s="5">
        <v>1.2034287139929499E-14</v>
      </c>
      <c r="Q1121" t="s">
        <v>4</v>
      </c>
      <c r="R1121" s="4" t="s">
        <v>87</v>
      </c>
      <c r="S1121" t="s">
        <v>4</v>
      </c>
      <c r="T1121" t="s">
        <v>12228</v>
      </c>
      <c r="U1121" t="s">
        <v>12229</v>
      </c>
      <c r="V1121" t="s">
        <v>12230</v>
      </c>
      <c r="W1121" t="s">
        <v>328</v>
      </c>
      <c r="X1121" t="s">
        <v>4</v>
      </c>
      <c r="Y1121" t="s">
        <v>12231</v>
      </c>
      <c r="Z1121" t="s">
        <v>12232</v>
      </c>
      <c r="AA1121" t="s">
        <v>12233</v>
      </c>
      <c r="AB1121" t="s">
        <v>4</v>
      </c>
      <c r="AC1121" s="3" t="s">
        <v>12234</v>
      </c>
      <c r="AD1121" t="s">
        <v>4</v>
      </c>
      <c r="AE1121" t="s">
        <v>12235</v>
      </c>
      <c r="AF1121" t="s">
        <v>834</v>
      </c>
      <c r="AG1121" t="s">
        <v>12236</v>
      </c>
      <c r="AH1121" t="s">
        <v>112</v>
      </c>
      <c r="AJ1121" t="s">
        <v>12237</v>
      </c>
      <c r="AK1121" t="s">
        <v>6627</v>
      </c>
      <c r="AL1121" t="s">
        <v>12238</v>
      </c>
      <c r="AM1121" t="s">
        <v>6629</v>
      </c>
      <c r="AN1121" t="s">
        <v>6630</v>
      </c>
      <c r="AQ1121" t="s">
        <v>12239</v>
      </c>
      <c r="AU1121" t="s">
        <v>112</v>
      </c>
      <c r="AV1121" t="s">
        <v>12240</v>
      </c>
      <c r="AW1121" t="s">
        <v>114</v>
      </c>
      <c r="AX1121" t="s">
        <v>733</v>
      </c>
      <c r="AY1121" t="s">
        <v>6633</v>
      </c>
      <c r="AZ1121" t="s">
        <v>4</v>
      </c>
      <c r="BA1121" s="3" t="s">
        <v>95</v>
      </c>
      <c r="BB1121" s="6" t="s">
        <v>95</v>
      </c>
      <c r="BC1121" s="3" t="s">
        <v>95</v>
      </c>
      <c r="BD1121" t="s">
        <v>4</v>
      </c>
      <c r="BE1121">
        <v>9769</v>
      </c>
      <c r="BF1121" t="s">
        <v>169</v>
      </c>
      <c r="BG1121">
        <v>98.642499999999998</v>
      </c>
      <c r="BH1121">
        <v>26.1312</v>
      </c>
      <c r="BI1121" t="s">
        <v>12241</v>
      </c>
      <c r="BJ1121">
        <v>89.140299999999996</v>
      </c>
      <c r="BK1121">
        <v>86.538499999999999</v>
      </c>
      <c r="BL1121" t="s">
        <v>12242</v>
      </c>
      <c r="BM1121">
        <v>85.520399999999995</v>
      </c>
      <c r="BN1121">
        <v>86.085999999999999</v>
      </c>
      <c r="BO1121">
        <v>86.199100000000001</v>
      </c>
      <c r="BP1121">
        <v>65.837100000000007</v>
      </c>
      <c r="BQ1121">
        <v>49.434399999999997</v>
      </c>
      <c r="BR1121">
        <v>49.321300000000001</v>
      </c>
      <c r="BS1121">
        <v>51.923099999999998</v>
      </c>
      <c r="BT1121">
        <v>49.660600000000002</v>
      </c>
      <c r="BU1121" t="s">
        <v>12243</v>
      </c>
      <c r="BV1121" t="s">
        <v>12244</v>
      </c>
      <c r="BW1121">
        <v>57.466099999999997</v>
      </c>
      <c r="BX1121">
        <v>61.312199999999997</v>
      </c>
      <c r="BY1121">
        <v>12.669700000000001</v>
      </c>
      <c r="BZ1121">
        <v>60.746600000000001</v>
      </c>
      <c r="CA1121">
        <v>56.787300000000002</v>
      </c>
      <c r="CB1121" t="s">
        <v>12245</v>
      </c>
      <c r="CC1121">
        <v>44.117600000000003</v>
      </c>
      <c r="CD1121">
        <v>46.945700000000002</v>
      </c>
      <c r="CE1121">
        <v>44.457000000000001</v>
      </c>
      <c r="CF1121">
        <v>47.963799999999999</v>
      </c>
      <c r="CG1121">
        <v>50.339399999999998</v>
      </c>
      <c r="CH1121">
        <v>49.886899999999997</v>
      </c>
      <c r="CI1121">
        <v>50</v>
      </c>
      <c r="CJ1121">
        <v>37.556600000000003</v>
      </c>
      <c r="CK1121">
        <v>9</v>
      </c>
      <c r="CL1121" t="s">
        <v>4</v>
      </c>
      <c r="CM1121" t="s">
        <v>12246</v>
      </c>
      <c r="CN1121" t="s">
        <v>12247</v>
      </c>
      <c r="CO1121" t="s">
        <v>1218</v>
      </c>
      <c r="CP1121" t="s">
        <v>100</v>
      </c>
      <c r="CQ1121" t="s">
        <v>100</v>
      </c>
      <c r="CR1121" t="s">
        <v>100</v>
      </c>
      <c r="CS1121" t="s">
        <v>101</v>
      </c>
      <c r="CT1121" t="s">
        <v>152</v>
      </c>
      <c r="CU1121" t="s">
        <v>102</v>
      </c>
      <c r="CV1121" t="s">
        <v>100</v>
      </c>
    </row>
    <row r="1122" spans="1:100">
      <c r="A1122" s="3" t="s">
        <v>12248</v>
      </c>
      <c r="B1122" s="4" t="s">
        <v>12249</v>
      </c>
      <c r="C1122">
        <v>183.729731690638</v>
      </c>
      <c r="D1122">
        <v>71.610443668329594</v>
      </c>
      <c r="E1122">
        <v>1.3562241659204901</v>
      </c>
      <c r="F1122">
        <v>5.0878492432926699E-2</v>
      </c>
      <c r="G1122" t="s">
        <v>4</v>
      </c>
      <c r="H1122">
        <v>183.729731690638</v>
      </c>
      <c r="I1122">
        <v>6.5788934530703802</v>
      </c>
      <c r="J1122">
        <v>4.7398027435493804</v>
      </c>
      <c r="K1122" s="5">
        <v>1.39473428165214E-10</v>
      </c>
      <c r="L1122" t="s">
        <v>4</v>
      </c>
      <c r="M1122">
        <v>71.610443668329594</v>
      </c>
      <c r="N1122">
        <v>6.5788934530703802</v>
      </c>
      <c r="O1122">
        <v>3.38357857762889</v>
      </c>
      <c r="P1122" s="5">
        <v>6.1849752129932397E-6</v>
      </c>
      <c r="Q1122" t="s">
        <v>4</v>
      </c>
      <c r="R1122" s="4" t="s">
        <v>87</v>
      </c>
      <c r="S1122" t="s">
        <v>4</v>
      </c>
      <c r="T1122" t="s">
        <v>92</v>
      </c>
      <c r="U1122" t="s">
        <v>92</v>
      </c>
      <c r="V1122" t="s">
        <v>92</v>
      </c>
      <c r="W1122" t="s">
        <v>92</v>
      </c>
      <c r="X1122" t="s">
        <v>4</v>
      </c>
      <c r="Y1122" t="s">
        <v>92</v>
      </c>
      <c r="Z1122" t="s">
        <v>92</v>
      </c>
      <c r="AA1122" t="s">
        <v>92</v>
      </c>
      <c r="AB1122" t="s">
        <v>4</v>
      </c>
      <c r="AC1122" s="3" t="s">
        <v>93</v>
      </c>
      <c r="AD1122" t="s">
        <v>4</v>
      </c>
      <c r="AE1122" s="4" t="s">
        <v>94</v>
      </c>
      <c r="AZ1122" t="s">
        <v>4</v>
      </c>
      <c r="BA1122" s="3" t="s">
        <v>115</v>
      </c>
      <c r="BB1122" s="6" t="s">
        <v>95</v>
      </c>
      <c r="BC1122" s="3" t="s">
        <v>197</v>
      </c>
      <c r="BD1122" t="s">
        <v>4</v>
      </c>
      <c r="BE1122">
        <v>2264</v>
      </c>
      <c r="BF1122" t="s">
        <v>148</v>
      </c>
      <c r="BG1122">
        <v>85.308099999999996</v>
      </c>
      <c r="BH1122">
        <v>24.1706</v>
      </c>
      <c r="BJ1122">
        <v>54.976300000000002</v>
      </c>
      <c r="BL1122">
        <v>44.549799999999998</v>
      </c>
      <c r="BM1122">
        <v>48.341200000000001</v>
      </c>
      <c r="BN1122">
        <v>50.237000000000002</v>
      </c>
      <c r="CK1122">
        <v>3</v>
      </c>
      <c r="CL1122" t="s">
        <v>4</v>
      </c>
      <c r="CM1122" t="s">
        <v>98</v>
      </c>
      <c r="CN1122" t="s">
        <v>98</v>
      </c>
      <c r="CO1122" t="s">
        <v>99</v>
      </c>
      <c r="CP1122" t="s">
        <v>100</v>
      </c>
      <c r="CQ1122" t="s">
        <v>100</v>
      </c>
      <c r="CR1122" t="s">
        <v>100</v>
      </c>
      <c r="CS1122" t="s">
        <v>101</v>
      </c>
      <c r="CT1122" t="s">
        <v>152</v>
      </c>
      <c r="CU1122" t="s">
        <v>102</v>
      </c>
      <c r="CV1122" t="s">
        <v>100</v>
      </c>
    </row>
    <row r="1123" spans="1:100">
      <c r="A1123" s="3" t="s">
        <v>12250</v>
      </c>
      <c r="B1123" s="4" t="s">
        <v>12251</v>
      </c>
      <c r="C1123">
        <v>11585.567367788</v>
      </c>
      <c r="D1123">
        <v>7586.01219622186</v>
      </c>
      <c r="E1123">
        <v>0.61089223246364399</v>
      </c>
      <c r="F1123">
        <v>0.25738655044762898</v>
      </c>
      <c r="G1123" t="s">
        <v>4</v>
      </c>
      <c r="H1123">
        <v>11585.567367788</v>
      </c>
      <c r="I1123">
        <v>729.15529211143496</v>
      </c>
      <c r="J1123">
        <v>3.9874253212475801</v>
      </c>
      <c r="K1123" s="5">
        <v>4.31330654682459E-17</v>
      </c>
      <c r="L1123" t="s">
        <v>4</v>
      </c>
      <c r="M1123">
        <v>7586.01219622186</v>
      </c>
      <c r="N1123">
        <v>729.15529211143496</v>
      </c>
      <c r="O1123">
        <v>3.37653308878394</v>
      </c>
      <c r="P1123" s="5">
        <v>1.1357727847457401E-12</v>
      </c>
      <c r="Q1123" t="s">
        <v>4</v>
      </c>
      <c r="R1123" s="4" t="s">
        <v>87</v>
      </c>
      <c r="S1123" t="s">
        <v>4</v>
      </c>
      <c r="T1123" t="s">
        <v>92</v>
      </c>
      <c r="U1123" t="s">
        <v>92</v>
      </c>
      <c r="V1123" t="s">
        <v>92</v>
      </c>
      <c r="W1123" t="s">
        <v>92</v>
      </c>
      <c r="X1123" t="s">
        <v>4</v>
      </c>
      <c r="Y1123" t="s">
        <v>6601</v>
      </c>
      <c r="Z1123" t="s">
        <v>6602</v>
      </c>
      <c r="AA1123" t="s">
        <v>6603</v>
      </c>
      <c r="AB1123" t="s">
        <v>4</v>
      </c>
      <c r="AC1123" s="3" t="s">
        <v>12252</v>
      </c>
      <c r="AD1123" t="s">
        <v>4</v>
      </c>
      <c r="AE1123" t="s">
        <v>12253</v>
      </c>
      <c r="AF1123" t="s">
        <v>834</v>
      </c>
      <c r="AG1123" t="s">
        <v>12254</v>
      </c>
      <c r="AH1123" t="s">
        <v>112</v>
      </c>
      <c r="AJ1123" t="s">
        <v>12255</v>
      </c>
      <c r="AL1123" t="s">
        <v>12256</v>
      </c>
      <c r="AQ1123" t="s">
        <v>12257</v>
      </c>
      <c r="AU1123" t="s">
        <v>112</v>
      </c>
      <c r="AV1123" t="s">
        <v>12258</v>
      </c>
      <c r="AW1123" t="s">
        <v>114</v>
      </c>
      <c r="AX1123" t="s">
        <v>6608</v>
      </c>
      <c r="AY1123" t="s">
        <v>6609</v>
      </c>
      <c r="AZ1123" t="s">
        <v>4</v>
      </c>
      <c r="BA1123" s="3" t="s">
        <v>115</v>
      </c>
      <c r="BB1123" s="6" t="s">
        <v>95</v>
      </c>
      <c r="BC1123" s="3" t="s">
        <v>95</v>
      </c>
      <c r="BD1123" t="s">
        <v>4</v>
      </c>
      <c r="BE1123">
        <v>6934</v>
      </c>
      <c r="BF1123" t="s">
        <v>213</v>
      </c>
      <c r="BG1123">
        <v>65.108199999999997</v>
      </c>
      <c r="BH1123">
        <v>58.827599999999997</v>
      </c>
      <c r="BI1123" t="s">
        <v>12259</v>
      </c>
      <c r="BJ1123">
        <v>53.105400000000003</v>
      </c>
      <c r="BK1123">
        <v>47.5227</v>
      </c>
      <c r="BL1123">
        <v>12.1424</v>
      </c>
      <c r="BM1123">
        <v>19.678999999999998</v>
      </c>
      <c r="BN1123">
        <v>50.593200000000003</v>
      </c>
      <c r="BO1123">
        <v>51.639899999999997</v>
      </c>
      <c r="BP1123" t="s">
        <v>12260</v>
      </c>
      <c r="BQ1123">
        <v>10.746700000000001</v>
      </c>
      <c r="BW1123">
        <v>18.422899999999998</v>
      </c>
      <c r="BX1123">
        <v>17.6553</v>
      </c>
      <c r="BZ1123" t="s">
        <v>12261</v>
      </c>
      <c r="CA1123" t="s">
        <v>12262</v>
      </c>
      <c r="CE1123">
        <v>7.9553399999999996</v>
      </c>
      <c r="CF1123">
        <v>10.3978</v>
      </c>
      <c r="CG1123">
        <v>8.4438200000000005</v>
      </c>
      <c r="CH1123">
        <v>7.7459899999999999</v>
      </c>
      <c r="CI1123" t="s">
        <v>12263</v>
      </c>
      <c r="CK1123">
        <v>8</v>
      </c>
      <c r="CL1123" t="s">
        <v>4</v>
      </c>
      <c r="CM1123" t="s">
        <v>12264</v>
      </c>
      <c r="CN1123" t="s">
        <v>12265</v>
      </c>
      <c r="CO1123" t="s">
        <v>1745</v>
      </c>
      <c r="CP1123" t="s">
        <v>100</v>
      </c>
      <c r="CQ1123" t="s">
        <v>100</v>
      </c>
      <c r="CR1123" t="s">
        <v>100</v>
      </c>
      <c r="CS1123" t="s">
        <v>101</v>
      </c>
      <c r="CT1123" t="s">
        <v>152</v>
      </c>
      <c r="CU1123" t="s">
        <v>102</v>
      </c>
      <c r="CV1123" t="s">
        <v>100</v>
      </c>
    </row>
    <row r="1124" spans="1:100">
      <c r="A1124" s="3" t="s">
        <v>12266</v>
      </c>
      <c r="B1124" s="4" t="s">
        <v>12267</v>
      </c>
      <c r="C1124">
        <v>128.378047462674</v>
      </c>
      <c r="D1124">
        <v>271.88544314524898</v>
      </c>
      <c r="E1124">
        <f>-1.08336745508157</f>
        <v>-1.08336745508157</v>
      </c>
      <c r="F1124">
        <v>0.11927176897387801</v>
      </c>
      <c r="G1124" t="s">
        <v>4</v>
      </c>
      <c r="H1124">
        <v>128.378047462674</v>
      </c>
      <c r="I1124">
        <v>25.9589815627204</v>
      </c>
      <c r="J1124">
        <v>2.2870325414646402</v>
      </c>
      <c r="K1124">
        <v>7.7145654800410803E-4</v>
      </c>
      <c r="L1124" t="s">
        <v>4</v>
      </c>
      <c r="M1124">
        <v>271.88544314524898</v>
      </c>
      <c r="N1124">
        <v>25.9589815627204</v>
      </c>
      <c r="O1124">
        <v>3.3703999965462099</v>
      </c>
      <c r="P1124" s="5">
        <v>2.7479424117107098E-7</v>
      </c>
      <c r="Q1124" t="s">
        <v>4</v>
      </c>
      <c r="R1124" s="4" t="s">
        <v>87</v>
      </c>
      <c r="S1124" t="s">
        <v>4</v>
      </c>
      <c r="T1124" t="s">
        <v>12268</v>
      </c>
      <c r="U1124" t="s">
        <v>12269</v>
      </c>
      <c r="V1124" t="s">
        <v>12270</v>
      </c>
      <c r="W1124" t="s">
        <v>328</v>
      </c>
      <c r="X1124" t="s">
        <v>4</v>
      </c>
      <c r="Y1124" t="s">
        <v>12271</v>
      </c>
      <c r="Z1124" t="s">
        <v>12272</v>
      </c>
      <c r="AA1124" t="s">
        <v>12273</v>
      </c>
      <c r="AB1124" t="s">
        <v>4</v>
      </c>
      <c r="AC1124" s="3" t="s">
        <v>12274</v>
      </c>
      <c r="AD1124" t="s">
        <v>4</v>
      </c>
      <c r="AE1124" t="s">
        <v>12275</v>
      </c>
      <c r="AF1124" t="s">
        <v>12276</v>
      </c>
      <c r="AG1124" t="s">
        <v>12277</v>
      </c>
      <c r="AH1124" t="s">
        <v>112</v>
      </c>
      <c r="AU1124" t="s">
        <v>112</v>
      </c>
      <c r="AV1124" t="s">
        <v>12278</v>
      </c>
      <c r="AW1124" t="s">
        <v>114</v>
      </c>
      <c r="AX1124" t="s">
        <v>144</v>
      </c>
      <c r="AY1124" t="s">
        <v>12279</v>
      </c>
      <c r="AZ1124" t="s">
        <v>4</v>
      </c>
      <c r="BA1124" s="3" t="s">
        <v>95</v>
      </c>
      <c r="BB1124" t="s">
        <v>96</v>
      </c>
      <c r="BC1124" s="3" t="s">
        <v>95</v>
      </c>
      <c r="BD1124" t="s">
        <v>4</v>
      </c>
      <c r="BE1124">
        <v>5189</v>
      </c>
      <c r="BF1124" t="s">
        <v>282</v>
      </c>
      <c r="BG1124">
        <v>98.451999999999998</v>
      </c>
      <c r="BH1124">
        <v>68.730699999999999</v>
      </c>
      <c r="BI1124">
        <v>78.018600000000006</v>
      </c>
      <c r="BJ1124">
        <v>72.445800000000006</v>
      </c>
      <c r="BK1124">
        <v>71.981399999999994</v>
      </c>
      <c r="BM1124">
        <v>61.609900000000003</v>
      </c>
      <c r="BN1124" t="s">
        <v>12280</v>
      </c>
      <c r="BO1124">
        <v>69.194999999999993</v>
      </c>
      <c r="BP1124" t="s">
        <v>12281</v>
      </c>
      <c r="BQ1124">
        <v>23.684200000000001</v>
      </c>
      <c r="BR1124" t="s">
        <v>12282</v>
      </c>
      <c r="BS1124" t="s">
        <v>12283</v>
      </c>
      <c r="CC1124">
        <v>8.3591300000000004</v>
      </c>
      <c r="CD1124">
        <v>15.479900000000001</v>
      </c>
      <c r="CE1124">
        <v>12.6935</v>
      </c>
      <c r="CF1124" t="s">
        <v>12284</v>
      </c>
      <c r="CG1124" t="s">
        <v>12285</v>
      </c>
      <c r="CH1124" t="s">
        <v>12286</v>
      </c>
      <c r="CI1124" t="s">
        <v>12287</v>
      </c>
      <c r="CJ1124">
        <v>12.074299999999999</v>
      </c>
      <c r="CK1124">
        <v>6</v>
      </c>
      <c r="CL1124" t="s">
        <v>4</v>
      </c>
      <c r="CM1124" t="s">
        <v>98</v>
      </c>
      <c r="CN1124" t="s">
        <v>98</v>
      </c>
      <c r="CO1124" t="s">
        <v>99</v>
      </c>
      <c r="CP1124" t="s">
        <v>100</v>
      </c>
      <c r="CQ1124" t="s">
        <v>100</v>
      </c>
      <c r="CR1124" t="s">
        <v>100</v>
      </c>
      <c r="CS1124" t="s">
        <v>101</v>
      </c>
      <c r="CT1124" t="s">
        <v>152</v>
      </c>
      <c r="CU1124" t="s">
        <v>102</v>
      </c>
      <c r="CV1124" t="s">
        <v>100</v>
      </c>
    </row>
    <row r="1125" spans="1:100">
      <c r="A1125" s="3" t="s">
        <v>12288</v>
      </c>
      <c r="B1125" s="4" t="s">
        <v>12289</v>
      </c>
      <c r="C1125">
        <v>523.91650308085002</v>
      </c>
      <c r="D1125">
        <v>464.04407458331798</v>
      </c>
      <c r="E1125">
        <v>0.175968862864506</v>
      </c>
      <c r="F1125">
        <v>0.46682428306143597</v>
      </c>
      <c r="G1125" t="s">
        <v>4</v>
      </c>
      <c r="H1125">
        <v>523.91650308085002</v>
      </c>
      <c r="I1125">
        <v>45.7928498387665</v>
      </c>
      <c r="J1125">
        <v>3.5351537543229301</v>
      </c>
      <c r="K1125" s="5">
        <v>2.0039894621788902E-45</v>
      </c>
      <c r="L1125" t="s">
        <v>4</v>
      </c>
      <c r="M1125">
        <v>464.04407458331798</v>
      </c>
      <c r="N1125">
        <v>45.7928498387665</v>
      </c>
      <c r="O1125">
        <v>3.3591848914584199</v>
      </c>
      <c r="P1125" s="5">
        <v>5.3990964997319603E-41</v>
      </c>
      <c r="Q1125" t="s">
        <v>4</v>
      </c>
      <c r="R1125" s="4" t="s">
        <v>87</v>
      </c>
      <c r="S1125" t="s">
        <v>4</v>
      </c>
      <c r="T1125" t="s">
        <v>92</v>
      </c>
      <c r="U1125" t="s">
        <v>92</v>
      </c>
      <c r="V1125" t="s">
        <v>92</v>
      </c>
      <c r="W1125" t="s">
        <v>92</v>
      </c>
      <c r="X1125" t="s">
        <v>4</v>
      </c>
      <c r="Y1125" t="s">
        <v>12290</v>
      </c>
      <c r="Z1125" t="s">
        <v>12291</v>
      </c>
      <c r="AA1125" t="s">
        <v>12292</v>
      </c>
      <c r="AB1125" t="s">
        <v>4</v>
      </c>
      <c r="AC1125" s="3" t="s">
        <v>93</v>
      </c>
      <c r="AD1125" t="s">
        <v>4</v>
      </c>
      <c r="AE1125" t="s">
        <v>12293</v>
      </c>
      <c r="AF1125" t="s">
        <v>12294</v>
      </c>
      <c r="AG1125" t="s">
        <v>564</v>
      </c>
      <c r="AH1125" t="s">
        <v>112</v>
      </c>
      <c r="AJ1125" t="s">
        <v>876</v>
      </c>
      <c r="AU1125" t="s">
        <v>112</v>
      </c>
      <c r="AV1125" t="s">
        <v>12295</v>
      </c>
      <c r="AW1125" t="s">
        <v>114</v>
      </c>
      <c r="AZ1125" t="s">
        <v>4</v>
      </c>
      <c r="BA1125" s="3" t="s">
        <v>95</v>
      </c>
      <c r="BB1125" s="6" t="s">
        <v>95</v>
      </c>
      <c r="BC1125" s="3" t="s">
        <v>95</v>
      </c>
      <c r="BD1125" t="s">
        <v>4</v>
      </c>
      <c r="BE1125">
        <v>2936</v>
      </c>
      <c r="BF1125" t="s">
        <v>97</v>
      </c>
      <c r="BH1125">
        <v>46.323500000000003</v>
      </c>
      <c r="BI1125">
        <v>52.941200000000002</v>
      </c>
      <c r="BJ1125">
        <v>47.058799999999998</v>
      </c>
      <c r="BM1125">
        <v>39.7059</v>
      </c>
      <c r="BO1125">
        <v>44.117600000000003</v>
      </c>
      <c r="BP1125">
        <v>25</v>
      </c>
      <c r="CK1125">
        <v>4</v>
      </c>
      <c r="CL1125" t="s">
        <v>4</v>
      </c>
      <c r="CM1125" t="s">
        <v>98</v>
      </c>
      <c r="CN1125" t="s">
        <v>98</v>
      </c>
      <c r="CO1125" t="s">
        <v>99</v>
      </c>
      <c r="CP1125" t="s">
        <v>100</v>
      </c>
      <c r="CQ1125" t="s">
        <v>100</v>
      </c>
      <c r="CR1125" t="s">
        <v>100</v>
      </c>
      <c r="CS1125" t="s">
        <v>101</v>
      </c>
      <c r="CT1125" t="s">
        <v>152</v>
      </c>
      <c r="CU1125" t="s">
        <v>102</v>
      </c>
      <c r="CV1125" t="s">
        <v>100</v>
      </c>
    </row>
    <row r="1126" spans="1:100">
      <c r="A1126" s="3" t="s">
        <v>12296</v>
      </c>
      <c r="B1126" s="4" t="s">
        <v>12297</v>
      </c>
      <c r="C1126">
        <v>3620.7015564998201</v>
      </c>
      <c r="D1126">
        <v>3157.2319702904501</v>
      </c>
      <c r="E1126">
        <v>0.197571661811696</v>
      </c>
      <c r="F1126">
        <v>0.42022909014248999</v>
      </c>
      <c r="G1126" t="s">
        <v>4</v>
      </c>
      <c r="H1126">
        <v>3620.7015564998201</v>
      </c>
      <c r="I1126">
        <v>308.197241277138</v>
      </c>
      <c r="J1126">
        <v>3.5508550543156998</v>
      </c>
      <c r="K1126" s="5">
        <v>2.1568304812460302E-61</v>
      </c>
      <c r="L1126" t="s">
        <v>4</v>
      </c>
      <c r="M1126">
        <v>3157.2319702904501</v>
      </c>
      <c r="N1126">
        <v>308.197241277138</v>
      </c>
      <c r="O1126">
        <v>3.35328339250401</v>
      </c>
      <c r="P1126" s="5">
        <v>5.7197873746457703E-55</v>
      </c>
      <c r="Q1126" t="s">
        <v>4</v>
      </c>
      <c r="R1126" s="4" t="s">
        <v>87</v>
      </c>
      <c r="S1126" t="s">
        <v>4</v>
      </c>
      <c r="T1126" t="s">
        <v>92</v>
      </c>
      <c r="U1126" t="s">
        <v>92</v>
      </c>
      <c r="V1126" t="s">
        <v>92</v>
      </c>
      <c r="W1126" t="s">
        <v>92</v>
      </c>
      <c r="X1126" t="s">
        <v>4</v>
      </c>
      <c r="Y1126" t="s">
        <v>92</v>
      </c>
      <c r="Z1126" t="s">
        <v>92</v>
      </c>
      <c r="AA1126" t="s">
        <v>92</v>
      </c>
      <c r="AB1126" t="s">
        <v>4</v>
      </c>
      <c r="AC1126" s="3" t="s">
        <v>93</v>
      </c>
      <c r="AD1126" t="s">
        <v>4</v>
      </c>
      <c r="AE1126" s="4" t="s">
        <v>94</v>
      </c>
      <c r="AZ1126" t="s">
        <v>4</v>
      </c>
      <c r="BA1126" s="3" t="s">
        <v>115</v>
      </c>
      <c r="BB1126" s="6" t="s">
        <v>95</v>
      </c>
      <c r="BC1126" s="3" t="s">
        <v>95</v>
      </c>
      <c r="BD1126" t="s">
        <v>4</v>
      </c>
      <c r="BE1126">
        <v>2797</v>
      </c>
      <c r="BF1126" t="s">
        <v>97</v>
      </c>
      <c r="BG1126">
        <v>95.625</v>
      </c>
      <c r="BH1126">
        <v>99.5</v>
      </c>
      <c r="BI1126">
        <v>90</v>
      </c>
      <c r="BJ1126">
        <v>73.125</v>
      </c>
      <c r="BK1126">
        <v>66.625</v>
      </c>
      <c r="BL1126" t="s">
        <v>12298</v>
      </c>
      <c r="BM1126" t="s">
        <v>12299</v>
      </c>
      <c r="BN1126">
        <v>70</v>
      </c>
      <c r="BO1126">
        <v>69.25</v>
      </c>
      <c r="CK1126">
        <v>4</v>
      </c>
      <c r="CL1126" t="s">
        <v>4</v>
      </c>
      <c r="CM1126" t="s">
        <v>98</v>
      </c>
      <c r="CN1126" t="s">
        <v>98</v>
      </c>
      <c r="CO1126" t="s">
        <v>99</v>
      </c>
      <c r="CP1126" t="s">
        <v>100</v>
      </c>
      <c r="CQ1126" t="s">
        <v>100</v>
      </c>
      <c r="CR1126" t="s">
        <v>100</v>
      </c>
      <c r="CS1126" t="s">
        <v>101</v>
      </c>
      <c r="CT1126" t="s">
        <v>152</v>
      </c>
      <c r="CU1126" t="s">
        <v>102</v>
      </c>
      <c r="CV1126" t="s">
        <v>100</v>
      </c>
    </row>
    <row r="1127" spans="1:100">
      <c r="A1127" s="3" t="s">
        <v>12300</v>
      </c>
      <c r="B1127" s="4" t="s">
        <v>12301</v>
      </c>
      <c r="C1127">
        <v>769.40571982814697</v>
      </c>
      <c r="D1127">
        <v>544.99034398016204</v>
      </c>
      <c r="E1127">
        <v>0.49701180521329302</v>
      </c>
      <c r="F1127">
        <v>0.12359681873665999</v>
      </c>
      <c r="G1127" t="s">
        <v>4</v>
      </c>
      <c r="H1127">
        <v>769.40571982814697</v>
      </c>
      <c r="I1127">
        <v>53.237090235501903</v>
      </c>
      <c r="J1127">
        <v>3.8448780914737002</v>
      </c>
      <c r="K1127" s="5">
        <v>1.9684770956954902E-34</v>
      </c>
      <c r="L1127" t="s">
        <v>4</v>
      </c>
      <c r="M1127">
        <v>544.99034398016204</v>
      </c>
      <c r="N1127">
        <v>53.237090235501903</v>
      </c>
      <c r="O1127">
        <v>3.3478662862604001</v>
      </c>
      <c r="P1127" s="5">
        <v>2.4244525881988101E-26</v>
      </c>
      <c r="Q1127" t="s">
        <v>4</v>
      </c>
      <c r="R1127" s="4" t="s">
        <v>87</v>
      </c>
      <c r="S1127" t="s">
        <v>4</v>
      </c>
      <c r="T1127" t="s">
        <v>12302</v>
      </c>
      <c r="U1127" t="s">
        <v>12303</v>
      </c>
      <c r="V1127" t="s">
        <v>12304</v>
      </c>
      <c r="W1127" t="s">
        <v>507</v>
      </c>
      <c r="X1127" t="s">
        <v>4</v>
      </c>
      <c r="Y1127" t="s">
        <v>12305</v>
      </c>
      <c r="Z1127" t="s">
        <v>12306</v>
      </c>
      <c r="AA1127" t="s">
        <v>12307</v>
      </c>
      <c r="AB1127" t="s">
        <v>4</v>
      </c>
      <c r="AC1127" s="3" t="s">
        <v>12308</v>
      </c>
      <c r="AD1127" t="s">
        <v>4</v>
      </c>
      <c r="AE1127" t="s">
        <v>12309</v>
      </c>
      <c r="AF1127" t="s">
        <v>12310</v>
      </c>
      <c r="AG1127" t="s">
        <v>4717</v>
      </c>
      <c r="AH1127" t="s">
        <v>112</v>
      </c>
      <c r="AK1127" t="s">
        <v>12311</v>
      </c>
      <c r="AL1127" t="s">
        <v>12312</v>
      </c>
      <c r="AM1127" t="s">
        <v>12313</v>
      </c>
      <c r="AO1127" t="s">
        <v>12314</v>
      </c>
      <c r="AP1127" t="s">
        <v>12315</v>
      </c>
      <c r="AQ1127" t="s">
        <v>8070</v>
      </c>
      <c r="AU1127" t="s">
        <v>112</v>
      </c>
      <c r="AV1127" t="s">
        <v>12316</v>
      </c>
      <c r="AW1127" t="s">
        <v>114</v>
      </c>
      <c r="AX1127" t="s">
        <v>2139</v>
      </c>
      <c r="AY1127" t="s">
        <v>12317</v>
      </c>
      <c r="AZ1127" t="s">
        <v>4</v>
      </c>
      <c r="BA1127" s="3" t="s">
        <v>95</v>
      </c>
      <c r="BB1127" s="6" t="s">
        <v>95</v>
      </c>
      <c r="BC1127" s="3" t="s">
        <v>95</v>
      </c>
      <c r="BD1127" t="s">
        <v>4</v>
      </c>
      <c r="BE1127">
        <v>7415</v>
      </c>
      <c r="BF1127" t="s">
        <v>213</v>
      </c>
      <c r="BP1127">
        <v>35.535699999999999</v>
      </c>
      <c r="BR1127">
        <v>7.3214300000000003</v>
      </c>
      <c r="BV1127">
        <v>5.5357099999999999</v>
      </c>
      <c r="BW1127">
        <v>10</v>
      </c>
      <c r="BX1127" t="s">
        <v>12318</v>
      </c>
      <c r="BY1127">
        <v>7.3214300000000003</v>
      </c>
      <c r="BZ1127">
        <v>8.2142900000000001</v>
      </c>
      <c r="CA1127" t="s">
        <v>12319</v>
      </c>
      <c r="CB1127">
        <v>16.607099999999999</v>
      </c>
      <c r="CD1127">
        <v>16.785699999999999</v>
      </c>
      <c r="CG1127">
        <v>16.607099999999999</v>
      </c>
      <c r="CH1127">
        <v>15.5357</v>
      </c>
      <c r="CK1127">
        <v>8</v>
      </c>
      <c r="CL1127" t="s">
        <v>4</v>
      </c>
      <c r="CM1127" t="s">
        <v>12320</v>
      </c>
      <c r="CN1127" t="s">
        <v>12321</v>
      </c>
      <c r="CO1127" t="s">
        <v>12322</v>
      </c>
      <c r="CP1127" t="s">
        <v>100</v>
      </c>
      <c r="CQ1127" t="s">
        <v>100</v>
      </c>
      <c r="CR1127" t="s">
        <v>100</v>
      </c>
      <c r="CS1127" t="s">
        <v>101</v>
      </c>
      <c r="CT1127" t="s">
        <v>152</v>
      </c>
      <c r="CU1127" t="s">
        <v>102</v>
      </c>
      <c r="CV1127" t="s">
        <v>100</v>
      </c>
    </row>
    <row r="1128" spans="1:100">
      <c r="A1128" s="3" t="s">
        <v>12323</v>
      </c>
      <c r="B1128" s="4" t="s">
        <v>12324</v>
      </c>
      <c r="C1128">
        <v>833.19160955009204</v>
      </c>
      <c r="D1128">
        <v>829.76448404748305</v>
      </c>
      <c r="E1128">
        <v>6.5051402405095398E-3</v>
      </c>
      <c r="F1128">
        <v>0.98128152985244399</v>
      </c>
      <c r="G1128" t="s">
        <v>4</v>
      </c>
      <c r="H1128">
        <v>833.19160955009204</v>
      </c>
      <c r="I1128">
        <v>80.974316535412797</v>
      </c>
      <c r="J1128">
        <v>3.3364845182424401</v>
      </c>
      <c r="K1128" s="5">
        <v>1.6081203572806599E-47</v>
      </c>
      <c r="L1128" t="s">
        <v>4</v>
      </c>
      <c r="M1128">
        <v>829.76448404748305</v>
      </c>
      <c r="N1128">
        <v>80.974316535412797</v>
      </c>
      <c r="O1128">
        <v>3.32997937800193</v>
      </c>
      <c r="P1128" s="5">
        <v>2.2341947130288398E-47</v>
      </c>
      <c r="Q1128" t="s">
        <v>4</v>
      </c>
      <c r="R1128" s="4" t="s">
        <v>87</v>
      </c>
      <c r="S1128" t="s">
        <v>4</v>
      </c>
      <c r="T1128" t="s">
        <v>2325</v>
      </c>
      <c r="U1128" t="s">
        <v>2326</v>
      </c>
      <c r="V1128" t="s">
        <v>2327</v>
      </c>
      <c r="W1128" t="s">
        <v>203</v>
      </c>
      <c r="X1128" t="s">
        <v>4</v>
      </c>
      <c r="Y1128" t="s">
        <v>2328</v>
      </c>
      <c r="Z1128" t="s">
        <v>2329</v>
      </c>
      <c r="AA1128" t="s">
        <v>2330</v>
      </c>
      <c r="AB1128" t="s">
        <v>4</v>
      </c>
      <c r="AC1128" s="3" t="s">
        <v>12325</v>
      </c>
      <c r="AD1128" t="s">
        <v>4</v>
      </c>
      <c r="AE1128" t="s">
        <v>12326</v>
      </c>
      <c r="AF1128" t="s">
        <v>12327</v>
      </c>
      <c r="AG1128" t="s">
        <v>12328</v>
      </c>
      <c r="AH1128" t="s">
        <v>112</v>
      </c>
      <c r="AJ1128" t="s">
        <v>162</v>
      </c>
      <c r="AK1128" t="s">
        <v>163</v>
      </c>
      <c r="AL1128" t="s">
        <v>164</v>
      </c>
      <c r="AQ1128" t="s">
        <v>165</v>
      </c>
      <c r="AU1128" t="s">
        <v>112</v>
      </c>
      <c r="AV1128" t="s">
        <v>166</v>
      </c>
      <c r="AW1128" t="s">
        <v>114</v>
      </c>
      <c r="AX1128" t="s">
        <v>167</v>
      </c>
      <c r="AY1128" t="s">
        <v>168</v>
      </c>
      <c r="AZ1128" t="s">
        <v>4</v>
      </c>
      <c r="BA1128" s="3" t="s">
        <v>115</v>
      </c>
      <c r="BB1128" s="6" t="s">
        <v>95</v>
      </c>
      <c r="BC1128" s="3" t="s">
        <v>95</v>
      </c>
      <c r="BD1128" t="s">
        <v>4</v>
      </c>
      <c r="BE1128">
        <v>8620</v>
      </c>
      <c r="BF1128" t="s">
        <v>169</v>
      </c>
      <c r="BG1128">
        <v>87.031700000000001</v>
      </c>
      <c r="BH1128">
        <v>58.7896</v>
      </c>
      <c r="BI1128">
        <v>59.510100000000001</v>
      </c>
      <c r="BJ1128">
        <v>42.939500000000002</v>
      </c>
      <c r="BK1128">
        <v>63.544699999999999</v>
      </c>
      <c r="BL1128">
        <v>40.057600000000001</v>
      </c>
      <c r="BM1128">
        <v>64.985600000000005</v>
      </c>
      <c r="BN1128">
        <v>70.8934</v>
      </c>
      <c r="BO1128">
        <v>68.011499999999998</v>
      </c>
      <c r="BQ1128" t="s">
        <v>12329</v>
      </c>
      <c r="BR1128" t="s">
        <v>12330</v>
      </c>
      <c r="BS1128">
        <v>20.172899999999998</v>
      </c>
      <c r="BT1128">
        <v>9.0778099999999995</v>
      </c>
      <c r="BU1128">
        <v>20.461099999999998</v>
      </c>
      <c r="BV1128" t="s">
        <v>12331</v>
      </c>
      <c r="BW1128">
        <v>13.8329</v>
      </c>
      <c r="BX1128">
        <v>20.172899999999998</v>
      </c>
      <c r="BY1128">
        <v>17.2911</v>
      </c>
      <c r="BZ1128">
        <v>12.1037</v>
      </c>
      <c r="CA1128" t="s">
        <v>12332</v>
      </c>
      <c r="CC1128">
        <v>20.8934</v>
      </c>
      <c r="CD1128">
        <v>17.435199999999998</v>
      </c>
      <c r="CE1128" t="s">
        <v>12333</v>
      </c>
      <c r="CF1128">
        <v>18.011500000000002</v>
      </c>
      <c r="CG1128" t="s">
        <v>12334</v>
      </c>
      <c r="CH1128" t="s">
        <v>12335</v>
      </c>
      <c r="CI1128" t="s">
        <v>12336</v>
      </c>
      <c r="CJ1128" t="s">
        <v>12337</v>
      </c>
      <c r="CK1128">
        <v>9</v>
      </c>
      <c r="CL1128" t="s">
        <v>4</v>
      </c>
      <c r="CM1128" t="s">
        <v>182</v>
      </c>
      <c r="CN1128" t="s">
        <v>12338</v>
      </c>
      <c r="CO1128" t="s">
        <v>184</v>
      </c>
      <c r="CP1128" t="s">
        <v>100</v>
      </c>
      <c r="CQ1128" t="s">
        <v>100</v>
      </c>
      <c r="CR1128" t="s">
        <v>100</v>
      </c>
      <c r="CS1128" t="s">
        <v>101</v>
      </c>
      <c r="CT1128" t="s">
        <v>152</v>
      </c>
      <c r="CU1128" t="s">
        <v>102</v>
      </c>
      <c r="CV1128" t="s">
        <v>100</v>
      </c>
    </row>
    <row r="1129" spans="1:100">
      <c r="A1129" s="3" t="s">
        <v>12339</v>
      </c>
      <c r="B1129" s="4" t="s">
        <v>12340</v>
      </c>
      <c r="C1129">
        <v>19.969923766729099</v>
      </c>
      <c r="D1129">
        <v>37.3868335490669</v>
      </c>
      <c r="E1129">
        <f>0.897667675495978</f>
        <v>0.89766767549597803</v>
      </c>
      <c r="F1129">
        <v>0.22526408230831499</v>
      </c>
      <c r="G1129" t="s">
        <v>4</v>
      </c>
      <c r="H1129">
        <v>19.969923766729099</v>
      </c>
      <c r="I1129">
        <v>3.8887907166218301</v>
      </c>
      <c r="J1129">
        <v>2.4304996542357502</v>
      </c>
      <c r="K1129">
        <v>5.4382527437378102E-3</v>
      </c>
      <c r="L1129" t="s">
        <v>4</v>
      </c>
      <c r="M1129">
        <v>37.3868335490669</v>
      </c>
      <c r="N1129">
        <v>3.8887907166218301</v>
      </c>
      <c r="O1129">
        <v>3.32816732973173</v>
      </c>
      <c r="P1129" s="5">
        <v>7.7107548927411805E-5</v>
      </c>
      <c r="Q1129" t="s">
        <v>4</v>
      </c>
      <c r="R1129" s="4" t="s">
        <v>87</v>
      </c>
      <c r="S1129" t="s">
        <v>4</v>
      </c>
      <c r="T1129" t="s">
        <v>11488</v>
      </c>
      <c r="U1129" t="s">
        <v>11489</v>
      </c>
      <c r="V1129" t="s">
        <v>11490</v>
      </c>
      <c r="W1129" t="s">
        <v>328</v>
      </c>
      <c r="X1129" t="s">
        <v>4</v>
      </c>
      <c r="Y1129" t="s">
        <v>2676</v>
      </c>
      <c r="Z1129" t="s">
        <v>2677</v>
      </c>
      <c r="AA1129" t="s">
        <v>2678</v>
      </c>
      <c r="AB1129" t="s">
        <v>4</v>
      </c>
      <c r="AC1129" s="3" t="s">
        <v>11491</v>
      </c>
      <c r="AD1129" t="s">
        <v>4</v>
      </c>
      <c r="AE1129" t="s">
        <v>12341</v>
      </c>
      <c r="AF1129" t="s">
        <v>12342</v>
      </c>
      <c r="AG1129" t="s">
        <v>12343</v>
      </c>
      <c r="AH1129" t="s">
        <v>314</v>
      </c>
      <c r="AU1129" t="s">
        <v>112</v>
      </c>
      <c r="AV1129" t="s">
        <v>12344</v>
      </c>
      <c r="AW1129" t="s">
        <v>114</v>
      </c>
      <c r="AX1129" t="s">
        <v>596</v>
      </c>
      <c r="AY1129" t="s">
        <v>12345</v>
      </c>
      <c r="AZ1129" t="s">
        <v>4</v>
      </c>
      <c r="BA1129" s="3" t="s">
        <v>95</v>
      </c>
      <c r="BB1129" t="s">
        <v>96</v>
      </c>
      <c r="BC1129" s="3" t="s">
        <v>95</v>
      </c>
      <c r="BD1129" t="s">
        <v>4</v>
      </c>
      <c r="BE1129">
        <v>4078</v>
      </c>
      <c r="BF1129" t="s">
        <v>112</v>
      </c>
      <c r="BI1129">
        <v>71.142899999999997</v>
      </c>
      <c r="BN1129">
        <v>68</v>
      </c>
      <c r="BP1129">
        <v>28.285699999999999</v>
      </c>
      <c r="BQ1129">
        <v>32.857100000000003</v>
      </c>
      <c r="BR1129">
        <v>34.857100000000003</v>
      </c>
      <c r="BS1129">
        <v>33.714300000000001</v>
      </c>
      <c r="BT1129">
        <v>18.571400000000001</v>
      </c>
      <c r="BU1129">
        <v>22.857099999999999</v>
      </c>
      <c r="BV1129" t="s">
        <v>12346</v>
      </c>
      <c r="BW1129" t="s">
        <v>12347</v>
      </c>
      <c r="BX1129">
        <v>28.285699999999999</v>
      </c>
      <c r="BY1129">
        <v>18.285699999999999</v>
      </c>
      <c r="BZ1129">
        <v>21.428599999999999</v>
      </c>
      <c r="CA1129" t="s">
        <v>12348</v>
      </c>
      <c r="CK1129">
        <v>5</v>
      </c>
      <c r="CL1129" t="s">
        <v>4</v>
      </c>
      <c r="CM1129" t="s">
        <v>12349</v>
      </c>
      <c r="CN1129" t="s">
        <v>12350</v>
      </c>
      <c r="CO1129" t="s">
        <v>99</v>
      </c>
      <c r="CP1129" t="s">
        <v>100</v>
      </c>
      <c r="CQ1129" t="s">
        <v>100</v>
      </c>
      <c r="CR1129" t="s">
        <v>100</v>
      </c>
      <c r="CS1129" t="s">
        <v>101</v>
      </c>
      <c r="CT1129" t="s">
        <v>152</v>
      </c>
      <c r="CU1129" t="s">
        <v>102</v>
      </c>
      <c r="CV1129" t="s">
        <v>100</v>
      </c>
    </row>
    <row r="1130" spans="1:100">
      <c r="A1130" s="3" t="s">
        <v>12351</v>
      </c>
      <c r="B1130" s="4" t="s">
        <v>12352</v>
      </c>
      <c r="C1130">
        <v>51.392146456037203</v>
      </c>
      <c r="D1130">
        <v>86.453759839759201</v>
      </c>
      <c r="E1130">
        <f>0.750727378713544</f>
        <v>0.750727378713544</v>
      </c>
      <c r="F1130">
        <v>0.12757360419168901</v>
      </c>
      <c r="G1130" t="s">
        <v>4</v>
      </c>
      <c r="H1130">
        <v>51.392146456037203</v>
      </c>
      <c r="I1130">
        <v>8.4708448375715797</v>
      </c>
      <c r="J1130">
        <v>2.57519358746866</v>
      </c>
      <c r="K1130" s="5">
        <v>5.8673301942939702E-6</v>
      </c>
      <c r="L1130" t="s">
        <v>4</v>
      </c>
      <c r="M1130">
        <v>86.453759839759201</v>
      </c>
      <c r="N1130">
        <v>8.4708448375715797</v>
      </c>
      <c r="O1130">
        <v>3.3259209661822</v>
      </c>
      <c r="P1130" s="5">
        <v>1.7396891128133899E-9</v>
      </c>
      <c r="Q1130" t="s">
        <v>4</v>
      </c>
      <c r="R1130" s="4" t="s">
        <v>87</v>
      </c>
      <c r="S1130" t="s">
        <v>4</v>
      </c>
      <c r="T1130" t="s">
        <v>92</v>
      </c>
      <c r="U1130" t="s">
        <v>92</v>
      </c>
      <c r="V1130" t="s">
        <v>92</v>
      </c>
      <c r="W1130" t="s">
        <v>92</v>
      </c>
      <c r="X1130" t="s">
        <v>4</v>
      </c>
      <c r="Y1130" t="s">
        <v>92</v>
      </c>
      <c r="Z1130" t="s">
        <v>92</v>
      </c>
      <c r="AA1130" t="s">
        <v>92</v>
      </c>
      <c r="AB1130" t="s">
        <v>4</v>
      </c>
      <c r="AC1130" s="3" t="s">
        <v>93</v>
      </c>
      <c r="AD1130" t="s">
        <v>4</v>
      </c>
      <c r="AE1130" s="4" t="s">
        <v>94</v>
      </c>
      <c r="AZ1130" t="s">
        <v>4</v>
      </c>
      <c r="BA1130" s="3" t="s">
        <v>115</v>
      </c>
      <c r="BB1130" s="6" t="s">
        <v>95</v>
      </c>
      <c r="BC1130" s="3" t="s">
        <v>197</v>
      </c>
      <c r="BD1130" t="s">
        <v>4</v>
      </c>
      <c r="BE1130">
        <v>1601</v>
      </c>
      <c r="BF1130" t="s">
        <v>151</v>
      </c>
      <c r="CK1130">
        <v>2</v>
      </c>
      <c r="CL1130" t="s">
        <v>4</v>
      </c>
      <c r="CM1130" t="s">
        <v>98</v>
      </c>
      <c r="CN1130" t="s">
        <v>98</v>
      </c>
      <c r="CO1130" t="s">
        <v>99</v>
      </c>
      <c r="CP1130" t="s">
        <v>100</v>
      </c>
      <c r="CQ1130" t="s">
        <v>100</v>
      </c>
      <c r="CR1130" t="s">
        <v>100</v>
      </c>
      <c r="CS1130" t="s">
        <v>101</v>
      </c>
      <c r="CT1130" t="s">
        <v>152</v>
      </c>
      <c r="CU1130" t="s">
        <v>102</v>
      </c>
      <c r="CV1130" t="s">
        <v>100</v>
      </c>
    </row>
    <row r="1131" spans="1:100">
      <c r="A1131" s="3" t="s">
        <v>12353</v>
      </c>
      <c r="B1131" s="4" t="s">
        <v>12354</v>
      </c>
      <c r="C1131">
        <v>86.300078833201795</v>
      </c>
      <c r="D1131">
        <v>120.344006814729</v>
      </c>
      <c r="E1131">
        <f>0.478082912478396</f>
        <v>0.47808291247839602</v>
      </c>
      <c r="F1131">
        <v>0.47254101752691202</v>
      </c>
      <c r="G1131" t="s">
        <v>4</v>
      </c>
      <c r="H1131">
        <v>86.300078833201795</v>
      </c>
      <c r="I1131">
        <v>12.5351917030012</v>
      </c>
      <c r="J1131">
        <v>2.84315080819291</v>
      </c>
      <c r="K1131" s="5">
        <v>1.51436926359087E-5</v>
      </c>
      <c r="L1131" t="s">
        <v>4</v>
      </c>
      <c r="M1131">
        <v>120.344006814729</v>
      </c>
      <c r="N1131">
        <v>12.5351917030012</v>
      </c>
      <c r="O1131">
        <v>3.3212337206713101</v>
      </c>
      <c r="P1131" s="5">
        <v>2.4313638251979399E-7</v>
      </c>
      <c r="Q1131" t="s">
        <v>4</v>
      </c>
      <c r="R1131" s="4" t="s">
        <v>87</v>
      </c>
      <c r="S1131" t="s">
        <v>4</v>
      </c>
      <c r="T1131" t="s">
        <v>88</v>
      </c>
      <c r="U1131" t="s">
        <v>89</v>
      </c>
      <c r="V1131" t="s">
        <v>90</v>
      </c>
      <c r="W1131" t="s">
        <v>91</v>
      </c>
      <c r="X1131" t="s">
        <v>4</v>
      </c>
      <c r="Y1131" t="s">
        <v>1801</v>
      </c>
      <c r="Z1131" t="s">
        <v>1802</v>
      </c>
      <c r="AA1131" t="s">
        <v>1803</v>
      </c>
      <c r="AB1131" t="s">
        <v>4</v>
      </c>
      <c r="AC1131" s="3" t="s">
        <v>3839</v>
      </c>
      <c r="AD1131" t="s">
        <v>4</v>
      </c>
      <c r="AE1131" t="s">
        <v>3840</v>
      </c>
      <c r="AF1131" t="s">
        <v>12355</v>
      </c>
      <c r="AG1131" t="s">
        <v>12356</v>
      </c>
      <c r="AH1131" t="s">
        <v>112</v>
      </c>
      <c r="AJ1131" t="s">
        <v>3843</v>
      </c>
      <c r="AU1131" t="s">
        <v>112</v>
      </c>
      <c r="AV1131" t="s">
        <v>3844</v>
      </c>
      <c r="AW1131" t="s">
        <v>114</v>
      </c>
      <c r="AX1131" t="s">
        <v>144</v>
      </c>
      <c r="AY1131" t="s">
        <v>3750</v>
      </c>
      <c r="AZ1131" t="s">
        <v>4</v>
      </c>
      <c r="BA1131" s="3" t="s">
        <v>95</v>
      </c>
      <c r="BB1131" t="s">
        <v>96</v>
      </c>
      <c r="BC1131" s="3" t="s">
        <v>197</v>
      </c>
      <c r="BD1131" t="s">
        <v>4</v>
      </c>
      <c r="BE1131">
        <v>206</v>
      </c>
      <c r="BF1131" t="s">
        <v>322</v>
      </c>
      <c r="CK1131">
        <v>1</v>
      </c>
      <c r="CL1131" t="s">
        <v>4</v>
      </c>
      <c r="CM1131" t="s">
        <v>98</v>
      </c>
      <c r="CN1131" t="s">
        <v>98</v>
      </c>
      <c r="CO1131" t="s">
        <v>99</v>
      </c>
      <c r="CP1131" t="s">
        <v>100</v>
      </c>
      <c r="CQ1131" t="s">
        <v>100</v>
      </c>
      <c r="CR1131" t="s">
        <v>100</v>
      </c>
      <c r="CS1131" t="s">
        <v>101</v>
      </c>
      <c r="CT1131" t="s">
        <v>152</v>
      </c>
      <c r="CU1131" t="s">
        <v>102</v>
      </c>
      <c r="CV1131" t="s">
        <v>100</v>
      </c>
    </row>
    <row r="1132" spans="1:100">
      <c r="A1132" s="3" t="s">
        <v>12357</v>
      </c>
      <c r="B1132" s="4" t="s">
        <v>12358</v>
      </c>
      <c r="C1132">
        <v>2050.1986749421799</v>
      </c>
      <c r="D1132">
        <v>1290.85618829444</v>
      </c>
      <c r="E1132">
        <v>0.66732693345039196</v>
      </c>
      <c r="F1132">
        <v>0.19382245872508</v>
      </c>
      <c r="G1132" t="s">
        <v>4</v>
      </c>
      <c r="H1132">
        <v>2050.1986749421799</v>
      </c>
      <c r="I1132">
        <v>128.43578939416099</v>
      </c>
      <c r="J1132">
        <v>3.98262829310042</v>
      </c>
      <c r="K1132" s="5">
        <v>6.8079251936401602E-18</v>
      </c>
      <c r="L1132" t="s">
        <v>4</v>
      </c>
      <c r="M1132">
        <v>1290.85618829444</v>
      </c>
      <c r="N1132">
        <v>128.43578939416099</v>
      </c>
      <c r="O1132">
        <v>3.3153013596500198</v>
      </c>
      <c r="P1132" s="5">
        <v>7.93416425695481E-13</v>
      </c>
      <c r="Q1132" t="s">
        <v>4</v>
      </c>
      <c r="R1132" s="4" t="s">
        <v>87</v>
      </c>
      <c r="S1132" t="s">
        <v>4</v>
      </c>
      <c r="T1132" t="s">
        <v>92</v>
      </c>
      <c r="U1132" t="s">
        <v>92</v>
      </c>
      <c r="V1132" t="s">
        <v>92</v>
      </c>
      <c r="W1132" t="s">
        <v>92</v>
      </c>
      <c r="X1132" t="s">
        <v>4</v>
      </c>
      <c r="Y1132" t="s">
        <v>2170</v>
      </c>
      <c r="Z1132" t="s">
        <v>2171</v>
      </c>
      <c r="AA1132" t="s">
        <v>2172</v>
      </c>
      <c r="AB1132" t="s">
        <v>4</v>
      </c>
      <c r="AC1132" s="3" t="s">
        <v>93</v>
      </c>
      <c r="AD1132" t="s">
        <v>4</v>
      </c>
      <c r="AE1132" t="s">
        <v>12359</v>
      </c>
      <c r="AF1132" t="s">
        <v>12360</v>
      </c>
      <c r="AG1132" t="s">
        <v>12361</v>
      </c>
      <c r="AH1132" t="s">
        <v>112</v>
      </c>
      <c r="AL1132" t="s">
        <v>2176</v>
      </c>
      <c r="AQ1132" t="s">
        <v>2177</v>
      </c>
      <c r="AU1132" t="s">
        <v>112</v>
      </c>
      <c r="AV1132" t="s">
        <v>2178</v>
      </c>
      <c r="AW1132" t="s">
        <v>114</v>
      </c>
      <c r="AZ1132" t="s">
        <v>4</v>
      </c>
      <c r="BA1132" s="3" t="s">
        <v>95</v>
      </c>
      <c r="BB1132" s="6" t="s">
        <v>95</v>
      </c>
      <c r="BC1132" s="3" t="s">
        <v>95</v>
      </c>
      <c r="BD1132" t="s">
        <v>4</v>
      </c>
      <c r="BE1132">
        <v>4464</v>
      </c>
      <c r="BF1132" t="s">
        <v>112</v>
      </c>
      <c r="BG1132">
        <v>96.864099999999993</v>
      </c>
      <c r="BH1132">
        <v>45.993000000000002</v>
      </c>
      <c r="BI1132">
        <v>73.344899999999996</v>
      </c>
      <c r="BJ1132">
        <v>47.0383</v>
      </c>
      <c r="BK1132">
        <v>52.439</v>
      </c>
      <c r="BL1132">
        <v>32.404200000000003</v>
      </c>
      <c r="BM1132">
        <v>55.226500000000001</v>
      </c>
      <c r="BN1132">
        <v>55.226500000000001</v>
      </c>
      <c r="BO1132" t="s">
        <v>12362</v>
      </c>
      <c r="BP1132">
        <v>21.602799999999998</v>
      </c>
      <c r="BW1132">
        <v>19.5122</v>
      </c>
      <c r="BX1132">
        <v>19.338000000000001</v>
      </c>
      <c r="CA1132">
        <v>15.679399999999999</v>
      </c>
      <c r="CK1132">
        <v>5</v>
      </c>
      <c r="CL1132" t="s">
        <v>4</v>
      </c>
      <c r="CM1132" t="s">
        <v>2180</v>
      </c>
      <c r="CN1132" t="s">
        <v>12363</v>
      </c>
      <c r="CO1132" t="s">
        <v>219</v>
      </c>
      <c r="CP1132" t="s">
        <v>100</v>
      </c>
      <c r="CQ1132" t="s">
        <v>100</v>
      </c>
      <c r="CR1132" t="s">
        <v>100</v>
      </c>
      <c r="CS1132" t="s">
        <v>101</v>
      </c>
      <c r="CT1132" t="s">
        <v>152</v>
      </c>
      <c r="CU1132" t="s">
        <v>102</v>
      </c>
      <c r="CV1132" t="s">
        <v>2182</v>
      </c>
    </row>
    <row r="1133" spans="1:100">
      <c r="A1133" s="3" t="s">
        <v>12364</v>
      </c>
      <c r="B1133" s="4" t="s">
        <v>12365</v>
      </c>
      <c r="C1133">
        <v>509.343349025988</v>
      </c>
      <c r="D1133">
        <v>831.58371130627802</v>
      </c>
      <c r="E1133">
        <f>0.707188334626255</f>
        <v>0.70718833462625497</v>
      </c>
      <c r="F1133">
        <v>0.286028731540651</v>
      </c>
      <c r="G1133" t="s">
        <v>4</v>
      </c>
      <c r="H1133">
        <v>509.343349025988</v>
      </c>
      <c r="I1133">
        <v>82.998981099989194</v>
      </c>
      <c r="J1133">
        <v>2.6003817519826198</v>
      </c>
      <c r="K1133" s="5">
        <v>1.93299595949749E-5</v>
      </c>
      <c r="L1133" t="s">
        <v>4</v>
      </c>
      <c r="M1133">
        <v>831.58371130627802</v>
      </c>
      <c r="N1133">
        <v>82.998981099989194</v>
      </c>
      <c r="O1133">
        <v>3.3075700866088802</v>
      </c>
      <c r="P1133" s="5">
        <v>2.5720934239919599E-8</v>
      </c>
      <c r="Q1133" t="s">
        <v>4</v>
      </c>
      <c r="R1133" s="4" t="s">
        <v>87</v>
      </c>
      <c r="S1133" t="s">
        <v>4</v>
      </c>
      <c r="T1133" t="s">
        <v>92</v>
      </c>
      <c r="U1133" t="s">
        <v>92</v>
      </c>
      <c r="V1133" t="s">
        <v>92</v>
      </c>
      <c r="W1133" t="s">
        <v>92</v>
      </c>
      <c r="X1133" t="s">
        <v>4</v>
      </c>
      <c r="Y1133" t="s">
        <v>6134</v>
      </c>
      <c r="Z1133" t="s">
        <v>6135</v>
      </c>
      <c r="AA1133" t="s">
        <v>6136</v>
      </c>
      <c r="AB1133" t="s">
        <v>4</v>
      </c>
      <c r="AC1133" s="3" t="s">
        <v>93</v>
      </c>
      <c r="AD1133" t="s">
        <v>4</v>
      </c>
      <c r="AE1133" s="4" t="s">
        <v>94</v>
      </c>
      <c r="AZ1133" t="s">
        <v>4</v>
      </c>
      <c r="BA1133" s="3" t="s">
        <v>95</v>
      </c>
      <c r="BB1133" s="6" t="s">
        <v>95</v>
      </c>
      <c r="BC1133" s="3" t="s">
        <v>95</v>
      </c>
      <c r="BD1133" t="s">
        <v>4</v>
      </c>
      <c r="BE1133">
        <v>2422</v>
      </c>
      <c r="BF1133" t="s">
        <v>148</v>
      </c>
      <c r="BG1133">
        <v>46.170699999999997</v>
      </c>
      <c r="BH1133">
        <v>29.978100000000001</v>
      </c>
      <c r="BI1133">
        <v>75.4923</v>
      </c>
      <c r="BJ1133">
        <v>53.610500000000002</v>
      </c>
      <c r="BL1133">
        <v>55.142200000000003</v>
      </c>
      <c r="BM1133" t="s">
        <v>12366</v>
      </c>
      <c r="BN1133">
        <v>58.643300000000004</v>
      </c>
      <c r="BO1133" t="s">
        <v>12367</v>
      </c>
      <c r="CK1133">
        <v>3</v>
      </c>
      <c r="CL1133" t="s">
        <v>4</v>
      </c>
      <c r="CM1133" t="s">
        <v>98</v>
      </c>
      <c r="CN1133" t="s">
        <v>98</v>
      </c>
      <c r="CO1133" t="s">
        <v>99</v>
      </c>
      <c r="CP1133" t="s">
        <v>100</v>
      </c>
      <c r="CQ1133" t="s">
        <v>100</v>
      </c>
      <c r="CR1133" t="s">
        <v>100</v>
      </c>
      <c r="CS1133" t="s">
        <v>101</v>
      </c>
      <c r="CT1133" t="s">
        <v>152</v>
      </c>
      <c r="CU1133" t="s">
        <v>102</v>
      </c>
      <c r="CV1133" t="s">
        <v>100</v>
      </c>
    </row>
    <row r="1134" spans="1:100">
      <c r="A1134" s="3" t="s">
        <v>12368</v>
      </c>
      <c r="B1134" s="4" t="s">
        <v>12369</v>
      </c>
      <c r="C1134">
        <v>126.217293497841</v>
      </c>
      <c r="D1134">
        <v>166.38351679412301</v>
      </c>
      <c r="E1134">
        <f>0.397678226023785</f>
        <v>0.397678226023785</v>
      </c>
      <c r="F1134">
        <v>0.33456685183267498</v>
      </c>
      <c r="G1134" t="s">
        <v>4</v>
      </c>
      <c r="H1134">
        <v>126.217293497841</v>
      </c>
      <c r="I1134">
        <v>17.899641886752899</v>
      </c>
      <c r="J1134">
        <v>2.90201726644097</v>
      </c>
      <c r="K1134" s="5">
        <v>2.4556562048274399E-11</v>
      </c>
      <c r="L1134" t="s">
        <v>4</v>
      </c>
      <c r="M1134">
        <v>166.38351679412301</v>
      </c>
      <c r="N1134">
        <v>17.899641886752899</v>
      </c>
      <c r="O1134">
        <v>3.2996954924647501</v>
      </c>
      <c r="P1134" s="5">
        <v>1.57211906953583E-14</v>
      </c>
      <c r="Q1134" t="s">
        <v>4</v>
      </c>
      <c r="R1134" s="4" t="s">
        <v>87</v>
      </c>
      <c r="S1134" t="s">
        <v>4</v>
      </c>
      <c r="T1134" t="s">
        <v>12370</v>
      </c>
      <c r="U1134" t="s">
        <v>12371</v>
      </c>
      <c r="V1134" t="s">
        <v>12372</v>
      </c>
      <c r="W1134" t="s">
        <v>328</v>
      </c>
      <c r="X1134" t="s">
        <v>4</v>
      </c>
      <c r="Y1134" t="s">
        <v>12373</v>
      </c>
      <c r="Z1134" t="s">
        <v>12374</v>
      </c>
      <c r="AA1134" t="s">
        <v>12375</v>
      </c>
      <c r="AB1134" t="s">
        <v>4</v>
      </c>
      <c r="AC1134" s="3" t="s">
        <v>12376</v>
      </c>
      <c r="AD1134" t="s">
        <v>4</v>
      </c>
      <c r="AE1134" t="s">
        <v>12377</v>
      </c>
      <c r="AF1134" t="s">
        <v>12378</v>
      </c>
      <c r="AG1134" t="s">
        <v>9725</v>
      </c>
      <c r="AH1134" t="s">
        <v>112</v>
      </c>
      <c r="AU1134" t="s">
        <v>112</v>
      </c>
      <c r="AV1134" t="s">
        <v>12379</v>
      </c>
      <c r="AW1134" t="s">
        <v>114</v>
      </c>
      <c r="AX1134" t="s">
        <v>345</v>
      </c>
      <c r="AY1134" t="s">
        <v>12380</v>
      </c>
      <c r="AZ1134" t="s">
        <v>4</v>
      </c>
      <c r="BA1134" s="3" t="s">
        <v>95</v>
      </c>
      <c r="BB1134" s="6" t="s">
        <v>95</v>
      </c>
      <c r="BC1134" s="3" t="s">
        <v>95</v>
      </c>
      <c r="BD1134" t="s">
        <v>4</v>
      </c>
      <c r="BE1134">
        <v>10300</v>
      </c>
      <c r="BF1134" t="s">
        <v>169</v>
      </c>
      <c r="BG1134">
        <v>98.504300000000001</v>
      </c>
      <c r="BH1134">
        <v>26.0684</v>
      </c>
      <c r="BI1134" t="s">
        <v>12381</v>
      </c>
      <c r="BJ1134" t="s">
        <v>12382</v>
      </c>
      <c r="BK1134">
        <v>66.2393</v>
      </c>
      <c r="BL1134">
        <v>65.598299999999995</v>
      </c>
      <c r="BM1134">
        <v>89.102599999999995</v>
      </c>
      <c r="BN1134">
        <v>89.529899999999998</v>
      </c>
      <c r="BO1134">
        <v>91.025599999999997</v>
      </c>
      <c r="CB1134">
        <v>19.444400000000002</v>
      </c>
      <c r="CE1134" t="s">
        <v>12383</v>
      </c>
      <c r="CF1134" t="s">
        <v>12384</v>
      </c>
      <c r="CG1134" t="s">
        <v>12385</v>
      </c>
      <c r="CH1134" t="s">
        <v>12386</v>
      </c>
      <c r="CI1134" t="s">
        <v>12387</v>
      </c>
      <c r="CJ1134">
        <v>22.008500000000002</v>
      </c>
      <c r="CK1134">
        <v>9</v>
      </c>
      <c r="CL1134" t="s">
        <v>4</v>
      </c>
      <c r="CM1134" t="s">
        <v>98</v>
      </c>
      <c r="CN1134" t="s">
        <v>98</v>
      </c>
      <c r="CO1134" t="s">
        <v>99</v>
      </c>
      <c r="CP1134" t="s">
        <v>100</v>
      </c>
      <c r="CQ1134" t="s">
        <v>100</v>
      </c>
      <c r="CR1134" t="s">
        <v>100</v>
      </c>
      <c r="CS1134" t="s">
        <v>101</v>
      </c>
      <c r="CT1134" t="s">
        <v>152</v>
      </c>
      <c r="CU1134" t="s">
        <v>102</v>
      </c>
      <c r="CV1134" t="s">
        <v>100</v>
      </c>
    </row>
    <row r="1135" spans="1:100">
      <c r="A1135" s="3" t="s">
        <v>12388</v>
      </c>
      <c r="B1135" s="4" t="s">
        <v>12389</v>
      </c>
      <c r="C1135">
        <v>58.431535277729999</v>
      </c>
      <c r="D1135">
        <v>50.150821966147397</v>
      </c>
      <c r="E1135">
        <v>0.21612579606582499</v>
      </c>
      <c r="F1135">
        <v>0.75433829579822798</v>
      </c>
      <c r="G1135" t="s">
        <v>4</v>
      </c>
      <c r="H1135">
        <v>58.431535277729999</v>
      </c>
      <c r="I1135">
        <v>4.6314784515600396</v>
      </c>
      <c r="J1135">
        <v>3.5115934852606698</v>
      </c>
      <c r="K1135" s="5">
        <v>1.3282271359608099E-6</v>
      </c>
      <c r="L1135" t="s">
        <v>4</v>
      </c>
      <c r="M1135">
        <v>50.150821966147397</v>
      </c>
      <c r="N1135">
        <v>4.6314784515600396</v>
      </c>
      <c r="O1135">
        <v>3.29546768919485</v>
      </c>
      <c r="P1135" s="5">
        <v>5.2263303911936598E-6</v>
      </c>
      <c r="Q1135" t="s">
        <v>4</v>
      </c>
      <c r="R1135" s="4" t="s">
        <v>87</v>
      </c>
      <c r="S1135" t="s">
        <v>4</v>
      </c>
      <c r="T1135" t="s">
        <v>92</v>
      </c>
      <c r="U1135" t="s">
        <v>92</v>
      </c>
      <c r="V1135" t="s">
        <v>92</v>
      </c>
      <c r="W1135" t="s">
        <v>92</v>
      </c>
      <c r="X1135" t="s">
        <v>4</v>
      </c>
      <c r="Y1135" t="s">
        <v>92</v>
      </c>
      <c r="Z1135" t="s">
        <v>92</v>
      </c>
      <c r="AA1135" t="s">
        <v>92</v>
      </c>
      <c r="AB1135" t="s">
        <v>4</v>
      </c>
      <c r="AC1135" s="3" t="s">
        <v>93</v>
      </c>
      <c r="AD1135" t="s">
        <v>4</v>
      </c>
      <c r="AE1135" s="4" t="s">
        <v>94</v>
      </c>
      <c r="AZ1135" t="s">
        <v>4</v>
      </c>
      <c r="BA1135" s="3" t="s">
        <v>95</v>
      </c>
      <c r="BB1135" s="6" t="s">
        <v>95</v>
      </c>
      <c r="BC1135" s="3" t="s">
        <v>95</v>
      </c>
      <c r="BD1135" t="s">
        <v>4</v>
      </c>
      <c r="BE1135">
        <v>1619</v>
      </c>
      <c r="BF1135" t="s">
        <v>151</v>
      </c>
      <c r="BG1135">
        <v>38.596499999999999</v>
      </c>
      <c r="BJ1135">
        <v>46.7836</v>
      </c>
      <c r="CK1135">
        <v>2</v>
      </c>
      <c r="CL1135" t="s">
        <v>4</v>
      </c>
      <c r="CM1135" t="s">
        <v>98</v>
      </c>
      <c r="CN1135" t="s">
        <v>98</v>
      </c>
      <c r="CO1135" t="s">
        <v>99</v>
      </c>
      <c r="CP1135" t="s">
        <v>100</v>
      </c>
      <c r="CQ1135" t="s">
        <v>100</v>
      </c>
      <c r="CR1135" t="s">
        <v>100</v>
      </c>
      <c r="CS1135" t="s">
        <v>101</v>
      </c>
      <c r="CT1135" t="s">
        <v>152</v>
      </c>
      <c r="CU1135" t="s">
        <v>102</v>
      </c>
      <c r="CV1135" t="s">
        <v>100</v>
      </c>
    </row>
    <row r="1136" spans="1:100">
      <c r="A1136" s="3" t="s">
        <v>12390</v>
      </c>
      <c r="B1136" s="4" t="s">
        <v>12391</v>
      </c>
      <c r="C1136">
        <v>119.507016996959</v>
      </c>
      <c r="D1136">
        <v>163.43203413765499</v>
      </c>
      <c r="E1136">
        <f>0.450133716264496</f>
        <v>0.450133716264496</v>
      </c>
      <c r="F1136">
        <v>0.23696482895517701</v>
      </c>
      <c r="G1136" t="s">
        <v>4</v>
      </c>
      <c r="H1136">
        <v>119.507016996959</v>
      </c>
      <c r="I1136">
        <v>17.606009178108401</v>
      </c>
      <c r="J1136">
        <v>2.8433669987390999</v>
      </c>
      <c r="K1136" s="5">
        <v>7.8178069397418303E-12</v>
      </c>
      <c r="L1136" t="s">
        <v>4</v>
      </c>
      <c r="M1136">
        <v>163.43203413765499</v>
      </c>
      <c r="N1136">
        <v>17.606009178108401</v>
      </c>
      <c r="O1136">
        <v>3.2935007150036002</v>
      </c>
      <c r="P1136" s="5">
        <v>1.0148047647180901E-15</v>
      </c>
      <c r="Q1136" t="s">
        <v>4</v>
      </c>
      <c r="R1136" s="4" t="s">
        <v>87</v>
      </c>
      <c r="S1136" t="s">
        <v>4</v>
      </c>
      <c r="T1136" t="s">
        <v>460</v>
      </c>
      <c r="U1136" t="s">
        <v>461</v>
      </c>
      <c r="V1136" t="s">
        <v>462</v>
      </c>
      <c r="W1136" t="s">
        <v>123</v>
      </c>
      <c r="X1136" t="s">
        <v>4</v>
      </c>
      <c r="Y1136" t="s">
        <v>463</v>
      </c>
      <c r="Z1136" t="s">
        <v>464</v>
      </c>
      <c r="AA1136" t="s">
        <v>465</v>
      </c>
      <c r="AB1136" t="s">
        <v>4</v>
      </c>
      <c r="AC1136" s="3" t="s">
        <v>93</v>
      </c>
      <c r="AD1136" t="s">
        <v>4</v>
      </c>
      <c r="AE1136" t="s">
        <v>9850</v>
      </c>
      <c r="AF1136" t="s">
        <v>12392</v>
      </c>
      <c r="AG1136" t="s">
        <v>12393</v>
      </c>
      <c r="AH1136" t="s">
        <v>169</v>
      </c>
      <c r="AU1136" t="s">
        <v>112</v>
      </c>
      <c r="AV1136" t="s">
        <v>470</v>
      </c>
      <c r="AW1136" t="s">
        <v>114</v>
      </c>
      <c r="AX1136" t="s">
        <v>144</v>
      </c>
      <c r="AY1136" t="s">
        <v>471</v>
      </c>
      <c r="AZ1136" t="s">
        <v>4</v>
      </c>
      <c r="BA1136" s="3" t="s">
        <v>95</v>
      </c>
      <c r="BB1136" s="6" t="s">
        <v>95</v>
      </c>
      <c r="BC1136" s="3" t="s">
        <v>197</v>
      </c>
      <c r="BD1136" t="s">
        <v>4</v>
      </c>
      <c r="BE1136">
        <v>5827</v>
      </c>
      <c r="BF1136" t="s">
        <v>386</v>
      </c>
      <c r="BJ1136">
        <v>15.051500000000001</v>
      </c>
      <c r="BL1136">
        <v>7.8350499999999998</v>
      </c>
      <c r="BR1136">
        <v>9.2783499999999997</v>
      </c>
      <c r="BV1136">
        <v>5.9793799999999999</v>
      </c>
      <c r="BW1136">
        <v>7.0103099999999996</v>
      </c>
      <c r="CC1136">
        <v>9.0721600000000002</v>
      </c>
      <c r="CD1136">
        <v>8.0412400000000002</v>
      </c>
      <c r="CG1136" t="s">
        <v>12394</v>
      </c>
      <c r="CH1136" t="s">
        <v>12395</v>
      </c>
      <c r="CI1136" t="s">
        <v>12396</v>
      </c>
      <c r="CK1136">
        <v>7</v>
      </c>
      <c r="CL1136" t="s">
        <v>4</v>
      </c>
      <c r="CM1136" t="s">
        <v>98</v>
      </c>
      <c r="CN1136" t="s">
        <v>98</v>
      </c>
      <c r="CO1136" t="s">
        <v>99</v>
      </c>
      <c r="CP1136" t="s">
        <v>100</v>
      </c>
      <c r="CQ1136" t="s">
        <v>100</v>
      </c>
      <c r="CR1136" t="s">
        <v>100</v>
      </c>
      <c r="CS1136" t="s">
        <v>101</v>
      </c>
      <c r="CT1136" t="s">
        <v>152</v>
      </c>
      <c r="CU1136" t="s">
        <v>102</v>
      </c>
      <c r="CV1136" t="s">
        <v>100</v>
      </c>
    </row>
    <row r="1137" spans="1:100">
      <c r="A1137" s="3" t="s">
        <v>12397</v>
      </c>
      <c r="B1137" s="4" t="s">
        <v>12398</v>
      </c>
      <c r="C1137">
        <v>3583.60651761498</v>
      </c>
      <c r="D1137">
        <v>5599.30450462517</v>
      </c>
      <c r="E1137">
        <f>0.643866614858928</f>
        <v>0.64386661485892804</v>
      </c>
      <c r="F1137">
        <v>3.3061880912846099E-2</v>
      </c>
      <c r="G1137" t="s">
        <v>4</v>
      </c>
      <c r="H1137">
        <v>3583.60651761498</v>
      </c>
      <c r="I1137">
        <v>573.04584907056505</v>
      </c>
      <c r="J1137">
        <v>2.6419048600454098</v>
      </c>
      <c r="K1137" s="5">
        <v>7.9679594319375198E-22</v>
      </c>
      <c r="L1137" t="s">
        <v>4</v>
      </c>
      <c r="M1137">
        <v>5599.30450462517</v>
      </c>
      <c r="N1137">
        <v>573.04584907056505</v>
      </c>
      <c r="O1137">
        <v>3.2857714749043399</v>
      </c>
      <c r="P1137" s="5">
        <v>2.1298176025565701E-33</v>
      </c>
      <c r="Q1137" t="s">
        <v>4</v>
      </c>
      <c r="R1137" s="4" t="s">
        <v>87</v>
      </c>
      <c r="S1137" t="s">
        <v>4</v>
      </c>
      <c r="T1137" t="s">
        <v>7255</v>
      </c>
      <c r="U1137" t="s">
        <v>7256</v>
      </c>
      <c r="V1137" t="s">
        <v>7257</v>
      </c>
      <c r="W1137" t="s">
        <v>203</v>
      </c>
      <c r="X1137" t="s">
        <v>4</v>
      </c>
      <c r="Y1137" t="s">
        <v>7258</v>
      </c>
      <c r="Z1137" t="s">
        <v>7259</v>
      </c>
      <c r="AA1137" t="s">
        <v>7260</v>
      </c>
      <c r="AB1137" t="s">
        <v>4</v>
      </c>
      <c r="AC1137" s="3" t="s">
        <v>12399</v>
      </c>
      <c r="AD1137" t="s">
        <v>4</v>
      </c>
      <c r="AE1137" t="s">
        <v>12400</v>
      </c>
      <c r="AF1137" t="s">
        <v>12401</v>
      </c>
      <c r="AG1137" t="s">
        <v>12402</v>
      </c>
      <c r="AH1137" t="s">
        <v>112</v>
      </c>
      <c r="AJ1137" t="s">
        <v>7264</v>
      </c>
      <c r="AL1137" t="s">
        <v>7265</v>
      </c>
      <c r="AQ1137" t="s">
        <v>7266</v>
      </c>
      <c r="AU1137" t="s">
        <v>112</v>
      </c>
      <c r="AV1137" t="s">
        <v>7267</v>
      </c>
      <c r="AW1137" t="s">
        <v>114</v>
      </c>
      <c r="AX1137" t="s">
        <v>132</v>
      </c>
      <c r="AY1137" t="s">
        <v>7268</v>
      </c>
      <c r="AZ1137" t="s">
        <v>4</v>
      </c>
      <c r="BA1137" s="3" t="s">
        <v>115</v>
      </c>
      <c r="BB1137" s="6" t="s">
        <v>95</v>
      </c>
      <c r="BC1137" s="3" t="s">
        <v>95</v>
      </c>
      <c r="BD1137" t="s">
        <v>4</v>
      </c>
      <c r="BE1137">
        <v>10289</v>
      </c>
      <c r="BF1137" t="s">
        <v>169</v>
      </c>
      <c r="BG1137">
        <v>96.8553</v>
      </c>
      <c r="BH1137">
        <v>96.383600000000001</v>
      </c>
      <c r="BJ1137">
        <v>57.7044</v>
      </c>
      <c r="BK1137">
        <v>39.465400000000002</v>
      </c>
      <c r="BL1137">
        <v>45.911900000000003</v>
      </c>
      <c r="BM1137">
        <v>79.088099999999997</v>
      </c>
      <c r="BN1137">
        <v>79.716999999999999</v>
      </c>
      <c r="BO1137">
        <v>76.1006</v>
      </c>
      <c r="BP1137">
        <v>37.264200000000002</v>
      </c>
      <c r="BQ1137" t="s">
        <v>12403</v>
      </c>
      <c r="BR1137" t="s">
        <v>12404</v>
      </c>
      <c r="BS1137" t="s">
        <v>12405</v>
      </c>
      <c r="BT1137">
        <v>22.169799999999999</v>
      </c>
      <c r="BV1137" t="s">
        <v>12406</v>
      </c>
      <c r="BW1137">
        <v>33.333300000000001</v>
      </c>
      <c r="BX1137">
        <v>31.132100000000001</v>
      </c>
      <c r="BZ1137">
        <v>19.811299999999999</v>
      </c>
      <c r="CA1137">
        <v>28.3019</v>
      </c>
      <c r="CB1137">
        <v>16.037700000000001</v>
      </c>
      <c r="CC1137" t="s">
        <v>12407</v>
      </c>
      <c r="CD1137" t="s">
        <v>12408</v>
      </c>
      <c r="CE1137">
        <v>17.767299999999999</v>
      </c>
      <c r="CF1137" t="s">
        <v>12409</v>
      </c>
      <c r="CG1137">
        <v>21.8553</v>
      </c>
      <c r="CH1137">
        <v>21.069199999999999</v>
      </c>
      <c r="CI1137" t="s">
        <v>12410</v>
      </c>
      <c r="CK1137">
        <v>9</v>
      </c>
      <c r="CL1137" t="s">
        <v>4</v>
      </c>
      <c r="CM1137" t="s">
        <v>7277</v>
      </c>
      <c r="CN1137" t="s">
        <v>12411</v>
      </c>
      <c r="CO1137" t="s">
        <v>219</v>
      </c>
      <c r="CP1137" t="s">
        <v>100</v>
      </c>
      <c r="CQ1137" t="s">
        <v>100</v>
      </c>
      <c r="CR1137" t="s">
        <v>100</v>
      </c>
      <c r="CS1137" t="s">
        <v>101</v>
      </c>
      <c r="CT1137" t="s">
        <v>152</v>
      </c>
      <c r="CU1137" t="s">
        <v>102</v>
      </c>
      <c r="CV1137" t="s">
        <v>235</v>
      </c>
    </row>
    <row r="1138" spans="1:100">
      <c r="A1138" s="3" t="s">
        <v>12412</v>
      </c>
      <c r="B1138" s="4" t="s">
        <v>12413</v>
      </c>
      <c r="C1138">
        <v>1788.9304629571</v>
      </c>
      <c r="D1138">
        <v>1266.23273128389</v>
      </c>
      <c r="E1138">
        <v>0.49849482111942001</v>
      </c>
      <c r="F1138">
        <v>0.48274976869467501</v>
      </c>
      <c r="G1138" t="s">
        <v>4</v>
      </c>
      <c r="H1138">
        <v>1788.9304629571</v>
      </c>
      <c r="I1138">
        <v>129.477793896566</v>
      </c>
      <c r="J1138">
        <v>3.7761798063246399</v>
      </c>
      <c r="K1138" s="5">
        <v>1.12271139509322E-9</v>
      </c>
      <c r="L1138" t="s">
        <v>4</v>
      </c>
      <c r="M1138">
        <v>1266.23273128389</v>
      </c>
      <c r="N1138">
        <v>129.477793896566</v>
      </c>
      <c r="O1138">
        <v>3.2776849852052199</v>
      </c>
      <c r="P1138" s="5">
        <v>1.1687769843740499E-7</v>
      </c>
      <c r="Q1138" t="s">
        <v>4</v>
      </c>
      <c r="R1138" s="4" t="s">
        <v>87</v>
      </c>
      <c r="S1138" t="s">
        <v>4</v>
      </c>
      <c r="T1138" t="s">
        <v>92</v>
      </c>
      <c r="U1138" t="s">
        <v>92</v>
      </c>
      <c r="V1138" t="s">
        <v>92</v>
      </c>
      <c r="W1138" t="s">
        <v>92</v>
      </c>
      <c r="X1138" t="s">
        <v>4</v>
      </c>
      <c r="Y1138" t="s">
        <v>92</v>
      </c>
      <c r="Z1138" t="s">
        <v>92</v>
      </c>
      <c r="AA1138" t="s">
        <v>92</v>
      </c>
      <c r="AB1138" t="s">
        <v>4</v>
      </c>
      <c r="AC1138" s="3" t="s">
        <v>93</v>
      </c>
      <c r="AD1138" t="s">
        <v>4</v>
      </c>
      <c r="AE1138" s="4" t="s">
        <v>94</v>
      </c>
      <c r="AZ1138" t="s">
        <v>4</v>
      </c>
      <c r="BA1138" s="3" t="s">
        <v>95</v>
      </c>
      <c r="BB1138" s="6" t="s">
        <v>95</v>
      </c>
      <c r="BC1138" s="3" t="s">
        <v>95</v>
      </c>
      <c r="BD1138" t="s">
        <v>4</v>
      </c>
      <c r="BE1138">
        <v>2217</v>
      </c>
      <c r="BF1138" t="s">
        <v>148</v>
      </c>
      <c r="BG1138">
        <v>96.457800000000006</v>
      </c>
      <c r="BH1138">
        <v>100</v>
      </c>
      <c r="BJ1138">
        <v>54.7684</v>
      </c>
      <c r="BK1138" t="s">
        <v>12414</v>
      </c>
      <c r="BL1138">
        <v>65.940100000000001</v>
      </c>
      <c r="BM1138">
        <v>40.054499999999997</v>
      </c>
      <c r="BN1138">
        <v>40.871899999999997</v>
      </c>
      <c r="BO1138">
        <v>66.757499999999993</v>
      </c>
      <c r="CK1138">
        <v>3</v>
      </c>
      <c r="CL1138" t="s">
        <v>4</v>
      </c>
      <c r="CM1138" t="s">
        <v>98</v>
      </c>
      <c r="CN1138" t="s">
        <v>98</v>
      </c>
      <c r="CO1138" t="s">
        <v>99</v>
      </c>
      <c r="CP1138" t="s">
        <v>100</v>
      </c>
      <c r="CQ1138" t="s">
        <v>100</v>
      </c>
      <c r="CR1138" t="s">
        <v>100</v>
      </c>
      <c r="CS1138" t="s">
        <v>101</v>
      </c>
      <c r="CT1138" t="s">
        <v>152</v>
      </c>
      <c r="CU1138" t="s">
        <v>102</v>
      </c>
      <c r="CV1138" t="s">
        <v>100</v>
      </c>
    </row>
    <row r="1139" spans="1:100">
      <c r="A1139" s="3" t="s">
        <v>12415</v>
      </c>
      <c r="B1139" s="4" t="s">
        <v>12416</v>
      </c>
      <c r="C1139">
        <v>743.86088714776395</v>
      </c>
      <c r="D1139">
        <v>602.64468516057104</v>
      </c>
      <c r="E1139">
        <v>0.30422493708165699</v>
      </c>
      <c r="F1139">
        <v>0.545654820496982</v>
      </c>
      <c r="G1139" t="s">
        <v>4</v>
      </c>
      <c r="H1139">
        <v>743.86088714776395</v>
      </c>
      <c r="I1139">
        <v>61.571181319586898</v>
      </c>
      <c r="J1139">
        <v>3.58001768191059</v>
      </c>
      <c r="K1139" s="5">
        <v>7.1943686556286496E-16</v>
      </c>
      <c r="L1139" t="s">
        <v>4</v>
      </c>
      <c r="M1139">
        <v>602.64468516057104</v>
      </c>
      <c r="N1139">
        <v>61.571181319586898</v>
      </c>
      <c r="O1139">
        <v>3.2757927448289301</v>
      </c>
      <c r="P1139" s="5">
        <v>1.47126519066213E-13</v>
      </c>
      <c r="Q1139" t="s">
        <v>4</v>
      </c>
      <c r="R1139" s="4" t="s">
        <v>87</v>
      </c>
      <c r="S1139" t="s">
        <v>4</v>
      </c>
      <c r="T1139" t="s">
        <v>92</v>
      </c>
      <c r="U1139" t="s">
        <v>92</v>
      </c>
      <c r="V1139" t="s">
        <v>92</v>
      </c>
      <c r="W1139" t="s">
        <v>92</v>
      </c>
      <c r="X1139" t="s">
        <v>4</v>
      </c>
      <c r="Y1139" t="s">
        <v>92</v>
      </c>
      <c r="Z1139" t="s">
        <v>92</v>
      </c>
      <c r="AA1139" t="s">
        <v>92</v>
      </c>
      <c r="AB1139" t="s">
        <v>4</v>
      </c>
      <c r="AC1139" s="3" t="s">
        <v>93</v>
      </c>
      <c r="AD1139" t="s">
        <v>4</v>
      </c>
      <c r="AE1139" s="4" t="s">
        <v>94</v>
      </c>
      <c r="AZ1139" t="s">
        <v>4</v>
      </c>
      <c r="BA1139" s="3" t="s">
        <v>95</v>
      </c>
      <c r="BB1139" s="6" t="s">
        <v>95</v>
      </c>
      <c r="BC1139" s="3" t="s">
        <v>95</v>
      </c>
      <c r="BD1139" t="s">
        <v>4</v>
      </c>
      <c r="BE1139">
        <v>1416</v>
      </c>
      <c r="BF1139" t="s">
        <v>151</v>
      </c>
      <c r="BG1139">
        <v>92.715199999999996</v>
      </c>
      <c r="BH1139">
        <v>81.456999999999994</v>
      </c>
      <c r="BI1139">
        <v>64.900700000000001</v>
      </c>
      <c r="BJ1139">
        <v>54.304600000000001</v>
      </c>
      <c r="BL1139">
        <v>43.708599999999997</v>
      </c>
      <c r="BM1139">
        <v>33.1126</v>
      </c>
      <c r="BN1139">
        <v>47.0199</v>
      </c>
      <c r="BO1139">
        <v>46.357599999999998</v>
      </c>
      <c r="CK1139">
        <v>2</v>
      </c>
      <c r="CL1139" t="s">
        <v>4</v>
      </c>
      <c r="CM1139" t="s">
        <v>98</v>
      </c>
      <c r="CN1139" t="s">
        <v>98</v>
      </c>
      <c r="CO1139" t="s">
        <v>99</v>
      </c>
      <c r="CP1139" t="s">
        <v>100</v>
      </c>
      <c r="CQ1139" t="s">
        <v>100</v>
      </c>
      <c r="CR1139" t="s">
        <v>100</v>
      </c>
      <c r="CS1139" t="s">
        <v>101</v>
      </c>
      <c r="CT1139" t="s">
        <v>152</v>
      </c>
      <c r="CU1139" t="s">
        <v>102</v>
      </c>
      <c r="CV1139" t="s">
        <v>100</v>
      </c>
    </row>
    <row r="1140" spans="1:100">
      <c r="A1140" s="3" t="s">
        <v>12417</v>
      </c>
      <c r="B1140" s="4" t="s">
        <v>12418</v>
      </c>
      <c r="C1140">
        <v>506.02966041818598</v>
      </c>
      <c r="D1140">
        <v>871.56058317533405</v>
      </c>
      <c r="E1140">
        <f>0.785576569410633</f>
        <v>0.78557656941063303</v>
      </c>
      <c r="F1140">
        <v>2.14225136506218E-2</v>
      </c>
      <c r="G1140" t="s">
        <v>4</v>
      </c>
      <c r="H1140">
        <v>506.02966041818598</v>
      </c>
      <c r="I1140">
        <v>90.879594259076796</v>
      </c>
      <c r="J1140">
        <v>2.4874415408375499</v>
      </c>
      <c r="K1140" s="5">
        <v>3.6469826266525998E-14</v>
      </c>
      <c r="L1140" t="s">
        <v>4</v>
      </c>
      <c r="M1140">
        <v>871.56058317533405</v>
      </c>
      <c r="N1140">
        <v>90.879594259076796</v>
      </c>
      <c r="O1140">
        <v>3.2730181102481799</v>
      </c>
      <c r="P1140" s="5">
        <v>5.0393561024480398E-24</v>
      </c>
      <c r="Q1140" t="s">
        <v>4</v>
      </c>
      <c r="R1140" s="4" t="s">
        <v>87</v>
      </c>
      <c r="S1140" t="s">
        <v>4</v>
      </c>
      <c r="T1140" t="s">
        <v>92</v>
      </c>
      <c r="U1140" t="s">
        <v>92</v>
      </c>
      <c r="V1140" t="s">
        <v>92</v>
      </c>
      <c r="W1140" t="s">
        <v>92</v>
      </c>
      <c r="X1140" t="s">
        <v>4</v>
      </c>
      <c r="Y1140" t="s">
        <v>92</v>
      </c>
      <c r="Z1140" t="s">
        <v>92</v>
      </c>
      <c r="AA1140" t="s">
        <v>92</v>
      </c>
      <c r="AB1140" t="s">
        <v>4</v>
      </c>
      <c r="AC1140" s="3" t="s">
        <v>93</v>
      </c>
      <c r="AD1140" t="s">
        <v>4</v>
      </c>
      <c r="AE1140" s="4" t="s">
        <v>94</v>
      </c>
      <c r="AZ1140" t="s">
        <v>4</v>
      </c>
      <c r="BA1140" s="3" t="s">
        <v>95</v>
      </c>
      <c r="BB1140" s="6" t="s">
        <v>95</v>
      </c>
      <c r="BC1140" s="3" t="s">
        <v>95</v>
      </c>
      <c r="BD1140" t="s">
        <v>4</v>
      </c>
      <c r="BE1140">
        <v>2875</v>
      </c>
      <c r="BF1140" t="s">
        <v>97</v>
      </c>
      <c r="BG1140">
        <v>79.317700000000002</v>
      </c>
      <c r="BH1140">
        <v>20.682300000000001</v>
      </c>
      <c r="BI1140">
        <v>78.038399999999996</v>
      </c>
      <c r="BJ1140">
        <v>61.6205</v>
      </c>
      <c r="BK1140">
        <v>56.5032</v>
      </c>
      <c r="BL1140">
        <v>61.8337</v>
      </c>
      <c r="BM1140">
        <v>62.260100000000001</v>
      </c>
      <c r="BN1140">
        <v>65.458399999999997</v>
      </c>
      <c r="BO1140">
        <v>65.884900000000002</v>
      </c>
      <c r="BP1140">
        <v>29.8507</v>
      </c>
      <c r="CK1140">
        <v>4</v>
      </c>
      <c r="CL1140" t="s">
        <v>4</v>
      </c>
      <c r="CM1140" t="s">
        <v>98</v>
      </c>
      <c r="CN1140" t="s">
        <v>98</v>
      </c>
      <c r="CO1140" t="s">
        <v>99</v>
      </c>
      <c r="CP1140" t="s">
        <v>100</v>
      </c>
      <c r="CQ1140" t="s">
        <v>100</v>
      </c>
      <c r="CR1140" t="s">
        <v>100</v>
      </c>
      <c r="CS1140" t="s">
        <v>101</v>
      </c>
      <c r="CT1140" t="s">
        <v>152</v>
      </c>
      <c r="CU1140" t="s">
        <v>102</v>
      </c>
      <c r="CV1140" t="s">
        <v>100</v>
      </c>
    </row>
    <row r="1141" spans="1:100">
      <c r="A1141" s="3" t="s">
        <v>12419</v>
      </c>
      <c r="B1141" s="4" t="s">
        <v>12420</v>
      </c>
      <c r="C1141">
        <v>38.607838529420199</v>
      </c>
      <c r="D1141">
        <v>80.036700978472794</v>
      </c>
      <c r="E1141">
        <f>-1.0498306426738</f>
        <v>-1.0498306426738</v>
      </c>
      <c r="F1141">
        <v>9.3664925399903495E-2</v>
      </c>
      <c r="G1141" t="s">
        <v>4</v>
      </c>
      <c r="H1141">
        <v>38.607838529420199</v>
      </c>
      <c r="I1141">
        <v>8.6958253169896995</v>
      </c>
      <c r="J1141">
        <v>2.2199482384464999</v>
      </c>
      <c r="K1141">
        <v>1.2683670516277601E-3</v>
      </c>
      <c r="L1141" t="s">
        <v>4</v>
      </c>
      <c r="M1141">
        <v>80.036700978472794</v>
      </c>
      <c r="N1141">
        <v>8.6958253169896995</v>
      </c>
      <c r="O1141">
        <v>3.2697788811202999</v>
      </c>
      <c r="P1141" s="5">
        <v>7.5712949637011303E-7</v>
      </c>
      <c r="Q1141" t="s">
        <v>4</v>
      </c>
      <c r="R1141" s="4" t="s">
        <v>87</v>
      </c>
      <c r="S1141" t="s">
        <v>4</v>
      </c>
      <c r="T1141" t="s">
        <v>92</v>
      </c>
      <c r="U1141" t="s">
        <v>92</v>
      </c>
      <c r="V1141" t="s">
        <v>92</v>
      </c>
      <c r="W1141" t="s">
        <v>92</v>
      </c>
      <c r="X1141" t="s">
        <v>4</v>
      </c>
      <c r="Y1141" t="s">
        <v>92</v>
      </c>
      <c r="Z1141" t="s">
        <v>92</v>
      </c>
      <c r="AA1141" t="s">
        <v>92</v>
      </c>
      <c r="AB1141" t="s">
        <v>4</v>
      </c>
      <c r="AC1141" s="3" t="s">
        <v>93</v>
      </c>
      <c r="AD1141" t="s">
        <v>4</v>
      </c>
      <c r="AE1141" s="4" t="s">
        <v>94</v>
      </c>
      <c r="AZ1141" t="s">
        <v>4</v>
      </c>
      <c r="BA1141" s="3" t="s">
        <v>95</v>
      </c>
      <c r="BB1141" s="6" t="s">
        <v>95</v>
      </c>
      <c r="BC1141" s="3" t="s">
        <v>95</v>
      </c>
      <c r="BD1141" t="s">
        <v>4</v>
      </c>
      <c r="BE1141">
        <v>2731</v>
      </c>
      <c r="BF1141" t="s">
        <v>97</v>
      </c>
      <c r="BG1141">
        <v>33.9161</v>
      </c>
      <c r="BH1141">
        <v>46.853099999999998</v>
      </c>
      <c r="BI1141">
        <v>89.510499999999993</v>
      </c>
      <c r="BJ1141">
        <v>72.377600000000001</v>
      </c>
      <c r="BK1141">
        <v>62.937100000000001</v>
      </c>
      <c r="BM1141">
        <v>42.307699999999997</v>
      </c>
      <c r="BN1141">
        <v>65.384600000000006</v>
      </c>
      <c r="BO1141">
        <v>44.755200000000002</v>
      </c>
      <c r="BP1141" t="s">
        <v>12421</v>
      </c>
      <c r="CK1141">
        <v>4</v>
      </c>
      <c r="CL1141" t="s">
        <v>4</v>
      </c>
      <c r="CM1141" t="s">
        <v>98</v>
      </c>
      <c r="CN1141" t="s">
        <v>98</v>
      </c>
      <c r="CO1141" t="s">
        <v>99</v>
      </c>
      <c r="CP1141" t="s">
        <v>100</v>
      </c>
      <c r="CQ1141" t="s">
        <v>100</v>
      </c>
      <c r="CR1141" t="s">
        <v>100</v>
      </c>
      <c r="CS1141" t="s">
        <v>101</v>
      </c>
      <c r="CT1141" t="s">
        <v>152</v>
      </c>
      <c r="CU1141" t="s">
        <v>102</v>
      </c>
      <c r="CV1141" t="s">
        <v>100</v>
      </c>
    </row>
    <row r="1142" spans="1:100">
      <c r="A1142" s="3" t="s">
        <v>12422</v>
      </c>
      <c r="B1142" s="4" t="s">
        <v>12423</v>
      </c>
      <c r="C1142">
        <v>37.686673960460702</v>
      </c>
      <c r="D1142">
        <v>18.734766867216901</v>
      </c>
      <c r="E1142">
        <v>1.01498194026197</v>
      </c>
      <c r="F1142">
        <v>0.19321089104595199</v>
      </c>
      <c r="G1142" t="s">
        <v>4</v>
      </c>
      <c r="H1142">
        <v>37.686673960460702</v>
      </c>
      <c r="I1142">
        <v>2.2410477101548101</v>
      </c>
      <c r="J1142">
        <v>4.2793591635596098</v>
      </c>
      <c r="K1142" s="5">
        <v>2.59199980407844E-5</v>
      </c>
      <c r="L1142" t="s">
        <v>4</v>
      </c>
      <c r="M1142">
        <v>18.734766867216901</v>
      </c>
      <c r="N1142">
        <v>2.2410477101548101</v>
      </c>
      <c r="O1142">
        <v>3.26437722329764</v>
      </c>
      <c r="P1142">
        <v>1.5735035610559001E-3</v>
      </c>
      <c r="Q1142" t="s">
        <v>4</v>
      </c>
      <c r="R1142" s="4" t="s">
        <v>87</v>
      </c>
      <c r="S1142" t="s">
        <v>4</v>
      </c>
      <c r="T1142" t="s">
        <v>12424</v>
      </c>
      <c r="U1142" t="s">
        <v>12425</v>
      </c>
      <c r="V1142" t="s">
        <v>12426</v>
      </c>
      <c r="W1142" t="s">
        <v>328</v>
      </c>
      <c r="X1142" t="s">
        <v>4</v>
      </c>
      <c r="Y1142" t="s">
        <v>1555</v>
      </c>
      <c r="Z1142" t="s">
        <v>1556</v>
      </c>
      <c r="AA1142" t="s">
        <v>1557</v>
      </c>
      <c r="AB1142" t="s">
        <v>4</v>
      </c>
      <c r="AC1142" s="3" t="s">
        <v>12427</v>
      </c>
      <c r="AD1142" t="s">
        <v>4</v>
      </c>
      <c r="AE1142" t="s">
        <v>12428</v>
      </c>
      <c r="AF1142" t="s">
        <v>12429</v>
      </c>
      <c r="AG1142" t="s">
        <v>12430</v>
      </c>
      <c r="AH1142" t="s">
        <v>112</v>
      </c>
      <c r="AU1142" t="s">
        <v>112</v>
      </c>
      <c r="AV1142" t="s">
        <v>12431</v>
      </c>
      <c r="AW1142" t="s">
        <v>114</v>
      </c>
      <c r="AX1142" t="s">
        <v>144</v>
      </c>
      <c r="AY1142" t="s">
        <v>1563</v>
      </c>
      <c r="AZ1142" t="s">
        <v>4</v>
      </c>
      <c r="BA1142" s="3" t="s">
        <v>95</v>
      </c>
      <c r="BB1142" t="s">
        <v>96</v>
      </c>
      <c r="BC1142" s="3" t="s">
        <v>95</v>
      </c>
      <c r="BD1142" t="s">
        <v>4</v>
      </c>
      <c r="BE1142">
        <v>1909</v>
      </c>
      <c r="BF1142" t="s">
        <v>148</v>
      </c>
      <c r="BG1142">
        <v>83.333299999999994</v>
      </c>
      <c r="BH1142">
        <v>98.837199999999996</v>
      </c>
      <c r="BJ1142">
        <v>36.434100000000001</v>
      </c>
      <c r="BL1142">
        <v>37.984499999999997</v>
      </c>
      <c r="BM1142">
        <v>56.589100000000002</v>
      </c>
      <c r="CK1142">
        <v>3</v>
      </c>
      <c r="CL1142" t="s">
        <v>4</v>
      </c>
      <c r="CM1142" t="s">
        <v>98</v>
      </c>
      <c r="CN1142" t="s">
        <v>98</v>
      </c>
      <c r="CO1142" t="s">
        <v>99</v>
      </c>
      <c r="CP1142" t="s">
        <v>100</v>
      </c>
      <c r="CQ1142" t="s">
        <v>100</v>
      </c>
      <c r="CR1142" t="s">
        <v>100</v>
      </c>
      <c r="CS1142" t="s">
        <v>101</v>
      </c>
      <c r="CT1142" t="s">
        <v>152</v>
      </c>
      <c r="CU1142" t="s">
        <v>102</v>
      </c>
      <c r="CV1142" t="s">
        <v>100</v>
      </c>
    </row>
    <row r="1143" spans="1:100">
      <c r="A1143" s="3" t="s">
        <v>12432</v>
      </c>
      <c r="B1143" s="4" t="s">
        <v>12433</v>
      </c>
      <c r="C1143">
        <v>84.002289828362393</v>
      </c>
      <c r="D1143">
        <v>125.60390394689099</v>
      </c>
      <c r="E1143">
        <f>0.584440231945451</f>
        <v>0.58444023194545103</v>
      </c>
      <c r="F1143">
        <v>0.17501953337631401</v>
      </c>
      <c r="G1143" t="s">
        <v>4</v>
      </c>
      <c r="H1143">
        <v>84.002289828362393</v>
      </c>
      <c r="I1143">
        <v>12.8747761327853</v>
      </c>
      <c r="J1143">
        <v>2.6769556165959099</v>
      </c>
      <c r="K1143" s="5">
        <v>1.9397023123492701E-8</v>
      </c>
      <c r="L1143" t="s">
        <v>4</v>
      </c>
      <c r="M1143">
        <v>125.60390394689099</v>
      </c>
      <c r="N1143">
        <v>12.8747761327853</v>
      </c>
      <c r="O1143">
        <v>3.2613958485413601</v>
      </c>
      <c r="P1143" s="5">
        <v>3.0801815139545999E-12</v>
      </c>
      <c r="Q1143" t="s">
        <v>4</v>
      </c>
      <c r="R1143" s="4" t="s">
        <v>87</v>
      </c>
      <c r="S1143" t="s">
        <v>4</v>
      </c>
      <c r="T1143" t="s">
        <v>460</v>
      </c>
      <c r="U1143" t="s">
        <v>461</v>
      </c>
      <c r="V1143" t="s">
        <v>462</v>
      </c>
      <c r="W1143" t="s">
        <v>123</v>
      </c>
      <c r="X1143" t="s">
        <v>4</v>
      </c>
      <c r="Y1143" t="s">
        <v>6643</v>
      </c>
      <c r="Z1143" t="s">
        <v>6644</v>
      </c>
      <c r="AA1143" t="s">
        <v>6645</v>
      </c>
      <c r="AB1143" t="s">
        <v>4</v>
      </c>
      <c r="AC1143" s="3" t="s">
        <v>93</v>
      </c>
      <c r="AD1143" t="s">
        <v>4</v>
      </c>
      <c r="AE1143" t="s">
        <v>3190</v>
      </c>
      <c r="AF1143" t="s">
        <v>12434</v>
      </c>
      <c r="AG1143" t="s">
        <v>12435</v>
      </c>
      <c r="AH1143" t="s">
        <v>112</v>
      </c>
      <c r="AJ1143" t="s">
        <v>3193</v>
      </c>
      <c r="AK1143" t="s">
        <v>3194</v>
      </c>
      <c r="AL1143" t="s">
        <v>3195</v>
      </c>
      <c r="AM1143" t="s">
        <v>3196</v>
      </c>
      <c r="AQ1143" t="s">
        <v>3197</v>
      </c>
      <c r="AU1143" t="s">
        <v>112</v>
      </c>
      <c r="AV1143" t="s">
        <v>3198</v>
      </c>
      <c r="AW1143" t="s">
        <v>114</v>
      </c>
      <c r="AX1143" t="s">
        <v>2157</v>
      </c>
      <c r="AY1143" t="s">
        <v>3199</v>
      </c>
      <c r="AZ1143" t="s">
        <v>4</v>
      </c>
      <c r="BA1143" s="3" t="s">
        <v>95</v>
      </c>
      <c r="BB1143" s="6" t="s">
        <v>95</v>
      </c>
      <c r="BC1143" s="3" t="s">
        <v>95</v>
      </c>
      <c r="BD1143" t="s">
        <v>4</v>
      </c>
      <c r="BE1143">
        <v>1697</v>
      </c>
      <c r="BF1143" t="s">
        <v>151</v>
      </c>
      <c r="BG1143">
        <v>67.361099999999993</v>
      </c>
      <c r="CK1143">
        <v>2</v>
      </c>
      <c r="CL1143" t="s">
        <v>4</v>
      </c>
      <c r="CM1143" t="s">
        <v>98</v>
      </c>
      <c r="CN1143" t="s">
        <v>98</v>
      </c>
      <c r="CO1143" t="s">
        <v>99</v>
      </c>
      <c r="CP1143" t="s">
        <v>100</v>
      </c>
      <c r="CQ1143" t="s">
        <v>100</v>
      </c>
      <c r="CR1143" t="s">
        <v>100</v>
      </c>
      <c r="CS1143" t="s">
        <v>101</v>
      </c>
      <c r="CT1143" t="s">
        <v>152</v>
      </c>
      <c r="CU1143" t="s">
        <v>102</v>
      </c>
      <c r="CV1143" t="s">
        <v>100</v>
      </c>
    </row>
    <row r="1144" spans="1:100">
      <c r="A1144" s="3" t="s">
        <v>12436</v>
      </c>
      <c r="B1144" s="4" t="s">
        <v>12437</v>
      </c>
      <c r="C1144">
        <v>56.935912868381102</v>
      </c>
      <c r="D1144">
        <v>62.427889285595697</v>
      </c>
      <c r="E1144">
        <f>0.134357230893688</f>
        <v>0.13435723089368801</v>
      </c>
      <c r="F1144">
        <v>0.84721783392523697</v>
      </c>
      <c r="G1144" t="s">
        <v>4</v>
      </c>
      <c r="H1144">
        <v>56.935912868381102</v>
      </c>
      <c r="I1144">
        <v>6.6389397189697297</v>
      </c>
      <c r="J1144">
        <v>3.12259543663269</v>
      </c>
      <c r="K1144" s="5">
        <v>5.5882104246658397E-6</v>
      </c>
      <c r="L1144" t="s">
        <v>4</v>
      </c>
      <c r="M1144">
        <v>62.427889285595697</v>
      </c>
      <c r="N1144">
        <v>6.6389397189697297</v>
      </c>
      <c r="O1144">
        <v>3.25695266752638</v>
      </c>
      <c r="P1144" s="5">
        <v>1.5973011741112101E-6</v>
      </c>
      <c r="Q1144" t="s">
        <v>4</v>
      </c>
      <c r="R1144" s="4" t="s">
        <v>87</v>
      </c>
      <c r="S1144" t="s">
        <v>4</v>
      </c>
      <c r="T1144" t="s">
        <v>2988</v>
      </c>
      <c r="U1144" t="s">
        <v>2989</v>
      </c>
      <c r="V1144" t="s">
        <v>2990</v>
      </c>
      <c r="W1144" t="s">
        <v>203</v>
      </c>
      <c r="X1144" t="s">
        <v>4</v>
      </c>
      <c r="Y1144" t="s">
        <v>12438</v>
      </c>
      <c r="Z1144" t="s">
        <v>12439</v>
      </c>
      <c r="AA1144" t="s">
        <v>12440</v>
      </c>
      <c r="AB1144" t="s">
        <v>4</v>
      </c>
      <c r="AC1144" s="3" t="s">
        <v>5654</v>
      </c>
      <c r="AD1144" t="s">
        <v>4</v>
      </c>
      <c r="AE1144" t="s">
        <v>5655</v>
      </c>
      <c r="AF1144" t="s">
        <v>12441</v>
      </c>
      <c r="AG1144" t="s">
        <v>12442</v>
      </c>
      <c r="AH1144" t="s">
        <v>112</v>
      </c>
      <c r="AU1144" t="s">
        <v>112</v>
      </c>
      <c r="AV1144" t="s">
        <v>5658</v>
      </c>
      <c r="AW1144" t="s">
        <v>114</v>
      </c>
      <c r="AX1144" t="s">
        <v>536</v>
      </c>
      <c r="AY1144" t="s">
        <v>5659</v>
      </c>
      <c r="AZ1144" t="s">
        <v>4</v>
      </c>
      <c r="BA1144" s="3" t="s">
        <v>95</v>
      </c>
      <c r="BB1144" s="6" t="s">
        <v>95</v>
      </c>
      <c r="BC1144" s="3" t="s">
        <v>197</v>
      </c>
      <c r="BD1144" t="s">
        <v>4</v>
      </c>
      <c r="BE1144">
        <v>5668</v>
      </c>
      <c r="BF1144" t="s">
        <v>386</v>
      </c>
      <c r="BK1144">
        <v>59.590800000000002</v>
      </c>
      <c r="BL1144">
        <v>50.639400000000002</v>
      </c>
      <c r="BO1144">
        <v>21.994900000000001</v>
      </c>
      <c r="BP1144" t="s">
        <v>12443</v>
      </c>
      <c r="BQ1144" t="s">
        <v>12444</v>
      </c>
      <c r="BR1144" t="s">
        <v>12445</v>
      </c>
      <c r="BS1144" t="s">
        <v>12446</v>
      </c>
      <c r="BT1144" t="s">
        <v>12447</v>
      </c>
      <c r="BU1144">
        <v>8.4398999999999997</v>
      </c>
      <c r="BV1144" t="s">
        <v>12448</v>
      </c>
      <c r="BW1144" t="s">
        <v>12449</v>
      </c>
      <c r="BX1144" t="s">
        <v>12450</v>
      </c>
      <c r="BY1144" t="s">
        <v>12451</v>
      </c>
      <c r="BZ1144" t="s">
        <v>12452</v>
      </c>
      <c r="CA1144" t="s">
        <v>12453</v>
      </c>
      <c r="CB1144">
        <v>9.9744200000000003</v>
      </c>
      <c r="CD1144">
        <v>17.647099999999998</v>
      </c>
      <c r="CF1144" t="s">
        <v>12454</v>
      </c>
      <c r="CG1144">
        <v>36.061399999999999</v>
      </c>
      <c r="CH1144">
        <v>36.828600000000002</v>
      </c>
      <c r="CI1144">
        <v>36.828600000000002</v>
      </c>
      <c r="CK1144">
        <v>7</v>
      </c>
      <c r="CL1144" t="s">
        <v>4</v>
      </c>
      <c r="CM1144" t="s">
        <v>5672</v>
      </c>
      <c r="CN1144" t="s">
        <v>12455</v>
      </c>
      <c r="CO1144" t="s">
        <v>5674</v>
      </c>
      <c r="CP1144" t="s">
        <v>100</v>
      </c>
      <c r="CQ1144" t="s">
        <v>100</v>
      </c>
      <c r="CR1144" t="s">
        <v>100</v>
      </c>
      <c r="CS1144" t="s">
        <v>101</v>
      </c>
      <c r="CT1144" t="s">
        <v>152</v>
      </c>
      <c r="CU1144" t="s">
        <v>102</v>
      </c>
      <c r="CV1144" t="s">
        <v>100</v>
      </c>
    </row>
    <row r="1145" spans="1:100">
      <c r="A1145" s="3" t="s">
        <v>12456</v>
      </c>
      <c r="B1145" s="4" t="s">
        <v>12457</v>
      </c>
      <c r="C1145">
        <v>18.3481815122238</v>
      </c>
      <c r="D1145">
        <v>16.966016473613099</v>
      </c>
      <c r="E1145">
        <v>0.118823727150592</v>
      </c>
      <c r="F1145">
        <v>0.89477912023597905</v>
      </c>
      <c r="G1145" t="s">
        <v>4</v>
      </c>
      <c r="H1145">
        <v>18.3481815122238</v>
      </c>
      <c r="I1145">
        <v>1.6417037200681699</v>
      </c>
      <c r="J1145">
        <v>3.37408597631637</v>
      </c>
      <c r="K1145">
        <v>1.4658960249919E-3</v>
      </c>
      <c r="L1145" t="s">
        <v>4</v>
      </c>
      <c r="M1145">
        <v>16.966016473613099</v>
      </c>
      <c r="N1145">
        <v>1.6417037200681699</v>
      </c>
      <c r="O1145">
        <v>3.2552622491657801</v>
      </c>
      <c r="P1145">
        <v>2.0518250886551199E-3</v>
      </c>
      <c r="Q1145" t="s">
        <v>4</v>
      </c>
      <c r="R1145" s="4" t="s">
        <v>87</v>
      </c>
      <c r="S1145" t="s">
        <v>4</v>
      </c>
      <c r="T1145" t="s">
        <v>460</v>
      </c>
      <c r="U1145" t="s">
        <v>461</v>
      </c>
      <c r="V1145" t="s">
        <v>462</v>
      </c>
      <c r="W1145" t="s">
        <v>123</v>
      </c>
      <c r="X1145" t="s">
        <v>4</v>
      </c>
      <c r="Y1145" t="s">
        <v>6643</v>
      </c>
      <c r="Z1145" t="s">
        <v>6644</v>
      </c>
      <c r="AA1145" t="s">
        <v>6645</v>
      </c>
      <c r="AB1145" t="s">
        <v>4</v>
      </c>
      <c r="AC1145" s="3" t="s">
        <v>93</v>
      </c>
      <c r="AD1145" t="s">
        <v>4</v>
      </c>
      <c r="AE1145" s="4" t="s">
        <v>94</v>
      </c>
      <c r="AZ1145" t="s">
        <v>4</v>
      </c>
      <c r="BA1145" s="3" t="s">
        <v>95</v>
      </c>
      <c r="BB1145" s="6" t="s">
        <v>95</v>
      </c>
      <c r="BC1145" s="3" t="s">
        <v>95</v>
      </c>
      <c r="BD1145" t="s">
        <v>4</v>
      </c>
      <c r="BE1145">
        <v>1615</v>
      </c>
      <c r="BF1145" t="s">
        <v>151</v>
      </c>
      <c r="BI1145">
        <v>76.296300000000002</v>
      </c>
      <c r="BJ1145" t="s">
        <v>12458</v>
      </c>
      <c r="CK1145">
        <v>2</v>
      </c>
      <c r="CL1145" t="s">
        <v>4</v>
      </c>
      <c r="CM1145" t="s">
        <v>98</v>
      </c>
      <c r="CN1145" t="s">
        <v>98</v>
      </c>
      <c r="CO1145" t="s">
        <v>99</v>
      </c>
      <c r="CP1145" t="s">
        <v>100</v>
      </c>
      <c r="CQ1145" t="s">
        <v>100</v>
      </c>
      <c r="CR1145" t="s">
        <v>100</v>
      </c>
      <c r="CS1145" t="s">
        <v>101</v>
      </c>
      <c r="CT1145" t="s">
        <v>152</v>
      </c>
      <c r="CU1145" t="s">
        <v>102</v>
      </c>
      <c r="CV1145" t="s">
        <v>100</v>
      </c>
    </row>
    <row r="1146" spans="1:100">
      <c r="A1146" s="3" t="s">
        <v>12459</v>
      </c>
      <c r="B1146" s="4" t="s">
        <v>12460</v>
      </c>
      <c r="C1146">
        <v>46.946806742312802</v>
      </c>
      <c r="D1146">
        <v>92.070210221469395</v>
      </c>
      <c r="E1146">
        <f>0.972068260382476</f>
        <v>0.97206826038247596</v>
      </c>
      <c r="F1146">
        <v>4.3731914683434799E-2</v>
      </c>
      <c r="G1146" t="s">
        <v>4</v>
      </c>
      <c r="H1146">
        <v>46.946806742312802</v>
      </c>
      <c r="I1146">
        <v>9.3592388874124808</v>
      </c>
      <c r="J1146">
        <v>2.2826538419919302</v>
      </c>
      <c r="K1146" s="5">
        <v>4.1924513763283097E-5</v>
      </c>
      <c r="L1146" t="s">
        <v>4</v>
      </c>
      <c r="M1146">
        <v>92.070210221469395</v>
      </c>
      <c r="N1146">
        <v>9.3592388874124808</v>
      </c>
      <c r="O1146">
        <v>3.25472210237441</v>
      </c>
      <c r="P1146" s="5">
        <v>1.33113377502205E-9</v>
      </c>
      <c r="Q1146" t="s">
        <v>4</v>
      </c>
      <c r="R1146" s="4" t="s">
        <v>87</v>
      </c>
      <c r="S1146" t="s">
        <v>4</v>
      </c>
      <c r="T1146" t="s">
        <v>88</v>
      </c>
      <c r="U1146" t="s">
        <v>89</v>
      </c>
      <c r="V1146" t="s">
        <v>90</v>
      </c>
      <c r="W1146" t="s">
        <v>91</v>
      </c>
      <c r="X1146" t="s">
        <v>4</v>
      </c>
      <c r="Y1146" t="s">
        <v>92</v>
      </c>
      <c r="Z1146" t="s">
        <v>92</v>
      </c>
      <c r="AA1146" t="s">
        <v>92</v>
      </c>
      <c r="AB1146" t="s">
        <v>4</v>
      </c>
      <c r="AC1146" s="3" t="s">
        <v>93</v>
      </c>
      <c r="AD1146" t="s">
        <v>4</v>
      </c>
      <c r="AE1146" s="4" t="s">
        <v>94</v>
      </c>
      <c r="AZ1146" t="s">
        <v>4</v>
      </c>
      <c r="BA1146" s="3" t="s">
        <v>115</v>
      </c>
      <c r="BB1146" t="s">
        <v>96</v>
      </c>
      <c r="BC1146" s="3" t="s">
        <v>95</v>
      </c>
      <c r="BD1146" t="s">
        <v>4</v>
      </c>
      <c r="BE1146">
        <v>2233</v>
      </c>
      <c r="BF1146" t="s">
        <v>148</v>
      </c>
      <c r="BG1146">
        <v>97.903599999999997</v>
      </c>
      <c r="BH1146">
        <v>52.6205</v>
      </c>
      <c r="BI1146">
        <v>67.7149</v>
      </c>
      <c r="BJ1146">
        <v>36.058700000000002</v>
      </c>
      <c r="BK1146">
        <v>58.490600000000001</v>
      </c>
      <c r="BL1146">
        <v>24.109000000000002</v>
      </c>
      <c r="BM1146">
        <v>55.3459</v>
      </c>
      <c r="BN1146">
        <v>55.555599999999998</v>
      </c>
      <c r="BO1146">
        <v>17.400400000000001</v>
      </c>
      <c r="CK1146">
        <v>3</v>
      </c>
      <c r="CL1146" t="s">
        <v>4</v>
      </c>
      <c r="CM1146" t="s">
        <v>98</v>
      </c>
      <c r="CN1146" t="s">
        <v>98</v>
      </c>
      <c r="CO1146" t="s">
        <v>99</v>
      </c>
      <c r="CP1146" t="s">
        <v>100</v>
      </c>
      <c r="CQ1146" t="s">
        <v>100</v>
      </c>
      <c r="CR1146" t="s">
        <v>100</v>
      </c>
      <c r="CS1146" t="s">
        <v>101</v>
      </c>
      <c r="CT1146" t="s">
        <v>152</v>
      </c>
      <c r="CU1146" t="s">
        <v>102</v>
      </c>
      <c r="CV1146" t="s">
        <v>100</v>
      </c>
    </row>
    <row r="1147" spans="1:100">
      <c r="A1147" s="3" t="s">
        <v>12461</v>
      </c>
      <c r="B1147" s="4" t="s">
        <v>12462</v>
      </c>
      <c r="C1147">
        <v>23.440190487353</v>
      </c>
      <c r="D1147">
        <v>17.185773131361099</v>
      </c>
      <c r="E1147">
        <v>0.44608123931385502</v>
      </c>
      <c r="F1147">
        <v>0.57436562646509404</v>
      </c>
      <c r="G1147" t="s">
        <v>4</v>
      </c>
      <c r="H1147">
        <v>23.440190487353</v>
      </c>
      <c r="I1147">
        <v>1.79455936078925</v>
      </c>
      <c r="J1147">
        <v>3.6965695351597998</v>
      </c>
      <c r="K1147">
        <v>3.1791291038338999E-4</v>
      </c>
      <c r="L1147" t="s">
        <v>4</v>
      </c>
      <c r="M1147">
        <v>17.185773131361099</v>
      </c>
      <c r="N1147">
        <v>1.79455936078925</v>
      </c>
      <c r="O1147">
        <v>3.25048829584594</v>
      </c>
      <c r="P1147">
        <v>1.6054909822069501E-3</v>
      </c>
      <c r="Q1147" t="s">
        <v>4</v>
      </c>
      <c r="R1147" s="4" t="s">
        <v>87</v>
      </c>
      <c r="S1147" t="s">
        <v>4</v>
      </c>
      <c r="T1147" t="s">
        <v>460</v>
      </c>
      <c r="U1147" t="s">
        <v>461</v>
      </c>
      <c r="V1147" t="s">
        <v>462</v>
      </c>
      <c r="W1147" t="s">
        <v>123</v>
      </c>
      <c r="X1147" t="s">
        <v>4</v>
      </c>
      <c r="Y1147" t="s">
        <v>463</v>
      </c>
      <c r="Z1147" t="s">
        <v>464</v>
      </c>
      <c r="AA1147" t="s">
        <v>465</v>
      </c>
      <c r="AB1147" t="s">
        <v>4</v>
      </c>
      <c r="AC1147" s="3" t="s">
        <v>93</v>
      </c>
      <c r="AD1147" t="s">
        <v>4</v>
      </c>
      <c r="AE1147" s="4" t="s">
        <v>94</v>
      </c>
      <c r="AZ1147" t="s">
        <v>4</v>
      </c>
      <c r="BA1147" s="3" t="s">
        <v>95</v>
      </c>
      <c r="BB1147" s="6" t="s">
        <v>95</v>
      </c>
      <c r="BC1147" s="3" t="s">
        <v>95</v>
      </c>
      <c r="BD1147" t="s">
        <v>4</v>
      </c>
      <c r="BE1147">
        <v>1618</v>
      </c>
      <c r="BF1147" t="s">
        <v>151</v>
      </c>
      <c r="BG1147">
        <v>45.528500000000001</v>
      </c>
      <c r="CK1147">
        <v>2</v>
      </c>
      <c r="CL1147" t="s">
        <v>4</v>
      </c>
      <c r="CM1147" t="s">
        <v>98</v>
      </c>
      <c r="CN1147" t="s">
        <v>98</v>
      </c>
      <c r="CO1147" t="s">
        <v>99</v>
      </c>
      <c r="CP1147" t="s">
        <v>100</v>
      </c>
      <c r="CQ1147" t="s">
        <v>100</v>
      </c>
      <c r="CR1147" t="s">
        <v>100</v>
      </c>
      <c r="CS1147" t="s">
        <v>101</v>
      </c>
      <c r="CT1147" t="s">
        <v>152</v>
      </c>
      <c r="CU1147" t="s">
        <v>102</v>
      </c>
      <c r="CV1147" t="s">
        <v>100</v>
      </c>
    </row>
    <row r="1148" spans="1:100">
      <c r="A1148" s="3" t="s">
        <v>12463</v>
      </c>
      <c r="B1148" s="4" t="s">
        <v>12464</v>
      </c>
      <c r="C1148">
        <v>10.0201412373089</v>
      </c>
      <c r="D1148">
        <v>13.809664207564101</v>
      </c>
      <c r="E1148">
        <f>0.453227864893474</f>
        <v>0.453227864893474</v>
      </c>
      <c r="F1148">
        <v>0.66920147953284204</v>
      </c>
      <c r="G1148" t="s">
        <v>4</v>
      </c>
      <c r="H1148">
        <v>10.0201412373089</v>
      </c>
      <c r="I1148">
        <v>1.6043579622555699</v>
      </c>
      <c r="J1148">
        <v>2.7970415970638598</v>
      </c>
      <c r="K1148">
        <v>2.8401603337828998E-2</v>
      </c>
      <c r="L1148" t="s">
        <v>4</v>
      </c>
      <c r="M1148">
        <v>13.809664207564101</v>
      </c>
      <c r="N1148">
        <v>1.6043579622555699</v>
      </c>
      <c r="O1148">
        <v>3.2502694619573398</v>
      </c>
      <c r="P1148">
        <v>9.2922483556582298E-3</v>
      </c>
      <c r="Q1148" t="s">
        <v>4</v>
      </c>
      <c r="R1148" s="4" t="s">
        <v>87</v>
      </c>
      <c r="S1148" t="s">
        <v>4</v>
      </c>
      <c r="T1148" t="s">
        <v>460</v>
      </c>
      <c r="U1148" t="s">
        <v>461</v>
      </c>
      <c r="V1148" t="s">
        <v>462</v>
      </c>
      <c r="W1148" t="s">
        <v>123</v>
      </c>
      <c r="X1148" t="s">
        <v>4</v>
      </c>
      <c r="Y1148" t="s">
        <v>6643</v>
      </c>
      <c r="Z1148" t="s">
        <v>6644</v>
      </c>
      <c r="AA1148" t="s">
        <v>6645</v>
      </c>
      <c r="AB1148" t="s">
        <v>4</v>
      </c>
      <c r="AC1148" s="3" t="s">
        <v>93</v>
      </c>
      <c r="AD1148" t="s">
        <v>4</v>
      </c>
      <c r="AE1148" t="s">
        <v>6411</v>
      </c>
      <c r="AF1148" t="s">
        <v>12465</v>
      </c>
      <c r="AG1148" t="s">
        <v>7342</v>
      </c>
      <c r="AH1148" t="s">
        <v>169</v>
      </c>
      <c r="AU1148" t="s">
        <v>112</v>
      </c>
      <c r="AV1148" t="s">
        <v>470</v>
      </c>
      <c r="AW1148" t="s">
        <v>114</v>
      </c>
      <c r="AX1148" t="s">
        <v>144</v>
      </c>
      <c r="AY1148" t="s">
        <v>471</v>
      </c>
      <c r="AZ1148" t="s">
        <v>4</v>
      </c>
      <c r="BA1148" s="3" t="s">
        <v>95</v>
      </c>
      <c r="BB1148" s="6" t="s">
        <v>95</v>
      </c>
      <c r="BC1148" s="3" t="s">
        <v>95</v>
      </c>
      <c r="BD1148" t="s">
        <v>4</v>
      </c>
      <c r="BE1148">
        <v>893</v>
      </c>
      <c r="BF1148" t="s">
        <v>604</v>
      </c>
      <c r="BG1148">
        <v>52.5</v>
      </c>
      <c r="CK1148">
        <v>1.5</v>
      </c>
      <c r="CL1148" t="s">
        <v>4</v>
      </c>
      <c r="CM1148" t="s">
        <v>98</v>
      </c>
      <c r="CN1148" t="s">
        <v>98</v>
      </c>
      <c r="CO1148" t="s">
        <v>99</v>
      </c>
      <c r="CP1148" t="s">
        <v>100</v>
      </c>
      <c r="CQ1148" t="s">
        <v>100</v>
      </c>
      <c r="CR1148" t="s">
        <v>100</v>
      </c>
      <c r="CS1148" s="7" t="s">
        <v>101</v>
      </c>
      <c r="CT1148" t="s">
        <v>152</v>
      </c>
      <c r="CU1148" t="s">
        <v>102</v>
      </c>
      <c r="CV1148" t="s">
        <v>100</v>
      </c>
    </row>
    <row r="1149" spans="1:100">
      <c r="A1149" s="3" t="s">
        <v>12466</v>
      </c>
      <c r="B1149" s="4" t="s">
        <v>12467</v>
      </c>
      <c r="C1149">
        <v>64.799678362615396</v>
      </c>
      <c r="D1149">
        <v>146.233156154093</v>
      </c>
      <c r="E1149">
        <f>-1.17488246066528</f>
        <v>-1.1748824606652799</v>
      </c>
      <c r="F1149">
        <v>7.2711140695553095E-2</v>
      </c>
      <c r="G1149" t="s">
        <v>4</v>
      </c>
      <c r="H1149">
        <v>64.799678362615396</v>
      </c>
      <c r="I1149">
        <v>15.025581145046599</v>
      </c>
      <c r="J1149">
        <v>2.0737935739695801</v>
      </c>
      <c r="K1149">
        <v>2.0469576009264799E-3</v>
      </c>
      <c r="L1149" t="s">
        <v>4</v>
      </c>
      <c r="M1149">
        <v>146.233156154093</v>
      </c>
      <c r="N1149">
        <v>15.025581145046599</v>
      </c>
      <c r="O1149">
        <v>3.2486760346348502</v>
      </c>
      <c r="P1149" s="5">
        <v>4.6316013345104301E-7</v>
      </c>
      <c r="Q1149" t="s">
        <v>4</v>
      </c>
      <c r="R1149" s="4" t="s">
        <v>87</v>
      </c>
      <c r="S1149" t="s">
        <v>4</v>
      </c>
      <c r="T1149" t="s">
        <v>460</v>
      </c>
      <c r="U1149" t="s">
        <v>461</v>
      </c>
      <c r="V1149" t="s">
        <v>462</v>
      </c>
      <c r="W1149" t="s">
        <v>123</v>
      </c>
      <c r="X1149" t="s">
        <v>4</v>
      </c>
      <c r="Y1149" t="s">
        <v>6643</v>
      </c>
      <c r="Z1149" t="s">
        <v>6644</v>
      </c>
      <c r="AA1149" t="s">
        <v>6645</v>
      </c>
      <c r="AB1149" t="s">
        <v>4</v>
      </c>
      <c r="AC1149" s="3" t="s">
        <v>93</v>
      </c>
      <c r="AD1149" t="s">
        <v>4</v>
      </c>
      <c r="AE1149" t="s">
        <v>3190</v>
      </c>
      <c r="AF1149" t="s">
        <v>12468</v>
      </c>
      <c r="AG1149" t="s">
        <v>3282</v>
      </c>
      <c r="AH1149" t="s">
        <v>112</v>
      </c>
      <c r="AJ1149" t="s">
        <v>3193</v>
      </c>
      <c r="AK1149" t="s">
        <v>3194</v>
      </c>
      <c r="AL1149" t="s">
        <v>3195</v>
      </c>
      <c r="AM1149" t="s">
        <v>3196</v>
      </c>
      <c r="AQ1149" t="s">
        <v>3197</v>
      </c>
      <c r="AU1149" t="s">
        <v>112</v>
      </c>
      <c r="AV1149" t="s">
        <v>3198</v>
      </c>
      <c r="AW1149" t="s">
        <v>114</v>
      </c>
      <c r="AX1149" t="s">
        <v>2157</v>
      </c>
      <c r="AY1149" t="s">
        <v>3199</v>
      </c>
      <c r="AZ1149" t="s">
        <v>4</v>
      </c>
      <c r="BA1149" s="3" t="s">
        <v>115</v>
      </c>
      <c r="BB1149" s="6" t="s">
        <v>95</v>
      </c>
      <c r="BC1149" s="3" t="s">
        <v>95</v>
      </c>
      <c r="BD1149" t="s">
        <v>4</v>
      </c>
      <c r="BE1149">
        <v>1646</v>
      </c>
      <c r="BF1149" t="s">
        <v>151</v>
      </c>
      <c r="BG1149">
        <v>90.877200000000002</v>
      </c>
      <c r="BI1149">
        <v>80.350899999999996</v>
      </c>
      <c r="CK1149">
        <v>2</v>
      </c>
      <c r="CL1149" t="s">
        <v>4</v>
      </c>
      <c r="CM1149" t="s">
        <v>98</v>
      </c>
      <c r="CN1149" t="s">
        <v>98</v>
      </c>
      <c r="CO1149" t="s">
        <v>99</v>
      </c>
      <c r="CP1149" t="s">
        <v>100</v>
      </c>
      <c r="CQ1149" t="s">
        <v>100</v>
      </c>
      <c r="CR1149" t="s">
        <v>100</v>
      </c>
      <c r="CS1149" t="s">
        <v>101</v>
      </c>
      <c r="CT1149" t="s">
        <v>152</v>
      </c>
      <c r="CU1149" t="s">
        <v>102</v>
      </c>
      <c r="CV1149" t="s">
        <v>100</v>
      </c>
    </row>
    <row r="1150" spans="1:100">
      <c r="A1150" s="3" t="s">
        <v>12469</v>
      </c>
      <c r="B1150" s="4" t="s">
        <v>12470</v>
      </c>
      <c r="C1150">
        <v>32.663388747541603</v>
      </c>
      <c r="D1150">
        <v>36.3593373674072</v>
      </c>
      <c r="E1150">
        <f>0.157637827658407</f>
        <v>0.157637827658407</v>
      </c>
      <c r="F1150">
        <v>0.88560137052947496</v>
      </c>
      <c r="G1150" t="s">
        <v>4</v>
      </c>
      <c r="H1150">
        <v>32.663388747541603</v>
      </c>
      <c r="I1150">
        <v>3.6204251929922702</v>
      </c>
      <c r="J1150">
        <v>3.08747780348906</v>
      </c>
      <c r="K1150">
        <v>2.96881254418993E-3</v>
      </c>
      <c r="L1150" t="s">
        <v>4</v>
      </c>
      <c r="M1150">
        <v>36.3593373674072</v>
      </c>
      <c r="N1150">
        <v>3.6204251929922702</v>
      </c>
      <c r="O1150">
        <v>3.24511563114747</v>
      </c>
      <c r="P1150">
        <v>1.53851045255546E-3</v>
      </c>
      <c r="Q1150" t="s">
        <v>4</v>
      </c>
      <c r="R1150" s="4" t="s">
        <v>87</v>
      </c>
      <c r="S1150" t="s">
        <v>4</v>
      </c>
      <c r="T1150" t="s">
        <v>92</v>
      </c>
      <c r="U1150" t="s">
        <v>92</v>
      </c>
      <c r="V1150" t="s">
        <v>92</v>
      </c>
      <c r="W1150" t="s">
        <v>92</v>
      </c>
      <c r="X1150" t="s">
        <v>4</v>
      </c>
      <c r="Y1150" t="s">
        <v>92</v>
      </c>
      <c r="Z1150" t="s">
        <v>92</v>
      </c>
      <c r="AA1150" t="s">
        <v>92</v>
      </c>
      <c r="AB1150" t="s">
        <v>4</v>
      </c>
      <c r="AC1150" s="3" t="s">
        <v>93</v>
      </c>
      <c r="AD1150" t="s">
        <v>4</v>
      </c>
      <c r="AE1150" s="4" t="s">
        <v>94</v>
      </c>
      <c r="AZ1150" t="s">
        <v>4</v>
      </c>
      <c r="BA1150" s="3" t="s">
        <v>95</v>
      </c>
      <c r="BB1150" s="6" t="s">
        <v>95</v>
      </c>
      <c r="BC1150" s="3" t="s">
        <v>95</v>
      </c>
      <c r="BD1150" t="s">
        <v>4</v>
      </c>
      <c r="BE1150">
        <v>368</v>
      </c>
      <c r="BF1150" t="s">
        <v>322</v>
      </c>
      <c r="CK1150">
        <v>1</v>
      </c>
      <c r="CL1150" t="s">
        <v>4</v>
      </c>
      <c r="CM1150" t="s">
        <v>98</v>
      </c>
      <c r="CN1150" t="s">
        <v>98</v>
      </c>
      <c r="CO1150" t="s">
        <v>99</v>
      </c>
      <c r="CP1150" t="s">
        <v>100</v>
      </c>
      <c r="CQ1150" t="s">
        <v>100</v>
      </c>
      <c r="CR1150" t="s">
        <v>100</v>
      </c>
      <c r="CS1150" t="s">
        <v>101</v>
      </c>
      <c r="CT1150" t="s">
        <v>152</v>
      </c>
      <c r="CU1150" t="s">
        <v>102</v>
      </c>
      <c r="CV1150" t="s">
        <v>100</v>
      </c>
    </row>
    <row r="1151" spans="1:100">
      <c r="A1151" s="3" t="s">
        <v>12471</v>
      </c>
      <c r="B1151" s="4" t="s">
        <v>12472</v>
      </c>
      <c r="C1151">
        <v>2356.0131600056998</v>
      </c>
      <c r="D1151">
        <v>1744.7046063273499</v>
      </c>
      <c r="E1151">
        <v>0.433270048458549</v>
      </c>
      <c r="F1151">
        <v>0.15596701811129299</v>
      </c>
      <c r="G1151" t="s">
        <v>4</v>
      </c>
      <c r="H1151">
        <v>2356.0131600056998</v>
      </c>
      <c r="I1151">
        <v>183.15069755996601</v>
      </c>
      <c r="J1151">
        <v>3.6739366130723599</v>
      </c>
      <c r="K1151" s="5">
        <v>4.9376542195055802E-40</v>
      </c>
      <c r="L1151" t="s">
        <v>4</v>
      </c>
      <c r="M1151">
        <v>1744.7046063273499</v>
      </c>
      <c r="N1151">
        <v>183.15069755996601</v>
      </c>
      <c r="O1151">
        <v>3.24066656461381</v>
      </c>
      <c r="P1151" s="5">
        <v>1.8935602026579299E-31</v>
      </c>
      <c r="Q1151" t="s">
        <v>4</v>
      </c>
      <c r="R1151" s="4" t="s">
        <v>87</v>
      </c>
      <c r="S1151" t="s">
        <v>4</v>
      </c>
      <c r="T1151" t="s">
        <v>12473</v>
      </c>
      <c r="U1151" t="s">
        <v>12474</v>
      </c>
      <c r="V1151" t="s">
        <v>12475</v>
      </c>
      <c r="W1151" t="s">
        <v>328</v>
      </c>
      <c r="X1151" t="s">
        <v>4</v>
      </c>
      <c r="Y1151" t="s">
        <v>12476</v>
      </c>
      <c r="Z1151" t="s">
        <v>12477</v>
      </c>
      <c r="AA1151" t="s">
        <v>12478</v>
      </c>
      <c r="AB1151" t="s">
        <v>4</v>
      </c>
      <c r="AC1151" s="3" t="s">
        <v>12479</v>
      </c>
      <c r="AD1151" t="s">
        <v>4</v>
      </c>
      <c r="AE1151" t="s">
        <v>12480</v>
      </c>
      <c r="AF1151" t="s">
        <v>12481</v>
      </c>
      <c r="AG1151" t="s">
        <v>5607</v>
      </c>
      <c r="AH1151" t="s">
        <v>112</v>
      </c>
      <c r="AJ1151" t="s">
        <v>12482</v>
      </c>
      <c r="AK1151" t="s">
        <v>6627</v>
      </c>
      <c r="AL1151" t="s">
        <v>12483</v>
      </c>
      <c r="AQ1151" t="s">
        <v>12484</v>
      </c>
      <c r="AU1151" t="s">
        <v>112</v>
      </c>
      <c r="AV1151" t="s">
        <v>12485</v>
      </c>
      <c r="AW1151" t="s">
        <v>114</v>
      </c>
      <c r="AX1151" t="s">
        <v>733</v>
      </c>
      <c r="AY1151" t="s">
        <v>12486</v>
      </c>
      <c r="AZ1151" t="s">
        <v>4</v>
      </c>
      <c r="BA1151" s="3" t="s">
        <v>115</v>
      </c>
      <c r="BB1151" s="6" t="s">
        <v>95</v>
      </c>
      <c r="BC1151" s="3" t="s">
        <v>197</v>
      </c>
      <c r="BD1151" t="s">
        <v>4</v>
      </c>
      <c r="BE1151">
        <v>9018</v>
      </c>
      <c r="BF1151" t="s">
        <v>169</v>
      </c>
      <c r="BG1151">
        <v>78.208200000000005</v>
      </c>
      <c r="BH1151" t="s">
        <v>12487</v>
      </c>
      <c r="BI1151">
        <v>55.851500000000001</v>
      </c>
      <c r="BK1151">
        <v>63.196100000000001</v>
      </c>
      <c r="BL1151">
        <v>16.787700000000001</v>
      </c>
      <c r="BM1151">
        <v>57.707799999999999</v>
      </c>
      <c r="BN1151">
        <v>61.904800000000002</v>
      </c>
      <c r="BO1151">
        <v>59.322000000000003</v>
      </c>
      <c r="BP1151">
        <v>35.9968</v>
      </c>
      <c r="BQ1151">
        <v>27.118600000000001</v>
      </c>
      <c r="BR1151">
        <v>27.441500000000001</v>
      </c>
      <c r="BS1151">
        <v>24.777999999999999</v>
      </c>
      <c r="BT1151" t="s">
        <v>12488</v>
      </c>
      <c r="BU1151">
        <v>26.392299999999999</v>
      </c>
      <c r="BV1151">
        <v>26.392299999999999</v>
      </c>
      <c r="BW1151">
        <v>28.167899999999999</v>
      </c>
      <c r="BX1151">
        <v>28.732800000000001</v>
      </c>
      <c r="BY1151">
        <v>19.047599999999999</v>
      </c>
      <c r="BZ1151">
        <v>21.791799999999999</v>
      </c>
      <c r="CA1151">
        <v>26.150099999999998</v>
      </c>
      <c r="CB1151">
        <v>6.2953999999999999</v>
      </c>
      <c r="CC1151">
        <v>22.033899999999999</v>
      </c>
      <c r="CD1151">
        <v>24.0517</v>
      </c>
      <c r="CE1151">
        <v>19.693300000000001</v>
      </c>
      <c r="CF1151">
        <v>22.4375</v>
      </c>
      <c r="CG1151" t="s">
        <v>12489</v>
      </c>
      <c r="CH1151">
        <v>22.921700000000001</v>
      </c>
      <c r="CI1151">
        <v>22.5182</v>
      </c>
      <c r="CK1151">
        <v>9</v>
      </c>
      <c r="CL1151" t="s">
        <v>4</v>
      </c>
      <c r="CM1151" t="s">
        <v>12490</v>
      </c>
      <c r="CN1151" t="s">
        <v>12491</v>
      </c>
      <c r="CO1151" t="s">
        <v>219</v>
      </c>
      <c r="CP1151" t="s">
        <v>100</v>
      </c>
      <c r="CQ1151" t="s">
        <v>100</v>
      </c>
      <c r="CR1151" t="s">
        <v>100</v>
      </c>
      <c r="CS1151" t="s">
        <v>101</v>
      </c>
      <c r="CT1151" t="s">
        <v>152</v>
      </c>
      <c r="CU1151" t="s">
        <v>102</v>
      </c>
      <c r="CV1151" t="s">
        <v>100</v>
      </c>
    </row>
    <row r="1152" spans="1:100">
      <c r="A1152" s="3" t="s">
        <v>12492</v>
      </c>
      <c r="B1152" s="4" t="s">
        <v>12493</v>
      </c>
      <c r="C1152">
        <v>53.3861082045835</v>
      </c>
      <c r="D1152">
        <v>87.230644241754106</v>
      </c>
      <c r="E1152">
        <f>0.709865580539345</f>
        <v>0.70986558053934501</v>
      </c>
      <c r="F1152">
        <v>0.27990980505292501</v>
      </c>
      <c r="G1152" t="s">
        <v>4</v>
      </c>
      <c r="H1152">
        <v>53.3861082045835</v>
      </c>
      <c r="I1152">
        <v>9.2916966976056692</v>
      </c>
      <c r="J1152">
        <v>2.5001286040563602</v>
      </c>
      <c r="K1152">
        <v>2.6788029779724299E-4</v>
      </c>
      <c r="L1152" t="s">
        <v>4</v>
      </c>
      <c r="M1152">
        <v>87.230644241754106</v>
      </c>
      <c r="N1152">
        <v>9.2916966976056692</v>
      </c>
      <c r="O1152">
        <v>3.2099941845957001</v>
      </c>
      <c r="P1152" s="5">
        <v>1.40955346883795E-6</v>
      </c>
      <c r="Q1152" t="s">
        <v>4</v>
      </c>
      <c r="R1152" s="4" t="s">
        <v>87</v>
      </c>
      <c r="S1152" t="s">
        <v>4</v>
      </c>
      <c r="T1152" t="s">
        <v>92</v>
      </c>
      <c r="U1152" t="s">
        <v>92</v>
      </c>
      <c r="V1152" t="s">
        <v>92</v>
      </c>
      <c r="W1152" t="s">
        <v>92</v>
      </c>
      <c r="X1152" t="s">
        <v>4</v>
      </c>
      <c r="Y1152" t="s">
        <v>92</v>
      </c>
      <c r="Z1152" t="s">
        <v>92</v>
      </c>
      <c r="AA1152" t="s">
        <v>92</v>
      </c>
      <c r="AB1152" t="s">
        <v>4</v>
      </c>
      <c r="AC1152" s="3" t="s">
        <v>93</v>
      </c>
      <c r="AD1152" t="s">
        <v>4</v>
      </c>
      <c r="AE1152" s="4" t="s">
        <v>94</v>
      </c>
      <c r="AZ1152" t="s">
        <v>4</v>
      </c>
      <c r="BA1152" s="3" t="s">
        <v>95</v>
      </c>
      <c r="BB1152" t="s">
        <v>96</v>
      </c>
      <c r="BC1152" s="3" t="s">
        <v>95</v>
      </c>
      <c r="BD1152" t="s">
        <v>4</v>
      </c>
      <c r="BE1152">
        <v>953</v>
      </c>
      <c r="BF1152" t="s">
        <v>604</v>
      </c>
      <c r="BG1152">
        <v>18.349799999999998</v>
      </c>
      <c r="CK1152">
        <v>1.5</v>
      </c>
      <c r="CL1152" t="s">
        <v>4</v>
      </c>
      <c r="CM1152" t="s">
        <v>98</v>
      </c>
      <c r="CN1152" t="s">
        <v>98</v>
      </c>
      <c r="CO1152" t="s">
        <v>99</v>
      </c>
      <c r="CP1152" t="s">
        <v>100</v>
      </c>
      <c r="CQ1152" t="s">
        <v>100</v>
      </c>
      <c r="CR1152" t="s">
        <v>100</v>
      </c>
      <c r="CS1152" t="s">
        <v>101</v>
      </c>
      <c r="CT1152" t="s">
        <v>152</v>
      </c>
      <c r="CU1152" t="s">
        <v>102</v>
      </c>
      <c r="CV1152" t="s">
        <v>100</v>
      </c>
    </row>
    <row r="1153" spans="1:100">
      <c r="A1153" s="3" t="s">
        <v>12494</v>
      </c>
      <c r="B1153" s="4" t="s">
        <v>12495</v>
      </c>
      <c r="C1153">
        <v>2368.8321531830402</v>
      </c>
      <c r="D1153">
        <v>4384.9308074557202</v>
      </c>
      <c r="E1153">
        <f>0.888394749656694</f>
        <v>0.88839474965669396</v>
      </c>
      <c r="F1153">
        <v>1.0927441964623801E-3</v>
      </c>
      <c r="G1153" t="s">
        <v>4</v>
      </c>
      <c r="H1153">
        <v>2368.8321531830402</v>
      </c>
      <c r="I1153">
        <v>474.49050555963402</v>
      </c>
      <c r="J1153">
        <v>2.3135236925674301</v>
      </c>
      <c r="K1153" s="5">
        <v>1.5895511067980799E-19</v>
      </c>
      <c r="L1153" t="s">
        <v>4</v>
      </c>
      <c r="M1153">
        <v>4384.9308074557202</v>
      </c>
      <c r="N1153">
        <v>474.49050555963402</v>
      </c>
      <c r="O1153">
        <v>3.20191844222412</v>
      </c>
      <c r="P1153" s="5">
        <v>9.9220564392795507E-37</v>
      </c>
      <c r="Q1153" t="s">
        <v>4</v>
      </c>
      <c r="R1153" s="4" t="s">
        <v>87</v>
      </c>
      <c r="S1153" t="s">
        <v>4</v>
      </c>
      <c r="T1153" t="s">
        <v>12496</v>
      </c>
      <c r="U1153" t="s">
        <v>12497</v>
      </c>
      <c r="V1153" t="s">
        <v>12498</v>
      </c>
      <c r="W1153" t="s">
        <v>328</v>
      </c>
      <c r="X1153" t="s">
        <v>4</v>
      </c>
      <c r="Y1153" t="s">
        <v>12499</v>
      </c>
      <c r="Z1153" t="s">
        <v>12500</v>
      </c>
      <c r="AA1153" t="s">
        <v>12501</v>
      </c>
      <c r="AB1153" t="s">
        <v>4</v>
      </c>
      <c r="AC1153" s="3" t="s">
        <v>12502</v>
      </c>
      <c r="AD1153" t="s">
        <v>4</v>
      </c>
      <c r="AE1153" t="s">
        <v>12503</v>
      </c>
      <c r="AF1153" t="s">
        <v>834</v>
      </c>
      <c r="AG1153" t="s">
        <v>12504</v>
      </c>
      <c r="AH1153" t="s">
        <v>112</v>
      </c>
      <c r="AJ1153" t="s">
        <v>12505</v>
      </c>
      <c r="AK1153" t="s">
        <v>12506</v>
      </c>
      <c r="AL1153" t="s">
        <v>12507</v>
      </c>
      <c r="AM1153" t="s">
        <v>12508</v>
      </c>
      <c r="AQ1153" t="s">
        <v>12509</v>
      </c>
      <c r="AU1153" t="s">
        <v>112</v>
      </c>
      <c r="AV1153" t="s">
        <v>12510</v>
      </c>
      <c r="AW1153" t="s">
        <v>114</v>
      </c>
      <c r="AX1153" t="s">
        <v>167</v>
      </c>
      <c r="AY1153" t="s">
        <v>12511</v>
      </c>
      <c r="AZ1153" t="s">
        <v>4</v>
      </c>
      <c r="BA1153" s="3" t="s">
        <v>95</v>
      </c>
      <c r="BB1153" s="6" t="s">
        <v>95</v>
      </c>
      <c r="BC1153" s="3" t="s">
        <v>95</v>
      </c>
      <c r="BD1153" t="s">
        <v>4</v>
      </c>
      <c r="BE1153">
        <v>9807</v>
      </c>
      <c r="BF1153" t="s">
        <v>169</v>
      </c>
      <c r="BG1153">
        <v>95.9803</v>
      </c>
      <c r="BI1153">
        <v>57.26</v>
      </c>
      <c r="BJ1153">
        <v>82.198499999999996</v>
      </c>
      <c r="BK1153">
        <v>70.467600000000004</v>
      </c>
      <c r="BM1153">
        <v>79.2453</v>
      </c>
      <c r="BN1153">
        <v>79.163200000000003</v>
      </c>
      <c r="BO1153">
        <v>75.061499999999995</v>
      </c>
      <c r="BP1153">
        <v>24.938500000000001</v>
      </c>
      <c r="BQ1153">
        <v>14.6021</v>
      </c>
      <c r="BR1153">
        <v>20.508600000000001</v>
      </c>
      <c r="BS1153">
        <v>18.457799999999999</v>
      </c>
      <c r="BT1153" t="s">
        <v>12512</v>
      </c>
      <c r="BU1153">
        <v>23.79</v>
      </c>
      <c r="BV1153" t="s">
        <v>12513</v>
      </c>
      <c r="BW1153">
        <v>21.000800000000002</v>
      </c>
      <c r="BX1153">
        <v>22.231300000000001</v>
      </c>
      <c r="BZ1153" t="s">
        <v>12514</v>
      </c>
      <c r="CA1153" t="s">
        <v>12515</v>
      </c>
      <c r="CB1153">
        <v>14.6021</v>
      </c>
      <c r="CC1153">
        <v>12.8794</v>
      </c>
      <c r="CD1153">
        <v>14.4381</v>
      </c>
      <c r="CE1153">
        <v>13.371600000000001</v>
      </c>
      <c r="CF1153">
        <v>7.3010700000000002</v>
      </c>
      <c r="CG1153">
        <v>14.684200000000001</v>
      </c>
      <c r="CH1153">
        <v>15.0123</v>
      </c>
      <c r="CI1153">
        <v>15.422499999999999</v>
      </c>
      <c r="CJ1153">
        <v>8.7776899999999998</v>
      </c>
      <c r="CK1153">
        <v>9</v>
      </c>
      <c r="CL1153" t="s">
        <v>4</v>
      </c>
      <c r="CM1153" t="s">
        <v>12516</v>
      </c>
      <c r="CN1153" t="s">
        <v>12517</v>
      </c>
      <c r="CO1153" t="s">
        <v>219</v>
      </c>
      <c r="CP1153" t="s">
        <v>100</v>
      </c>
      <c r="CQ1153" t="s">
        <v>100</v>
      </c>
      <c r="CR1153" t="s">
        <v>100</v>
      </c>
      <c r="CS1153" t="s">
        <v>101</v>
      </c>
      <c r="CT1153" t="s">
        <v>152</v>
      </c>
      <c r="CU1153" t="s">
        <v>102</v>
      </c>
      <c r="CV1153" t="s">
        <v>235</v>
      </c>
    </row>
    <row r="1154" spans="1:100">
      <c r="A1154" s="3" t="s">
        <v>12518</v>
      </c>
      <c r="B1154" s="4" t="s">
        <v>12519</v>
      </c>
      <c r="C1154">
        <v>32.469048891894801</v>
      </c>
      <c r="D1154">
        <v>56.603081678376803</v>
      </c>
      <c r="E1154">
        <f>0.807897198158079</f>
        <v>0.80789719815807903</v>
      </c>
      <c r="F1154">
        <v>0.185923489948187</v>
      </c>
      <c r="G1154" t="s">
        <v>4</v>
      </c>
      <c r="H1154">
        <v>32.469048891894801</v>
      </c>
      <c r="I1154">
        <v>6.2045299424018499</v>
      </c>
      <c r="J1154">
        <v>2.3673314012722999</v>
      </c>
      <c r="K1154">
        <v>6.9482118449751805E-4</v>
      </c>
      <c r="L1154" t="s">
        <v>4</v>
      </c>
      <c r="M1154">
        <v>56.603081678376803</v>
      </c>
      <c r="N1154">
        <v>6.2045299424018499</v>
      </c>
      <c r="O1154">
        <v>3.1752285994303802</v>
      </c>
      <c r="P1154" s="5">
        <v>2.4315724119117201E-6</v>
      </c>
      <c r="Q1154" t="s">
        <v>4</v>
      </c>
      <c r="R1154" s="4" t="s">
        <v>87</v>
      </c>
      <c r="S1154" t="s">
        <v>4</v>
      </c>
      <c r="T1154" t="s">
        <v>460</v>
      </c>
      <c r="U1154" t="s">
        <v>461</v>
      </c>
      <c r="V1154" t="s">
        <v>462</v>
      </c>
      <c r="W1154" t="s">
        <v>123</v>
      </c>
      <c r="X1154" t="s">
        <v>4</v>
      </c>
      <c r="Y1154" t="s">
        <v>6643</v>
      </c>
      <c r="Z1154" t="s">
        <v>6644</v>
      </c>
      <c r="AA1154" t="s">
        <v>6645</v>
      </c>
      <c r="AB1154" t="s">
        <v>4</v>
      </c>
      <c r="AC1154" s="3" t="s">
        <v>93</v>
      </c>
      <c r="AD1154" t="s">
        <v>4</v>
      </c>
      <c r="AE1154" t="s">
        <v>3190</v>
      </c>
      <c r="AF1154" t="s">
        <v>3334</v>
      </c>
      <c r="AG1154" t="s">
        <v>11889</v>
      </c>
      <c r="AH1154" t="s">
        <v>112</v>
      </c>
      <c r="AJ1154" t="s">
        <v>3193</v>
      </c>
      <c r="AK1154" t="s">
        <v>3194</v>
      </c>
      <c r="AL1154" t="s">
        <v>3195</v>
      </c>
      <c r="AM1154" t="s">
        <v>3196</v>
      </c>
      <c r="AQ1154" t="s">
        <v>3197</v>
      </c>
      <c r="AU1154" t="s">
        <v>112</v>
      </c>
      <c r="AV1154" t="s">
        <v>3198</v>
      </c>
      <c r="AW1154" t="s">
        <v>114</v>
      </c>
      <c r="AX1154" t="s">
        <v>2157</v>
      </c>
      <c r="AY1154" t="s">
        <v>3199</v>
      </c>
      <c r="AZ1154" t="s">
        <v>4</v>
      </c>
      <c r="BA1154" s="3" t="s">
        <v>95</v>
      </c>
      <c r="BB1154" s="6" t="s">
        <v>95</v>
      </c>
      <c r="BC1154" s="3" t="s">
        <v>95</v>
      </c>
      <c r="BD1154" t="s">
        <v>4</v>
      </c>
      <c r="BE1154">
        <v>1611</v>
      </c>
      <c r="BF1154" t="s">
        <v>151</v>
      </c>
      <c r="BI1154">
        <v>71.088399999999993</v>
      </c>
      <c r="BJ1154" t="s">
        <v>12520</v>
      </c>
      <c r="CK1154">
        <v>2</v>
      </c>
      <c r="CL1154" t="s">
        <v>4</v>
      </c>
      <c r="CM1154" t="s">
        <v>98</v>
      </c>
      <c r="CN1154" t="s">
        <v>98</v>
      </c>
      <c r="CO1154" t="s">
        <v>99</v>
      </c>
      <c r="CP1154" t="s">
        <v>100</v>
      </c>
      <c r="CQ1154" t="s">
        <v>100</v>
      </c>
      <c r="CR1154" t="s">
        <v>100</v>
      </c>
      <c r="CS1154" t="s">
        <v>101</v>
      </c>
      <c r="CT1154" t="s">
        <v>152</v>
      </c>
      <c r="CU1154" t="s">
        <v>102</v>
      </c>
      <c r="CV1154" t="s">
        <v>100</v>
      </c>
    </row>
    <row r="1155" spans="1:100">
      <c r="A1155" s="3" t="s">
        <v>12521</v>
      </c>
      <c r="B1155" s="4" t="s">
        <v>12522</v>
      </c>
      <c r="C1155">
        <v>42.703500537541601</v>
      </c>
      <c r="D1155">
        <v>58.867485000691502</v>
      </c>
      <c r="E1155">
        <f>0.467825816549892</f>
        <v>0.46782581654989203</v>
      </c>
      <c r="F1155">
        <v>0.52811461038071295</v>
      </c>
      <c r="G1155" t="s">
        <v>4</v>
      </c>
      <c r="H1155">
        <v>42.703500537541601</v>
      </c>
      <c r="I1155">
        <v>6.2297971274167701</v>
      </c>
      <c r="J1155">
        <v>2.70560954588808</v>
      </c>
      <c r="K1155">
        <v>4.3611497777112202E-4</v>
      </c>
      <c r="L1155" t="s">
        <v>4</v>
      </c>
      <c r="M1155">
        <v>58.867485000691502</v>
      </c>
      <c r="N1155">
        <v>6.2297971274167701</v>
      </c>
      <c r="O1155">
        <v>3.1734353624379699</v>
      </c>
      <c r="P1155" s="5">
        <v>2.3757256076691E-5</v>
      </c>
      <c r="Q1155" t="s">
        <v>4</v>
      </c>
      <c r="R1155" s="4" t="s">
        <v>87</v>
      </c>
      <c r="S1155" t="s">
        <v>4</v>
      </c>
      <c r="T1155" t="s">
        <v>92</v>
      </c>
      <c r="U1155" t="s">
        <v>92</v>
      </c>
      <c r="V1155" t="s">
        <v>92</v>
      </c>
      <c r="W1155" t="s">
        <v>92</v>
      </c>
      <c r="X1155" t="s">
        <v>4</v>
      </c>
      <c r="Y1155" t="s">
        <v>92</v>
      </c>
      <c r="Z1155" t="s">
        <v>92</v>
      </c>
      <c r="AA1155" t="s">
        <v>92</v>
      </c>
      <c r="AB1155" t="s">
        <v>4</v>
      </c>
      <c r="AC1155" s="3" t="s">
        <v>93</v>
      </c>
      <c r="AD1155" t="s">
        <v>4</v>
      </c>
      <c r="AE1155" s="4" t="s">
        <v>94</v>
      </c>
      <c r="AZ1155" t="s">
        <v>4</v>
      </c>
      <c r="BA1155" s="3" t="s">
        <v>95</v>
      </c>
      <c r="BB1155" s="6" t="s">
        <v>95</v>
      </c>
      <c r="BC1155" s="3" t="s">
        <v>95</v>
      </c>
      <c r="BD1155" t="s">
        <v>4</v>
      </c>
      <c r="BE1155">
        <v>2182</v>
      </c>
      <c r="BF1155" t="s">
        <v>148</v>
      </c>
      <c r="BG1155">
        <v>88.700599999999994</v>
      </c>
      <c r="BH1155">
        <v>25.4237</v>
      </c>
      <c r="BJ1155">
        <v>35.310699999999997</v>
      </c>
      <c r="BK1155">
        <v>60.734499999999997</v>
      </c>
      <c r="BL1155">
        <v>39.548000000000002</v>
      </c>
      <c r="BM1155">
        <v>54.237299999999998</v>
      </c>
      <c r="BN1155">
        <v>39.548000000000002</v>
      </c>
      <c r="BO1155">
        <v>59.604500000000002</v>
      </c>
      <c r="CK1155">
        <v>3</v>
      </c>
      <c r="CL1155" t="s">
        <v>4</v>
      </c>
      <c r="CM1155" t="s">
        <v>98</v>
      </c>
      <c r="CN1155" t="s">
        <v>98</v>
      </c>
      <c r="CO1155" t="s">
        <v>99</v>
      </c>
      <c r="CP1155" t="s">
        <v>100</v>
      </c>
      <c r="CQ1155" t="s">
        <v>100</v>
      </c>
      <c r="CR1155" t="s">
        <v>100</v>
      </c>
      <c r="CS1155" t="s">
        <v>101</v>
      </c>
      <c r="CT1155" t="s">
        <v>152</v>
      </c>
      <c r="CU1155" t="s">
        <v>102</v>
      </c>
      <c r="CV1155" t="s">
        <v>100</v>
      </c>
    </row>
    <row r="1156" spans="1:100">
      <c r="A1156" s="3" t="s">
        <v>12523</v>
      </c>
      <c r="B1156" s="4" t="s">
        <v>12524</v>
      </c>
      <c r="C1156">
        <v>76.964295508267099</v>
      </c>
      <c r="D1156">
        <v>90.737056188325596</v>
      </c>
      <c r="E1156">
        <f>0.237315882611231</f>
        <v>0.23731588261123099</v>
      </c>
      <c r="F1156">
        <v>0.64502647337884</v>
      </c>
      <c r="G1156" t="s">
        <v>4</v>
      </c>
      <c r="H1156">
        <v>76.964295508267099</v>
      </c>
      <c r="I1156">
        <v>10.6432403185</v>
      </c>
      <c r="J1156">
        <v>2.9354215314042902</v>
      </c>
      <c r="K1156" s="5">
        <v>4.1727186554218098E-8</v>
      </c>
      <c r="L1156" t="s">
        <v>4</v>
      </c>
      <c r="M1156">
        <v>90.737056188325596</v>
      </c>
      <c r="N1156">
        <v>10.6432403185</v>
      </c>
      <c r="O1156">
        <v>3.1727374140155198</v>
      </c>
      <c r="P1156" s="5">
        <v>2.0188541033965802E-9</v>
      </c>
      <c r="Q1156" t="s">
        <v>4</v>
      </c>
      <c r="R1156" s="4" t="s">
        <v>87</v>
      </c>
      <c r="S1156" t="s">
        <v>4</v>
      </c>
      <c r="T1156" t="s">
        <v>7772</v>
      </c>
      <c r="U1156" t="s">
        <v>7773</v>
      </c>
      <c r="V1156" t="s">
        <v>7774</v>
      </c>
      <c r="W1156" t="s">
        <v>123</v>
      </c>
      <c r="X1156" t="s">
        <v>4</v>
      </c>
      <c r="Y1156" t="s">
        <v>10782</v>
      </c>
      <c r="Z1156" t="s">
        <v>10783</v>
      </c>
      <c r="AA1156" t="s">
        <v>10784</v>
      </c>
      <c r="AB1156" t="s">
        <v>4</v>
      </c>
      <c r="AC1156" s="3" t="s">
        <v>12525</v>
      </c>
      <c r="AD1156" t="s">
        <v>4</v>
      </c>
      <c r="AE1156" t="s">
        <v>12526</v>
      </c>
      <c r="AF1156" t="s">
        <v>12527</v>
      </c>
      <c r="AG1156" t="s">
        <v>6855</v>
      </c>
      <c r="AH1156" t="s">
        <v>12528</v>
      </c>
      <c r="AU1156" t="s">
        <v>112</v>
      </c>
      <c r="AV1156" t="s">
        <v>12529</v>
      </c>
      <c r="AW1156" t="s">
        <v>114</v>
      </c>
      <c r="AX1156" t="s">
        <v>596</v>
      </c>
      <c r="AY1156" t="s">
        <v>12530</v>
      </c>
      <c r="AZ1156" t="s">
        <v>4</v>
      </c>
      <c r="BA1156" s="3" t="s">
        <v>95</v>
      </c>
      <c r="BB1156" s="6" t="s">
        <v>95</v>
      </c>
      <c r="BC1156" s="3" t="s">
        <v>95</v>
      </c>
      <c r="BD1156" t="s">
        <v>4</v>
      </c>
      <c r="BE1156">
        <v>8151</v>
      </c>
      <c r="BF1156" t="s">
        <v>213</v>
      </c>
      <c r="BH1156">
        <v>87.719300000000004</v>
      </c>
      <c r="BI1156">
        <v>81.871300000000005</v>
      </c>
      <c r="BO1156">
        <v>83.040899999999993</v>
      </c>
      <c r="CE1156">
        <v>19.298200000000001</v>
      </c>
      <c r="CG1156">
        <v>23.976600000000001</v>
      </c>
      <c r="CH1156">
        <v>23.976600000000001</v>
      </c>
      <c r="CI1156">
        <v>23.3918</v>
      </c>
      <c r="CK1156">
        <v>8</v>
      </c>
      <c r="CL1156" t="s">
        <v>4</v>
      </c>
      <c r="CM1156" t="s">
        <v>98</v>
      </c>
      <c r="CN1156" t="s">
        <v>98</v>
      </c>
      <c r="CO1156" t="s">
        <v>99</v>
      </c>
      <c r="CP1156" t="s">
        <v>100</v>
      </c>
      <c r="CQ1156" t="s">
        <v>100</v>
      </c>
      <c r="CR1156" t="s">
        <v>100</v>
      </c>
      <c r="CS1156" t="s">
        <v>101</v>
      </c>
      <c r="CT1156" t="s">
        <v>152</v>
      </c>
      <c r="CU1156" t="s">
        <v>102</v>
      </c>
      <c r="CV1156" t="s">
        <v>100</v>
      </c>
    </row>
    <row r="1157" spans="1:100">
      <c r="A1157" s="3" t="s">
        <v>12531</v>
      </c>
      <c r="B1157" s="4" t="s">
        <v>12532</v>
      </c>
      <c r="C1157">
        <v>203.468474970062</v>
      </c>
      <c r="D1157">
        <v>110.80595291593301</v>
      </c>
      <c r="E1157">
        <v>0.87364466481789604</v>
      </c>
      <c r="F1157">
        <v>7.9266092364996699E-3</v>
      </c>
      <c r="G1157" t="s">
        <v>4</v>
      </c>
      <c r="H1157">
        <v>203.468474970062</v>
      </c>
      <c r="I1157">
        <v>12.8302810491543</v>
      </c>
      <c r="J1157">
        <v>4.0347226456985403</v>
      </c>
      <c r="K1157" s="5">
        <v>3.3610022502316501E-23</v>
      </c>
      <c r="L1157" t="s">
        <v>4</v>
      </c>
      <c r="M1157">
        <v>110.80595291593301</v>
      </c>
      <c r="N1157">
        <v>12.8302810491543</v>
      </c>
      <c r="O1157">
        <v>3.16107798088064</v>
      </c>
      <c r="P1157" s="5">
        <v>1.82090744164444E-14</v>
      </c>
      <c r="Q1157" t="s">
        <v>4</v>
      </c>
      <c r="R1157" s="4" t="s">
        <v>87</v>
      </c>
      <c r="S1157" t="s">
        <v>4</v>
      </c>
      <c r="T1157" t="s">
        <v>92</v>
      </c>
      <c r="U1157" t="s">
        <v>92</v>
      </c>
      <c r="V1157" t="s">
        <v>92</v>
      </c>
      <c r="W1157" t="s">
        <v>92</v>
      </c>
      <c r="X1157" t="s">
        <v>4</v>
      </c>
      <c r="Y1157" t="s">
        <v>92</v>
      </c>
      <c r="Z1157" t="s">
        <v>92</v>
      </c>
      <c r="AA1157" t="s">
        <v>92</v>
      </c>
      <c r="AB1157" t="s">
        <v>4</v>
      </c>
      <c r="AC1157" s="3" t="s">
        <v>93</v>
      </c>
      <c r="AD1157" t="s">
        <v>4</v>
      </c>
      <c r="AE1157" s="4" t="s">
        <v>94</v>
      </c>
      <c r="AZ1157" t="s">
        <v>4</v>
      </c>
      <c r="BA1157" s="3" t="s">
        <v>95</v>
      </c>
      <c r="BB1157" t="s">
        <v>96</v>
      </c>
      <c r="BC1157" s="3" t="s">
        <v>95</v>
      </c>
      <c r="BD1157" t="s">
        <v>4</v>
      </c>
      <c r="BE1157">
        <v>2871</v>
      </c>
      <c r="BF1157" t="s">
        <v>97</v>
      </c>
      <c r="BG1157">
        <v>98.139499999999998</v>
      </c>
      <c r="BH1157">
        <v>93.488399999999999</v>
      </c>
      <c r="BI1157" t="s">
        <v>12533</v>
      </c>
      <c r="BJ1157">
        <v>32.093000000000004</v>
      </c>
      <c r="BL1157">
        <v>58.604700000000001</v>
      </c>
      <c r="BN1157">
        <v>59.5349</v>
      </c>
      <c r="BO1157">
        <v>50.697699999999998</v>
      </c>
      <c r="CK1157">
        <v>4</v>
      </c>
      <c r="CL1157" t="s">
        <v>4</v>
      </c>
      <c r="CM1157" t="s">
        <v>98</v>
      </c>
      <c r="CN1157" t="s">
        <v>98</v>
      </c>
      <c r="CO1157" t="s">
        <v>99</v>
      </c>
      <c r="CP1157" t="s">
        <v>100</v>
      </c>
      <c r="CQ1157" t="s">
        <v>100</v>
      </c>
      <c r="CR1157" t="s">
        <v>100</v>
      </c>
      <c r="CS1157" t="s">
        <v>101</v>
      </c>
      <c r="CT1157" t="s">
        <v>152</v>
      </c>
      <c r="CU1157" t="s">
        <v>102</v>
      </c>
      <c r="CV1157" t="s">
        <v>100</v>
      </c>
    </row>
    <row r="1158" spans="1:100">
      <c r="A1158" s="3" t="s">
        <v>12534</v>
      </c>
      <c r="B1158" s="4" t="s">
        <v>12535</v>
      </c>
      <c r="C1158">
        <v>1087.6605669839601</v>
      </c>
      <c r="D1158">
        <v>947.95787543566496</v>
      </c>
      <c r="E1158">
        <v>0.19785872189496201</v>
      </c>
      <c r="F1158">
        <v>0.40733382786477101</v>
      </c>
      <c r="G1158" t="s">
        <v>4</v>
      </c>
      <c r="H1158">
        <v>1087.6605669839601</v>
      </c>
      <c r="I1158">
        <v>108.077570885052</v>
      </c>
      <c r="J1158">
        <v>3.3459365045671099</v>
      </c>
      <c r="K1158" s="5">
        <v>1.1116110185579199E-50</v>
      </c>
      <c r="L1158" t="s">
        <v>4</v>
      </c>
      <c r="M1158">
        <v>947.95787543566496</v>
      </c>
      <c r="N1158">
        <v>108.077570885052</v>
      </c>
      <c r="O1158">
        <v>3.14807778267215</v>
      </c>
      <c r="P1158" s="5">
        <v>5.8847297401251496E-45</v>
      </c>
      <c r="Q1158" t="s">
        <v>4</v>
      </c>
      <c r="R1158" s="4" t="s">
        <v>87</v>
      </c>
      <c r="S1158" t="s">
        <v>4</v>
      </c>
      <c r="T1158" t="s">
        <v>92</v>
      </c>
      <c r="U1158" t="s">
        <v>92</v>
      </c>
      <c r="V1158" t="s">
        <v>92</v>
      </c>
      <c r="W1158" t="s">
        <v>92</v>
      </c>
      <c r="X1158" t="s">
        <v>4</v>
      </c>
      <c r="Y1158" t="s">
        <v>12536</v>
      </c>
      <c r="Z1158" t="s">
        <v>12537</v>
      </c>
      <c r="AA1158" t="s">
        <v>12538</v>
      </c>
      <c r="AB1158" t="s">
        <v>4</v>
      </c>
      <c r="AC1158" s="3" t="s">
        <v>12539</v>
      </c>
      <c r="AD1158" t="s">
        <v>4</v>
      </c>
      <c r="AE1158" t="s">
        <v>12540</v>
      </c>
      <c r="AF1158" t="s">
        <v>12541</v>
      </c>
      <c r="AG1158" t="s">
        <v>12542</v>
      </c>
      <c r="AH1158" t="s">
        <v>112</v>
      </c>
      <c r="AJ1158" t="s">
        <v>12543</v>
      </c>
      <c r="AK1158" t="s">
        <v>12544</v>
      </c>
      <c r="AL1158" t="s">
        <v>12545</v>
      </c>
      <c r="AM1158" t="s">
        <v>12546</v>
      </c>
      <c r="AN1158" t="s">
        <v>12547</v>
      </c>
      <c r="AO1158" t="s">
        <v>12548</v>
      </c>
      <c r="AP1158" t="s">
        <v>7603</v>
      </c>
      <c r="AQ1158" t="s">
        <v>12239</v>
      </c>
      <c r="AU1158" t="s">
        <v>112</v>
      </c>
      <c r="AV1158" t="s">
        <v>12549</v>
      </c>
      <c r="AW1158" t="s">
        <v>114</v>
      </c>
      <c r="AX1158" t="s">
        <v>733</v>
      </c>
      <c r="AY1158" t="s">
        <v>12550</v>
      </c>
      <c r="AZ1158" t="s">
        <v>4</v>
      </c>
      <c r="BA1158" s="3" t="s">
        <v>115</v>
      </c>
      <c r="BB1158" s="6" t="s">
        <v>95</v>
      </c>
      <c r="BC1158" s="3" t="s">
        <v>95</v>
      </c>
      <c r="BD1158" t="s">
        <v>4</v>
      </c>
      <c r="BE1158">
        <v>4010</v>
      </c>
      <c r="BF1158" t="s">
        <v>112</v>
      </c>
      <c r="BI1158">
        <v>85.384600000000006</v>
      </c>
      <c r="BL1158">
        <v>43.846200000000003</v>
      </c>
      <c r="BY1158">
        <v>11.538500000000001</v>
      </c>
      <c r="CK1158">
        <v>5</v>
      </c>
      <c r="CL1158" t="s">
        <v>4</v>
      </c>
      <c r="CM1158" t="s">
        <v>98</v>
      </c>
      <c r="CN1158" t="s">
        <v>98</v>
      </c>
      <c r="CO1158" t="s">
        <v>99</v>
      </c>
      <c r="CP1158" t="s">
        <v>100</v>
      </c>
      <c r="CQ1158" t="s">
        <v>100</v>
      </c>
      <c r="CR1158" t="s">
        <v>100</v>
      </c>
      <c r="CS1158" t="s">
        <v>101</v>
      </c>
      <c r="CT1158" t="s">
        <v>152</v>
      </c>
      <c r="CU1158" t="s">
        <v>102</v>
      </c>
      <c r="CV1158" t="s">
        <v>100</v>
      </c>
    </row>
    <row r="1159" spans="1:100">
      <c r="A1159" s="3" t="s">
        <v>12551</v>
      </c>
      <c r="B1159" s="4" t="s">
        <v>12552</v>
      </c>
      <c r="C1159">
        <v>22.513539179309301</v>
      </c>
      <c r="D1159">
        <v>20.535061602425699</v>
      </c>
      <c r="E1159">
        <v>0.139253681841775</v>
      </c>
      <c r="F1159">
        <v>0.88041610472915799</v>
      </c>
      <c r="G1159" t="s">
        <v>4</v>
      </c>
      <c r="H1159">
        <v>22.513539179309301</v>
      </c>
      <c r="I1159">
        <v>2.4312491086885002</v>
      </c>
      <c r="J1159">
        <v>3.2828846447051201</v>
      </c>
      <c r="K1159">
        <v>1.1355933218554499E-3</v>
      </c>
      <c r="L1159" t="s">
        <v>4</v>
      </c>
      <c r="M1159">
        <v>20.535061602425699</v>
      </c>
      <c r="N1159">
        <v>2.4312491086885002</v>
      </c>
      <c r="O1159">
        <v>3.1436309628633499</v>
      </c>
      <c r="P1159">
        <v>1.7405263850212101E-3</v>
      </c>
      <c r="Q1159" t="s">
        <v>4</v>
      </c>
      <c r="R1159" s="4" t="s">
        <v>87</v>
      </c>
      <c r="S1159" t="s">
        <v>4</v>
      </c>
      <c r="T1159" t="s">
        <v>92</v>
      </c>
      <c r="U1159" t="s">
        <v>92</v>
      </c>
      <c r="V1159" t="s">
        <v>92</v>
      </c>
      <c r="W1159" t="s">
        <v>92</v>
      </c>
      <c r="X1159" t="s">
        <v>4</v>
      </c>
      <c r="Y1159" t="s">
        <v>92</v>
      </c>
      <c r="Z1159" t="s">
        <v>92</v>
      </c>
      <c r="AA1159" t="s">
        <v>92</v>
      </c>
      <c r="AB1159" t="s">
        <v>4</v>
      </c>
      <c r="AC1159" s="3" t="s">
        <v>93</v>
      </c>
      <c r="AD1159" t="s">
        <v>4</v>
      </c>
      <c r="AE1159" s="4" t="s">
        <v>94</v>
      </c>
      <c r="AZ1159" t="s">
        <v>4</v>
      </c>
      <c r="BA1159" s="3" t="s">
        <v>95</v>
      </c>
      <c r="BB1159" s="6" t="s">
        <v>95</v>
      </c>
      <c r="BC1159" s="3" t="s">
        <v>95</v>
      </c>
      <c r="BD1159" t="s">
        <v>4</v>
      </c>
      <c r="BE1159">
        <v>1726</v>
      </c>
      <c r="BF1159" t="s">
        <v>151</v>
      </c>
      <c r="BI1159">
        <v>80.219800000000006</v>
      </c>
      <c r="BJ1159">
        <v>58.241799999999998</v>
      </c>
      <c r="BN1159">
        <v>52.747300000000003</v>
      </c>
      <c r="CK1159">
        <v>2</v>
      </c>
      <c r="CL1159" t="s">
        <v>4</v>
      </c>
      <c r="CM1159" t="s">
        <v>98</v>
      </c>
      <c r="CN1159" t="s">
        <v>98</v>
      </c>
      <c r="CO1159" t="s">
        <v>99</v>
      </c>
      <c r="CP1159" t="s">
        <v>100</v>
      </c>
      <c r="CQ1159" t="s">
        <v>100</v>
      </c>
      <c r="CR1159" t="s">
        <v>100</v>
      </c>
      <c r="CS1159" t="s">
        <v>101</v>
      </c>
      <c r="CT1159" t="s">
        <v>152</v>
      </c>
      <c r="CU1159" t="s">
        <v>102</v>
      </c>
      <c r="CV1159" t="s">
        <v>100</v>
      </c>
    </row>
    <row r="1160" spans="1:100">
      <c r="A1160" s="3" t="s">
        <v>12553</v>
      </c>
      <c r="B1160" s="4" t="s">
        <v>12554</v>
      </c>
      <c r="C1160">
        <v>1180.37877750289</v>
      </c>
      <c r="D1160">
        <v>1367.7024854259701</v>
      </c>
      <c r="E1160">
        <f>0.211867236229846</f>
        <v>0.21186723622984599</v>
      </c>
      <c r="F1160">
        <v>0.42512639646807299</v>
      </c>
      <c r="G1160" t="s">
        <v>4</v>
      </c>
      <c r="H1160">
        <v>1180.37877750289</v>
      </c>
      <c r="I1160">
        <v>155.30948924497901</v>
      </c>
      <c r="J1160">
        <v>2.9189275945755799</v>
      </c>
      <c r="K1160" s="5">
        <v>2.7047719214185799E-34</v>
      </c>
      <c r="L1160" t="s">
        <v>4</v>
      </c>
      <c r="M1160">
        <v>1367.7024854259701</v>
      </c>
      <c r="N1160">
        <v>155.30948924497901</v>
      </c>
      <c r="O1160">
        <v>3.1307948308054199</v>
      </c>
      <c r="P1160" s="5">
        <v>1.9195416602320202E-39</v>
      </c>
      <c r="Q1160" t="s">
        <v>4</v>
      </c>
      <c r="R1160" s="4" t="s">
        <v>87</v>
      </c>
      <c r="S1160" t="s">
        <v>4</v>
      </c>
      <c r="T1160" t="s">
        <v>12555</v>
      </c>
      <c r="U1160" t="s">
        <v>12556</v>
      </c>
      <c r="V1160" t="s">
        <v>12557</v>
      </c>
      <c r="W1160" t="s">
        <v>976</v>
      </c>
      <c r="X1160" t="s">
        <v>4</v>
      </c>
      <c r="Y1160" t="s">
        <v>12558</v>
      </c>
      <c r="Z1160" t="s">
        <v>12559</v>
      </c>
      <c r="AA1160" t="s">
        <v>12559</v>
      </c>
      <c r="AB1160" t="s">
        <v>4</v>
      </c>
      <c r="AC1160" s="3" t="s">
        <v>12560</v>
      </c>
      <c r="AD1160" t="s">
        <v>4</v>
      </c>
      <c r="AE1160" t="s">
        <v>12561</v>
      </c>
      <c r="AF1160" t="s">
        <v>12562</v>
      </c>
      <c r="AG1160" t="s">
        <v>12563</v>
      </c>
      <c r="AH1160" t="s">
        <v>112</v>
      </c>
      <c r="AK1160" t="s">
        <v>12564</v>
      </c>
      <c r="AL1160" t="s">
        <v>12565</v>
      </c>
      <c r="AM1160" t="s">
        <v>12566</v>
      </c>
      <c r="AQ1160" t="s">
        <v>8795</v>
      </c>
      <c r="AU1160" t="s">
        <v>112</v>
      </c>
      <c r="AV1160" t="s">
        <v>12567</v>
      </c>
      <c r="AW1160" t="s">
        <v>114</v>
      </c>
      <c r="AX1160" t="s">
        <v>12568</v>
      </c>
      <c r="AY1160" t="s">
        <v>12569</v>
      </c>
      <c r="AZ1160" t="s">
        <v>4</v>
      </c>
      <c r="BA1160" s="3" t="s">
        <v>95</v>
      </c>
      <c r="BB1160" s="6" t="s">
        <v>95</v>
      </c>
      <c r="BC1160" s="3" t="s">
        <v>95</v>
      </c>
      <c r="BD1160" t="s">
        <v>4</v>
      </c>
      <c r="BE1160">
        <v>10264</v>
      </c>
      <c r="BF1160" t="s">
        <v>169</v>
      </c>
      <c r="BG1160">
        <v>97.540999999999997</v>
      </c>
      <c r="BH1160">
        <v>99.180300000000003</v>
      </c>
      <c r="BI1160">
        <v>89.959000000000003</v>
      </c>
      <c r="BJ1160">
        <v>72.540999999999997</v>
      </c>
      <c r="BK1160">
        <v>72.745900000000006</v>
      </c>
      <c r="BL1160">
        <v>59.631100000000004</v>
      </c>
      <c r="BM1160">
        <v>66.598399999999998</v>
      </c>
      <c r="BN1160">
        <v>72.745900000000006</v>
      </c>
      <c r="BO1160">
        <v>69.877099999999999</v>
      </c>
      <c r="BP1160">
        <v>36.065600000000003</v>
      </c>
      <c r="BT1160">
        <v>16.3934</v>
      </c>
      <c r="BU1160">
        <v>16.188500000000001</v>
      </c>
      <c r="BV1160" t="s">
        <v>12570</v>
      </c>
      <c r="BW1160">
        <v>21.721299999999999</v>
      </c>
      <c r="BX1160">
        <v>21.516400000000001</v>
      </c>
      <c r="CA1160">
        <v>21.516400000000001</v>
      </c>
      <c r="CB1160">
        <v>23.770499999999998</v>
      </c>
      <c r="CC1160">
        <v>16.3934</v>
      </c>
      <c r="CE1160">
        <v>15.778700000000001</v>
      </c>
      <c r="CF1160">
        <v>15.3689</v>
      </c>
      <c r="CG1160" t="s">
        <v>12571</v>
      </c>
      <c r="CH1160" t="s">
        <v>12572</v>
      </c>
      <c r="CI1160" t="s">
        <v>12573</v>
      </c>
      <c r="CK1160">
        <v>9</v>
      </c>
      <c r="CL1160" t="s">
        <v>4</v>
      </c>
      <c r="CM1160" t="s">
        <v>12574</v>
      </c>
      <c r="CN1160" t="s">
        <v>12575</v>
      </c>
      <c r="CO1160" t="s">
        <v>219</v>
      </c>
      <c r="CP1160" t="s">
        <v>100</v>
      </c>
      <c r="CQ1160" t="s">
        <v>100</v>
      </c>
      <c r="CR1160" t="s">
        <v>100</v>
      </c>
      <c r="CS1160" t="s">
        <v>101</v>
      </c>
      <c r="CT1160" t="s">
        <v>152</v>
      </c>
      <c r="CU1160" t="s">
        <v>102</v>
      </c>
      <c r="CV1160" t="s">
        <v>100</v>
      </c>
    </row>
    <row r="1161" spans="1:100">
      <c r="A1161" s="3" t="s">
        <v>12576</v>
      </c>
      <c r="B1161" s="4" t="s">
        <v>12577</v>
      </c>
      <c r="C1161">
        <v>1483.29804851828</v>
      </c>
      <c r="D1161">
        <v>1953.58523953138</v>
      </c>
      <c r="E1161">
        <f>0.397644743425094</f>
        <v>0.39764474342509398</v>
      </c>
      <c r="F1161">
        <v>0.158595202842025</v>
      </c>
      <c r="G1161" t="s">
        <v>4</v>
      </c>
      <c r="H1161">
        <v>1483.29804851828</v>
      </c>
      <c r="I1161">
        <v>224.39335908365001</v>
      </c>
      <c r="J1161">
        <v>2.71930690396416</v>
      </c>
      <c r="K1161" s="5">
        <v>3.73593849607966E-26</v>
      </c>
      <c r="L1161" t="s">
        <v>4</v>
      </c>
      <c r="M1161">
        <v>1953.58523953138</v>
      </c>
      <c r="N1161">
        <v>224.39335908365001</v>
      </c>
      <c r="O1161">
        <v>3.1169516473892598</v>
      </c>
      <c r="P1161" s="5">
        <v>3.1452736278821102E-34</v>
      </c>
      <c r="Q1161" t="s">
        <v>4</v>
      </c>
      <c r="R1161" s="4" t="s">
        <v>87</v>
      </c>
      <c r="S1161" t="s">
        <v>4</v>
      </c>
      <c r="T1161" t="s">
        <v>12578</v>
      </c>
      <c r="U1161" t="s">
        <v>12579</v>
      </c>
      <c r="V1161" t="s">
        <v>12580</v>
      </c>
      <c r="W1161" t="s">
        <v>328</v>
      </c>
      <c r="X1161" t="s">
        <v>4</v>
      </c>
      <c r="Y1161" t="s">
        <v>463</v>
      </c>
      <c r="Z1161" t="s">
        <v>464</v>
      </c>
      <c r="AA1161" t="s">
        <v>465</v>
      </c>
      <c r="AB1161" t="s">
        <v>4</v>
      </c>
      <c r="AC1161" s="3" t="s">
        <v>12581</v>
      </c>
      <c r="AD1161" t="s">
        <v>4</v>
      </c>
      <c r="AE1161" t="s">
        <v>12582</v>
      </c>
      <c r="AF1161" t="s">
        <v>12583</v>
      </c>
      <c r="AG1161" t="s">
        <v>1321</v>
      </c>
      <c r="AH1161" t="s">
        <v>112</v>
      </c>
      <c r="AJ1161" t="s">
        <v>12584</v>
      </c>
      <c r="AU1161" t="s">
        <v>112</v>
      </c>
      <c r="AV1161" t="s">
        <v>12585</v>
      </c>
      <c r="AW1161" t="s">
        <v>114</v>
      </c>
      <c r="AX1161" t="s">
        <v>371</v>
      </c>
      <c r="AY1161" t="s">
        <v>12586</v>
      </c>
      <c r="AZ1161" t="s">
        <v>4</v>
      </c>
      <c r="BA1161" s="3" t="s">
        <v>95</v>
      </c>
      <c r="BB1161" s="6" t="s">
        <v>95</v>
      </c>
      <c r="BC1161" s="3" t="s">
        <v>95</v>
      </c>
      <c r="BD1161" t="s">
        <v>4</v>
      </c>
      <c r="BE1161">
        <v>5552</v>
      </c>
      <c r="BF1161" t="s">
        <v>386</v>
      </c>
      <c r="BG1161">
        <v>91.0959</v>
      </c>
      <c r="BH1161">
        <v>24.657499999999999</v>
      </c>
      <c r="BI1161">
        <v>97.260300000000001</v>
      </c>
      <c r="BJ1161">
        <v>90.182599999999994</v>
      </c>
      <c r="BK1161">
        <v>92.465800000000002</v>
      </c>
      <c r="BL1161">
        <v>87.442899999999995</v>
      </c>
      <c r="BM1161">
        <v>92.237399999999994</v>
      </c>
      <c r="BN1161">
        <v>92.009100000000004</v>
      </c>
      <c r="BO1161">
        <v>71.004599999999996</v>
      </c>
      <c r="BP1161">
        <v>68.036500000000004</v>
      </c>
      <c r="BQ1161">
        <v>43.378999999999998</v>
      </c>
      <c r="BR1161">
        <v>46.347000000000001</v>
      </c>
      <c r="BS1161">
        <v>36.758000000000003</v>
      </c>
      <c r="BT1161">
        <v>12.328799999999999</v>
      </c>
      <c r="BU1161">
        <v>11.4155</v>
      </c>
      <c r="BV1161" t="s">
        <v>12587</v>
      </c>
      <c r="BW1161">
        <v>52.739699999999999</v>
      </c>
      <c r="BX1161">
        <v>26.0274</v>
      </c>
      <c r="BZ1161">
        <v>46.575299999999999</v>
      </c>
      <c r="CA1161" t="s">
        <v>12588</v>
      </c>
      <c r="CF1161">
        <v>4.3379000000000003</v>
      </c>
      <c r="CG1161" t="s">
        <v>12589</v>
      </c>
      <c r="CH1161" t="s">
        <v>12590</v>
      </c>
      <c r="CI1161" t="s">
        <v>12591</v>
      </c>
      <c r="CK1161">
        <v>7</v>
      </c>
      <c r="CL1161" t="s">
        <v>4</v>
      </c>
      <c r="CM1161" t="s">
        <v>12592</v>
      </c>
      <c r="CN1161" t="s">
        <v>12593</v>
      </c>
      <c r="CO1161" t="s">
        <v>1218</v>
      </c>
      <c r="CP1161" t="s">
        <v>100</v>
      </c>
      <c r="CQ1161" t="s">
        <v>100</v>
      </c>
      <c r="CR1161" t="s">
        <v>100</v>
      </c>
      <c r="CS1161" t="s">
        <v>101</v>
      </c>
      <c r="CT1161" t="s">
        <v>152</v>
      </c>
      <c r="CU1161" t="s">
        <v>102</v>
      </c>
      <c r="CV1161" t="s">
        <v>100</v>
      </c>
    </row>
    <row r="1162" spans="1:100">
      <c r="A1162" s="3" t="s">
        <v>12594</v>
      </c>
      <c r="B1162" s="4" t="s">
        <v>12595</v>
      </c>
      <c r="C1162">
        <v>446.77397354616897</v>
      </c>
      <c r="D1162">
        <v>261.04507781941402</v>
      </c>
      <c r="E1162">
        <v>0.77382759003755297</v>
      </c>
      <c r="F1162">
        <v>1.87530875367482E-2</v>
      </c>
      <c r="G1162" t="s">
        <v>4</v>
      </c>
      <c r="H1162">
        <v>446.77397354616897</v>
      </c>
      <c r="I1162">
        <v>29.657917478897598</v>
      </c>
      <c r="J1162">
        <v>3.8812495409646801</v>
      </c>
      <c r="K1162" s="5">
        <v>2.3550160210918299E-29</v>
      </c>
      <c r="L1162" t="s">
        <v>4</v>
      </c>
      <c r="M1162">
        <v>261.04507781941402</v>
      </c>
      <c r="N1162">
        <v>29.657917478897598</v>
      </c>
      <c r="O1162">
        <v>3.1074219509271201</v>
      </c>
      <c r="P1162" s="5">
        <v>4.3754154223925099E-19</v>
      </c>
      <c r="Q1162" t="s">
        <v>4</v>
      </c>
      <c r="R1162" s="4" t="s">
        <v>87</v>
      </c>
      <c r="S1162" t="s">
        <v>4</v>
      </c>
      <c r="T1162" t="s">
        <v>88</v>
      </c>
      <c r="U1162" t="s">
        <v>89</v>
      </c>
      <c r="V1162" t="s">
        <v>90</v>
      </c>
      <c r="W1162" t="s">
        <v>91</v>
      </c>
      <c r="X1162" t="s">
        <v>4</v>
      </c>
      <c r="Y1162" t="s">
        <v>12596</v>
      </c>
      <c r="Z1162" t="s">
        <v>12597</v>
      </c>
      <c r="AA1162" t="s">
        <v>12598</v>
      </c>
      <c r="AB1162" t="s">
        <v>4</v>
      </c>
      <c r="AC1162" s="3" t="s">
        <v>12599</v>
      </c>
      <c r="AD1162" t="s">
        <v>4</v>
      </c>
      <c r="AE1162" t="s">
        <v>12600</v>
      </c>
      <c r="AF1162" t="s">
        <v>834</v>
      </c>
      <c r="AG1162" t="s">
        <v>12601</v>
      </c>
      <c r="AH1162" t="s">
        <v>282</v>
      </c>
      <c r="AU1162" t="s">
        <v>112</v>
      </c>
      <c r="AV1162" t="s">
        <v>12602</v>
      </c>
      <c r="AW1162" t="s">
        <v>114</v>
      </c>
      <c r="AX1162" t="s">
        <v>345</v>
      </c>
      <c r="AY1162" t="s">
        <v>12603</v>
      </c>
      <c r="AZ1162" t="s">
        <v>4</v>
      </c>
      <c r="BA1162" s="3" t="s">
        <v>95</v>
      </c>
      <c r="BB1162" t="s">
        <v>96</v>
      </c>
      <c r="BC1162" s="3" t="s">
        <v>197</v>
      </c>
      <c r="BD1162" t="s">
        <v>4</v>
      </c>
      <c r="BE1162">
        <v>7980</v>
      </c>
      <c r="BF1162" t="s">
        <v>213</v>
      </c>
      <c r="BI1162">
        <v>73.3232</v>
      </c>
      <c r="BJ1162">
        <v>82.9268</v>
      </c>
      <c r="BK1162">
        <v>71.493899999999996</v>
      </c>
      <c r="BM1162">
        <v>28.5061</v>
      </c>
      <c r="BN1162">
        <v>71.9512</v>
      </c>
      <c r="BO1162">
        <v>58.689</v>
      </c>
      <c r="BP1162">
        <v>53.2012</v>
      </c>
      <c r="BQ1162" t="s">
        <v>12604</v>
      </c>
      <c r="BR1162" t="s">
        <v>12605</v>
      </c>
      <c r="BS1162" t="s">
        <v>12606</v>
      </c>
      <c r="BT1162" t="s">
        <v>12607</v>
      </c>
      <c r="BV1162" t="s">
        <v>12608</v>
      </c>
      <c r="BW1162">
        <v>13.872</v>
      </c>
      <c r="BX1162" t="s">
        <v>12609</v>
      </c>
      <c r="BY1162">
        <v>15.5488</v>
      </c>
      <c r="BZ1162" t="s">
        <v>12610</v>
      </c>
      <c r="CA1162">
        <v>19.5122</v>
      </c>
      <c r="CB1162">
        <v>25.6098</v>
      </c>
      <c r="CC1162">
        <v>19.8171</v>
      </c>
      <c r="CE1162">
        <v>15.7012</v>
      </c>
      <c r="CF1162">
        <v>20.8841</v>
      </c>
      <c r="CG1162" t="s">
        <v>12611</v>
      </c>
      <c r="CH1162" t="s">
        <v>12612</v>
      </c>
      <c r="CI1162" t="s">
        <v>12613</v>
      </c>
      <c r="CK1162">
        <v>8</v>
      </c>
      <c r="CL1162" t="s">
        <v>4</v>
      </c>
      <c r="CM1162" t="s">
        <v>12614</v>
      </c>
      <c r="CN1162" t="s">
        <v>12615</v>
      </c>
      <c r="CO1162" t="s">
        <v>219</v>
      </c>
      <c r="CP1162" t="s">
        <v>100</v>
      </c>
      <c r="CQ1162" t="s">
        <v>100</v>
      </c>
      <c r="CR1162" t="s">
        <v>100</v>
      </c>
      <c r="CS1162" t="s">
        <v>101</v>
      </c>
      <c r="CT1162" t="s">
        <v>152</v>
      </c>
      <c r="CU1162" t="s">
        <v>102</v>
      </c>
      <c r="CV1162" t="s">
        <v>100</v>
      </c>
    </row>
    <row r="1163" spans="1:100">
      <c r="A1163" s="3" t="s">
        <v>12616</v>
      </c>
      <c r="B1163" s="4" t="s">
        <v>12617</v>
      </c>
      <c r="C1163">
        <v>337.73551430592897</v>
      </c>
      <c r="D1163">
        <v>414.46487560369002</v>
      </c>
      <c r="E1163">
        <f>0.295630811167336</f>
        <v>0.29563081116733603</v>
      </c>
      <c r="F1163">
        <v>0.66508801958330299</v>
      </c>
      <c r="G1163" t="s">
        <v>4</v>
      </c>
      <c r="H1163">
        <v>337.73551430592897</v>
      </c>
      <c r="I1163">
        <v>47.808357735049697</v>
      </c>
      <c r="J1163">
        <v>2.8087237756745602</v>
      </c>
      <c r="K1163" s="5">
        <v>2.2671104703080798E-6</v>
      </c>
      <c r="L1163" t="s">
        <v>4</v>
      </c>
      <c r="M1163">
        <v>414.46487560369002</v>
      </c>
      <c r="N1163">
        <v>47.808357735049697</v>
      </c>
      <c r="O1163">
        <v>3.1043545868418998</v>
      </c>
      <c r="P1163" s="5">
        <v>1.08769324878944E-7</v>
      </c>
      <c r="Q1163" t="s">
        <v>4</v>
      </c>
      <c r="R1163" s="4" t="s">
        <v>87</v>
      </c>
      <c r="S1163" t="s">
        <v>4</v>
      </c>
      <c r="T1163" t="s">
        <v>92</v>
      </c>
      <c r="U1163" t="s">
        <v>92</v>
      </c>
      <c r="V1163" t="s">
        <v>92</v>
      </c>
      <c r="W1163" t="s">
        <v>92</v>
      </c>
      <c r="X1163" t="s">
        <v>4</v>
      </c>
      <c r="Y1163" t="s">
        <v>92</v>
      </c>
      <c r="Z1163" t="s">
        <v>92</v>
      </c>
      <c r="AA1163" t="s">
        <v>92</v>
      </c>
      <c r="AB1163" t="s">
        <v>4</v>
      </c>
      <c r="AC1163" s="3" t="s">
        <v>93</v>
      </c>
      <c r="AD1163" t="s">
        <v>4</v>
      </c>
      <c r="AE1163" s="4" t="s">
        <v>94</v>
      </c>
      <c r="AZ1163" t="s">
        <v>4</v>
      </c>
      <c r="BA1163" s="3" t="s">
        <v>95</v>
      </c>
      <c r="BB1163" s="6" t="s">
        <v>95</v>
      </c>
      <c r="BC1163" s="3" t="s">
        <v>95</v>
      </c>
      <c r="BD1163" t="s">
        <v>4</v>
      </c>
      <c r="BE1163">
        <v>2336</v>
      </c>
      <c r="BF1163" t="s">
        <v>148</v>
      </c>
      <c r="BG1163">
        <v>97.982699999999994</v>
      </c>
      <c r="BH1163">
        <v>91.354500000000002</v>
      </c>
      <c r="BI1163" t="s">
        <v>12618</v>
      </c>
      <c r="BJ1163">
        <v>53.6023</v>
      </c>
      <c r="BK1163">
        <v>44.668599999999998</v>
      </c>
      <c r="BL1163" t="s">
        <v>12619</v>
      </c>
      <c r="BM1163">
        <v>50.144100000000002</v>
      </c>
      <c r="BN1163">
        <v>49.567700000000002</v>
      </c>
      <c r="BO1163">
        <v>42.939500000000002</v>
      </c>
      <c r="CK1163">
        <v>3</v>
      </c>
      <c r="CL1163" t="s">
        <v>4</v>
      </c>
      <c r="CM1163" t="s">
        <v>98</v>
      </c>
      <c r="CN1163" t="s">
        <v>98</v>
      </c>
      <c r="CO1163" t="s">
        <v>99</v>
      </c>
      <c r="CP1163" t="s">
        <v>100</v>
      </c>
      <c r="CQ1163" t="s">
        <v>100</v>
      </c>
      <c r="CR1163" t="s">
        <v>100</v>
      </c>
      <c r="CS1163" t="s">
        <v>101</v>
      </c>
      <c r="CT1163" t="s">
        <v>152</v>
      </c>
      <c r="CU1163" t="s">
        <v>102</v>
      </c>
      <c r="CV1163" t="s">
        <v>100</v>
      </c>
    </row>
    <row r="1164" spans="1:100">
      <c r="A1164" s="3" t="s">
        <v>12620</v>
      </c>
      <c r="B1164" s="4" t="s">
        <v>12621</v>
      </c>
      <c r="C1164">
        <v>19.146255683302901</v>
      </c>
      <c r="D1164">
        <v>26.543891044123502</v>
      </c>
      <c r="E1164">
        <f>0.461885941504472</f>
        <v>0.46188594150447199</v>
      </c>
      <c r="F1164">
        <v>0.55750279883850795</v>
      </c>
      <c r="G1164" t="s">
        <v>4</v>
      </c>
      <c r="H1164">
        <v>19.146255683302901</v>
      </c>
      <c r="I1164">
        <v>2.9524289736792602</v>
      </c>
      <c r="J1164">
        <v>2.63558471890153</v>
      </c>
      <c r="K1164">
        <v>3.8665131311421299E-3</v>
      </c>
      <c r="L1164" t="s">
        <v>4</v>
      </c>
      <c r="M1164">
        <v>26.543891044123502</v>
      </c>
      <c r="N1164">
        <v>2.9524289736792602</v>
      </c>
      <c r="O1164">
        <v>3.0974706604060001</v>
      </c>
      <c r="P1164">
        <v>5.0457504363493003E-4</v>
      </c>
      <c r="Q1164" t="s">
        <v>4</v>
      </c>
      <c r="R1164" s="4" t="s">
        <v>87</v>
      </c>
      <c r="S1164" t="s">
        <v>4</v>
      </c>
      <c r="T1164" t="s">
        <v>92</v>
      </c>
      <c r="U1164" t="s">
        <v>92</v>
      </c>
      <c r="V1164" t="s">
        <v>92</v>
      </c>
      <c r="W1164" t="s">
        <v>92</v>
      </c>
      <c r="X1164" t="s">
        <v>4</v>
      </c>
      <c r="Y1164" t="s">
        <v>4755</v>
      </c>
      <c r="Z1164" t="s">
        <v>4756</v>
      </c>
      <c r="AA1164" t="s">
        <v>4757</v>
      </c>
      <c r="AB1164" t="s">
        <v>4</v>
      </c>
      <c r="AC1164" s="3" t="s">
        <v>12622</v>
      </c>
      <c r="AD1164" t="s">
        <v>4</v>
      </c>
      <c r="AE1164" t="s">
        <v>12623</v>
      </c>
      <c r="AF1164" t="s">
        <v>12624</v>
      </c>
      <c r="AG1164" t="s">
        <v>12625</v>
      </c>
      <c r="AH1164" t="s">
        <v>638</v>
      </c>
      <c r="AU1164" t="s">
        <v>112</v>
      </c>
      <c r="AV1164" t="s">
        <v>12626</v>
      </c>
      <c r="AW1164" t="s">
        <v>114</v>
      </c>
      <c r="AX1164" t="s">
        <v>144</v>
      </c>
      <c r="AY1164" t="s">
        <v>4763</v>
      </c>
      <c r="AZ1164" t="s">
        <v>4</v>
      </c>
      <c r="BA1164" s="3" t="s">
        <v>95</v>
      </c>
      <c r="BB1164" s="6" t="s">
        <v>95</v>
      </c>
      <c r="BC1164" s="3" t="s">
        <v>197</v>
      </c>
      <c r="BD1164" t="s">
        <v>4</v>
      </c>
      <c r="BE1164">
        <v>4013</v>
      </c>
      <c r="BF1164" t="s">
        <v>112</v>
      </c>
      <c r="BJ1164">
        <v>61.931800000000003</v>
      </c>
      <c r="BK1164">
        <v>49.431800000000003</v>
      </c>
      <c r="BN1164">
        <v>51.704500000000003</v>
      </c>
      <c r="BO1164">
        <v>51.988599999999998</v>
      </c>
      <c r="CK1164">
        <v>5</v>
      </c>
      <c r="CL1164" t="s">
        <v>4</v>
      </c>
      <c r="CM1164" t="s">
        <v>98</v>
      </c>
      <c r="CN1164" t="s">
        <v>98</v>
      </c>
      <c r="CO1164" t="s">
        <v>99</v>
      </c>
      <c r="CP1164" t="s">
        <v>100</v>
      </c>
      <c r="CQ1164" t="s">
        <v>100</v>
      </c>
      <c r="CR1164" t="s">
        <v>100</v>
      </c>
      <c r="CS1164" t="s">
        <v>101</v>
      </c>
      <c r="CT1164" t="s">
        <v>152</v>
      </c>
      <c r="CU1164" t="s">
        <v>102</v>
      </c>
      <c r="CV1164" t="s">
        <v>100</v>
      </c>
    </row>
    <row r="1165" spans="1:100">
      <c r="A1165" s="3" t="s">
        <v>12627</v>
      </c>
      <c r="B1165" s="4" t="s">
        <v>12628</v>
      </c>
      <c r="C1165">
        <v>103.233170452637</v>
      </c>
      <c r="D1165">
        <v>215.97888970900601</v>
      </c>
      <c r="E1165">
        <f>-1.06350846880521</f>
        <v>-1.0635084688052101</v>
      </c>
      <c r="F1165">
        <v>7.7571172197943294E-2</v>
      </c>
      <c r="G1165" t="s">
        <v>4</v>
      </c>
      <c r="H1165">
        <v>103.233170452637</v>
      </c>
      <c r="I1165">
        <v>25.562823476507699</v>
      </c>
      <c r="J1165">
        <v>2.0282422011333701</v>
      </c>
      <c r="K1165">
        <v>7.5615555310977196E-4</v>
      </c>
      <c r="L1165" t="s">
        <v>4</v>
      </c>
      <c r="M1165">
        <v>215.97888970900601</v>
      </c>
      <c r="N1165">
        <v>25.562823476507699</v>
      </c>
      <c r="O1165">
        <v>3.0917506699385902</v>
      </c>
      <c r="P1165" s="5">
        <v>9.3297089494721805E-8</v>
      </c>
      <c r="Q1165" t="s">
        <v>4</v>
      </c>
      <c r="R1165" s="4" t="s">
        <v>87</v>
      </c>
      <c r="S1165" t="s">
        <v>4</v>
      </c>
      <c r="T1165" t="s">
        <v>92</v>
      </c>
      <c r="U1165" t="s">
        <v>92</v>
      </c>
      <c r="V1165" t="s">
        <v>92</v>
      </c>
      <c r="W1165" t="s">
        <v>92</v>
      </c>
      <c r="X1165" t="s">
        <v>4</v>
      </c>
      <c r="Y1165" t="s">
        <v>92</v>
      </c>
      <c r="Z1165" t="s">
        <v>92</v>
      </c>
      <c r="AA1165" t="s">
        <v>92</v>
      </c>
      <c r="AB1165" t="s">
        <v>4</v>
      </c>
      <c r="AC1165" s="3" t="s">
        <v>93</v>
      </c>
      <c r="AD1165" t="s">
        <v>4</v>
      </c>
      <c r="AE1165" t="s">
        <v>6967</v>
      </c>
      <c r="AF1165" t="s">
        <v>12629</v>
      </c>
      <c r="AG1165" t="s">
        <v>12630</v>
      </c>
      <c r="AH1165" t="s">
        <v>112</v>
      </c>
      <c r="AU1165" t="s">
        <v>112</v>
      </c>
      <c r="AV1165" t="s">
        <v>6970</v>
      </c>
      <c r="AW1165" t="s">
        <v>114</v>
      </c>
      <c r="AZ1165" t="s">
        <v>4</v>
      </c>
      <c r="BA1165" s="3" t="s">
        <v>95</v>
      </c>
      <c r="BB1165" s="6" t="s">
        <v>95</v>
      </c>
      <c r="BC1165" s="3" t="s">
        <v>95</v>
      </c>
      <c r="BD1165" t="s">
        <v>4</v>
      </c>
      <c r="BE1165">
        <v>1420</v>
      </c>
      <c r="BF1165" t="s">
        <v>151</v>
      </c>
      <c r="BG1165">
        <v>88.130099999999999</v>
      </c>
      <c r="BJ1165" t="s">
        <v>12631</v>
      </c>
      <c r="BK1165" t="s">
        <v>12632</v>
      </c>
      <c r="BL1165" t="s">
        <v>12633</v>
      </c>
      <c r="BM1165" t="s">
        <v>12634</v>
      </c>
      <c r="BN1165" t="s">
        <v>12635</v>
      </c>
      <c r="BO1165">
        <v>19.349599999999999</v>
      </c>
      <c r="CK1165">
        <v>2</v>
      </c>
      <c r="CL1165" t="s">
        <v>4</v>
      </c>
      <c r="CM1165" t="s">
        <v>98</v>
      </c>
      <c r="CN1165" t="s">
        <v>98</v>
      </c>
      <c r="CO1165" t="s">
        <v>99</v>
      </c>
      <c r="CP1165" t="s">
        <v>100</v>
      </c>
      <c r="CQ1165" t="s">
        <v>100</v>
      </c>
      <c r="CR1165" t="s">
        <v>100</v>
      </c>
      <c r="CS1165" t="s">
        <v>101</v>
      </c>
      <c r="CT1165" t="s">
        <v>152</v>
      </c>
      <c r="CU1165" t="s">
        <v>102</v>
      </c>
      <c r="CV1165" t="s">
        <v>100</v>
      </c>
    </row>
    <row r="1166" spans="1:100">
      <c r="A1166" s="3" t="s">
        <v>12636</v>
      </c>
      <c r="B1166" s="4" t="s">
        <v>12637</v>
      </c>
      <c r="C1166">
        <v>136.57687022833301</v>
      </c>
      <c r="D1166">
        <v>238.674182278899</v>
      </c>
      <c r="E1166">
        <f>0.807056304018622</f>
        <v>0.80705630401862205</v>
      </c>
      <c r="F1166">
        <v>3.0029877865328999E-2</v>
      </c>
      <c r="G1166" t="s">
        <v>4</v>
      </c>
      <c r="H1166">
        <v>136.57687022833301</v>
      </c>
      <c r="I1166">
        <v>27.4406803162491</v>
      </c>
      <c r="J1166">
        <v>2.2832632735129899</v>
      </c>
      <c r="K1166" s="5">
        <v>4.9529274819739202E-9</v>
      </c>
      <c r="L1166" t="s">
        <v>4</v>
      </c>
      <c r="M1166">
        <v>238.674182278899</v>
      </c>
      <c r="N1166">
        <v>27.4406803162491</v>
      </c>
      <c r="O1166">
        <v>3.0903195775316101</v>
      </c>
      <c r="P1166" s="5">
        <v>5.6072550713822599E-16</v>
      </c>
      <c r="Q1166" t="s">
        <v>4</v>
      </c>
      <c r="R1166" s="4" t="s">
        <v>87</v>
      </c>
      <c r="S1166" t="s">
        <v>4</v>
      </c>
      <c r="T1166" t="s">
        <v>92</v>
      </c>
      <c r="U1166" t="s">
        <v>92</v>
      </c>
      <c r="V1166" t="s">
        <v>92</v>
      </c>
      <c r="W1166" t="s">
        <v>92</v>
      </c>
      <c r="X1166" t="s">
        <v>4</v>
      </c>
      <c r="Y1166" t="s">
        <v>7337</v>
      </c>
      <c r="Z1166" t="s">
        <v>7338</v>
      </c>
      <c r="AA1166" t="s">
        <v>7339</v>
      </c>
      <c r="AB1166" t="s">
        <v>4</v>
      </c>
      <c r="AC1166" s="3" t="s">
        <v>93</v>
      </c>
      <c r="AD1166" t="s">
        <v>4</v>
      </c>
      <c r="AE1166" t="s">
        <v>12638</v>
      </c>
      <c r="AF1166" t="s">
        <v>12639</v>
      </c>
      <c r="AG1166" t="s">
        <v>12640</v>
      </c>
      <c r="AH1166" t="s">
        <v>386</v>
      </c>
      <c r="AU1166" t="s">
        <v>112</v>
      </c>
      <c r="AV1166" t="s">
        <v>12641</v>
      </c>
      <c r="AW1166" t="s">
        <v>114</v>
      </c>
      <c r="AZ1166" t="s">
        <v>4</v>
      </c>
      <c r="BA1166" s="3" t="s">
        <v>95</v>
      </c>
      <c r="BB1166" s="6" t="s">
        <v>95</v>
      </c>
      <c r="BC1166" s="3" t="s">
        <v>95</v>
      </c>
      <c r="BD1166" t="s">
        <v>4</v>
      </c>
      <c r="BE1166">
        <v>3455</v>
      </c>
      <c r="BF1166" t="s">
        <v>112</v>
      </c>
      <c r="BG1166">
        <v>98.214299999999994</v>
      </c>
      <c r="BH1166">
        <v>94.345200000000006</v>
      </c>
      <c r="BI1166" t="s">
        <v>12642</v>
      </c>
      <c r="BJ1166">
        <v>81.845200000000006</v>
      </c>
      <c r="BK1166">
        <v>75</v>
      </c>
      <c r="BL1166">
        <v>62.202399999999997</v>
      </c>
      <c r="BM1166">
        <v>74.107100000000003</v>
      </c>
      <c r="BN1166">
        <v>74.404799999999994</v>
      </c>
      <c r="BO1166">
        <v>72.619</v>
      </c>
      <c r="BX1166">
        <v>19.047599999999999</v>
      </c>
      <c r="CA1166">
        <v>20.833300000000001</v>
      </c>
      <c r="CK1166">
        <v>5</v>
      </c>
      <c r="CL1166" t="s">
        <v>4</v>
      </c>
      <c r="CM1166" t="s">
        <v>12643</v>
      </c>
      <c r="CN1166" t="s">
        <v>12644</v>
      </c>
      <c r="CO1166" t="s">
        <v>663</v>
      </c>
      <c r="CP1166" t="s">
        <v>100</v>
      </c>
      <c r="CQ1166" t="s">
        <v>100</v>
      </c>
      <c r="CR1166" t="s">
        <v>100</v>
      </c>
      <c r="CS1166" t="s">
        <v>101</v>
      </c>
      <c r="CT1166" t="s">
        <v>152</v>
      </c>
      <c r="CU1166" t="s">
        <v>102</v>
      </c>
      <c r="CV1166" t="s">
        <v>100</v>
      </c>
    </row>
    <row r="1167" spans="1:100">
      <c r="A1167" s="3" t="s">
        <v>12645</v>
      </c>
      <c r="B1167" s="4" t="s">
        <v>12646</v>
      </c>
      <c r="C1167">
        <v>15.469749272300399</v>
      </c>
      <c r="D1167">
        <v>31.323113848029202</v>
      </c>
      <c r="E1167">
        <f>-1.00909745153707</f>
        <v>-1.0090974515370701</v>
      </c>
      <c r="F1167">
        <v>0.13333454567573999</v>
      </c>
      <c r="G1167" t="s">
        <v>4</v>
      </c>
      <c r="H1167">
        <v>15.469749272300399</v>
      </c>
      <c r="I1167">
        <v>3.7359350759007501</v>
      </c>
      <c r="J1167">
        <v>2.0802076896611501</v>
      </c>
      <c r="K1167">
        <v>1.2748294966460001E-2</v>
      </c>
      <c r="L1167" t="s">
        <v>4</v>
      </c>
      <c r="M1167">
        <v>31.323113848029202</v>
      </c>
      <c r="N1167">
        <v>3.7359350759007501</v>
      </c>
      <c r="O1167">
        <v>3.0893051411982202</v>
      </c>
      <c r="P1167">
        <v>1.04678409520804E-4</v>
      </c>
      <c r="Q1167" t="s">
        <v>4</v>
      </c>
      <c r="R1167" s="4" t="s">
        <v>87</v>
      </c>
      <c r="S1167" t="s">
        <v>4</v>
      </c>
      <c r="T1167" t="s">
        <v>12647</v>
      </c>
      <c r="U1167" t="s">
        <v>12648</v>
      </c>
      <c r="V1167" t="s">
        <v>12649</v>
      </c>
      <c r="W1167" t="s">
        <v>328</v>
      </c>
      <c r="X1167" t="s">
        <v>4</v>
      </c>
      <c r="Y1167" t="s">
        <v>5024</v>
      </c>
      <c r="Z1167" t="s">
        <v>5025</v>
      </c>
      <c r="AA1167" t="s">
        <v>5026</v>
      </c>
      <c r="AB1167" t="s">
        <v>4</v>
      </c>
      <c r="AC1167" s="3" t="s">
        <v>12650</v>
      </c>
      <c r="AD1167" t="s">
        <v>4</v>
      </c>
      <c r="AE1167" t="s">
        <v>12651</v>
      </c>
      <c r="AF1167" t="s">
        <v>12652</v>
      </c>
      <c r="AG1167" t="s">
        <v>12653</v>
      </c>
      <c r="AH1167" t="s">
        <v>314</v>
      </c>
      <c r="AU1167" t="s">
        <v>112</v>
      </c>
      <c r="AV1167" t="s">
        <v>12654</v>
      </c>
      <c r="AW1167" t="s">
        <v>114</v>
      </c>
      <c r="AX1167" t="s">
        <v>371</v>
      </c>
      <c r="AY1167" t="s">
        <v>12655</v>
      </c>
      <c r="AZ1167" t="s">
        <v>4</v>
      </c>
      <c r="BA1167" s="3" t="s">
        <v>95</v>
      </c>
      <c r="BB1167" s="6" t="s">
        <v>95</v>
      </c>
      <c r="BC1167" s="3" t="s">
        <v>95</v>
      </c>
      <c r="BD1167" t="s">
        <v>4</v>
      </c>
      <c r="BE1167">
        <v>3837</v>
      </c>
      <c r="BF1167" t="s">
        <v>112</v>
      </c>
      <c r="BG1167">
        <v>88.392899999999997</v>
      </c>
      <c r="BH1167">
        <v>89.732100000000003</v>
      </c>
      <c r="BI1167">
        <v>96.875</v>
      </c>
      <c r="BK1167">
        <v>78.125</v>
      </c>
      <c r="BM1167">
        <v>81.25</v>
      </c>
      <c r="BN1167">
        <v>80.357100000000003</v>
      </c>
      <c r="BO1167">
        <v>83.035700000000006</v>
      </c>
      <c r="BP1167">
        <v>35.714300000000001</v>
      </c>
      <c r="BQ1167">
        <v>29.017900000000001</v>
      </c>
      <c r="BR1167">
        <v>22.767900000000001</v>
      </c>
      <c r="BT1167">
        <v>26.339300000000001</v>
      </c>
      <c r="BV1167" t="s">
        <v>12656</v>
      </c>
      <c r="BW1167">
        <v>32.142899999999997</v>
      </c>
      <c r="BX1167">
        <v>21.428599999999999</v>
      </c>
      <c r="BY1167">
        <v>24.107099999999999</v>
      </c>
      <c r="BZ1167" t="s">
        <v>12657</v>
      </c>
      <c r="CA1167" t="s">
        <v>12658</v>
      </c>
      <c r="CG1167" t="s">
        <v>12659</v>
      </c>
      <c r="CH1167" t="s">
        <v>12660</v>
      </c>
      <c r="CI1167" t="s">
        <v>12661</v>
      </c>
      <c r="CK1167">
        <v>5</v>
      </c>
      <c r="CL1167" t="s">
        <v>4</v>
      </c>
      <c r="CM1167" t="s">
        <v>12662</v>
      </c>
      <c r="CN1167" t="s">
        <v>12663</v>
      </c>
      <c r="CO1167" t="s">
        <v>1218</v>
      </c>
      <c r="CP1167" t="s">
        <v>100</v>
      </c>
      <c r="CQ1167" t="s">
        <v>100</v>
      </c>
      <c r="CR1167" t="s">
        <v>100</v>
      </c>
      <c r="CS1167" s="7" t="s">
        <v>101</v>
      </c>
      <c r="CT1167" t="s">
        <v>152</v>
      </c>
      <c r="CU1167" t="s">
        <v>102</v>
      </c>
      <c r="CV1167" t="s">
        <v>100</v>
      </c>
    </row>
    <row r="1168" spans="1:100">
      <c r="A1168" s="3" t="s">
        <v>12664</v>
      </c>
      <c r="B1168" s="4" t="s">
        <v>12665</v>
      </c>
      <c r="C1168">
        <v>96.281309145201305</v>
      </c>
      <c r="D1168">
        <v>59.343462167053403</v>
      </c>
      <c r="E1168">
        <v>0.70334135708987799</v>
      </c>
      <c r="F1168">
        <v>0.23479938105956399</v>
      </c>
      <c r="G1168" t="s">
        <v>4</v>
      </c>
      <c r="H1168">
        <v>96.281309145201305</v>
      </c>
      <c r="I1168">
        <v>7.5873800347099696</v>
      </c>
      <c r="J1168">
        <v>3.74746533370937</v>
      </c>
      <c r="K1168" s="5">
        <v>6.3465530957826001E-9</v>
      </c>
      <c r="L1168" t="s">
        <v>4</v>
      </c>
      <c r="M1168">
        <v>59.343462167053403</v>
      </c>
      <c r="N1168">
        <v>7.5873800347099696</v>
      </c>
      <c r="O1168">
        <v>3.0441239766194901</v>
      </c>
      <c r="P1168" s="5">
        <v>2.8879924096072799E-6</v>
      </c>
      <c r="Q1168" t="s">
        <v>4</v>
      </c>
      <c r="R1168" s="4" t="s">
        <v>87</v>
      </c>
      <c r="S1168" t="s">
        <v>4</v>
      </c>
      <c r="T1168" t="s">
        <v>1312</v>
      </c>
      <c r="U1168" t="s">
        <v>1313</v>
      </c>
      <c r="V1168" t="s">
        <v>1314</v>
      </c>
      <c r="W1168" t="s">
        <v>203</v>
      </c>
      <c r="X1168" t="s">
        <v>4</v>
      </c>
      <c r="Y1168" t="s">
        <v>1315</v>
      </c>
      <c r="Z1168" t="s">
        <v>1316</v>
      </c>
      <c r="AA1168" t="s">
        <v>1317</v>
      </c>
      <c r="AB1168" t="s">
        <v>4</v>
      </c>
      <c r="AC1168" s="3" t="s">
        <v>1318</v>
      </c>
      <c r="AD1168" t="s">
        <v>4</v>
      </c>
      <c r="AE1168" t="s">
        <v>12666</v>
      </c>
      <c r="AF1168" t="s">
        <v>12667</v>
      </c>
      <c r="AG1168" t="s">
        <v>3408</v>
      </c>
      <c r="AH1168" t="s">
        <v>314</v>
      </c>
      <c r="AU1168" t="s">
        <v>112</v>
      </c>
      <c r="AV1168" t="s">
        <v>1895</v>
      </c>
      <c r="AW1168" t="s">
        <v>114</v>
      </c>
      <c r="AX1168" t="s">
        <v>132</v>
      </c>
      <c r="AY1168" t="s">
        <v>1896</v>
      </c>
      <c r="AZ1168" t="s">
        <v>4</v>
      </c>
      <c r="BA1168" s="3" t="s">
        <v>95</v>
      </c>
      <c r="BB1168" s="6" t="s">
        <v>95</v>
      </c>
      <c r="BC1168" s="3" t="s">
        <v>95</v>
      </c>
      <c r="BD1168" t="s">
        <v>4</v>
      </c>
      <c r="BE1168">
        <v>8081</v>
      </c>
      <c r="BF1168" t="s">
        <v>213</v>
      </c>
      <c r="BI1168">
        <v>85.773200000000003</v>
      </c>
      <c r="BK1168">
        <v>86.597899999999996</v>
      </c>
      <c r="BL1168">
        <v>84.536100000000005</v>
      </c>
      <c r="BM1168">
        <v>80.206199999999995</v>
      </c>
      <c r="BN1168">
        <v>83.711299999999994</v>
      </c>
      <c r="BP1168">
        <v>42.474200000000003</v>
      </c>
      <c r="BQ1168">
        <v>21.6495</v>
      </c>
      <c r="BR1168">
        <v>19.587599999999998</v>
      </c>
      <c r="BS1168" t="s">
        <v>12668</v>
      </c>
      <c r="BT1168" t="s">
        <v>12669</v>
      </c>
      <c r="BU1168" t="s">
        <v>12670</v>
      </c>
      <c r="BV1168" t="s">
        <v>12671</v>
      </c>
      <c r="BX1168" t="s">
        <v>12672</v>
      </c>
      <c r="BZ1168" t="s">
        <v>12673</v>
      </c>
      <c r="CB1168">
        <v>7.4226799999999997</v>
      </c>
      <c r="CC1168" t="s">
        <v>12674</v>
      </c>
      <c r="CD1168" t="s">
        <v>12675</v>
      </c>
      <c r="CE1168">
        <v>14.639200000000001</v>
      </c>
      <c r="CK1168">
        <v>8</v>
      </c>
      <c r="CL1168" t="s">
        <v>4</v>
      </c>
      <c r="CM1168" t="s">
        <v>98</v>
      </c>
      <c r="CN1168" t="s">
        <v>98</v>
      </c>
      <c r="CO1168" t="s">
        <v>99</v>
      </c>
      <c r="CP1168" t="s">
        <v>100</v>
      </c>
      <c r="CQ1168" t="s">
        <v>100</v>
      </c>
      <c r="CR1168" t="s">
        <v>100</v>
      </c>
      <c r="CS1168" t="s">
        <v>101</v>
      </c>
      <c r="CT1168" t="s">
        <v>152</v>
      </c>
      <c r="CU1168" t="s">
        <v>102</v>
      </c>
      <c r="CV1168" t="s">
        <v>100</v>
      </c>
    </row>
    <row r="1169" spans="1:100">
      <c r="A1169" s="3" t="s">
        <v>12676</v>
      </c>
      <c r="B1169" s="4" t="s">
        <v>12677</v>
      </c>
      <c r="C1169">
        <v>89.331973533321502</v>
      </c>
      <c r="D1169">
        <v>46.447478953284801</v>
      </c>
      <c r="E1169">
        <v>0.93984752534596405</v>
      </c>
      <c r="F1169">
        <v>0.113177274106085</v>
      </c>
      <c r="G1169" t="s">
        <v>4</v>
      </c>
      <c r="H1169">
        <v>89.331973533321502</v>
      </c>
      <c r="I1169">
        <v>5.2621289130604403</v>
      </c>
      <c r="J1169">
        <v>3.9807123835237799</v>
      </c>
      <c r="K1169" s="5">
        <v>4.5935592458031401E-9</v>
      </c>
      <c r="L1169" t="s">
        <v>4</v>
      </c>
      <c r="M1169">
        <v>46.447478953284801</v>
      </c>
      <c r="N1169">
        <v>5.2621289130604403</v>
      </c>
      <c r="O1169">
        <v>3.0408648581778199</v>
      </c>
      <c r="P1169" s="5">
        <v>1.0038888109964501E-5</v>
      </c>
      <c r="Q1169" t="s">
        <v>4</v>
      </c>
      <c r="R1169" s="4" t="s">
        <v>87</v>
      </c>
      <c r="S1169" t="s">
        <v>4</v>
      </c>
      <c r="T1169" t="s">
        <v>5648</v>
      </c>
      <c r="U1169" t="s">
        <v>5649</v>
      </c>
      <c r="V1169" t="s">
        <v>5650</v>
      </c>
      <c r="W1169" t="s">
        <v>203</v>
      </c>
      <c r="X1169" t="s">
        <v>4</v>
      </c>
      <c r="Y1169" t="s">
        <v>12678</v>
      </c>
      <c r="Z1169" t="s">
        <v>12679</v>
      </c>
      <c r="AA1169" t="s">
        <v>12680</v>
      </c>
      <c r="AB1169" t="s">
        <v>4</v>
      </c>
      <c r="AC1169" s="3" t="s">
        <v>12681</v>
      </c>
      <c r="AD1169" t="s">
        <v>4</v>
      </c>
      <c r="AE1169" t="s">
        <v>5655</v>
      </c>
      <c r="AF1169" t="s">
        <v>12682</v>
      </c>
      <c r="AG1169" t="s">
        <v>12683</v>
      </c>
      <c r="AH1169" t="s">
        <v>112</v>
      </c>
      <c r="AU1169" t="s">
        <v>112</v>
      </c>
      <c r="AV1169" t="s">
        <v>5658</v>
      </c>
      <c r="AW1169" t="s">
        <v>114</v>
      </c>
      <c r="AX1169" t="s">
        <v>536</v>
      </c>
      <c r="AY1169" t="s">
        <v>5659</v>
      </c>
      <c r="AZ1169" t="s">
        <v>4</v>
      </c>
      <c r="BA1169" s="3" t="s">
        <v>95</v>
      </c>
      <c r="BB1169" s="6" t="s">
        <v>95</v>
      </c>
      <c r="BC1169" s="3" t="s">
        <v>197</v>
      </c>
      <c r="BD1169" t="s">
        <v>4</v>
      </c>
      <c r="BE1169">
        <v>5665</v>
      </c>
      <c r="BF1169" t="s">
        <v>386</v>
      </c>
      <c r="BG1169">
        <v>69.9495</v>
      </c>
      <c r="BK1169">
        <v>60.858600000000003</v>
      </c>
      <c r="BL1169">
        <v>51.767699999999998</v>
      </c>
      <c r="BO1169">
        <v>21.464600000000001</v>
      </c>
      <c r="BP1169" t="s">
        <v>12684</v>
      </c>
      <c r="BQ1169" t="s">
        <v>12685</v>
      </c>
      <c r="BR1169" t="s">
        <v>12686</v>
      </c>
      <c r="BS1169" t="s">
        <v>12687</v>
      </c>
      <c r="BT1169" t="s">
        <v>12688</v>
      </c>
      <c r="BU1169">
        <v>8.0808099999999996</v>
      </c>
      <c r="BV1169" t="s">
        <v>12689</v>
      </c>
      <c r="BW1169" t="s">
        <v>12690</v>
      </c>
      <c r="BX1169" t="s">
        <v>12691</v>
      </c>
      <c r="BY1169" t="s">
        <v>12692</v>
      </c>
      <c r="BZ1169" t="s">
        <v>12693</v>
      </c>
      <c r="CA1169" t="s">
        <v>12694</v>
      </c>
      <c r="CB1169">
        <v>9.8484800000000003</v>
      </c>
      <c r="CD1169">
        <v>17.424199999999999</v>
      </c>
      <c r="CF1169" t="s">
        <v>12695</v>
      </c>
      <c r="CG1169">
        <v>36.1111</v>
      </c>
      <c r="CH1169">
        <v>36.616199999999999</v>
      </c>
      <c r="CI1169">
        <v>36.1111</v>
      </c>
      <c r="CK1169">
        <v>7</v>
      </c>
      <c r="CL1169" t="s">
        <v>4</v>
      </c>
      <c r="CM1169" t="s">
        <v>5672</v>
      </c>
      <c r="CN1169" t="s">
        <v>12696</v>
      </c>
      <c r="CO1169" t="s">
        <v>5674</v>
      </c>
      <c r="CP1169" t="s">
        <v>100</v>
      </c>
      <c r="CQ1169" t="s">
        <v>100</v>
      </c>
      <c r="CR1169" t="s">
        <v>100</v>
      </c>
      <c r="CS1169" t="s">
        <v>101</v>
      </c>
      <c r="CT1169" t="s">
        <v>152</v>
      </c>
      <c r="CU1169" t="s">
        <v>102</v>
      </c>
      <c r="CV1169" t="s">
        <v>100</v>
      </c>
    </row>
    <row r="1170" spans="1:100">
      <c r="A1170" s="3" t="s">
        <v>12697</v>
      </c>
      <c r="B1170" s="4" t="s">
        <v>12698</v>
      </c>
      <c r="C1170">
        <v>31.353498927097899</v>
      </c>
      <c r="D1170">
        <v>65.314851930638198</v>
      </c>
      <c r="E1170">
        <f>-1.06183089408166</f>
        <v>-1.0618308940816601</v>
      </c>
      <c r="F1170">
        <v>0.234082057737307</v>
      </c>
      <c r="G1170" t="s">
        <v>4</v>
      </c>
      <c r="H1170">
        <v>31.353498927097899</v>
      </c>
      <c r="I1170">
        <v>7.9315471133842896</v>
      </c>
      <c r="J1170">
        <v>1.97506734393741</v>
      </c>
      <c r="K1170">
        <v>3.2165862869478097E-2</v>
      </c>
      <c r="L1170" t="s">
        <v>4</v>
      </c>
      <c r="M1170">
        <v>65.314851930638198</v>
      </c>
      <c r="N1170">
        <v>7.9315471133842896</v>
      </c>
      <c r="O1170">
        <v>3.0368982380190701</v>
      </c>
      <c r="P1170">
        <v>5.79471860380399E-4</v>
      </c>
      <c r="Q1170" t="s">
        <v>4</v>
      </c>
      <c r="R1170" s="4" t="s">
        <v>87</v>
      </c>
      <c r="S1170" t="s">
        <v>4</v>
      </c>
      <c r="T1170" t="s">
        <v>88</v>
      </c>
      <c r="U1170" t="s">
        <v>89</v>
      </c>
      <c r="V1170" t="s">
        <v>90</v>
      </c>
      <c r="W1170" t="s">
        <v>91</v>
      </c>
      <c r="X1170" t="s">
        <v>4</v>
      </c>
      <c r="Y1170" t="s">
        <v>12699</v>
      </c>
      <c r="Z1170" t="s">
        <v>12700</v>
      </c>
      <c r="AA1170" t="s">
        <v>12701</v>
      </c>
      <c r="AB1170" t="s">
        <v>4</v>
      </c>
      <c r="AC1170" s="3" t="s">
        <v>12702</v>
      </c>
      <c r="AD1170" t="s">
        <v>4</v>
      </c>
      <c r="AE1170" t="s">
        <v>12703</v>
      </c>
      <c r="AF1170" t="s">
        <v>12704</v>
      </c>
      <c r="AG1170" t="s">
        <v>12705</v>
      </c>
      <c r="AH1170" t="s">
        <v>112</v>
      </c>
      <c r="AL1170" t="s">
        <v>12706</v>
      </c>
      <c r="AQ1170" t="s">
        <v>1028</v>
      </c>
      <c r="AU1170" t="s">
        <v>112</v>
      </c>
      <c r="AV1170" t="s">
        <v>12707</v>
      </c>
      <c r="AW1170" t="s">
        <v>114</v>
      </c>
      <c r="AX1170" t="s">
        <v>596</v>
      </c>
      <c r="AY1170" t="s">
        <v>12708</v>
      </c>
      <c r="AZ1170" t="s">
        <v>4</v>
      </c>
      <c r="BA1170" s="3" t="s">
        <v>115</v>
      </c>
      <c r="BB1170" t="s">
        <v>96</v>
      </c>
      <c r="BC1170" s="3" t="s">
        <v>95</v>
      </c>
      <c r="BD1170" t="s">
        <v>4</v>
      </c>
      <c r="BE1170">
        <v>10413</v>
      </c>
      <c r="BF1170" t="s">
        <v>169</v>
      </c>
      <c r="BG1170" t="s">
        <v>12709</v>
      </c>
      <c r="BI1170">
        <v>85.451999999999998</v>
      </c>
      <c r="BJ1170">
        <v>77.966099999999997</v>
      </c>
      <c r="BM1170">
        <v>42.090400000000002</v>
      </c>
      <c r="BN1170">
        <v>67.090400000000002</v>
      </c>
      <c r="BR1170">
        <v>16.242899999999999</v>
      </c>
      <c r="BS1170">
        <v>20.4802</v>
      </c>
      <c r="BX1170">
        <v>23.022600000000001</v>
      </c>
      <c r="BZ1170">
        <v>11.8644</v>
      </c>
      <c r="CB1170">
        <v>23.163799999999998</v>
      </c>
      <c r="CG1170" t="s">
        <v>12710</v>
      </c>
      <c r="CH1170" t="s">
        <v>12711</v>
      </c>
      <c r="CI1170" t="s">
        <v>12712</v>
      </c>
      <c r="CJ1170">
        <v>20.4802</v>
      </c>
      <c r="CK1170">
        <v>9</v>
      </c>
      <c r="CL1170" t="s">
        <v>4</v>
      </c>
      <c r="CM1170" t="s">
        <v>98</v>
      </c>
      <c r="CN1170" t="s">
        <v>98</v>
      </c>
      <c r="CO1170" t="s">
        <v>99</v>
      </c>
      <c r="CP1170" t="s">
        <v>100</v>
      </c>
      <c r="CQ1170" t="s">
        <v>100</v>
      </c>
      <c r="CR1170" t="s">
        <v>100</v>
      </c>
      <c r="CS1170" s="7" t="s">
        <v>101</v>
      </c>
      <c r="CT1170" t="s">
        <v>152</v>
      </c>
      <c r="CU1170" t="s">
        <v>102</v>
      </c>
      <c r="CV1170" t="s">
        <v>100</v>
      </c>
    </row>
    <row r="1171" spans="1:100">
      <c r="A1171" s="3" t="s">
        <v>12713</v>
      </c>
      <c r="B1171" s="4" t="s">
        <v>12714</v>
      </c>
      <c r="C1171">
        <v>77.365206578754893</v>
      </c>
      <c r="D1171">
        <v>94.105331202051104</v>
      </c>
      <c r="E1171">
        <f>0.279409012289053</f>
        <v>0.27940901228905302</v>
      </c>
      <c r="F1171">
        <v>0.62439990759955499</v>
      </c>
      <c r="G1171" t="s">
        <v>4</v>
      </c>
      <c r="H1171">
        <v>77.365206578754893</v>
      </c>
      <c r="I1171">
        <v>12.369147450062901</v>
      </c>
      <c r="J1171">
        <v>2.7536391343097</v>
      </c>
      <c r="K1171" s="5">
        <v>1.2593921046684201E-6</v>
      </c>
      <c r="L1171" t="s">
        <v>4</v>
      </c>
      <c r="M1171">
        <v>94.105331202051104</v>
      </c>
      <c r="N1171">
        <v>12.369147450062901</v>
      </c>
      <c r="O1171">
        <v>3.03304814659875</v>
      </c>
      <c r="P1171" s="5">
        <v>5.9642013469131798E-8</v>
      </c>
      <c r="Q1171" t="s">
        <v>4</v>
      </c>
      <c r="R1171" s="4" t="s">
        <v>87</v>
      </c>
      <c r="S1171" t="s">
        <v>4</v>
      </c>
      <c r="T1171" t="s">
        <v>2243</v>
      </c>
      <c r="U1171" t="s">
        <v>2244</v>
      </c>
      <c r="V1171" t="s">
        <v>2245</v>
      </c>
      <c r="W1171" t="s">
        <v>123</v>
      </c>
      <c r="X1171" t="s">
        <v>4</v>
      </c>
      <c r="Y1171" t="s">
        <v>12715</v>
      </c>
      <c r="Z1171" t="s">
        <v>12716</v>
      </c>
      <c r="AA1171" t="s">
        <v>12717</v>
      </c>
      <c r="AB1171" t="s">
        <v>4</v>
      </c>
      <c r="AC1171" s="3" t="s">
        <v>93</v>
      </c>
      <c r="AD1171" t="s">
        <v>4</v>
      </c>
      <c r="AE1171" t="s">
        <v>12718</v>
      </c>
      <c r="AF1171" t="s">
        <v>12719</v>
      </c>
      <c r="AG1171" t="s">
        <v>12720</v>
      </c>
      <c r="AH1171" t="s">
        <v>112</v>
      </c>
      <c r="AL1171" t="s">
        <v>12721</v>
      </c>
      <c r="AQ1171" t="s">
        <v>2177</v>
      </c>
      <c r="AU1171" t="s">
        <v>112</v>
      </c>
      <c r="AV1171" t="s">
        <v>12722</v>
      </c>
      <c r="AW1171" t="s">
        <v>114</v>
      </c>
      <c r="AX1171" t="s">
        <v>132</v>
      </c>
      <c r="AY1171" t="s">
        <v>2804</v>
      </c>
      <c r="AZ1171" t="s">
        <v>4</v>
      </c>
      <c r="BA1171" s="3" t="s">
        <v>95</v>
      </c>
      <c r="BB1171" s="6" t="s">
        <v>95</v>
      </c>
      <c r="BC1171" s="3" t="s">
        <v>95</v>
      </c>
      <c r="BD1171" t="s">
        <v>4</v>
      </c>
      <c r="BE1171">
        <v>5846</v>
      </c>
      <c r="BF1171" t="s">
        <v>386</v>
      </c>
      <c r="BG1171">
        <v>95.819400000000002</v>
      </c>
      <c r="BH1171">
        <v>16.388000000000002</v>
      </c>
      <c r="BI1171">
        <v>69.063500000000005</v>
      </c>
      <c r="BJ1171">
        <v>50.668900000000001</v>
      </c>
      <c r="BK1171">
        <v>31.1037</v>
      </c>
      <c r="BM1171">
        <v>33.779299999999999</v>
      </c>
      <c r="BN1171">
        <v>69.063500000000005</v>
      </c>
      <c r="BP1171" t="s">
        <v>12723</v>
      </c>
      <c r="BS1171">
        <v>21.237500000000001</v>
      </c>
      <c r="BY1171">
        <v>16.7224</v>
      </c>
      <c r="BZ1171">
        <v>8.3612000000000002</v>
      </c>
      <c r="CB1171">
        <v>20.735800000000001</v>
      </c>
      <c r="CE1171">
        <v>21.571899999999999</v>
      </c>
      <c r="CF1171">
        <v>22.909700000000001</v>
      </c>
      <c r="CG1171">
        <v>24.749199999999998</v>
      </c>
      <c r="CH1171">
        <v>25.5853</v>
      </c>
      <c r="CI1171" t="s">
        <v>12724</v>
      </c>
      <c r="CK1171">
        <v>7</v>
      </c>
      <c r="CL1171" t="s">
        <v>4</v>
      </c>
      <c r="CM1171" t="s">
        <v>98</v>
      </c>
      <c r="CN1171" t="s">
        <v>98</v>
      </c>
      <c r="CO1171" t="s">
        <v>99</v>
      </c>
      <c r="CP1171" t="s">
        <v>100</v>
      </c>
      <c r="CQ1171" t="s">
        <v>100</v>
      </c>
      <c r="CR1171" t="s">
        <v>100</v>
      </c>
      <c r="CS1171" t="s">
        <v>101</v>
      </c>
      <c r="CT1171" t="s">
        <v>152</v>
      </c>
      <c r="CU1171" t="s">
        <v>102</v>
      </c>
      <c r="CV1171" t="s">
        <v>100</v>
      </c>
    </row>
    <row r="1172" spans="1:100">
      <c r="A1172" s="3" t="s">
        <v>12725</v>
      </c>
      <c r="B1172" s="4" t="s">
        <v>12726</v>
      </c>
      <c r="C1172">
        <v>764.22785089457795</v>
      </c>
      <c r="D1172">
        <v>1029.2309637936301</v>
      </c>
      <c r="E1172">
        <f>0.429516566959356</f>
        <v>0.42951656695935603</v>
      </c>
      <c r="F1172">
        <v>0.20169230441833999</v>
      </c>
      <c r="G1172" t="s">
        <v>4</v>
      </c>
      <c r="H1172">
        <v>764.22785089457795</v>
      </c>
      <c r="I1172">
        <v>124.88673422802199</v>
      </c>
      <c r="J1172">
        <v>2.6006500060494702</v>
      </c>
      <c r="K1172" s="5">
        <v>4.7544317919584599E-17</v>
      </c>
      <c r="L1172" t="s">
        <v>4</v>
      </c>
      <c r="M1172">
        <v>1029.2309637936301</v>
      </c>
      <c r="N1172">
        <v>124.88673422802199</v>
      </c>
      <c r="O1172">
        <v>3.0301665730088301</v>
      </c>
      <c r="P1172" s="5">
        <v>5.8597574195130805E-23</v>
      </c>
      <c r="Q1172" t="s">
        <v>4</v>
      </c>
      <c r="R1172" s="4" t="s">
        <v>87</v>
      </c>
      <c r="S1172" t="s">
        <v>4</v>
      </c>
      <c r="T1172" t="s">
        <v>12727</v>
      </c>
      <c r="U1172" t="s">
        <v>12728</v>
      </c>
      <c r="V1172" t="s">
        <v>12729</v>
      </c>
      <c r="W1172" t="s">
        <v>328</v>
      </c>
      <c r="X1172" t="s">
        <v>4</v>
      </c>
      <c r="Y1172" t="s">
        <v>12730</v>
      </c>
      <c r="Z1172" t="s">
        <v>12731</v>
      </c>
      <c r="AA1172" t="s">
        <v>12732</v>
      </c>
      <c r="AB1172" t="s">
        <v>4</v>
      </c>
      <c r="AC1172" s="3" t="s">
        <v>12733</v>
      </c>
      <c r="AD1172" t="s">
        <v>4</v>
      </c>
      <c r="AE1172" t="s">
        <v>12734</v>
      </c>
      <c r="AF1172" t="s">
        <v>12735</v>
      </c>
      <c r="AG1172" t="s">
        <v>2765</v>
      </c>
      <c r="AH1172" t="s">
        <v>112</v>
      </c>
      <c r="AI1172" t="s">
        <v>12736</v>
      </c>
      <c r="AJ1172" t="s">
        <v>12737</v>
      </c>
      <c r="AL1172" t="s">
        <v>12738</v>
      </c>
      <c r="AM1172" t="s">
        <v>7140</v>
      </c>
      <c r="AQ1172" t="s">
        <v>8795</v>
      </c>
      <c r="AU1172" t="s">
        <v>112</v>
      </c>
      <c r="AV1172" t="s">
        <v>12739</v>
      </c>
      <c r="AW1172" t="s">
        <v>114</v>
      </c>
      <c r="AX1172" t="s">
        <v>733</v>
      </c>
      <c r="AY1172" t="s">
        <v>12740</v>
      </c>
      <c r="AZ1172" t="s">
        <v>4</v>
      </c>
      <c r="BA1172" s="3" t="s">
        <v>95</v>
      </c>
      <c r="BB1172" s="6" t="s">
        <v>95</v>
      </c>
      <c r="BC1172" s="3" t="s">
        <v>95</v>
      </c>
      <c r="BD1172" t="s">
        <v>4</v>
      </c>
      <c r="BE1172">
        <v>9231</v>
      </c>
      <c r="BF1172" t="s">
        <v>169</v>
      </c>
      <c r="BG1172">
        <v>80.180199999999999</v>
      </c>
      <c r="BH1172">
        <v>44.744700000000002</v>
      </c>
      <c r="BI1172">
        <v>90.690700000000007</v>
      </c>
      <c r="BJ1172">
        <v>58.258299999999998</v>
      </c>
      <c r="BK1172">
        <v>65.465500000000006</v>
      </c>
      <c r="BL1172">
        <v>55.255299999999998</v>
      </c>
      <c r="BM1172">
        <v>75.375399999999999</v>
      </c>
      <c r="BN1172">
        <v>76.276300000000006</v>
      </c>
      <c r="BO1172">
        <v>77.477500000000006</v>
      </c>
      <c r="BP1172">
        <v>15.915900000000001</v>
      </c>
      <c r="BQ1172">
        <v>34.834800000000001</v>
      </c>
      <c r="BR1172">
        <v>46.846800000000002</v>
      </c>
      <c r="BS1172">
        <v>45.345300000000002</v>
      </c>
      <c r="BT1172">
        <v>43.243200000000002</v>
      </c>
      <c r="BU1172">
        <v>30.630600000000001</v>
      </c>
      <c r="BV1172" t="s">
        <v>12741</v>
      </c>
      <c r="BW1172" t="s">
        <v>12742</v>
      </c>
      <c r="BX1172">
        <v>45.045000000000002</v>
      </c>
      <c r="BY1172">
        <v>32.132100000000001</v>
      </c>
      <c r="CA1172">
        <v>38.738700000000001</v>
      </c>
      <c r="CB1172">
        <v>19.219200000000001</v>
      </c>
      <c r="CC1172">
        <v>23.423400000000001</v>
      </c>
      <c r="CD1172" t="s">
        <v>12743</v>
      </c>
      <c r="CE1172">
        <v>12.9129</v>
      </c>
      <c r="CF1172">
        <v>22.222200000000001</v>
      </c>
      <c r="CG1172" t="s">
        <v>12744</v>
      </c>
      <c r="CH1172">
        <v>23.423400000000001</v>
      </c>
      <c r="CI1172">
        <v>23.423400000000001</v>
      </c>
      <c r="CJ1172">
        <v>14.714700000000001</v>
      </c>
      <c r="CK1172">
        <v>9</v>
      </c>
      <c r="CL1172" t="s">
        <v>4</v>
      </c>
      <c r="CM1172" t="s">
        <v>12745</v>
      </c>
      <c r="CN1172" t="s">
        <v>12746</v>
      </c>
      <c r="CO1172" t="s">
        <v>99</v>
      </c>
      <c r="CP1172" t="s">
        <v>100</v>
      </c>
      <c r="CQ1172" t="s">
        <v>100</v>
      </c>
      <c r="CR1172" t="s">
        <v>100</v>
      </c>
      <c r="CS1172" t="s">
        <v>101</v>
      </c>
      <c r="CT1172" t="s">
        <v>152</v>
      </c>
      <c r="CU1172" t="s">
        <v>102</v>
      </c>
      <c r="CV1172" t="s">
        <v>100</v>
      </c>
    </row>
    <row r="1173" spans="1:100">
      <c r="A1173" s="3" t="s">
        <v>12747</v>
      </c>
      <c r="B1173" s="4" t="s">
        <v>12748</v>
      </c>
      <c r="C1173">
        <v>76.122119590571003</v>
      </c>
      <c r="D1173">
        <v>129.641065605015</v>
      </c>
      <c r="E1173">
        <f>0.769323348930582</f>
        <v>0.76932334893058196</v>
      </c>
      <c r="F1173">
        <v>0.12723598204374501</v>
      </c>
      <c r="G1173" t="s">
        <v>4</v>
      </c>
      <c r="H1173">
        <v>76.122119590571003</v>
      </c>
      <c r="I1173">
        <v>16.6141838181567</v>
      </c>
      <c r="J1173">
        <v>2.2487505584310998</v>
      </c>
      <c r="K1173" s="5">
        <v>2.11155165519856E-5</v>
      </c>
      <c r="L1173" t="s">
        <v>4</v>
      </c>
      <c r="M1173">
        <v>129.641065605015</v>
      </c>
      <c r="N1173">
        <v>16.6141838181567</v>
      </c>
      <c r="O1173">
        <v>3.0180739073616798</v>
      </c>
      <c r="P1173" s="5">
        <v>4.0387765224526602E-9</v>
      </c>
      <c r="Q1173" t="s">
        <v>4</v>
      </c>
      <c r="R1173" s="4" t="s">
        <v>87</v>
      </c>
      <c r="S1173" t="s">
        <v>4</v>
      </c>
      <c r="T1173" t="s">
        <v>92</v>
      </c>
      <c r="U1173" t="s">
        <v>92</v>
      </c>
      <c r="V1173" t="s">
        <v>92</v>
      </c>
      <c r="W1173" t="s">
        <v>92</v>
      </c>
      <c r="X1173" t="s">
        <v>4</v>
      </c>
      <c r="Y1173" t="s">
        <v>92</v>
      </c>
      <c r="Z1173" t="s">
        <v>92</v>
      </c>
      <c r="AA1173" t="s">
        <v>92</v>
      </c>
      <c r="AB1173" t="s">
        <v>4</v>
      </c>
      <c r="AC1173" s="3" t="s">
        <v>93</v>
      </c>
      <c r="AD1173" t="s">
        <v>4</v>
      </c>
      <c r="AE1173" s="4" t="s">
        <v>94</v>
      </c>
      <c r="AZ1173" t="s">
        <v>4</v>
      </c>
      <c r="BA1173" s="3" t="s">
        <v>95</v>
      </c>
      <c r="BB1173" s="6" t="s">
        <v>95</v>
      </c>
      <c r="BC1173" s="3" t="s">
        <v>95</v>
      </c>
      <c r="BD1173" t="s">
        <v>4</v>
      </c>
      <c r="BE1173">
        <v>576</v>
      </c>
      <c r="BF1173" t="s">
        <v>322</v>
      </c>
      <c r="CK1173">
        <v>1</v>
      </c>
      <c r="CL1173" t="s">
        <v>4</v>
      </c>
      <c r="CM1173" t="s">
        <v>98</v>
      </c>
      <c r="CN1173" t="s">
        <v>98</v>
      </c>
      <c r="CO1173" t="s">
        <v>99</v>
      </c>
      <c r="CP1173" t="s">
        <v>100</v>
      </c>
      <c r="CQ1173" t="s">
        <v>100</v>
      </c>
      <c r="CR1173" t="s">
        <v>100</v>
      </c>
      <c r="CS1173" t="s">
        <v>101</v>
      </c>
      <c r="CT1173" t="s">
        <v>152</v>
      </c>
      <c r="CU1173" t="s">
        <v>102</v>
      </c>
      <c r="CV1173" t="s">
        <v>100</v>
      </c>
    </row>
    <row r="1174" spans="1:100">
      <c r="A1174" s="3" t="s">
        <v>12749</v>
      </c>
      <c r="B1174" s="4" t="s">
        <v>12750</v>
      </c>
      <c r="C1174">
        <v>58.962853334751401</v>
      </c>
      <c r="D1174">
        <v>103.523765563645</v>
      </c>
      <c r="E1174">
        <f>0.816542731234528</f>
        <v>0.81654273123452803</v>
      </c>
      <c r="F1174">
        <v>0.20146093141372801</v>
      </c>
      <c r="G1174" t="s">
        <v>4</v>
      </c>
      <c r="H1174">
        <v>58.962853334751401</v>
      </c>
      <c r="I1174">
        <v>12.5018692596254</v>
      </c>
      <c r="J1174">
        <v>2.19837228109858</v>
      </c>
      <c r="K1174">
        <v>8.2945065686503895E-4</v>
      </c>
      <c r="L1174" t="s">
        <v>4</v>
      </c>
      <c r="M1174">
        <v>103.523765563645</v>
      </c>
      <c r="N1174">
        <v>12.5018692596254</v>
      </c>
      <c r="O1174">
        <v>3.0149150123331001</v>
      </c>
      <c r="P1174" s="5">
        <v>2.0785180343281601E-6</v>
      </c>
      <c r="Q1174" t="s">
        <v>4</v>
      </c>
      <c r="R1174" s="4" t="s">
        <v>87</v>
      </c>
      <c r="S1174" t="s">
        <v>4</v>
      </c>
      <c r="T1174" t="s">
        <v>92</v>
      </c>
      <c r="U1174" t="s">
        <v>92</v>
      </c>
      <c r="V1174" t="s">
        <v>92</v>
      </c>
      <c r="W1174" t="s">
        <v>92</v>
      </c>
      <c r="X1174" t="s">
        <v>4</v>
      </c>
      <c r="Y1174" t="s">
        <v>92</v>
      </c>
      <c r="Z1174" t="s">
        <v>92</v>
      </c>
      <c r="AA1174" t="s">
        <v>92</v>
      </c>
      <c r="AB1174" t="s">
        <v>4</v>
      </c>
      <c r="AC1174" s="3" t="s">
        <v>93</v>
      </c>
      <c r="AD1174" t="s">
        <v>4</v>
      </c>
      <c r="AE1174" t="s">
        <v>3190</v>
      </c>
      <c r="AF1174" t="s">
        <v>12751</v>
      </c>
      <c r="AG1174" t="s">
        <v>850</v>
      </c>
      <c r="AH1174" t="s">
        <v>112</v>
      </c>
      <c r="AJ1174" t="s">
        <v>3193</v>
      </c>
      <c r="AK1174" t="s">
        <v>3194</v>
      </c>
      <c r="AL1174" t="s">
        <v>3195</v>
      </c>
      <c r="AM1174" t="s">
        <v>3196</v>
      </c>
      <c r="AQ1174" t="s">
        <v>3197</v>
      </c>
      <c r="AU1174" t="s">
        <v>112</v>
      </c>
      <c r="AV1174" t="s">
        <v>3198</v>
      </c>
      <c r="AW1174" t="s">
        <v>114</v>
      </c>
      <c r="AX1174" t="s">
        <v>2157</v>
      </c>
      <c r="AY1174" t="s">
        <v>3199</v>
      </c>
      <c r="AZ1174" t="s">
        <v>4</v>
      </c>
      <c r="BA1174" s="3" t="s">
        <v>115</v>
      </c>
      <c r="BB1174" s="6" t="s">
        <v>95</v>
      </c>
      <c r="BC1174" s="3" t="s">
        <v>95</v>
      </c>
      <c r="BD1174" t="s">
        <v>4</v>
      </c>
      <c r="BE1174">
        <v>1620</v>
      </c>
      <c r="BF1174" t="s">
        <v>151</v>
      </c>
      <c r="BG1174">
        <v>90.109899999999996</v>
      </c>
      <c r="CK1174">
        <v>2</v>
      </c>
      <c r="CL1174" t="s">
        <v>4</v>
      </c>
      <c r="CM1174" t="s">
        <v>98</v>
      </c>
      <c r="CN1174" t="s">
        <v>98</v>
      </c>
      <c r="CO1174" t="s">
        <v>99</v>
      </c>
      <c r="CP1174" t="s">
        <v>100</v>
      </c>
      <c r="CQ1174" t="s">
        <v>100</v>
      </c>
      <c r="CR1174" t="s">
        <v>100</v>
      </c>
      <c r="CS1174" t="s">
        <v>101</v>
      </c>
      <c r="CT1174" t="s">
        <v>152</v>
      </c>
      <c r="CU1174" t="s">
        <v>102</v>
      </c>
      <c r="CV1174" t="s">
        <v>100</v>
      </c>
    </row>
    <row r="1175" spans="1:100">
      <c r="A1175" s="3" t="s">
        <v>12752</v>
      </c>
      <c r="B1175" s="4" t="s">
        <v>12753</v>
      </c>
      <c r="C1175">
        <v>73.4337072678547</v>
      </c>
      <c r="D1175">
        <v>94.098369051125701</v>
      </c>
      <c r="E1175">
        <f>0.358358739075304</f>
        <v>0.35835873907530402</v>
      </c>
      <c r="F1175">
        <v>0.510006092140319</v>
      </c>
      <c r="G1175" t="s">
        <v>4</v>
      </c>
      <c r="H1175">
        <v>73.4337072678547</v>
      </c>
      <c r="I1175">
        <v>11.985272043524899</v>
      </c>
      <c r="J1175">
        <v>2.6456374105660601</v>
      </c>
      <c r="K1175" s="5">
        <v>2.0833995725725299E-6</v>
      </c>
      <c r="L1175" t="s">
        <v>4</v>
      </c>
      <c r="M1175">
        <v>94.098369051125701</v>
      </c>
      <c r="N1175">
        <v>11.985272043524899</v>
      </c>
      <c r="O1175">
        <v>3.0039961496413699</v>
      </c>
      <c r="P1175" s="5">
        <v>4.1774712475404603E-8</v>
      </c>
      <c r="Q1175" t="s">
        <v>4</v>
      </c>
      <c r="R1175" s="4" t="s">
        <v>87</v>
      </c>
      <c r="S1175" t="s">
        <v>4</v>
      </c>
      <c r="T1175" t="s">
        <v>4897</v>
      </c>
      <c r="U1175" t="s">
        <v>4898</v>
      </c>
      <c r="V1175" t="s">
        <v>4899</v>
      </c>
      <c r="W1175" t="s">
        <v>203</v>
      </c>
      <c r="X1175" t="s">
        <v>4</v>
      </c>
      <c r="Y1175" t="s">
        <v>4900</v>
      </c>
      <c r="Z1175" t="s">
        <v>4901</v>
      </c>
      <c r="AA1175" t="s">
        <v>4902</v>
      </c>
      <c r="AB1175" t="s">
        <v>4</v>
      </c>
      <c r="AC1175" s="3" t="s">
        <v>93</v>
      </c>
      <c r="AD1175" t="s">
        <v>4</v>
      </c>
      <c r="AE1175" t="s">
        <v>12754</v>
      </c>
      <c r="AF1175" t="s">
        <v>12755</v>
      </c>
      <c r="AG1175" t="s">
        <v>12756</v>
      </c>
      <c r="AH1175" t="s">
        <v>638</v>
      </c>
      <c r="AU1175" t="s">
        <v>112</v>
      </c>
      <c r="AV1175" t="s">
        <v>12757</v>
      </c>
      <c r="AW1175" t="s">
        <v>114</v>
      </c>
      <c r="AX1175" t="s">
        <v>132</v>
      </c>
      <c r="AY1175" t="s">
        <v>8704</v>
      </c>
      <c r="AZ1175" t="s">
        <v>4</v>
      </c>
      <c r="BA1175" s="3" t="s">
        <v>95</v>
      </c>
      <c r="BB1175" s="6" t="s">
        <v>95</v>
      </c>
      <c r="BC1175" s="3" t="s">
        <v>95</v>
      </c>
      <c r="BD1175" t="s">
        <v>4</v>
      </c>
      <c r="BE1175">
        <v>5181</v>
      </c>
      <c r="BF1175" t="s">
        <v>282</v>
      </c>
      <c r="BG1175">
        <v>93.079599999999999</v>
      </c>
      <c r="BJ1175">
        <v>17.128</v>
      </c>
      <c r="BK1175">
        <v>29.584800000000001</v>
      </c>
      <c r="BM1175">
        <v>48.096899999999998</v>
      </c>
      <c r="BN1175">
        <v>47.923900000000003</v>
      </c>
      <c r="BO1175">
        <v>14.8789</v>
      </c>
      <c r="BP1175" t="s">
        <v>12758</v>
      </c>
      <c r="BR1175" t="s">
        <v>12759</v>
      </c>
      <c r="BS1175">
        <v>15.2249</v>
      </c>
      <c r="BW1175" t="s">
        <v>12760</v>
      </c>
      <c r="BZ1175">
        <v>14.1869</v>
      </c>
      <c r="CK1175">
        <v>6</v>
      </c>
      <c r="CL1175" t="s">
        <v>4</v>
      </c>
      <c r="CM1175" t="s">
        <v>98</v>
      </c>
      <c r="CN1175" t="s">
        <v>98</v>
      </c>
      <c r="CO1175" t="s">
        <v>99</v>
      </c>
      <c r="CP1175" t="s">
        <v>100</v>
      </c>
      <c r="CQ1175" t="s">
        <v>100</v>
      </c>
      <c r="CR1175" t="s">
        <v>100</v>
      </c>
      <c r="CS1175" t="s">
        <v>101</v>
      </c>
      <c r="CT1175" t="s">
        <v>152</v>
      </c>
      <c r="CU1175" t="s">
        <v>102</v>
      </c>
      <c r="CV1175" t="s">
        <v>100</v>
      </c>
    </row>
    <row r="1176" spans="1:100">
      <c r="A1176" s="3" t="s">
        <v>12761</v>
      </c>
      <c r="B1176" s="4" t="s">
        <v>12762</v>
      </c>
      <c r="C1176">
        <v>82.885722613545596</v>
      </c>
      <c r="D1176">
        <v>127.810202920566</v>
      </c>
      <c r="E1176">
        <f>0.62313411289058</f>
        <v>0.62313411289057996</v>
      </c>
      <c r="F1176">
        <v>0.33911729603079999</v>
      </c>
      <c r="G1176" t="s">
        <v>4</v>
      </c>
      <c r="H1176">
        <v>82.885722613545596</v>
      </c>
      <c r="I1176">
        <v>15.9306364165754</v>
      </c>
      <c r="J1176">
        <v>2.3737660579517801</v>
      </c>
      <c r="K1176">
        <v>2.2425201389259501E-4</v>
      </c>
      <c r="L1176" t="s">
        <v>4</v>
      </c>
      <c r="M1176">
        <v>127.810202920566</v>
      </c>
      <c r="N1176">
        <v>15.9306364165754</v>
      </c>
      <c r="O1176">
        <v>2.9969001708423599</v>
      </c>
      <c r="P1176" s="5">
        <v>1.647553815417E-6</v>
      </c>
      <c r="Q1176" t="s">
        <v>4</v>
      </c>
      <c r="R1176" s="4" t="s">
        <v>87</v>
      </c>
      <c r="S1176" t="s">
        <v>4</v>
      </c>
      <c r="T1176" t="s">
        <v>92</v>
      </c>
      <c r="U1176" t="s">
        <v>92</v>
      </c>
      <c r="V1176" t="s">
        <v>92</v>
      </c>
      <c r="W1176" t="s">
        <v>92</v>
      </c>
      <c r="X1176" t="s">
        <v>4</v>
      </c>
      <c r="Y1176" t="s">
        <v>92</v>
      </c>
      <c r="Z1176" t="s">
        <v>92</v>
      </c>
      <c r="AA1176" t="s">
        <v>92</v>
      </c>
      <c r="AB1176" t="s">
        <v>4</v>
      </c>
      <c r="AC1176" s="3" t="s">
        <v>93</v>
      </c>
      <c r="AD1176" t="s">
        <v>4</v>
      </c>
      <c r="AE1176" t="s">
        <v>6967</v>
      </c>
      <c r="AF1176" t="s">
        <v>12763</v>
      </c>
      <c r="AG1176" t="s">
        <v>12764</v>
      </c>
      <c r="AH1176" t="s">
        <v>112</v>
      </c>
      <c r="AU1176" t="s">
        <v>112</v>
      </c>
      <c r="AV1176" t="s">
        <v>6970</v>
      </c>
      <c r="AW1176" t="s">
        <v>114</v>
      </c>
      <c r="AZ1176" t="s">
        <v>4</v>
      </c>
      <c r="BA1176" s="3" t="s">
        <v>95</v>
      </c>
      <c r="BB1176" s="6" t="s">
        <v>95</v>
      </c>
      <c r="BC1176" s="3" t="s">
        <v>95</v>
      </c>
      <c r="BD1176" t="s">
        <v>4</v>
      </c>
      <c r="BE1176">
        <v>1421</v>
      </c>
      <c r="BF1176" t="s">
        <v>151</v>
      </c>
      <c r="BG1176">
        <v>88.187700000000007</v>
      </c>
      <c r="BJ1176" t="s">
        <v>12765</v>
      </c>
      <c r="BK1176" t="s">
        <v>12766</v>
      </c>
      <c r="BL1176" t="s">
        <v>12767</v>
      </c>
      <c r="BM1176" t="s">
        <v>12768</v>
      </c>
      <c r="BN1176" t="s">
        <v>6975</v>
      </c>
      <c r="BO1176">
        <v>19.255700000000001</v>
      </c>
      <c r="CK1176">
        <v>2</v>
      </c>
      <c r="CL1176" t="s">
        <v>4</v>
      </c>
      <c r="CM1176" t="s">
        <v>98</v>
      </c>
      <c r="CN1176" t="s">
        <v>98</v>
      </c>
      <c r="CO1176" t="s">
        <v>99</v>
      </c>
      <c r="CP1176" t="s">
        <v>100</v>
      </c>
      <c r="CQ1176" t="s">
        <v>100</v>
      </c>
      <c r="CR1176" t="s">
        <v>100</v>
      </c>
      <c r="CS1176" t="s">
        <v>101</v>
      </c>
      <c r="CT1176" t="s">
        <v>152</v>
      </c>
      <c r="CU1176" t="s">
        <v>102</v>
      </c>
      <c r="CV1176" t="s">
        <v>100</v>
      </c>
    </row>
    <row r="1177" spans="1:100">
      <c r="A1177" s="3" t="s">
        <v>12769</v>
      </c>
      <c r="B1177" s="4" t="s">
        <v>12770</v>
      </c>
      <c r="C1177">
        <v>31.264713531815499</v>
      </c>
      <c r="D1177">
        <v>14.127801951752501</v>
      </c>
      <c r="E1177">
        <v>1.1498063934524401</v>
      </c>
      <c r="F1177">
        <v>0.21016928549615299</v>
      </c>
      <c r="G1177" t="s">
        <v>4</v>
      </c>
      <c r="H1177">
        <v>31.264713531815499</v>
      </c>
      <c r="I1177">
        <v>1.6417037200681699</v>
      </c>
      <c r="J1177">
        <v>4.1454051213361698</v>
      </c>
      <c r="K1177">
        <v>2.6731482275214701E-4</v>
      </c>
      <c r="L1177" t="s">
        <v>4</v>
      </c>
      <c r="M1177">
        <v>14.127801951752501</v>
      </c>
      <c r="N1177">
        <v>1.6417037200681699</v>
      </c>
      <c r="O1177">
        <v>2.9955987278837299</v>
      </c>
      <c r="P1177">
        <v>9.9956664309756808E-3</v>
      </c>
      <c r="Q1177" t="s">
        <v>4</v>
      </c>
      <c r="R1177" s="4" t="s">
        <v>87</v>
      </c>
      <c r="S1177" t="s">
        <v>4</v>
      </c>
      <c r="T1177" t="s">
        <v>88</v>
      </c>
      <c r="U1177" t="s">
        <v>89</v>
      </c>
      <c r="V1177" t="s">
        <v>90</v>
      </c>
      <c r="W1177" t="s">
        <v>91</v>
      </c>
      <c r="X1177" t="s">
        <v>4</v>
      </c>
      <c r="Y1177" t="s">
        <v>92</v>
      </c>
      <c r="Z1177" t="s">
        <v>92</v>
      </c>
      <c r="AA1177" t="s">
        <v>92</v>
      </c>
      <c r="AB1177" t="s">
        <v>4</v>
      </c>
      <c r="AC1177" s="3" t="s">
        <v>12771</v>
      </c>
      <c r="AD1177" t="s">
        <v>4</v>
      </c>
      <c r="AE1177" s="4" t="s">
        <v>94</v>
      </c>
      <c r="AZ1177" t="s">
        <v>4</v>
      </c>
      <c r="BA1177" s="3" t="s">
        <v>115</v>
      </c>
      <c r="BB1177" t="s">
        <v>96</v>
      </c>
      <c r="BC1177" s="3" t="s">
        <v>95</v>
      </c>
      <c r="BD1177" t="s">
        <v>4</v>
      </c>
      <c r="BE1177">
        <v>276</v>
      </c>
      <c r="BF1177" t="s">
        <v>322</v>
      </c>
      <c r="CK1177">
        <v>1</v>
      </c>
      <c r="CL1177" t="s">
        <v>4</v>
      </c>
      <c r="CM1177" t="s">
        <v>98</v>
      </c>
      <c r="CN1177" t="s">
        <v>98</v>
      </c>
      <c r="CO1177" t="s">
        <v>99</v>
      </c>
      <c r="CP1177" t="s">
        <v>100</v>
      </c>
      <c r="CQ1177" t="s">
        <v>100</v>
      </c>
      <c r="CR1177" t="s">
        <v>100</v>
      </c>
      <c r="CS1177" t="s">
        <v>101</v>
      </c>
      <c r="CT1177" t="s">
        <v>152</v>
      </c>
      <c r="CU1177" t="s">
        <v>102</v>
      </c>
      <c r="CV1177" t="s">
        <v>100</v>
      </c>
    </row>
    <row r="1178" spans="1:100">
      <c r="A1178" s="3" t="s">
        <v>12772</v>
      </c>
      <c r="B1178" s="4" t="s">
        <v>12773</v>
      </c>
      <c r="C1178">
        <v>92.071472666845807</v>
      </c>
      <c r="D1178">
        <v>157.87336339869401</v>
      </c>
      <c r="E1178">
        <f>0.773996179948023</f>
        <v>0.77399617994802306</v>
      </c>
      <c r="F1178">
        <v>0.18514513844890901</v>
      </c>
      <c r="G1178" t="s">
        <v>4</v>
      </c>
      <c r="H1178">
        <v>92.071472666845807</v>
      </c>
      <c r="I1178">
        <v>19.7280743958841</v>
      </c>
      <c r="J1178">
        <v>2.2170579550216898</v>
      </c>
      <c r="K1178">
        <v>1.49797684937362E-4</v>
      </c>
      <c r="L1178" t="s">
        <v>4</v>
      </c>
      <c r="M1178">
        <v>157.87336339869401</v>
      </c>
      <c r="N1178">
        <v>19.7280743958841</v>
      </c>
      <c r="O1178">
        <v>2.9910541349697102</v>
      </c>
      <c r="P1178" s="5">
        <v>1.2995124042946301E-7</v>
      </c>
      <c r="Q1178" t="s">
        <v>4</v>
      </c>
      <c r="R1178" s="4" t="s">
        <v>87</v>
      </c>
      <c r="S1178" t="s">
        <v>4</v>
      </c>
      <c r="T1178" t="s">
        <v>88</v>
      </c>
      <c r="U1178" t="s">
        <v>89</v>
      </c>
      <c r="V1178" t="s">
        <v>90</v>
      </c>
      <c r="W1178" t="s">
        <v>91</v>
      </c>
      <c r="X1178" t="s">
        <v>4</v>
      </c>
      <c r="Y1178" t="s">
        <v>92</v>
      </c>
      <c r="Z1178" t="s">
        <v>92</v>
      </c>
      <c r="AA1178" t="s">
        <v>92</v>
      </c>
      <c r="AB1178" t="s">
        <v>4</v>
      </c>
      <c r="AC1178" s="3" t="s">
        <v>93</v>
      </c>
      <c r="AD1178" t="s">
        <v>4</v>
      </c>
      <c r="AE1178" s="4" t="s">
        <v>94</v>
      </c>
      <c r="AZ1178" t="s">
        <v>4</v>
      </c>
      <c r="BA1178" s="3" t="s">
        <v>95</v>
      </c>
      <c r="BB1178" t="s">
        <v>96</v>
      </c>
      <c r="BC1178" s="3" t="s">
        <v>95</v>
      </c>
      <c r="BD1178" t="s">
        <v>4</v>
      </c>
      <c r="BE1178">
        <v>2351</v>
      </c>
      <c r="BF1178" t="s">
        <v>148</v>
      </c>
      <c r="BG1178">
        <v>73.745199999999997</v>
      </c>
      <c r="BH1178">
        <v>79.536699999999996</v>
      </c>
      <c r="BI1178">
        <v>77.9923</v>
      </c>
      <c r="BJ1178">
        <v>30.1158</v>
      </c>
      <c r="BK1178">
        <v>48.648600000000002</v>
      </c>
      <c r="BM1178">
        <v>24.324300000000001</v>
      </c>
      <c r="BN1178">
        <v>29.343599999999999</v>
      </c>
      <c r="BO1178">
        <v>51.737499999999997</v>
      </c>
      <c r="CK1178">
        <v>3</v>
      </c>
      <c r="CL1178" t="s">
        <v>4</v>
      </c>
      <c r="CM1178" t="s">
        <v>98</v>
      </c>
      <c r="CN1178" t="s">
        <v>98</v>
      </c>
      <c r="CO1178" t="s">
        <v>99</v>
      </c>
      <c r="CP1178" t="s">
        <v>100</v>
      </c>
      <c r="CQ1178" t="s">
        <v>100</v>
      </c>
      <c r="CR1178" t="s">
        <v>100</v>
      </c>
      <c r="CS1178" t="s">
        <v>101</v>
      </c>
      <c r="CT1178" t="s">
        <v>152</v>
      </c>
      <c r="CU1178" t="s">
        <v>102</v>
      </c>
      <c r="CV1178" t="s">
        <v>100</v>
      </c>
    </row>
    <row r="1179" spans="1:100">
      <c r="A1179" s="3" t="s">
        <v>12774</v>
      </c>
      <c r="B1179" s="4" t="s">
        <v>12775</v>
      </c>
      <c r="C1179">
        <v>36.1605072615382</v>
      </c>
      <c r="D1179">
        <v>68.429678670128396</v>
      </c>
      <c r="E1179">
        <f>0.920216899257568</f>
        <v>0.920216899257568</v>
      </c>
      <c r="F1179">
        <v>0.13862788396822101</v>
      </c>
      <c r="G1179" t="s">
        <v>4</v>
      </c>
      <c r="H1179">
        <v>36.1605072615382</v>
      </c>
      <c r="I1179">
        <v>8.8739481427257001</v>
      </c>
      <c r="J1179">
        <v>2.0671682920780698</v>
      </c>
      <c r="K1179">
        <v>2.3455249957057998E-3</v>
      </c>
      <c r="L1179" t="s">
        <v>4</v>
      </c>
      <c r="M1179">
        <v>68.429678670128396</v>
      </c>
      <c r="N1179">
        <v>8.8739481427257001</v>
      </c>
      <c r="O1179">
        <v>2.98738519133564</v>
      </c>
      <c r="P1179" s="5">
        <v>4.6557474251791904E-6</v>
      </c>
      <c r="Q1179" t="s">
        <v>4</v>
      </c>
      <c r="R1179" s="4" t="s">
        <v>87</v>
      </c>
      <c r="S1179" t="s">
        <v>4</v>
      </c>
      <c r="T1179" t="s">
        <v>88</v>
      </c>
      <c r="U1179" t="s">
        <v>89</v>
      </c>
      <c r="V1179" t="s">
        <v>90</v>
      </c>
      <c r="W1179" t="s">
        <v>91</v>
      </c>
      <c r="X1179" t="s">
        <v>4</v>
      </c>
      <c r="Y1179" t="s">
        <v>2207</v>
      </c>
      <c r="Z1179" t="s">
        <v>2208</v>
      </c>
      <c r="AA1179" t="s">
        <v>2209</v>
      </c>
      <c r="AB1179" t="s">
        <v>4</v>
      </c>
      <c r="AC1179" s="3" t="s">
        <v>93</v>
      </c>
      <c r="AD1179" t="s">
        <v>4</v>
      </c>
      <c r="AE1179" t="s">
        <v>11344</v>
      </c>
      <c r="AF1179" t="s">
        <v>12776</v>
      </c>
      <c r="AG1179" t="s">
        <v>12777</v>
      </c>
      <c r="AH1179" t="s">
        <v>112</v>
      </c>
      <c r="AU1179" t="s">
        <v>112</v>
      </c>
      <c r="AV1179" t="s">
        <v>430</v>
      </c>
      <c r="AW1179" t="s">
        <v>114</v>
      </c>
      <c r="AX1179" t="s">
        <v>144</v>
      </c>
      <c r="AY1179" t="s">
        <v>431</v>
      </c>
      <c r="AZ1179" t="s">
        <v>4</v>
      </c>
      <c r="BA1179" s="3" t="s">
        <v>95</v>
      </c>
      <c r="BB1179" t="s">
        <v>96</v>
      </c>
      <c r="BC1179" s="3" t="s">
        <v>95</v>
      </c>
      <c r="BD1179" t="s">
        <v>4</v>
      </c>
      <c r="BE1179">
        <v>4701</v>
      </c>
      <c r="BF1179" t="s">
        <v>112</v>
      </c>
      <c r="BG1179">
        <v>80.317499999999995</v>
      </c>
      <c r="BJ1179">
        <v>67.936499999999995</v>
      </c>
      <c r="BN1179" t="s">
        <v>12778</v>
      </c>
      <c r="BP1179">
        <v>22.857099999999999</v>
      </c>
      <c r="BQ1179" t="s">
        <v>11348</v>
      </c>
      <c r="BW1179" t="s">
        <v>11349</v>
      </c>
      <c r="CK1179">
        <v>5</v>
      </c>
      <c r="CL1179" t="s">
        <v>4</v>
      </c>
      <c r="CM1179" t="s">
        <v>98</v>
      </c>
      <c r="CN1179" t="s">
        <v>98</v>
      </c>
      <c r="CO1179" t="s">
        <v>99</v>
      </c>
      <c r="CP1179" t="s">
        <v>100</v>
      </c>
      <c r="CQ1179" t="s">
        <v>100</v>
      </c>
      <c r="CR1179" t="s">
        <v>100</v>
      </c>
      <c r="CS1179" t="s">
        <v>101</v>
      </c>
      <c r="CT1179" t="s">
        <v>152</v>
      </c>
      <c r="CU1179" t="s">
        <v>102</v>
      </c>
      <c r="CV1179" t="s">
        <v>100</v>
      </c>
    </row>
    <row r="1180" spans="1:100">
      <c r="A1180" s="3" t="s">
        <v>12779</v>
      </c>
      <c r="B1180" s="4" t="s">
        <v>12780</v>
      </c>
      <c r="C1180">
        <v>2204.8289604035299</v>
      </c>
      <c r="D1180">
        <v>3660.13089103933</v>
      </c>
      <c r="E1180">
        <f>0.731214265396874</f>
        <v>0.73121426539687395</v>
      </c>
      <c r="F1180">
        <v>3.6207376954862203E-2</v>
      </c>
      <c r="G1180" t="s">
        <v>4</v>
      </c>
      <c r="H1180">
        <v>2204.8289604035299</v>
      </c>
      <c r="I1180">
        <v>460.00976370638602</v>
      </c>
      <c r="J1180">
        <v>2.2550474824987501</v>
      </c>
      <c r="K1180" s="5">
        <v>2.1336271484439299E-12</v>
      </c>
      <c r="L1180" t="s">
        <v>4</v>
      </c>
      <c r="M1180">
        <v>3660.13089103933</v>
      </c>
      <c r="N1180">
        <v>460.00976370638602</v>
      </c>
      <c r="O1180">
        <v>2.9862617478956199</v>
      </c>
      <c r="P1180" s="5">
        <v>3.6669452275116102E-21</v>
      </c>
      <c r="Q1180" t="s">
        <v>4</v>
      </c>
      <c r="R1180" s="4" t="s">
        <v>87</v>
      </c>
      <c r="S1180" t="s">
        <v>4</v>
      </c>
      <c r="T1180" t="s">
        <v>12781</v>
      </c>
      <c r="U1180" t="s">
        <v>12782</v>
      </c>
      <c r="V1180" t="s">
        <v>12783</v>
      </c>
      <c r="W1180" t="s">
        <v>203</v>
      </c>
      <c r="X1180" t="s">
        <v>4</v>
      </c>
      <c r="Y1180" t="s">
        <v>12784</v>
      </c>
      <c r="Z1180" t="s">
        <v>12785</v>
      </c>
      <c r="AA1180" t="s">
        <v>12786</v>
      </c>
      <c r="AB1180" t="s">
        <v>4</v>
      </c>
      <c r="AC1180" s="3" t="s">
        <v>12787</v>
      </c>
      <c r="AD1180" t="s">
        <v>4</v>
      </c>
      <c r="AE1180" t="s">
        <v>12788</v>
      </c>
      <c r="AF1180" t="s">
        <v>834</v>
      </c>
      <c r="AG1180" t="s">
        <v>12789</v>
      </c>
      <c r="AH1180" t="s">
        <v>112</v>
      </c>
      <c r="AK1180" t="s">
        <v>163</v>
      </c>
      <c r="AL1180" t="s">
        <v>12790</v>
      </c>
      <c r="AM1180" t="s">
        <v>12791</v>
      </c>
      <c r="AN1180" t="s">
        <v>7086</v>
      </c>
      <c r="AQ1180" t="s">
        <v>7087</v>
      </c>
      <c r="AU1180" t="s">
        <v>112</v>
      </c>
      <c r="AV1180" t="s">
        <v>12792</v>
      </c>
      <c r="AW1180" t="s">
        <v>114</v>
      </c>
      <c r="AX1180" t="s">
        <v>12793</v>
      </c>
      <c r="AY1180" t="s">
        <v>12794</v>
      </c>
      <c r="AZ1180" t="s">
        <v>4</v>
      </c>
      <c r="BA1180" s="3" t="s">
        <v>115</v>
      </c>
      <c r="BB1180" s="6" t="s">
        <v>95</v>
      </c>
      <c r="BC1180" s="3" t="s">
        <v>95</v>
      </c>
      <c r="BD1180" t="s">
        <v>4</v>
      </c>
      <c r="BE1180">
        <v>9543</v>
      </c>
      <c r="BF1180" t="s">
        <v>169</v>
      </c>
      <c r="BG1180">
        <v>11.916700000000001</v>
      </c>
      <c r="BH1180">
        <v>4.5121500000000001</v>
      </c>
      <c r="BI1180">
        <v>27.7285</v>
      </c>
      <c r="BJ1180">
        <v>74.546899999999994</v>
      </c>
      <c r="BK1180">
        <v>53.143099999999997</v>
      </c>
      <c r="BM1180">
        <v>78.171999999999997</v>
      </c>
      <c r="BN1180">
        <v>79.406099999999995</v>
      </c>
      <c r="BO1180">
        <v>80.023099999999999</v>
      </c>
      <c r="BP1180">
        <v>7.2888500000000001</v>
      </c>
      <c r="BQ1180">
        <v>17.1616</v>
      </c>
      <c r="BX1180">
        <v>4.3193200000000003</v>
      </c>
      <c r="BY1180">
        <v>6.6718099999999998</v>
      </c>
      <c r="BZ1180">
        <v>4.7821100000000003</v>
      </c>
      <c r="CA1180">
        <v>13.8064</v>
      </c>
      <c r="CB1180">
        <v>9.7184699999999999</v>
      </c>
      <c r="CC1180">
        <v>1.58118</v>
      </c>
      <c r="CD1180" t="s">
        <v>12795</v>
      </c>
      <c r="CE1180">
        <v>11.338200000000001</v>
      </c>
      <c r="CF1180">
        <v>13.305099999999999</v>
      </c>
      <c r="CG1180">
        <v>16.698799999999999</v>
      </c>
      <c r="CH1180">
        <v>17.2773</v>
      </c>
      <c r="CI1180">
        <v>16.544499999999999</v>
      </c>
      <c r="CK1180">
        <v>9</v>
      </c>
      <c r="CL1180" t="s">
        <v>4</v>
      </c>
      <c r="CM1180" t="s">
        <v>12796</v>
      </c>
      <c r="CN1180" t="s">
        <v>12797</v>
      </c>
      <c r="CO1180" t="s">
        <v>219</v>
      </c>
      <c r="CP1180" t="s">
        <v>100</v>
      </c>
      <c r="CQ1180" t="s">
        <v>100</v>
      </c>
      <c r="CR1180" t="s">
        <v>100</v>
      </c>
      <c r="CS1180" t="s">
        <v>101</v>
      </c>
      <c r="CT1180" t="s">
        <v>152</v>
      </c>
      <c r="CU1180" t="s">
        <v>102</v>
      </c>
      <c r="CV1180" t="s">
        <v>8851</v>
      </c>
    </row>
    <row r="1181" spans="1:100">
      <c r="A1181" s="3" t="s">
        <v>12798</v>
      </c>
      <c r="B1181" s="4" t="s">
        <v>12799</v>
      </c>
      <c r="C1181">
        <v>416.82848836728698</v>
      </c>
      <c r="D1181">
        <v>440.302402792088</v>
      </c>
      <c r="E1181">
        <f>0.0790068677676704</f>
        <v>7.9006867767670394E-2</v>
      </c>
      <c r="F1181">
        <v>0.86419559972815796</v>
      </c>
      <c r="G1181" t="s">
        <v>4</v>
      </c>
      <c r="H1181">
        <v>416.82848836728698</v>
      </c>
      <c r="I1181">
        <v>56.433870078427397</v>
      </c>
      <c r="J1181">
        <v>2.9069842632107599</v>
      </c>
      <c r="K1181" s="5">
        <v>3.8612653959147002E-14</v>
      </c>
      <c r="L1181" t="s">
        <v>4</v>
      </c>
      <c r="M1181">
        <v>440.302402792088</v>
      </c>
      <c r="N1181">
        <v>56.433870078427397</v>
      </c>
      <c r="O1181">
        <v>2.9859911309784302</v>
      </c>
      <c r="P1181" s="5">
        <v>5.5416024449954801E-15</v>
      </c>
      <c r="Q1181" t="s">
        <v>4</v>
      </c>
      <c r="R1181" s="4" t="s">
        <v>87</v>
      </c>
      <c r="S1181" t="s">
        <v>4</v>
      </c>
      <c r="T1181" t="s">
        <v>12800</v>
      </c>
      <c r="U1181" t="s">
        <v>12801</v>
      </c>
      <c r="V1181" t="s">
        <v>12802</v>
      </c>
      <c r="W1181" t="s">
        <v>203</v>
      </c>
      <c r="X1181" t="s">
        <v>4</v>
      </c>
      <c r="Y1181" t="s">
        <v>12803</v>
      </c>
      <c r="Z1181" t="s">
        <v>12804</v>
      </c>
      <c r="AA1181" t="s">
        <v>12805</v>
      </c>
      <c r="AB1181" t="s">
        <v>4</v>
      </c>
      <c r="AC1181" s="3" t="s">
        <v>11334</v>
      </c>
      <c r="AD1181" t="s">
        <v>4</v>
      </c>
      <c r="AE1181" t="s">
        <v>9566</v>
      </c>
      <c r="AF1181" t="s">
        <v>12806</v>
      </c>
      <c r="AG1181" t="s">
        <v>12807</v>
      </c>
      <c r="AH1181" t="s">
        <v>112</v>
      </c>
      <c r="AL1181" t="s">
        <v>9569</v>
      </c>
      <c r="AQ1181" t="s">
        <v>7764</v>
      </c>
      <c r="AU1181" t="s">
        <v>112</v>
      </c>
      <c r="AV1181" t="s">
        <v>9570</v>
      </c>
      <c r="AW1181" t="s">
        <v>114</v>
      </c>
      <c r="AX1181" t="s">
        <v>2157</v>
      </c>
      <c r="AY1181" t="s">
        <v>9571</v>
      </c>
      <c r="AZ1181" t="s">
        <v>4</v>
      </c>
      <c r="BA1181" s="3" t="s">
        <v>95</v>
      </c>
      <c r="BB1181" s="6" t="s">
        <v>95</v>
      </c>
      <c r="BC1181" s="3" t="s">
        <v>95</v>
      </c>
      <c r="BD1181" t="s">
        <v>4</v>
      </c>
      <c r="BE1181">
        <v>1191</v>
      </c>
      <c r="BF1181" t="s">
        <v>151</v>
      </c>
      <c r="BG1181">
        <v>96.650700000000001</v>
      </c>
      <c r="BH1181">
        <v>43.540700000000001</v>
      </c>
      <c r="BK1181">
        <v>56.459299999999999</v>
      </c>
      <c r="BM1181">
        <v>20.574200000000001</v>
      </c>
      <c r="BN1181" t="s">
        <v>12808</v>
      </c>
      <c r="BO1181">
        <v>40.669899999999998</v>
      </c>
      <c r="CK1181">
        <v>2</v>
      </c>
      <c r="CL1181" t="s">
        <v>4</v>
      </c>
      <c r="CM1181" t="s">
        <v>98</v>
      </c>
      <c r="CN1181" t="s">
        <v>98</v>
      </c>
      <c r="CO1181" t="s">
        <v>99</v>
      </c>
      <c r="CP1181" t="s">
        <v>100</v>
      </c>
      <c r="CQ1181" t="s">
        <v>100</v>
      </c>
      <c r="CR1181" t="s">
        <v>100</v>
      </c>
      <c r="CS1181" t="s">
        <v>101</v>
      </c>
      <c r="CT1181" t="s">
        <v>152</v>
      </c>
      <c r="CU1181" t="s">
        <v>102</v>
      </c>
      <c r="CV1181" t="s">
        <v>100</v>
      </c>
    </row>
    <row r="1182" spans="1:100">
      <c r="A1182" s="3" t="s">
        <v>12809</v>
      </c>
      <c r="B1182" s="4" t="s">
        <v>12810</v>
      </c>
      <c r="C1182">
        <v>59.498423113389002</v>
      </c>
      <c r="D1182">
        <v>28.1465256854441</v>
      </c>
      <c r="E1182">
        <v>1.0758982579323599</v>
      </c>
      <c r="F1182">
        <v>0.192712152839212</v>
      </c>
      <c r="G1182" t="s">
        <v>4</v>
      </c>
      <c r="H1182">
        <v>59.498423113389002</v>
      </c>
      <c r="I1182">
        <v>3.03315977570331</v>
      </c>
      <c r="J1182">
        <v>4.0575008731485704</v>
      </c>
      <c r="K1182" s="5">
        <v>1.0903858660886801E-5</v>
      </c>
      <c r="L1182" t="s">
        <v>4</v>
      </c>
      <c r="M1182">
        <v>28.1465256854441</v>
      </c>
      <c r="N1182">
        <v>3.03315977570331</v>
      </c>
      <c r="O1182">
        <v>2.9816026152162101</v>
      </c>
      <c r="P1182">
        <v>1.4590719857660299E-3</v>
      </c>
      <c r="Q1182" t="s">
        <v>4</v>
      </c>
      <c r="R1182" s="4" t="s">
        <v>87</v>
      </c>
      <c r="S1182" t="s">
        <v>4</v>
      </c>
      <c r="T1182" t="s">
        <v>92</v>
      </c>
      <c r="U1182" t="s">
        <v>92</v>
      </c>
      <c r="V1182" t="s">
        <v>92</v>
      </c>
      <c r="W1182" t="s">
        <v>92</v>
      </c>
      <c r="X1182" t="s">
        <v>4</v>
      </c>
      <c r="Y1182" t="s">
        <v>92</v>
      </c>
      <c r="Z1182" t="s">
        <v>92</v>
      </c>
      <c r="AA1182" t="s">
        <v>92</v>
      </c>
      <c r="AB1182" t="s">
        <v>4</v>
      </c>
      <c r="AC1182" s="3" t="s">
        <v>93</v>
      </c>
      <c r="AD1182" t="s">
        <v>4</v>
      </c>
      <c r="AE1182" s="4" t="s">
        <v>94</v>
      </c>
      <c r="AZ1182" t="s">
        <v>4</v>
      </c>
      <c r="BA1182" s="3" t="s">
        <v>95</v>
      </c>
      <c r="BB1182" t="s">
        <v>96</v>
      </c>
      <c r="BC1182" s="3" t="s">
        <v>95</v>
      </c>
      <c r="BD1182" t="s">
        <v>4</v>
      </c>
      <c r="BE1182">
        <v>1559</v>
      </c>
      <c r="BF1182" t="s">
        <v>151</v>
      </c>
      <c r="BG1182">
        <v>88.319100000000006</v>
      </c>
      <c r="BI1182">
        <v>81.481499999999997</v>
      </c>
      <c r="BJ1182" t="s">
        <v>12811</v>
      </c>
      <c r="BK1182">
        <v>63.532800000000002</v>
      </c>
      <c r="BN1182" t="s">
        <v>12812</v>
      </c>
      <c r="CK1182">
        <v>2</v>
      </c>
      <c r="CL1182" t="s">
        <v>4</v>
      </c>
      <c r="CM1182" t="s">
        <v>98</v>
      </c>
      <c r="CN1182" t="s">
        <v>98</v>
      </c>
      <c r="CO1182" t="s">
        <v>99</v>
      </c>
      <c r="CP1182" t="s">
        <v>100</v>
      </c>
      <c r="CQ1182" t="s">
        <v>100</v>
      </c>
      <c r="CR1182" t="s">
        <v>100</v>
      </c>
      <c r="CS1182" t="s">
        <v>101</v>
      </c>
      <c r="CT1182" t="s">
        <v>152</v>
      </c>
      <c r="CU1182" t="s">
        <v>102</v>
      </c>
      <c r="CV1182" t="s">
        <v>100</v>
      </c>
    </row>
    <row r="1183" spans="1:100">
      <c r="A1183" s="3" t="s">
        <v>12813</v>
      </c>
      <c r="B1183" s="4" t="s">
        <v>12814</v>
      </c>
      <c r="C1183">
        <v>133.16219241771901</v>
      </c>
      <c r="D1183">
        <v>208.965818451096</v>
      </c>
      <c r="E1183">
        <f>0.651728730120327</f>
        <v>0.65172873012032695</v>
      </c>
      <c r="F1183">
        <v>3.8870931342195499E-2</v>
      </c>
      <c r="G1183" t="s">
        <v>4</v>
      </c>
      <c r="H1183">
        <v>133.16219241771901</v>
      </c>
      <c r="I1183">
        <v>27.087907274247801</v>
      </c>
      <c r="J1183">
        <v>2.3291646171812901</v>
      </c>
      <c r="K1183" s="5">
        <v>1.4972479440312399E-11</v>
      </c>
      <c r="L1183" t="s">
        <v>4</v>
      </c>
      <c r="M1183">
        <v>208.965818451096</v>
      </c>
      <c r="N1183">
        <v>27.087907274247801</v>
      </c>
      <c r="O1183">
        <v>2.9808933473016199</v>
      </c>
      <c r="P1183" s="5">
        <v>1.46255873161154E-18</v>
      </c>
      <c r="Q1183" t="s">
        <v>4</v>
      </c>
      <c r="R1183" s="4" t="s">
        <v>87</v>
      </c>
      <c r="S1183" t="s">
        <v>4</v>
      </c>
      <c r="T1183" t="s">
        <v>9839</v>
      </c>
      <c r="U1183" t="s">
        <v>9840</v>
      </c>
      <c r="V1183" t="s">
        <v>9841</v>
      </c>
      <c r="W1183" t="s">
        <v>203</v>
      </c>
      <c r="X1183" t="s">
        <v>4</v>
      </c>
      <c r="Y1183" t="s">
        <v>2991</v>
      </c>
      <c r="Z1183" t="s">
        <v>2992</v>
      </c>
      <c r="AA1183" t="s">
        <v>2993</v>
      </c>
      <c r="AB1183" t="s">
        <v>4</v>
      </c>
      <c r="AC1183" s="3" t="s">
        <v>12815</v>
      </c>
      <c r="AD1183" t="s">
        <v>4</v>
      </c>
      <c r="AE1183" t="s">
        <v>7340</v>
      </c>
      <c r="AF1183" t="s">
        <v>12816</v>
      </c>
      <c r="AG1183" t="s">
        <v>12817</v>
      </c>
      <c r="AH1183" t="s">
        <v>386</v>
      </c>
      <c r="AU1183" t="s">
        <v>112</v>
      </c>
      <c r="AV1183" t="s">
        <v>2998</v>
      </c>
      <c r="AW1183" t="s">
        <v>114</v>
      </c>
      <c r="AX1183" t="s">
        <v>536</v>
      </c>
      <c r="AY1183" t="s">
        <v>2999</v>
      </c>
      <c r="AZ1183" t="s">
        <v>4</v>
      </c>
      <c r="BA1183" s="3" t="s">
        <v>95</v>
      </c>
      <c r="BB1183" s="6" t="s">
        <v>95</v>
      </c>
      <c r="BC1183" s="3" t="s">
        <v>95</v>
      </c>
      <c r="BD1183" t="s">
        <v>4</v>
      </c>
      <c r="BE1183">
        <v>5789</v>
      </c>
      <c r="BF1183" t="s">
        <v>386</v>
      </c>
      <c r="BK1183">
        <v>54.2029</v>
      </c>
      <c r="BS1183" t="s">
        <v>12818</v>
      </c>
      <c r="BU1183">
        <v>15.362299999999999</v>
      </c>
      <c r="CB1183" t="s">
        <v>12819</v>
      </c>
      <c r="CD1183">
        <v>16.2319</v>
      </c>
      <c r="CF1183">
        <v>16.2319</v>
      </c>
      <c r="CG1183" t="s">
        <v>12820</v>
      </c>
      <c r="CH1183" t="s">
        <v>12821</v>
      </c>
      <c r="CI1183" t="s">
        <v>12822</v>
      </c>
      <c r="CK1183">
        <v>7</v>
      </c>
      <c r="CL1183" t="s">
        <v>4</v>
      </c>
      <c r="CM1183" t="s">
        <v>98</v>
      </c>
      <c r="CN1183" t="s">
        <v>98</v>
      </c>
      <c r="CO1183" t="s">
        <v>99</v>
      </c>
      <c r="CP1183" t="s">
        <v>100</v>
      </c>
      <c r="CQ1183" t="s">
        <v>100</v>
      </c>
      <c r="CR1183" t="s">
        <v>100</v>
      </c>
      <c r="CS1183" t="s">
        <v>101</v>
      </c>
      <c r="CT1183" t="s">
        <v>152</v>
      </c>
      <c r="CU1183" t="s">
        <v>102</v>
      </c>
      <c r="CV1183" t="s">
        <v>100</v>
      </c>
    </row>
    <row r="1184" spans="1:100">
      <c r="A1184" s="3" t="s">
        <v>12823</v>
      </c>
      <c r="B1184" s="4" t="s">
        <v>12824</v>
      </c>
      <c r="C1184">
        <v>23.221147469236801</v>
      </c>
      <c r="D1184">
        <v>34.120687683407603</v>
      </c>
      <c r="E1184">
        <f>0.551888142421291</f>
        <v>0.55188814242129103</v>
      </c>
      <c r="F1184">
        <v>0.42727563777551197</v>
      </c>
      <c r="G1184" t="s">
        <v>4</v>
      </c>
      <c r="H1184">
        <v>23.221147469236801</v>
      </c>
      <c r="I1184">
        <v>4.1163378729681197</v>
      </c>
      <c r="J1184">
        <v>2.4204285162162398</v>
      </c>
      <c r="K1184">
        <v>2.41869429924372E-3</v>
      </c>
      <c r="L1184" t="s">
        <v>4</v>
      </c>
      <c r="M1184">
        <v>34.120687683407603</v>
      </c>
      <c r="N1184">
        <v>4.1163378729681197</v>
      </c>
      <c r="O1184">
        <v>2.97231665863753</v>
      </c>
      <c r="P1184">
        <v>1.2725559141132901E-4</v>
      </c>
      <c r="Q1184" t="s">
        <v>4</v>
      </c>
      <c r="R1184" s="4" t="s">
        <v>87</v>
      </c>
      <c r="S1184" t="s">
        <v>4</v>
      </c>
      <c r="T1184" t="s">
        <v>12825</v>
      </c>
      <c r="U1184" t="s">
        <v>12826</v>
      </c>
      <c r="V1184" t="s">
        <v>12827</v>
      </c>
      <c r="W1184" t="s">
        <v>328</v>
      </c>
      <c r="X1184" t="s">
        <v>4</v>
      </c>
      <c r="Y1184" t="s">
        <v>2148</v>
      </c>
      <c r="Z1184" t="s">
        <v>2149</v>
      </c>
      <c r="AA1184" t="s">
        <v>2150</v>
      </c>
      <c r="AB1184" t="s">
        <v>4</v>
      </c>
      <c r="AC1184" s="3" t="s">
        <v>12828</v>
      </c>
      <c r="AD1184" t="s">
        <v>4</v>
      </c>
      <c r="AE1184" t="s">
        <v>12829</v>
      </c>
      <c r="AF1184" t="s">
        <v>12830</v>
      </c>
      <c r="AG1184" t="s">
        <v>12831</v>
      </c>
      <c r="AH1184" t="s">
        <v>112</v>
      </c>
      <c r="AI1184" t="s">
        <v>12832</v>
      </c>
      <c r="AJ1184" t="s">
        <v>12833</v>
      </c>
      <c r="AL1184" t="s">
        <v>2154</v>
      </c>
      <c r="AM1184" t="s">
        <v>2155</v>
      </c>
      <c r="AQ1184" t="s">
        <v>303</v>
      </c>
      <c r="AU1184" t="s">
        <v>112</v>
      </c>
      <c r="AV1184" t="s">
        <v>2156</v>
      </c>
      <c r="AW1184" t="s">
        <v>114</v>
      </c>
      <c r="AX1184" t="s">
        <v>2157</v>
      </c>
      <c r="AY1184" t="s">
        <v>2158</v>
      </c>
      <c r="AZ1184" t="s">
        <v>4</v>
      </c>
      <c r="BA1184" s="3" t="s">
        <v>95</v>
      </c>
      <c r="BB1184" s="6" t="s">
        <v>95</v>
      </c>
      <c r="BC1184" s="3" t="s">
        <v>95</v>
      </c>
      <c r="BD1184" t="s">
        <v>4</v>
      </c>
      <c r="BE1184">
        <v>6224</v>
      </c>
      <c r="BF1184" t="s">
        <v>213</v>
      </c>
      <c r="BG1184">
        <v>97.835499999999996</v>
      </c>
      <c r="BH1184">
        <v>28.7879</v>
      </c>
      <c r="BI1184">
        <v>90.476200000000006</v>
      </c>
      <c r="BJ1184">
        <v>50.2164</v>
      </c>
      <c r="BK1184">
        <v>78.355000000000004</v>
      </c>
      <c r="BL1184">
        <v>82.900400000000005</v>
      </c>
      <c r="BM1184">
        <v>81.818200000000004</v>
      </c>
      <c r="BN1184">
        <v>80.735900000000001</v>
      </c>
      <c r="BO1184">
        <v>80.302999999999997</v>
      </c>
      <c r="BP1184" t="s">
        <v>12834</v>
      </c>
      <c r="BR1184">
        <v>30.086600000000001</v>
      </c>
      <c r="BT1184">
        <v>22.7273</v>
      </c>
      <c r="BU1184">
        <v>36.796500000000002</v>
      </c>
      <c r="BV1184" t="s">
        <v>12835</v>
      </c>
      <c r="BX1184">
        <v>48.2684</v>
      </c>
      <c r="BY1184">
        <v>48.701300000000003</v>
      </c>
      <c r="BZ1184">
        <v>28.571400000000001</v>
      </c>
      <c r="CA1184">
        <v>39.393900000000002</v>
      </c>
      <c r="CB1184">
        <v>10.8225</v>
      </c>
      <c r="CF1184">
        <v>33.982700000000001</v>
      </c>
      <c r="CG1184">
        <v>35.930700000000002</v>
      </c>
      <c r="CH1184">
        <v>35.930700000000002</v>
      </c>
      <c r="CI1184" t="s">
        <v>12836</v>
      </c>
      <c r="CK1184">
        <v>8</v>
      </c>
      <c r="CL1184" t="s">
        <v>4</v>
      </c>
      <c r="CM1184" t="s">
        <v>12837</v>
      </c>
      <c r="CN1184" t="s">
        <v>12838</v>
      </c>
      <c r="CO1184" t="s">
        <v>663</v>
      </c>
      <c r="CP1184" t="s">
        <v>100</v>
      </c>
      <c r="CQ1184" t="s">
        <v>100</v>
      </c>
      <c r="CR1184" t="s">
        <v>100</v>
      </c>
      <c r="CS1184" t="s">
        <v>101</v>
      </c>
      <c r="CT1184" t="s">
        <v>152</v>
      </c>
      <c r="CU1184" t="s">
        <v>102</v>
      </c>
      <c r="CV1184" t="s">
        <v>12839</v>
      </c>
    </row>
    <row r="1185" spans="1:100">
      <c r="A1185" s="3" t="s">
        <v>12840</v>
      </c>
      <c r="B1185" s="4" t="s">
        <v>12841</v>
      </c>
      <c r="C1185">
        <v>49.256381637945204</v>
      </c>
      <c r="D1185">
        <v>68.956082087537993</v>
      </c>
      <c r="E1185">
        <f>0.488616220936035</f>
        <v>0.48861622093603502</v>
      </c>
      <c r="F1185">
        <v>0.360722304473933</v>
      </c>
      <c r="G1185" t="s">
        <v>4</v>
      </c>
      <c r="H1185">
        <v>49.256381637945204</v>
      </c>
      <c r="I1185">
        <v>8.9173331869371406</v>
      </c>
      <c r="J1185">
        <v>2.4804605727863902</v>
      </c>
      <c r="K1185" s="5">
        <v>2.38856375999956E-5</v>
      </c>
      <c r="L1185" t="s">
        <v>4</v>
      </c>
      <c r="M1185">
        <v>68.956082087537993</v>
      </c>
      <c r="N1185">
        <v>8.9173331869371406</v>
      </c>
      <c r="O1185">
        <v>2.9690767937224298</v>
      </c>
      <c r="P1185" s="5">
        <v>2.2078177700479099E-7</v>
      </c>
      <c r="Q1185" t="s">
        <v>4</v>
      </c>
      <c r="R1185" s="4" t="s">
        <v>87</v>
      </c>
      <c r="S1185" t="s">
        <v>4</v>
      </c>
      <c r="T1185" t="s">
        <v>4635</v>
      </c>
      <c r="U1185" t="s">
        <v>4636</v>
      </c>
      <c r="V1185" t="s">
        <v>4637</v>
      </c>
      <c r="W1185" t="s">
        <v>507</v>
      </c>
      <c r="X1185" t="s">
        <v>4</v>
      </c>
      <c r="Y1185" t="s">
        <v>12842</v>
      </c>
      <c r="Z1185" t="s">
        <v>12843</v>
      </c>
      <c r="AA1185" t="s">
        <v>12844</v>
      </c>
      <c r="AB1185" t="s">
        <v>4</v>
      </c>
      <c r="AC1185" s="3" t="s">
        <v>12845</v>
      </c>
      <c r="AD1185" t="s">
        <v>4</v>
      </c>
      <c r="AE1185" t="s">
        <v>12846</v>
      </c>
      <c r="AF1185" t="s">
        <v>12847</v>
      </c>
      <c r="AG1185" t="s">
        <v>12848</v>
      </c>
      <c r="AH1185" t="s">
        <v>112</v>
      </c>
      <c r="AU1185" t="s">
        <v>112</v>
      </c>
      <c r="AV1185" t="s">
        <v>12849</v>
      </c>
      <c r="AW1185" t="s">
        <v>114</v>
      </c>
      <c r="AX1185" t="s">
        <v>144</v>
      </c>
      <c r="AY1185" t="s">
        <v>12850</v>
      </c>
      <c r="AZ1185" t="s">
        <v>4</v>
      </c>
      <c r="BA1185" s="3" t="s">
        <v>95</v>
      </c>
      <c r="BB1185" t="s">
        <v>96</v>
      </c>
      <c r="BC1185" s="3" t="s">
        <v>95</v>
      </c>
      <c r="BD1185" t="s">
        <v>4</v>
      </c>
      <c r="BE1185">
        <v>5461</v>
      </c>
      <c r="BF1185" t="s">
        <v>386</v>
      </c>
      <c r="BG1185" t="s">
        <v>12851</v>
      </c>
      <c r="BH1185">
        <v>32.402200000000001</v>
      </c>
      <c r="BI1185">
        <v>51.2104</v>
      </c>
      <c r="BJ1185">
        <v>38.174999999999997</v>
      </c>
      <c r="BK1185">
        <v>32.402200000000001</v>
      </c>
      <c r="BM1185">
        <v>37.430199999999999</v>
      </c>
      <c r="BN1185">
        <v>56.052100000000003</v>
      </c>
      <c r="BO1185">
        <v>69.273700000000005</v>
      </c>
      <c r="BP1185">
        <v>36.126600000000003</v>
      </c>
      <c r="BQ1185">
        <v>33.333300000000001</v>
      </c>
      <c r="BW1185">
        <v>35.754199999999997</v>
      </c>
      <c r="BX1185">
        <v>37.616399999999999</v>
      </c>
      <c r="BY1185">
        <v>20.297999999999998</v>
      </c>
      <c r="BZ1185" t="s">
        <v>12852</v>
      </c>
      <c r="CA1185">
        <v>37.243899999999996</v>
      </c>
      <c r="CB1185">
        <v>21.0428</v>
      </c>
      <c r="CC1185">
        <v>36.685299999999998</v>
      </c>
      <c r="CD1185">
        <v>30.726299999999998</v>
      </c>
      <c r="CF1185">
        <v>13.2216</v>
      </c>
      <c r="CG1185">
        <v>37.430199999999999</v>
      </c>
      <c r="CH1185">
        <v>36.312899999999999</v>
      </c>
      <c r="CI1185">
        <v>35.381799999999998</v>
      </c>
      <c r="CK1185">
        <v>7</v>
      </c>
      <c r="CL1185" t="s">
        <v>4</v>
      </c>
      <c r="CM1185" t="s">
        <v>12853</v>
      </c>
      <c r="CN1185" t="s">
        <v>12854</v>
      </c>
      <c r="CO1185" t="s">
        <v>99</v>
      </c>
      <c r="CP1185" t="s">
        <v>100</v>
      </c>
      <c r="CQ1185" t="s">
        <v>100</v>
      </c>
      <c r="CR1185" t="s">
        <v>100</v>
      </c>
      <c r="CS1185" t="s">
        <v>101</v>
      </c>
      <c r="CT1185" t="s">
        <v>152</v>
      </c>
      <c r="CU1185" t="s">
        <v>102</v>
      </c>
      <c r="CV1185" t="s">
        <v>100</v>
      </c>
    </row>
    <row r="1186" spans="1:100">
      <c r="A1186" s="3" t="s">
        <v>12855</v>
      </c>
      <c r="B1186" s="4" t="s">
        <v>12856</v>
      </c>
      <c r="C1186">
        <v>651.95636000131401</v>
      </c>
      <c r="D1186">
        <v>404.884087762604</v>
      </c>
      <c r="E1186">
        <v>0.68692486286452203</v>
      </c>
      <c r="F1186">
        <v>4.2310158781024201E-3</v>
      </c>
      <c r="G1186" t="s">
        <v>4</v>
      </c>
      <c r="H1186">
        <v>651.95636000131401</v>
      </c>
      <c r="I1186">
        <v>50.6125137168981</v>
      </c>
      <c r="J1186">
        <v>3.6499518924459302</v>
      </c>
      <c r="K1186" s="5">
        <v>2.7460216752994299E-46</v>
      </c>
      <c r="L1186" t="s">
        <v>4</v>
      </c>
      <c r="M1186">
        <v>404.884087762604</v>
      </c>
      <c r="N1186">
        <v>50.6125137168981</v>
      </c>
      <c r="O1186">
        <v>2.9630270295814101</v>
      </c>
      <c r="P1186" s="5">
        <v>1.32654975953012E-30</v>
      </c>
      <c r="Q1186" t="s">
        <v>4</v>
      </c>
      <c r="R1186" s="4" t="s">
        <v>87</v>
      </c>
      <c r="S1186" t="s">
        <v>4</v>
      </c>
      <c r="T1186" t="s">
        <v>11488</v>
      </c>
      <c r="U1186" t="s">
        <v>11489</v>
      </c>
      <c r="V1186" t="s">
        <v>11490</v>
      </c>
      <c r="W1186" t="s">
        <v>328</v>
      </c>
      <c r="X1186" t="s">
        <v>4</v>
      </c>
      <c r="Y1186" t="s">
        <v>12857</v>
      </c>
      <c r="Z1186" t="s">
        <v>12858</v>
      </c>
      <c r="AA1186" t="s">
        <v>12859</v>
      </c>
      <c r="AB1186" t="s">
        <v>4</v>
      </c>
      <c r="AC1186" s="3" t="s">
        <v>12860</v>
      </c>
      <c r="AD1186" t="s">
        <v>4</v>
      </c>
      <c r="AE1186" t="s">
        <v>12861</v>
      </c>
      <c r="AF1186" t="s">
        <v>12862</v>
      </c>
      <c r="AG1186" t="s">
        <v>12863</v>
      </c>
      <c r="AH1186" t="s">
        <v>112</v>
      </c>
      <c r="AL1186" t="s">
        <v>12864</v>
      </c>
      <c r="AQ1186" t="s">
        <v>641</v>
      </c>
      <c r="AR1186" t="s">
        <v>12865</v>
      </c>
      <c r="AU1186" t="s">
        <v>112</v>
      </c>
      <c r="AV1186" t="s">
        <v>12866</v>
      </c>
      <c r="AW1186" t="s">
        <v>114</v>
      </c>
      <c r="AX1186" t="s">
        <v>909</v>
      </c>
      <c r="AY1186" t="s">
        <v>12867</v>
      </c>
      <c r="AZ1186" t="s">
        <v>4</v>
      </c>
      <c r="BA1186" s="3" t="s">
        <v>95</v>
      </c>
      <c r="BB1186" t="s">
        <v>96</v>
      </c>
      <c r="BC1186" s="3" t="s">
        <v>95</v>
      </c>
      <c r="BD1186" t="s">
        <v>4</v>
      </c>
      <c r="BE1186">
        <v>4969</v>
      </c>
      <c r="BF1186" t="s">
        <v>282</v>
      </c>
      <c r="BG1186">
        <v>99.729699999999994</v>
      </c>
      <c r="BH1186">
        <v>79.1892</v>
      </c>
      <c r="BI1186">
        <v>97.297300000000007</v>
      </c>
      <c r="BJ1186">
        <v>87.837800000000001</v>
      </c>
      <c r="BK1186">
        <v>85.675700000000006</v>
      </c>
      <c r="BL1186">
        <v>93.513499999999993</v>
      </c>
      <c r="BM1186">
        <v>93.243200000000002</v>
      </c>
      <c r="BN1186">
        <v>92.432400000000001</v>
      </c>
      <c r="BO1186">
        <v>94.5946</v>
      </c>
      <c r="BP1186">
        <v>40.270299999999999</v>
      </c>
      <c r="BQ1186">
        <v>77.567599999999999</v>
      </c>
      <c r="BR1186">
        <v>80.8108</v>
      </c>
      <c r="BS1186">
        <v>80</v>
      </c>
      <c r="BT1186">
        <v>60.8108</v>
      </c>
      <c r="BU1186">
        <v>77.567599999999999</v>
      </c>
      <c r="BV1186" t="s">
        <v>12868</v>
      </c>
      <c r="BW1186">
        <v>76.216200000000001</v>
      </c>
      <c r="BX1186">
        <v>71.081100000000006</v>
      </c>
      <c r="BY1186">
        <v>30.540500000000002</v>
      </c>
      <c r="BZ1186">
        <v>62.162199999999999</v>
      </c>
      <c r="CA1186">
        <v>68.648700000000005</v>
      </c>
      <c r="CB1186">
        <v>15.9459</v>
      </c>
      <c r="CC1186">
        <v>50.270299999999999</v>
      </c>
      <c r="CD1186">
        <v>51.621600000000001</v>
      </c>
      <c r="CK1186">
        <v>6</v>
      </c>
      <c r="CL1186" t="s">
        <v>4</v>
      </c>
      <c r="CM1186" t="s">
        <v>12869</v>
      </c>
      <c r="CN1186" t="s">
        <v>12870</v>
      </c>
      <c r="CO1186" t="s">
        <v>1218</v>
      </c>
      <c r="CP1186" t="s">
        <v>100</v>
      </c>
      <c r="CQ1186" t="s">
        <v>100</v>
      </c>
      <c r="CR1186" t="s">
        <v>100</v>
      </c>
      <c r="CS1186" t="s">
        <v>101</v>
      </c>
      <c r="CT1186" t="s">
        <v>152</v>
      </c>
      <c r="CU1186" t="s">
        <v>102</v>
      </c>
      <c r="CV1186" t="s">
        <v>100</v>
      </c>
    </row>
    <row r="1187" spans="1:100">
      <c r="A1187" s="3" t="s">
        <v>12871</v>
      </c>
      <c r="B1187" s="4" t="s">
        <v>12872</v>
      </c>
      <c r="C1187">
        <v>258.32463453520398</v>
      </c>
      <c r="D1187">
        <v>387.48283887721198</v>
      </c>
      <c r="E1187">
        <f>0.585279992159928</f>
        <v>0.58527999215992799</v>
      </c>
      <c r="F1187">
        <v>2.7126685464393199E-2</v>
      </c>
      <c r="G1187" t="s">
        <v>4</v>
      </c>
      <c r="H1187">
        <v>258.32463453520398</v>
      </c>
      <c r="I1187">
        <v>50.220938279575599</v>
      </c>
      <c r="J1187">
        <v>2.3774624728663398</v>
      </c>
      <c r="K1187" s="5">
        <v>9.1946655117703701E-18</v>
      </c>
      <c r="L1187" t="s">
        <v>4</v>
      </c>
      <c r="M1187">
        <v>387.48283887721198</v>
      </c>
      <c r="N1187">
        <v>50.220938279575599</v>
      </c>
      <c r="O1187">
        <v>2.9627424650262699</v>
      </c>
      <c r="P1187" s="5">
        <v>2.5093557371748301E-27</v>
      </c>
      <c r="Q1187" t="s">
        <v>4</v>
      </c>
      <c r="R1187" s="4" t="s">
        <v>87</v>
      </c>
      <c r="S1187" t="s">
        <v>4</v>
      </c>
      <c r="T1187" t="s">
        <v>12873</v>
      </c>
      <c r="U1187" t="s">
        <v>12874</v>
      </c>
      <c r="V1187" t="s">
        <v>12875</v>
      </c>
      <c r="W1187" t="s">
        <v>328</v>
      </c>
      <c r="X1187" t="s">
        <v>4</v>
      </c>
      <c r="Y1187" t="s">
        <v>12876</v>
      </c>
      <c r="Z1187" t="s">
        <v>12877</v>
      </c>
      <c r="AA1187" t="s">
        <v>12878</v>
      </c>
      <c r="AB1187" t="s">
        <v>4</v>
      </c>
      <c r="AC1187" s="3" t="s">
        <v>12879</v>
      </c>
      <c r="AD1187" t="s">
        <v>4</v>
      </c>
      <c r="AE1187" t="s">
        <v>12880</v>
      </c>
      <c r="AF1187" t="s">
        <v>834</v>
      </c>
      <c r="AG1187" t="s">
        <v>12881</v>
      </c>
      <c r="AH1187" t="s">
        <v>112</v>
      </c>
      <c r="AJ1187" t="s">
        <v>12882</v>
      </c>
      <c r="AU1187" t="s">
        <v>112</v>
      </c>
      <c r="AV1187" t="s">
        <v>10618</v>
      </c>
      <c r="AW1187" t="s">
        <v>114</v>
      </c>
      <c r="AX1187" t="s">
        <v>132</v>
      </c>
      <c r="AY1187" t="s">
        <v>10619</v>
      </c>
      <c r="AZ1187" t="s">
        <v>4</v>
      </c>
      <c r="BA1187" s="3" t="s">
        <v>95</v>
      </c>
      <c r="BB1187" s="6" t="s">
        <v>95</v>
      </c>
      <c r="BC1187" s="3" t="s">
        <v>197</v>
      </c>
      <c r="BD1187" t="s">
        <v>4</v>
      </c>
      <c r="BE1187">
        <v>6099</v>
      </c>
      <c r="BF1187" t="s">
        <v>213</v>
      </c>
      <c r="BG1187">
        <v>90.019800000000004</v>
      </c>
      <c r="BI1187">
        <v>82.312299999999993</v>
      </c>
      <c r="BJ1187">
        <v>78.458500000000001</v>
      </c>
      <c r="BK1187">
        <v>62.747</v>
      </c>
      <c r="BN1187">
        <v>68.478300000000004</v>
      </c>
      <c r="BO1187">
        <v>58.893300000000004</v>
      </c>
      <c r="BP1187">
        <v>33.3992</v>
      </c>
      <c r="BQ1187">
        <v>20.948599999999999</v>
      </c>
      <c r="BR1187" t="s">
        <v>12883</v>
      </c>
      <c r="BT1187" t="s">
        <v>12884</v>
      </c>
      <c r="BV1187">
        <v>16.007899999999999</v>
      </c>
      <c r="BW1187" t="s">
        <v>12885</v>
      </c>
      <c r="BX1187" t="s">
        <v>12886</v>
      </c>
      <c r="BZ1187" t="s">
        <v>12887</v>
      </c>
      <c r="CA1187">
        <v>24.4071</v>
      </c>
      <c r="CB1187">
        <v>24.604700000000001</v>
      </c>
      <c r="CC1187">
        <v>24.308299999999999</v>
      </c>
      <c r="CD1187" t="s">
        <v>12888</v>
      </c>
      <c r="CE1187">
        <v>20.256900000000002</v>
      </c>
      <c r="CF1187">
        <v>25.296399999999998</v>
      </c>
      <c r="CG1187" t="s">
        <v>12889</v>
      </c>
      <c r="CI1187">
        <v>9.9802400000000002</v>
      </c>
      <c r="CK1187">
        <v>8</v>
      </c>
      <c r="CL1187" t="s">
        <v>4</v>
      </c>
      <c r="CM1187" t="s">
        <v>3983</v>
      </c>
      <c r="CN1187" t="s">
        <v>12890</v>
      </c>
      <c r="CO1187" t="s">
        <v>219</v>
      </c>
      <c r="CP1187" t="s">
        <v>100</v>
      </c>
      <c r="CQ1187" t="s">
        <v>100</v>
      </c>
      <c r="CR1187" t="s">
        <v>100</v>
      </c>
      <c r="CS1187" t="s">
        <v>101</v>
      </c>
      <c r="CT1187" t="s">
        <v>152</v>
      </c>
      <c r="CU1187" t="s">
        <v>102</v>
      </c>
      <c r="CV1187" t="s">
        <v>100</v>
      </c>
    </row>
    <row r="1188" spans="1:100">
      <c r="A1188" s="3" t="s">
        <v>12891</v>
      </c>
      <c r="B1188" s="4" t="s">
        <v>12892</v>
      </c>
      <c r="C1188">
        <v>52.632376224202403</v>
      </c>
      <c r="D1188">
        <v>33.932839881063202</v>
      </c>
      <c r="E1188">
        <v>0.63582085099424801</v>
      </c>
      <c r="F1188">
        <v>0.52141156159502999</v>
      </c>
      <c r="G1188" t="s">
        <v>4</v>
      </c>
      <c r="H1188">
        <v>52.632376224202403</v>
      </c>
      <c r="I1188">
        <v>4.5073626053245501</v>
      </c>
      <c r="J1188">
        <v>3.5831518511588198</v>
      </c>
      <c r="K1188">
        <v>3.57942188196703E-4</v>
      </c>
      <c r="L1188" t="s">
        <v>4</v>
      </c>
      <c r="M1188">
        <v>33.932839881063202</v>
      </c>
      <c r="N1188">
        <v>4.5073626053245501</v>
      </c>
      <c r="O1188">
        <v>2.9473310001645801</v>
      </c>
      <c r="P1188">
        <v>3.4705570648771102E-3</v>
      </c>
      <c r="Q1188" t="s">
        <v>4</v>
      </c>
      <c r="R1188" s="4" t="s">
        <v>87</v>
      </c>
      <c r="S1188" t="s">
        <v>4</v>
      </c>
      <c r="T1188" t="s">
        <v>460</v>
      </c>
      <c r="U1188" t="s">
        <v>461</v>
      </c>
      <c r="V1188" t="s">
        <v>462</v>
      </c>
      <c r="W1188" t="s">
        <v>123</v>
      </c>
      <c r="X1188" t="s">
        <v>4</v>
      </c>
      <c r="Y1188" t="s">
        <v>463</v>
      </c>
      <c r="Z1188" t="s">
        <v>464</v>
      </c>
      <c r="AA1188" t="s">
        <v>465</v>
      </c>
      <c r="AB1188" t="s">
        <v>4</v>
      </c>
      <c r="AC1188" s="3" t="s">
        <v>93</v>
      </c>
      <c r="AD1188" t="s">
        <v>4</v>
      </c>
      <c r="AE1188" t="s">
        <v>6411</v>
      </c>
      <c r="AF1188" t="s">
        <v>12893</v>
      </c>
      <c r="AG1188" t="s">
        <v>765</v>
      </c>
      <c r="AH1188" t="s">
        <v>169</v>
      </c>
      <c r="AU1188" t="s">
        <v>112</v>
      </c>
      <c r="AV1188" t="s">
        <v>470</v>
      </c>
      <c r="AW1188" t="s">
        <v>114</v>
      </c>
      <c r="AX1188" t="s">
        <v>144</v>
      </c>
      <c r="AY1188" t="s">
        <v>471</v>
      </c>
      <c r="AZ1188" t="s">
        <v>4</v>
      </c>
      <c r="BA1188" s="3" t="s">
        <v>95</v>
      </c>
      <c r="BB1188" s="6" t="s">
        <v>95</v>
      </c>
      <c r="BC1188" s="3" t="s">
        <v>95</v>
      </c>
      <c r="BD1188" t="s">
        <v>4</v>
      </c>
      <c r="BE1188">
        <v>1664</v>
      </c>
      <c r="BF1188" t="s">
        <v>151</v>
      </c>
      <c r="CK1188">
        <v>2</v>
      </c>
      <c r="CL1188" t="s">
        <v>4</v>
      </c>
      <c r="CM1188" t="s">
        <v>98</v>
      </c>
      <c r="CN1188" t="s">
        <v>98</v>
      </c>
      <c r="CO1188" t="s">
        <v>99</v>
      </c>
      <c r="CP1188" t="s">
        <v>100</v>
      </c>
      <c r="CQ1188" t="s">
        <v>100</v>
      </c>
      <c r="CR1188" t="s">
        <v>100</v>
      </c>
      <c r="CS1188" t="s">
        <v>101</v>
      </c>
      <c r="CT1188" t="s">
        <v>152</v>
      </c>
      <c r="CU1188" t="s">
        <v>102</v>
      </c>
      <c r="CV1188" t="s">
        <v>100</v>
      </c>
    </row>
    <row r="1189" spans="1:100">
      <c r="A1189" s="3" t="s">
        <v>12894</v>
      </c>
      <c r="B1189" s="4" t="s">
        <v>12895</v>
      </c>
      <c r="C1189">
        <v>418.86439329804199</v>
      </c>
      <c r="D1189">
        <v>460.68468721315099</v>
      </c>
      <c r="E1189">
        <f>0.137600561436818</f>
        <v>0.13760056143681801</v>
      </c>
      <c r="F1189">
        <v>0.81112992986849997</v>
      </c>
      <c r="G1189" t="s">
        <v>4</v>
      </c>
      <c r="H1189">
        <v>418.86439329804199</v>
      </c>
      <c r="I1189">
        <v>58.437707615667101</v>
      </c>
      <c r="J1189">
        <v>2.80742953497779</v>
      </c>
      <c r="K1189" s="5">
        <v>7.2261298336700697E-9</v>
      </c>
      <c r="L1189" t="s">
        <v>4</v>
      </c>
      <c r="M1189">
        <v>460.68468721315099</v>
      </c>
      <c r="N1189">
        <v>58.437707615667101</v>
      </c>
      <c r="O1189">
        <v>2.9450300964145999</v>
      </c>
      <c r="P1189" s="5">
        <v>8.7885183347976996E-10</v>
      </c>
      <c r="Q1189" t="s">
        <v>4</v>
      </c>
      <c r="R1189" s="4" t="s">
        <v>87</v>
      </c>
      <c r="S1189" t="s">
        <v>4</v>
      </c>
      <c r="T1189" t="s">
        <v>12896</v>
      </c>
      <c r="U1189" t="s">
        <v>12897</v>
      </c>
      <c r="V1189" t="s">
        <v>12898</v>
      </c>
      <c r="W1189" t="s">
        <v>203</v>
      </c>
      <c r="X1189" t="s">
        <v>4</v>
      </c>
      <c r="Y1189" t="s">
        <v>12899</v>
      </c>
      <c r="Z1189" t="s">
        <v>12900</v>
      </c>
      <c r="AA1189" t="s">
        <v>12901</v>
      </c>
      <c r="AB1189" t="s">
        <v>4</v>
      </c>
      <c r="AC1189" s="3" t="s">
        <v>12902</v>
      </c>
      <c r="AD1189" t="s">
        <v>4</v>
      </c>
      <c r="AE1189" t="s">
        <v>12903</v>
      </c>
      <c r="AF1189" t="s">
        <v>12904</v>
      </c>
      <c r="AG1189" t="s">
        <v>12905</v>
      </c>
      <c r="AH1189" t="s">
        <v>112</v>
      </c>
      <c r="AL1189" t="s">
        <v>12906</v>
      </c>
      <c r="AQ1189" t="s">
        <v>12257</v>
      </c>
      <c r="AU1189" t="s">
        <v>112</v>
      </c>
      <c r="AV1189" t="s">
        <v>12907</v>
      </c>
      <c r="AW1189" t="s">
        <v>114</v>
      </c>
      <c r="AX1189" t="s">
        <v>1938</v>
      </c>
      <c r="AY1189" t="s">
        <v>12908</v>
      </c>
      <c r="AZ1189" t="s">
        <v>4</v>
      </c>
      <c r="BA1189" s="3" t="s">
        <v>95</v>
      </c>
      <c r="BB1189" s="6" t="s">
        <v>95</v>
      </c>
      <c r="BC1189" s="3" t="s">
        <v>95</v>
      </c>
      <c r="BD1189" t="s">
        <v>4</v>
      </c>
      <c r="BE1189">
        <v>3271</v>
      </c>
      <c r="BF1189" t="s">
        <v>112</v>
      </c>
      <c r="BH1189">
        <v>48.853200000000001</v>
      </c>
      <c r="CK1189">
        <v>5</v>
      </c>
      <c r="CL1189" t="s">
        <v>4</v>
      </c>
      <c r="CM1189" t="s">
        <v>98</v>
      </c>
      <c r="CN1189" t="s">
        <v>98</v>
      </c>
      <c r="CO1189" t="s">
        <v>99</v>
      </c>
      <c r="CP1189" t="s">
        <v>100</v>
      </c>
      <c r="CQ1189" t="s">
        <v>100</v>
      </c>
      <c r="CR1189" t="s">
        <v>100</v>
      </c>
      <c r="CS1189" t="s">
        <v>101</v>
      </c>
      <c r="CT1189" t="s">
        <v>152</v>
      </c>
      <c r="CU1189" t="s">
        <v>102</v>
      </c>
      <c r="CV1189" t="s">
        <v>100</v>
      </c>
    </row>
    <row r="1190" spans="1:100">
      <c r="A1190" s="3" t="s">
        <v>12909</v>
      </c>
      <c r="B1190" s="4" t="s">
        <v>12910</v>
      </c>
      <c r="C1190">
        <v>1039.3113929035701</v>
      </c>
      <c r="D1190">
        <v>1990.9621954127001</v>
      </c>
      <c r="E1190">
        <f>0.937796769917678</f>
        <v>0.93779676991767802</v>
      </c>
      <c r="F1190">
        <v>3.6774303391460997E-2</v>
      </c>
      <c r="G1190" t="s">
        <v>4</v>
      </c>
      <c r="H1190">
        <v>1039.3113929035701</v>
      </c>
      <c r="I1190">
        <v>258.68245277270898</v>
      </c>
      <c r="J1190">
        <v>1.9976371073908199</v>
      </c>
      <c r="K1190" s="5">
        <v>2.14235202143327E-6</v>
      </c>
      <c r="L1190" t="s">
        <v>4</v>
      </c>
      <c r="M1190">
        <v>1990.9621954127001</v>
      </c>
      <c r="N1190">
        <v>258.68245277270898</v>
      </c>
      <c r="O1190">
        <v>2.9354338773084998</v>
      </c>
      <c r="P1190" s="5">
        <v>8.2044783845828598E-13</v>
      </c>
      <c r="Q1190" t="s">
        <v>4</v>
      </c>
      <c r="R1190" s="4" t="s">
        <v>87</v>
      </c>
      <c r="S1190" t="s">
        <v>4</v>
      </c>
      <c r="T1190" t="s">
        <v>92</v>
      </c>
      <c r="U1190" t="s">
        <v>92</v>
      </c>
      <c r="V1190" t="s">
        <v>92</v>
      </c>
      <c r="W1190" t="s">
        <v>92</v>
      </c>
      <c r="X1190" t="s">
        <v>4</v>
      </c>
      <c r="Y1190" t="s">
        <v>92</v>
      </c>
      <c r="Z1190" t="s">
        <v>92</v>
      </c>
      <c r="AA1190" t="s">
        <v>92</v>
      </c>
      <c r="AB1190" t="s">
        <v>4</v>
      </c>
      <c r="AC1190" s="3" t="s">
        <v>93</v>
      </c>
      <c r="AD1190" t="s">
        <v>4</v>
      </c>
      <c r="AE1190" s="4" t="s">
        <v>94</v>
      </c>
      <c r="AZ1190" t="s">
        <v>4</v>
      </c>
      <c r="BA1190" s="3" t="s">
        <v>115</v>
      </c>
      <c r="BB1190" s="6" t="s">
        <v>95</v>
      </c>
      <c r="BC1190" s="3" t="s">
        <v>95</v>
      </c>
      <c r="BD1190" t="s">
        <v>4</v>
      </c>
      <c r="BE1190">
        <v>2754</v>
      </c>
      <c r="BF1190" t="s">
        <v>97</v>
      </c>
      <c r="BG1190">
        <v>98.757800000000003</v>
      </c>
      <c r="BH1190">
        <v>100</v>
      </c>
      <c r="BI1190">
        <v>88.198800000000006</v>
      </c>
      <c r="BJ1190">
        <v>73.291899999999998</v>
      </c>
      <c r="BK1190">
        <v>72.6708</v>
      </c>
      <c r="BL1190">
        <v>45.3416</v>
      </c>
      <c r="BM1190">
        <v>75.155299999999997</v>
      </c>
      <c r="BN1190">
        <v>76.397499999999994</v>
      </c>
      <c r="BO1190">
        <v>68.944100000000006</v>
      </c>
      <c r="BP1190">
        <v>41.614899999999999</v>
      </c>
      <c r="CK1190">
        <v>4</v>
      </c>
      <c r="CL1190" t="s">
        <v>4</v>
      </c>
      <c r="CM1190" t="s">
        <v>98</v>
      </c>
      <c r="CN1190" t="s">
        <v>98</v>
      </c>
      <c r="CO1190" t="s">
        <v>99</v>
      </c>
      <c r="CP1190" t="s">
        <v>100</v>
      </c>
      <c r="CQ1190" t="s">
        <v>100</v>
      </c>
      <c r="CR1190" t="s">
        <v>100</v>
      </c>
      <c r="CS1190" s="7" t="s">
        <v>101</v>
      </c>
      <c r="CT1190" t="s">
        <v>152</v>
      </c>
      <c r="CU1190" t="s">
        <v>102</v>
      </c>
      <c r="CV1190" t="s">
        <v>100</v>
      </c>
    </row>
    <row r="1191" spans="1:100">
      <c r="A1191" s="3" t="s">
        <v>12911</v>
      </c>
      <c r="B1191" s="4" t="s">
        <v>12912</v>
      </c>
      <c r="C1191">
        <v>154.35483269173</v>
      </c>
      <c r="D1191">
        <v>106.364921213294</v>
      </c>
      <c r="E1191">
        <v>0.53540382442721701</v>
      </c>
      <c r="F1191">
        <v>0.36294638922409</v>
      </c>
      <c r="G1191" t="s">
        <v>4</v>
      </c>
      <c r="H1191">
        <v>154.35483269173</v>
      </c>
      <c r="I1191">
        <v>13.0796227810449</v>
      </c>
      <c r="J1191">
        <v>3.4668132983081401</v>
      </c>
      <c r="K1191" s="5">
        <v>2.46707947339505E-9</v>
      </c>
      <c r="L1191" t="s">
        <v>4</v>
      </c>
      <c r="M1191">
        <v>106.364921213294</v>
      </c>
      <c r="N1191">
        <v>13.0796227810449</v>
      </c>
      <c r="O1191">
        <v>2.93140947388093</v>
      </c>
      <c r="P1191" s="5">
        <v>5.0122421410614998E-7</v>
      </c>
      <c r="Q1191" t="s">
        <v>4</v>
      </c>
      <c r="R1191" s="4" t="s">
        <v>87</v>
      </c>
      <c r="S1191" t="s">
        <v>4</v>
      </c>
      <c r="T1191" t="s">
        <v>92</v>
      </c>
      <c r="U1191" t="s">
        <v>92</v>
      </c>
      <c r="V1191" t="s">
        <v>92</v>
      </c>
      <c r="W1191" t="s">
        <v>92</v>
      </c>
      <c r="X1191" t="s">
        <v>4</v>
      </c>
      <c r="Y1191" t="s">
        <v>12913</v>
      </c>
      <c r="Z1191" t="s">
        <v>12914</v>
      </c>
      <c r="AA1191" t="s">
        <v>12915</v>
      </c>
      <c r="AB1191" t="s">
        <v>4</v>
      </c>
      <c r="AC1191" s="3" t="s">
        <v>12916</v>
      </c>
      <c r="AD1191" t="s">
        <v>4</v>
      </c>
      <c r="AE1191" t="s">
        <v>12917</v>
      </c>
      <c r="AF1191" t="s">
        <v>12918</v>
      </c>
      <c r="AG1191" t="s">
        <v>12919</v>
      </c>
      <c r="AH1191" t="s">
        <v>112</v>
      </c>
      <c r="AU1191" t="s">
        <v>112</v>
      </c>
      <c r="AV1191" t="s">
        <v>12920</v>
      </c>
      <c r="AW1191" t="s">
        <v>114</v>
      </c>
      <c r="AZ1191" t="s">
        <v>4</v>
      </c>
      <c r="BA1191" s="3" t="s">
        <v>95</v>
      </c>
      <c r="BB1191" s="6" t="s">
        <v>95</v>
      </c>
      <c r="BC1191" s="3" t="s">
        <v>197</v>
      </c>
      <c r="BD1191" t="s">
        <v>4</v>
      </c>
      <c r="BE1191">
        <v>3699</v>
      </c>
      <c r="BF1191" t="s">
        <v>112</v>
      </c>
      <c r="BG1191" t="s">
        <v>12921</v>
      </c>
      <c r="BH1191">
        <v>54.041600000000003</v>
      </c>
      <c r="BI1191">
        <v>90.762100000000004</v>
      </c>
      <c r="BJ1191">
        <v>61.431899999999999</v>
      </c>
      <c r="BK1191">
        <v>68.360299999999995</v>
      </c>
      <c r="BL1191">
        <v>59.584299999999999</v>
      </c>
      <c r="BM1191">
        <v>75.519599999999997</v>
      </c>
      <c r="BN1191">
        <v>75.519599999999997</v>
      </c>
      <c r="BO1191">
        <v>68.591200000000001</v>
      </c>
      <c r="BP1191">
        <v>29.330300000000001</v>
      </c>
      <c r="BQ1191">
        <v>33.256399999999999</v>
      </c>
      <c r="BR1191">
        <v>29.792100000000001</v>
      </c>
      <c r="BS1191">
        <v>27.482700000000001</v>
      </c>
      <c r="CK1191">
        <v>5</v>
      </c>
      <c r="CL1191" t="s">
        <v>4</v>
      </c>
      <c r="CM1191" t="s">
        <v>98</v>
      </c>
      <c r="CN1191" t="s">
        <v>98</v>
      </c>
      <c r="CO1191" t="s">
        <v>99</v>
      </c>
      <c r="CP1191" t="s">
        <v>100</v>
      </c>
      <c r="CQ1191" t="s">
        <v>100</v>
      </c>
      <c r="CR1191" t="s">
        <v>100</v>
      </c>
      <c r="CS1191" t="s">
        <v>101</v>
      </c>
      <c r="CT1191" t="s">
        <v>152</v>
      </c>
      <c r="CU1191" t="s">
        <v>102</v>
      </c>
      <c r="CV1191" t="s">
        <v>100</v>
      </c>
    </row>
    <row r="1192" spans="1:100">
      <c r="A1192" s="3" t="s">
        <v>12922</v>
      </c>
      <c r="B1192" s="4" t="s">
        <v>12923</v>
      </c>
      <c r="C1192">
        <v>162.12839561245201</v>
      </c>
      <c r="D1192">
        <v>82.585108008450206</v>
      </c>
      <c r="E1192">
        <v>0.97433364771547903</v>
      </c>
      <c r="F1192">
        <v>1.4879901014527901E-2</v>
      </c>
      <c r="G1192" t="s">
        <v>4</v>
      </c>
      <c r="H1192">
        <v>162.12839561245201</v>
      </c>
      <c r="I1192">
        <v>10.7552775919378</v>
      </c>
      <c r="J1192">
        <v>3.8990037103621198</v>
      </c>
      <c r="K1192" s="5">
        <v>8.3475098795016394E-17</v>
      </c>
      <c r="L1192" t="s">
        <v>4</v>
      </c>
      <c r="M1192">
        <v>82.585108008450206</v>
      </c>
      <c r="N1192">
        <v>10.7552775919378</v>
      </c>
      <c r="O1192">
        <v>2.9246700626466402</v>
      </c>
      <c r="P1192" s="5">
        <v>8.0993547943180697E-10</v>
      </c>
      <c r="Q1192" t="s">
        <v>4</v>
      </c>
      <c r="R1192" s="4" t="s">
        <v>87</v>
      </c>
      <c r="S1192" t="s">
        <v>4</v>
      </c>
      <c r="T1192" t="s">
        <v>189</v>
      </c>
      <c r="U1192" t="s">
        <v>190</v>
      </c>
      <c r="V1192" t="s">
        <v>191</v>
      </c>
      <c r="W1192" t="s">
        <v>192</v>
      </c>
      <c r="X1192" t="s">
        <v>4</v>
      </c>
      <c r="Y1192" t="s">
        <v>1801</v>
      </c>
      <c r="Z1192" t="s">
        <v>1802</v>
      </c>
      <c r="AA1192" t="s">
        <v>1803</v>
      </c>
      <c r="AB1192" t="s">
        <v>4</v>
      </c>
      <c r="AC1192" s="3" t="s">
        <v>93</v>
      </c>
      <c r="AD1192" t="s">
        <v>4</v>
      </c>
      <c r="AE1192" t="s">
        <v>9661</v>
      </c>
      <c r="AF1192" t="s">
        <v>9662</v>
      </c>
      <c r="AG1192" t="s">
        <v>1129</v>
      </c>
      <c r="AH1192" t="s">
        <v>112</v>
      </c>
      <c r="AU1192" t="s">
        <v>112</v>
      </c>
      <c r="AV1192" t="s">
        <v>9663</v>
      </c>
      <c r="AW1192" t="s">
        <v>114</v>
      </c>
      <c r="AX1192" t="s">
        <v>144</v>
      </c>
      <c r="AY1192" t="s">
        <v>1809</v>
      </c>
      <c r="AZ1192" t="s">
        <v>4</v>
      </c>
      <c r="BA1192" s="3" t="s">
        <v>95</v>
      </c>
      <c r="BB1192" t="s">
        <v>96</v>
      </c>
      <c r="BC1192" s="3" t="s">
        <v>197</v>
      </c>
      <c r="BD1192" t="s">
        <v>4</v>
      </c>
      <c r="BE1192">
        <v>340</v>
      </c>
      <c r="BF1192" t="s">
        <v>322</v>
      </c>
      <c r="CK1192">
        <v>1</v>
      </c>
      <c r="CL1192" t="s">
        <v>4</v>
      </c>
      <c r="CM1192" t="s">
        <v>98</v>
      </c>
      <c r="CN1192" t="s">
        <v>98</v>
      </c>
      <c r="CO1192" t="s">
        <v>99</v>
      </c>
      <c r="CP1192" t="s">
        <v>100</v>
      </c>
      <c r="CQ1192" t="s">
        <v>100</v>
      </c>
      <c r="CR1192" t="s">
        <v>100</v>
      </c>
      <c r="CS1192" t="s">
        <v>101</v>
      </c>
      <c r="CT1192" t="s">
        <v>152</v>
      </c>
      <c r="CU1192" t="s">
        <v>102</v>
      </c>
      <c r="CV1192" t="s">
        <v>100</v>
      </c>
    </row>
    <row r="1193" spans="1:100">
      <c r="A1193" s="3" t="s">
        <v>12924</v>
      </c>
      <c r="B1193" s="4" t="s">
        <v>12925</v>
      </c>
      <c r="C1193">
        <v>920.67831539167503</v>
      </c>
      <c r="D1193">
        <v>1538.6174099310001</v>
      </c>
      <c r="E1193">
        <f>0.74071150649235</f>
        <v>0.74071150649234996</v>
      </c>
      <c r="F1193">
        <v>1.1503728967845E-2</v>
      </c>
      <c r="G1193" t="s">
        <v>4</v>
      </c>
      <c r="H1193">
        <v>920.67831539167503</v>
      </c>
      <c r="I1193">
        <v>202.173634085602</v>
      </c>
      <c r="J1193">
        <v>2.1737845991389899</v>
      </c>
      <c r="K1193" s="5">
        <v>4.1480580648697703E-15</v>
      </c>
      <c r="L1193" t="s">
        <v>4</v>
      </c>
      <c r="M1193">
        <v>1538.6174099310001</v>
      </c>
      <c r="N1193">
        <v>202.173634085602</v>
      </c>
      <c r="O1193">
        <v>2.9144961056313399</v>
      </c>
      <c r="P1193" s="5">
        <v>1.3784433738818301E-26</v>
      </c>
      <c r="Q1193" t="s">
        <v>4</v>
      </c>
      <c r="R1193" s="4" t="s">
        <v>87</v>
      </c>
      <c r="S1193" t="s">
        <v>4</v>
      </c>
      <c r="T1193" t="s">
        <v>92</v>
      </c>
      <c r="U1193" t="s">
        <v>92</v>
      </c>
      <c r="V1193" t="s">
        <v>92</v>
      </c>
      <c r="W1193" t="s">
        <v>92</v>
      </c>
      <c r="X1193" t="s">
        <v>4</v>
      </c>
      <c r="Y1193" t="s">
        <v>12926</v>
      </c>
      <c r="Z1193" t="s">
        <v>12927</v>
      </c>
      <c r="AA1193" t="s">
        <v>12927</v>
      </c>
      <c r="AB1193" t="s">
        <v>4</v>
      </c>
      <c r="AC1193" s="3" t="s">
        <v>12928</v>
      </c>
      <c r="AD1193" t="s">
        <v>4</v>
      </c>
      <c r="AE1193" t="s">
        <v>12929</v>
      </c>
      <c r="AF1193" t="s">
        <v>12930</v>
      </c>
      <c r="AG1193" t="s">
        <v>12931</v>
      </c>
      <c r="AH1193" t="s">
        <v>1936</v>
      </c>
      <c r="AU1193" t="s">
        <v>112</v>
      </c>
      <c r="AV1193" t="s">
        <v>12932</v>
      </c>
      <c r="AW1193" t="s">
        <v>114</v>
      </c>
      <c r="AX1193" t="s">
        <v>144</v>
      </c>
      <c r="AY1193" t="s">
        <v>12933</v>
      </c>
      <c r="AZ1193" t="s">
        <v>4</v>
      </c>
      <c r="BA1193" s="3" t="s">
        <v>95</v>
      </c>
      <c r="BB1193" s="6" t="s">
        <v>95</v>
      </c>
      <c r="BC1193" s="3" t="s">
        <v>95</v>
      </c>
      <c r="BD1193" t="s">
        <v>4</v>
      </c>
      <c r="BE1193">
        <v>4446</v>
      </c>
      <c r="BF1193" t="s">
        <v>112</v>
      </c>
      <c r="BG1193">
        <v>97.200999999999993</v>
      </c>
      <c r="BH1193">
        <v>89.313000000000002</v>
      </c>
      <c r="BI1193">
        <v>90.5852</v>
      </c>
      <c r="BJ1193">
        <v>75.318100000000001</v>
      </c>
      <c r="BK1193" t="s">
        <v>12934</v>
      </c>
      <c r="BL1193">
        <v>69.720100000000002</v>
      </c>
      <c r="BM1193">
        <v>65.648899999999998</v>
      </c>
      <c r="BN1193">
        <v>65.903300000000002</v>
      </c>
      <c r="BO1193">
        <v>60.050899999999999</v>
      </c>
      <c r="CK1193">
        <v>5</v>
      </c>
      <c r="CL1193" t="s">
        <v>4</v>
      </c>
      <c r="CM1193" t="s">
        <v>98</v>
      </c>
      <c r="CN1193" t="s">
        <v>98</v>
      </c>
      <c r="CO1193" t="s">
        <v>99</v>
      </c>
      <c r="CP1193" t="s">
        <v>100</v>
      </c>
      <c r="CQ1193" t="s">
        <v>100</v>
      </c>
      <c r="CR1193" t="s">
        <v>100</v>
      </c>
      <c r="CS1193" t="s">
        <v>101</v>
      </c>
      <c r="CT1193" t="s">
        <v>152</v>
      </c>
      <c r="CU1193" t="s">
        <v>102</v>
      </c>
      <c r="CV1193" t="s">
        <v>100</v>
      </c>
    </row>
    <row r="1194" spans="1:100">
      <c r="A1194" s="3" t="s">
        <v>12935</v>
      </c>
      <c r="B1194" s="4" t="s">
        <v>12936</v>
      </c>
      <c r="C1194">
        <v>5552.0506403482996</v>
      </c>
      <c r="D1194">
        <v>4281.1901308255601</v>
      </c>
      <c r="E1194">
        <v>0.374922824080552</v>
      </c>
      <c r="F1194">
        <v>0.28113714795823003</v>
      </c>
      <c r="G1194" t="s">
        <v>4</v>
      </c>
      <c r="H1194">
        <v>5552.0506403482996</v>
      </c>
      <c r="I1194">
        <v>570.88836456190404</v>
      </c>
      <c r="J1194">
        <v>3.2778245441466298</v>
      </c>
      <c r="K1194" s="5">
        <v>4.7023697063519403E-27</v>
      </c>
      <c r="L1194" t="s">
        <v>4</v>
      </c>
      <c r="M1194">
        <v>4281.1901308255601</v>
      </c>
      <c r="N1194">
        <v>570.88836456190404</v>
      </c>
      <c r="O1194">
        <v>2.90290172006608</v>
      </c>
      <c r="P1194" s="5">
        <v>1.49850429089054E-21</v>
      </c>
      <c r="Q1194" t="s">
        <v>4</v>
      </c>
      <c r="R1194" s="4" t="s">
        <v>87</v>
      </c>
      <c r="S1194" t="s">
        <v>4</v>
      </c>
      <c r="T1194" t="s">
        <v>12937</v>
      </c>
      <c r="U1194" t="s">
        <v>12938</v>
      </c>
      <c r="V1194" t="s">
        <v>12939</v>
      </c>
      <c r="W1194" t="s">
        <v>1915</v>
      </c>
      <c r="X1194" t="s">
        <v>4</v>
      </c>
      <c r="Y1194" t="s">
        <v>12940</v>
      </c>
      <c r="Z1194" t="s">
        <v>12941</v>
      </c>
      <c r="AA1194" t="s">
        <v>12942</v>
      </c>
      <c r="AB1194" t="s">
        <v>4</v>
      </c>
      <c r="AC1194" s="3" t="s">
        <v>12943</v>
      </c>
      <c r="AD1194" t="s">
        <v>4</v>
      </c>
      <c r="AE1194" t="s">
        <v>12944</v>
      </c>
      <c r="AF1194" t="s">
        <v>12945</v>
      </c>
      <c r="AG1194" t="s">
        <v>6921</v>
      </c>
      <c r="AH1194" t="s">
        <v>112</v>
      </c>
      <c r="AJ1194" t="s">
        <v>12946</v>
      </c>
      <c r="AK1194" t="s">
        <v>163</v>
      </c>
      <c r="AL1194" t="s">
        <v>12947</v>
      </c>
      <c r="AM1194" t="s">
        <v>12948</v>
      </c>
      <c r="AN1194" t="s">
        <v>12949</v>
      </c>
      <c r="AQ1194" t="s">
        <v>12950</v>
      </c>
      <c r="AU1194" t="s">
        <v>112</v>
      </c>
      <c r="AV1194" t="s">
        <v>12951</v>
      </c>
      <c r="AW1194" t="s">
        <v>114</v>
      </c>
      <c r="AX1194" t="s">
        <v>12793</v>
      </c>
      <c r="AY1194" t="s">
        <v>12952</v>
      </c>
      <c r="AZ1194" t="s">
        <v>4</v>
      </c>
      <c r="BA1194" s="3" t="s">
        <v>115</v>
      </c>
      <c r="BB1194" s="6" t="s">
        <v>95</v>
      </c>
      <c r="BC1194" s="3" t="s">
        <v>95</v>
      </c>
      <c r="BD1194" t="s">
        <v>4</v>
      </c>
      <c r="BE1194">
        <v>9820</v>
      </c>
      <c r="BF1194" t="s">
        <v>169</v>
      </c>
      <c r="BG1194">
        <v>97.172600000000003</v>
      </c>
      <c r="BH1194">
        <v>6.0291100000000002</v>
      </c>
      <c r="BL1194">
        <v>1.4553</v>
      </c>
      <c r="BM1194">
        <v>74.511399999999995</v>
      </c>
      <c r="BQ1194" t="s">
        <v>12953</v>
      </c>
      <c r="BR1194" t="s">
        <v>12954</v>
      </c>
      <c r="BS1194">
        <v>23.284800000000001</v>
      </c>
      <c r="BW1194" t="s">
        <v>12955</v>
      </c>
      <c r="BX1194">
        <v>8.0249500000000005</v>
      </c>
      <c r="BZ1194" t="s">
        <v>12956</v>
      </c>
      <c r="CA1194">
        <v>9.3555100000000007</v>
      </c>
      <c r="CC1194">
        <v>5.6133100000000002</v>
      </c>
      <c r="CE1194">
        <v>11.683999999999999</v>
      </c>
      <c r="CF1194">
        <v>12.474</v>
      </c>
      <c r="CJ1194">
        <v>11.767200000000001</v>
      </c>
      <c r="CK1194">
        <v>9</v>
      </c>
      <c r="CL1194" t="s">
        <v>4</v>
      </c>
      <c r="CM1194" t="s">
        <v>12957</v>
      </c>
      <c r="CN1194" t="s">
        <v>12958</v>
      </c>
      <c r="CO1194" t="s">
        <v>219</v>
      </c>
      <c r="CP1194" t="s">
        <v>100</v>
      </c>
      <c r="CQ1194" t="s">
        <v>100</v>
      </c>
      <c r="CR1194" t="s">
        <v>100</v>
      </c>
      <c r="CS1194" t="s">
        <v>101</v>
      </c>
      <c r="CT1194" t="s">
        <v>152</v>
      </c>
      <c r="CU1194" t="s">
        <v>102</v>
      </c>
      <c r="CV1194" t="s">
        <v>100</v>
      </c>
    </row>
    <row r="1195" spans="1:100">
      <c r="A1195" s="3" t="s">
        <v>12959</v>
      </c>
      <c r="B1195" s="4" t="s">
        <v>12960</v>
      </c>
      <c r="C1195">
        <v>596.34927001518895</v>
      </c>
      <c r="D1195">
        <v>454.832538826921</v>
      </c>
      <c r="E1195">
        <v>0.38976204466833297</v>
      </c>
      <c r="F1195">
        <v>0.13352263193611</v>
      </c>
      <c r="G1195" t="s">
        <v>4</v>
      </c>
      <c r="H1195">
        <v>596.34927001518895</v>
      </c>
      <c r="I1195">
        <v>61.361547915560102</v>
      </c>
      <c r="J1195">
        <v>3.2921779550986798</v>
      </c>
      <c r="K1195" s="5">
        <v>8.2514829131633292E-37</v>
      </c>
      <c r="L1195" t="s">
        <v>4</v>
      </c>
      <c r="M1195">
        <v>454.832538826921</v>
      </c>
      <c r="N1195">
        <v>61.361547915560102</v>
      </c>
      <c r="O1195">
        <v>2.90241591043034</v>
      </c>
      <c r="P1195" s="5">
        <v>1.0187210655999E-28</v>
      </c>
      <c r="Q1195" t="s">
        <v>4</v>
      </c>
      <c r="R1195" s="4" t="s">
        <v>87</v>
      </c>
      <c r="S1195" t="s">
        <v>4</v>
      </c>
      <c r="T1195" t="s">
        <v>12961</v>
      </c>
      <c r="U1195" t="s">
        <v>12962</v>
      </c>
      <c r="V1195" t="s">
        <v>12963</v>
      </c>
      <c r="W1195" t="s">
        <v>1845</v>
      </c>
      <c r="X1195" t="s">
        <v>4</v>
      </c>
      <c r="Y1195" t="s">
        <v>3892</v>
      </c>
      <c r="Z1195" t="s">
        <v>3893</v>
      </c>
      <c r="AA1195" t="s">
        <v>3894</v>
      </c>
      <c r="AB1195" t="s">
        <v>4</v>
      </c>
      <c r="AC1195" s="3" t="s">
        <v>12964</v>
      </c>
      <c r="AD1195" t="s">
        <v>4</v>
      </c>
      <c r="AE1195" t="s">
        <v>12965</v>
      </c>
      <c r="AF1195" t="s">
        <v>12966</v>
      </c>
      <c r="AG1195" t="s">
        <v>12967</v>
      </c>
      <c r="AH1195" t="s">
        <v>112</v>
      </c>
      <c r="AJ1195" t="s">
        <v>876</v>
      </c>
      <c r="AL1195" t="s">
        <v>12968</v>
      </c>
      <c r="AQ1195" t="s">
        <v>1273</v>
      </c>
      <c r="AU1195" t="s">
        <v>112</v>
      </c>
      <c r="AV1195" t="s">
        <v>12969</v>
      </c>
      <c r="AW1195" t="s">
        <v>114</v>
      </c>
      <c r="AX1195" t="s">
        <v>371</v>
      </c>
      <c r="AY1195" t="s">
        <v>4348</v>
      </c>
      <c r="AZ1195" t="s">
        <v>4</v>
      </c>
      <c r="BA1195" s="3" t="s">
        <v>95</v>
      </c>
      <c r="BB1195" s="6" t="s">
        <v>95</v>
      </c>
      <c r="BC1195" s="3" t="s">
        <v>95</v>
      </c>
      <c r="BD1195" t="s">
        <v>4</v>
      </c>
      <c r="BE1195">
        <v>5047</v>
      </c>
      <c r="BF1195" t="s">
        <v>282</v>
      </c>
      <c r="BG1195">
        <v>66.620699999999999</v>
      </c>
      <c r="BH1195">
        <v>49.241399999999999</v>
      </c>
      <c r="BI1195">
        <v>62.206899999999997</v>
      </c>
      <c r="BJ1195">
        <v>59.448300000000003</v>
      </c>
      <c r="BK1195">
        <v>57.930999999999997</v>
      </c>
      <c r="BL1195">
        <v>57.379300000000001</v>
      </c>
      <c r="BM1195">
        <v>36.2759</v>
      </c>
      <c r="BN1195">
        <v>85.930999999999997</v>
      </c>
      <c r="BO1195">
        <v>84.965500000000006</v>
      </c>
      <c r="BP1195">
        <v>33.103400000000001</v>
      </c>
      <c r="BQ1195">
        <v>41.103400000000001</v>
      </c>
      <c r="BR1195">
        <v>22.896599999999999</v>
      </c>
      <c r="BS1195" t="s">
        <v>12970</v>
      </c>
      <c r="BT1195" t="s">
        <v>12971</v>
      </c>
      <c r="BV1195" t="s">
        <v>12972</v>
      </c>
      <c r="BW1195">
        <v>34.482799999999997</v>
      </c>
      <c r="BZ1195">
        <v>13.793100000000001</v>
      </c>
      <c r="CA1195">
        <v>30.068999999999999</v>
      </c>
      <c r="CB1195">
        <v>30.206900000000001</v>
      </c>
      <c r="CC1195">
        <v>29.379300000000001</v>
      </c>
      <c r="CD1195">
        <v>27.310300000000002</v>
      </c>
      <c r="CG1195" t="s">
        <v>12973</v>
      </c>
      <c r="CH1195" t="s">
        <v>12974</v>
      </c>
      <c r="CI1195" t="s">
        <v>12975</v>
      </c>
      <c r="CK1195">
        <v>6</v>
      </c>
      <c r="CL1195" t="s">
        <v>4</v>
      </c>
      <c r="CM1195" t="s">
        <v>12976</v>
      </c>
      <c r="CN1195" t="s">
        <v>12977</v>
      </c>
      <c r="CO1195" t="s">
        <v>219</v>
      </c>
      <c r="CP1195" t="s">
        <v>100</v>
      </c>
      <c r="CQ1195" t="s">
        <v>100</v>
      </c>
      <c r="CR1195" t="s">
        <v>100</v>
      </c>
      <c r="CS1195" t="s">
        <v>101</v>
      </c>
      <c r="CT1195" t="s">
        <v>152</v>
      </c>
      <c r="CU1195" t="s">
        <v>102</v>
      </c>
      <c r="CV1195" t="s">
        <v>100</v>
      </c>
    </row>
    <row r="1196" spans="1:100">
      <c r="A1196" s="3" t="s">
        <v>12978</v>
      </c>
      <c r="B1196" s="4" t="s">
        <v>12979</v>
      </c>
      <c r="C1196">
        <v>19.8674214302739</v>
      </c>
      <c r="D1196">
        <v>34.235921118557101</v>
      </c>
      <c r="E1196">
        <f>0.788003619554453</f>
        <v>0.78800361955445297</v>
      </c>
      <c r="F1196">
        <v>0.40059116299984998</v>
      </c>
      <c r="G1196" t="s">
        <v>4</v>
      </c>
      <c r="H1196">
        <v>19.8674214302739</v>
      </c>
      <c r="I1196">
        <v>4.3004999851029604</v>
      </c>
      <c r="J1196">
        <v>2.1079080814286102</v>
      </c>
      <c r="K1196">
        <v>3.45433782022058E-2</v>
      </c>
      <c r="L1196" t="s">
        <v>4</v>
      </c>
      <c r="M1196">
        <v>34.235921118557101</v>
      </c>
      <c r="N1196">
        <v>4.3004999851029604</v>
      </c>
      <c r="O1196">
        <v>2.8959117009830599</v>
      </c>
      <c r="P1196">
        <v>2.5979886643570701E-3</v>
      </c>
      <c r="Q1196" t="s">
        <v>4</v>
      </c>
      <c r="R1196" s="4" t="s">
        <v>87</v>
      </c>
      <c r="S1196" t="s">
        <v>4</v>
      </c>
      <c r="T1196" t="s">
        <v>92</v>
      </c>
      <c r="U1196" t="s">
        <v>92</v>
      </c>
      <c r="V1196" t="s">
        <v>92</v>
      </c>
      <c r="W1196" t="s">
        <v>92</v>
      </c>
      <c r="X1196" t="s">
        <v>4</v>
      </c>
      <c r="Y1196" t="s">
        <v>92</v>
      </c>
      <c r="Z1196" t="s">
        <v>92</v>
      </c>
      <c r="AA1196" t="s">
        <v>92</v>
      </c>
      <c r="AB1196" t="s">
        <v>4</v>
      </c>
      <c r="AC1196" s="3" t="s">
        <v>93</v>
      </c>
      <c r="AD1196" t="s">
        <v>4</v>
      </c>
      <c r="AE1196" s="4" t="s">
        <v>94</v>
      </c>
      <c r="AZ1196" t="s">
        <v>4</v>
      </c>
      <c r="BA1196" s="3" t="s">
        <v>95</v>
      </c>
      <c r="BB1196" s="6" t="s">
        <v>95</v>
      </c>
      <c r="BC1196" s="3" t="s">
        <v>95</v>
      </c>
      <c r="BD1196" t="s">
        <v>4</v>
      </c>
      <c r="BE1196">
        <v>286</v>
      </c>
      <c r="BF1196" t="s">
        <v>322</v>
      </c>
      <c r="CK1196">
        <v>1</v>
      </c>
      <c r="CL1196" t="s">
        <v>4</v>
      </c>
      <c r="CM1196" t="s">
        <v>98</v>
      </c>
      <c r="CN1196" t="s">
        <v>98</v>
      </c>
      <c r="CO1196" t="s">
        <v>99</v>
      </c>
      <c r="CP1196" t="s">
        <v>100</v>
      </c>
      <c r="CQ1196" t="s">
        <v>100</v>
      </c>
      <c r="CR1196" t="s">
        <v>100</v>
      </c>
      <c r="CS1196" s="7" t="s">
        <v>101</v>
      </c>
      <c r="CT1196" t="s">
        <v>152</v>
      </c>
      <c r="CU1196" t="s">
        <v>102</v>
      </c>
      <c r="CV1196" t="s">
        <v>100</v>
      </c>
    </row>
    <row r="1197" spans="1:100">
      <c r="A1197" s="3" t="s">
        <v>12980</v>
      </c>
      <c r="B1197" s="4" t="s">
        <v>12981</v>
      </c>
      <c r="C1197">
        <v>50.458214166025797</v>
      </c>
      <c r="D1197">
        <v>44.842619130842102</v>
      </c>
      <c r="E1197">
        <v>0.174142169857088</v>
      </c>
      <c r="F1197">
        <v>0.81654092996924599</v>
      </c>
      <c r="G1197" t="s">
        <v>4</v>
      </c>
      <c r="H1197">
        <v>50.458214166025797</v>
      </c>
      <c r="I1197">
        <v>6.1611448981903996</v>
      </c>
      <c r="J1197">
        <v>3.0616571780417199</v>
      </c>
      <c r="K1197" s="5">
        <v>3.7920995500883201E-5</v>
      </c>
      <c r="L1197" t="s">
        <v>4</v>
      </c>
      <c r="M1197">
        <v>44.842619130842102</v>
      </c>
      <c r="N1197">
        <v>6.1611448981903996</v>
      </c>
      <c r="O1197">
        <v>2.8875150081846299</v>
      </c>
      <c r="P1197" s="5">
        <v>9.3695307051771504E-5</v>
      </c>
      <c r="Q1197" t="s">
        <v>4</v>
      </c>
      <c r="R1197" s="4" t="s">
        <v>87</v>
      </c>
      <c r="S1197" t="s">
        <v>4</v>
      </c>
      <c r="T1197" t="s">
        <v>460</v>
      </c>
      <c r="U1197" t="s">
        <v>461</v>
      </c>
      <c r="V1197" t="s">
        <v>462</v>
      </c>
      <c r="W1197" t="s">
        <v>123</v>
      </c>
      <c r="X1197" t="s">
        <v>4</v>
      </c>
      <c r="Y1197" t="s">
        <v>463</v>
      </c>
      <c r="Z1197" t="s">
        <v>464</v>
      </c>
      <c r="AA1197" t="s">
        <v>465</v>
      </c>
      <c r="AB1197" t="s">
        <v>4</v>
      </c>
      <c r="AC1197" s="3" t="s">
        <v>93</v>
      </c>
      <c r="AD1197" t="s">
        <v>4</v>
      </c>
      <c r="AE1197" t="s">
        <v>6411</v>
      </c>
      <c r="AF1197" t="s">
        <v>12982</v>
      </c>
      <c r="AG1197" t="s">
        <v>12983</v>
      </c>
      <c r="AH1197" t="s">
        <v>169</v>
      </c>
      <c r="AU1197" t="s">
        <v>112</v>
      </c>
      <c r="AV1197" t="s">
        <v>470</v>
      </c>
      <c r="AW1197" t="s">
        <v>114</v>
      </c>
      <c r="AX1197" t="s">
        <v>144</v>
      </c>
      <c r="AY1197" t="s">
        <v>471</v>
      </c>
      <c r="AZ1197" t="s">
        <v>4</v>
      </c>
      <c r="BA1197" s="3" t="s">
        <v>95</v>
      </c>
      <c r="BB1197" s="6" t="s">
        <v>95</v>
      </c>
      <c r="BC1197" s="3" t="s">
        <v>95</v>
      </c>
      <c r="BD1197" t="s">
        <v>4</v>
      </c>
      <c r="BE1197">
        <v>5825</v>
      </c>
      <c r="BF1197" t="s">
        <v>386</v>
      </c>
      <c r="BG1197">
        <v>50.853900000000003</v>
      </c>
      <c r="BX1197">
        <v>9.2979099999999999</v>
      </c>
      <c r="BZ1197">
        <v>7.5901300000000003</v>
      </c>
      <c r="CF1197" t="s">
        <v>12984</v>
      </c>
      <c r="CG1197">
        <v>9.8671699999999998</v>
      </c>
      <c r="CI1197" t="s">
        <v>12985</v>
      </c>
      <c r="CK1197">
        <v>7</v>
      </c>
      <c r="CL1197" t="s">
        <v>4</v>
      </c>
      <c r="CM1197" t="s">
        <v>98</v>
      </c>
      <c r="CN1197" t="s">
        <v>98</v>
      </c>
      <c r="CO1197" t="s">
        <v>99</v>
      </c>
      <c r="CP1197" t="s">
        <v>100</v>
      </c>
      <c r="CQ1197" t="s">
        <v>100</v>
      </c>
      <c r="CR1197" t="s">
        <v>100</v>
      </c>
      <c r="CS1197" t="s">
        <v>101</v>
      </c>
      <c r="CT1197" t="s">
        <v>152</v>
      </c>
      <c r="CU1197" t="s">
        <v>102</v>
      </c>
      <c r="CV1197" t="s">
        <v>100</v>
      </c>
    </row>
    <row r="1198" spans="1:100">
      <c r="A1198" s="3" t="s">
        <v>12986</v>
      </c>
      <c r="B1198" s="4" t="s">
        <v>12987</v>
      </c>
      <c r="C1198">
        <v>3074.91154457022</v>
      </c>
      <c r="D1198">
        <v>4007.1824081856898</v>
      </c>
      <c r="E1198">
        <f>0.382053357106226</f>
        <v>0.38205335710622601</v>
      </c>
      <c r="F1198">
        <v>6.5393693808495496E-2</v>
      </c>
      <c r="G1198" t="s">
        <v>4</v>
      </c>
      <c r="H1198">
        <v>3074.91154457022</v>
      </c>
      <c r="I1198">
        <v>545.51524555679498</v>
      </c>
      <c r="J1198">
        <v>2.4995474539979998</v>
      </c>
      <c r="K1198" s="5">
        <v>4.7410245739702501E-40</v>
      </c>
      <c r="L1198" t="s">
        <v>4</v>
      </c>
      <c r="M1198">
        <v>4007.1824081856898</v>
      </c>
      <c r="N1198">
        <v>545.51524555679498</v>
      </c>
      <c r="O1198">
        <v>2.88160081110422</v>
      </c>
      <c r="P1198" s="5">
        <v>4.1856631847222201E-53</v>
      </c>
      <c r="Q1198" t="s">
        <v>4</v>
      </c>
      <c r="R1198" s="4" t="s">
        <v>87</v>
      </c>
      <c r="S1198" t="s">
        <v>4</v>
      </c>
      <c r="T1198" t="s">
        <v>92</v>
      </c>
      <c r="U1198" t="s">
        <v>92</v>
      </c>
      <c r="V1198" t="s">
        <v>92</v>
      </c>
      <c r="W1198" t="s">
        <v>92</v>
      </c>
      <c r="X1198" t="s">
        <v>4</v>
      </c>
      <c r="Y1198" t="s">
        <v>92</v>
      </c>
      <c r="Z1198" t="s">
        <v>92</v>
      </c>
      <c r="AA1198" t="s">
        <v>92</v>
      </c>
      <c r="AB1198" t="s">
        <v>4</v>
      </c>
      <c r="AC1198" s="3" t="s">
        <v>93</v>
      </c>
      <c r="AD1198" t="s">
        <v>4</v>
      </c>
      <c r="AE1198" s="4" t="s">
        <v>94</v>
      </c>
      <c r="AZ1198" t="s">
        <v>4</v>
      </c>
      <c r="BA1198" s="3" t="s">
        <v>95</v>
      </c>
      <c r="BB1198" s="6" t="s">
        <v>95</v>
      </c>
      <c r="BC1198" s="3" t="s">
        <v>95</v>
      </c>
      <c r="BD1198" t="s">
        <v>4</v>
      </c>
      <c r="BE1198">
        <v>4371</v>
      </c>
      <c r="BF1198" t="s">
        <v>112</v>
      </c>
      <c r="BG1198">
        <v>96.3947</v>
      </c>
      <c r="BH1198">
        <v>98.102500000000006</v>
      </c>
      <c r="BI1198">
        <v>83.586299999999994</v>
      </c>
      <c r="BJ1198" t="s">
        <v>12988</v>
      </c>
      <c r="BK1198" t="s">
        <v>12989</v>
      </c>
      <c r="BL1198">
        <v>30.74</v>
      </c>
      <c r="BM1198">
        <v>69.544600000000003</v>
      </c>
      <c r="BN1198">
        <v>68.216300000000004</v>
      </c>
      <c r="BO1198">
        <v>69.0702</v>
      </c>
      <c r="BP1198" t="s">
        <v>12990</v>
      </c>
      <c r="BR1198">
        <v>9.01328</v>
      </c>
      <c r="CK1198">
        <v>5</v>
      </c>
      <c r="CL1198" t="s">
        <v>4</v>
      </c>
      <c r="CM1198" t="s">
        <v>98</v>
      </c>
      <c r="CN1198" t="s">
        <v>98</v>
      </c>
      <c r="CO1198" t="s">
        <v>99</v>
      </c>
      <c r="CP1198" t="s">
        <v>100</v>
      </c>
      <c r="CQ1198" t="s">
        <v>100</v>
      </c>
      <c r="CR1198" t="s">
        <v>100</v>
      </c>
      <c r="CS1198" t="s">
        <v>101</v>
      </c>
      <c r="CT1198" t="s">
        <v>152</v>
      </c>
      <c r="CU1198" t="s">
        <v>102</v>
      </c>
      <c r="CV1198" t="s">
        <v>100</v>
      </c>
    </row>
    <row r="1199" spans="1:100">
      <c r="A1199" s="3" t="s">
        <v>12991</v>
      </c>
      <c r="B1199" s="4" t="s">
        <v>12992</v>
      </c>
      <c r="C1199">
        <v>127.80359955579</v>
      </c>
      <c r="D1199">
        <v>176.08738675671199</v>
      </c>
      <c r="E1199">
        <f>0.462280794982675</f>
        <v>0.46228079498267499</v>
      </c>
      <c r="F1199">
        <v>0.36025168064551</v>
      </c>
      <c r="G1199" t="s">
        <v>4</v>
      </c>
      <c r="H1199">
        <v>127.80359955579</v>
      </c>
      <c r="I1199">
        <v>24.880528605557799</v>
      </c>
      <c r="J1199">
        <v>2.4166647175426799</v>
      </c>
      <c r="K1199" s="5">
        <v>9.7544115657500198E-7</v>
      </c>
      <c r="L1199" t="s">
        <v>4</v>
      </c>
      <c r="M1199">
        <v>176.08738675671199</v>
      </c>
      <c r="N1199">
        <v>24.880528605557799</v>
      </c>
      <c r="O1199">
        <v>2.8789455125253598</v>
      </c>
      <c r="P1199" s="5">
        <v>2.71907171785348E-9</v>
      </c>
      <c r="Q1199" t="s">
        <v>4</v>
      </c>
      <c r="R1199" s="4" t="s">
        <v>87</v>
      </c>
      <c r="S1199" t="s">
        <v>4</v>
      </c>
      <c r="T1199" t="s">
        <v>12993</v>
      </c>
      <c r="U1199" t="s">
        <v>12994</v>
      </c>
      <c r="V1199" t="s">
        <v>12995</v>
      </c>
      <c r="W1199" t="s">
        <v>328</v>
      </c>
      <c r="X1199" t="s">
        <v>4</v>
      </c>
      <c r="Y1199" t="s">
        <v>12996</v>
      </c>
      <c r="Z1199" t="s">
        <v>12997</v>
      </c>
      <c r="AA1199" t="s">
        <v>12998</v>
      </c>
      <c r="AB1199" t="s">
        <v>4</v>
      </c>
      <c r="AC1199" s="3" t="s">
        <v>12999</v>
      </c>
      <c r="AD1199" t="s">
        <v>4</v>
      </c>
      <c r="AE1199" t="s">
        <v>13000</v>
      </c>
      <c r="AF1199" t="s">
        <v>13001</v>
      </c>
      <c r="AG1199" t="s">
        <v>13002</v>
      </c>
      <c r="AH1199" t="s">
        <v>112</v>
      </c>
      <c r="AU1199" t="s">
        <v>112</v>
      </c>
      <c r="AV1199" t="s">
        <v>13003</v>
      </c>
      <c r="AW1199" t="s">
        <v>114</v>
      </c>
      <c r="AX1199" t="s">
        <v>909</v>
      </c>
      <c r="AY1199" t="s">
        <v>2685</v>
      </c>
      <c r="AZ1199" t="s">
        <v>4</v>
      </c>
      <c r="BA1199" s="3" t="s">
        <v>95</v>
      </c>
      <c r="BB1199" t="s">
        <v>96</v>
      </c>
      <c r="BC1199" s="3" t="s">
        <v>95</v>
      </c>
      <c r="BD1199" t="s">
        <v>4</v>
      </c>
      <c r="BE1199">
        <v>3616</v>
      </c>
      <c r="BF1199" t="s">
        <v>112</v>
      </c>
      <c r="BG1199">
        <v>74.067499999999995</v>
      </c>
      <c r="BH1199" t="s">
        <v>13004</v>
      </c>
      <c r="BI1199">
        <v>95.914699999999996</v>
      </c>
      <c r="BJ1199">
        <v>85.790400000000005</v>
      </c>
      <c r="BK1199">
        <v>73.534599999999998</v>
      </c>
      <c r="BL1199">
        <v>71.580799999999996</v>
      </c>
      <c r="BM1199">
        <v>66.607500000000002</v>
      </c>
      <c r="BN1199">
        <v>73.534599999999998</v>
      </c>
      <c r="BO1199" t="s">
        <v>13005</v>
      </c>
      <c r="BP1199" t="s">
        <v>13006</v>
      </c>
      <c r="BQ1199">
        <v>31.971599999999999</v>
      </c>
      <c r="BR1199">
        <v>49.378300000000003</v>
      </c>
      <c r="BS1199">
        <v>30.728200000000001</v>
      </c>
      <c r="BT1199">
        <v>36.056800000000003</v>
      </c>
      <c r="BU1199" t="s">
        <v>13007</v>
      </c>
      <c r="BV1199" t="s">
        <v>13008</v>
      </c>
      <c r="BW1199">
        <v>40.142099999999999</v>
      </c>
      <c r="BX1199">
        <v>46.003599999999999</v>
      </c>
      <c r="BY1199">
        <v>27.175799999999999</v>
      </c>
      <c r="BZ1199" t="s">
        <v>13009</v>
      </c>
      <c r="CA1199">
        <v>45.825899999999997</v>
      </c>
      <c r="CK1199">
        <v>5</v>
      </c>
      <c r="CL1199" t="s">
        <v>4</v>
      </c>
      <c r="CM1199" t="s">
        <v>13010</v>
      </c>
      <c r="CN1199" t="s">
        <v>13011</v>
      </c>
      <c r="CO1199" t="s">
        <v>99</v>
      </c>
      <c r="CP1199" t="s">
        <v>100</v>
      </c>
      <c r="CQ1199" t="s">
        <v>100</v>
      </c>
      <c r="CR1199" t="s">
        <v>100</v>
      </c>
      <c r="CS1199" t="s">
        <v>101</v>
      </c>
      <c r="CT1199" t="s">
        <v>152</v>
      </c>
      <c r="CU1199" t="s">
        <v>102</v>
      </c>
      <c r="CV1199" t="s">
        <v>100</v>
      </c>
    </row>
    <row r="1200" spans="1:100">
      <c r="A1200" s="3" t="s">
        <v>13012</v>
      </c>
      <c r="B1200" s="4" t="s">
        <v>13013</v>
      </c>
      <c r="C1200">
        <v>602.420363447878</v>
      </c>
      <c r="D1200">
        <v>425.26779101029598</v>
      </c>
      <c r="E1200">
        <v>0.50343560078055305</v>
      </c>
      <c r="F1200">
        <v>0.108274620438226</v>
      </c>
      <c r="G1200" t="s">
        <v>4</v>
      </c>
      <c r="H1200">
        <v>602.420363447878</v>
      </c>
      <c r="I1200">
        <v>58.708790936924103</v>
      </c>
      <c r="J1200">
        <v>3.3739597342952998</v>
      </c>
      <c r="K1200" s="5">
        <v>2.0956472550502198E-28</v>
      </c>
      <c r="L1200" t="s">
        <v>4</v>
      </c>
      <c r="M1200">
        <v>425.26779101029598</v>
      </c>
      <c r="N1200">
        <v>58.708790936924103</v>
      </c>
      <c r="O1200">
        <v>2.87052413351475</v>
      </c>
      <c r="P1200" s="5">
        <v>8.1358350503131797E-21</v>
      </c>
      <c r="Q1200" t="s">
        <v>4</v>
      </c>
      <c r="R1200" s="4" t="s">
        <v>87</v>
      </c>
      <c r="S1200" t="s">
        <v>4</v>
      </c>
      <c r="T1200" t="s">
        <v>13014</v>
      </c>
      <c r="U1200" t="s">
        <v>13015</v>
      </c>
      <c r="V1200" t="s">
        <v>13016</v>
      </c>
      <c r="W1200" t="s">
        <v>976</v>
      </c>
      <c r="X1200" t="s">
        <v>4</v>
      </c>
      <c r="Y1200" t="s">
        <v>13017</v>
      </c>
      <c r="Z1200" t="s">
        <v>13018</v>
      </c>
      <c r="AA1200" t="s">
        <v>13019</v>
      </c>
      <c r="AB1200" t="s">
        <v>4</v>
      </c>
      <c r="AC1200" s="3" t="s">
        <v>13020</v>
      </c>
      <c r="AD1200" t="s">
        <v>4</v>
      </c>
      <c r="AE1200" t="s">
        <v>13021</v>
      </c>
      <c r="AF1200" t="s">
        <v>13022</v>
      </c>
      <c r="AG1200" t="s">
        <v>9099</v>
      </c>
      <c r="AH1200" t="s">
        <v>112</v>
      </c>
      <c r="AL1200" t="s">
        <v>13023</v>
      </c>
      <c r="AM1200" t="s">
        <v>11799</v>
      </c>
      <c r="AQ1200" t="s">
        <v>13024</v>
      </c>
      <c r="AU1200" t="s">
        <v>112</v>
      </c>
      <c r="AV1200" t="s">
        <v>13025</v>
      </c>
      <c r="AW1200" t="s">
        <v>114</v>
      </c>
      <c r="AX1200" t="s">
        <v>144</v>
      </c>
      <c r="AY1200" t="s">
        <v>13026</v>
      </c>
      <c r="AZ1200" t="s">
        <v>4</v>
      </c>
      <c r="BA1200" s="3" t="s">
        <v>95</v>
      </c>
      <c r="BB1200" s="6" t="s">
        <v>95</v>
      </c>
      <c r="BC1200" s="3" t="s">
        <v>95</v>
      </c>
      <c r="BD1200" t="s">
        <v>4</v>
      </c>
      <c r="BE1200">
        <v>5256</v>
      </c>
      <c r="BF1200" t="s">
        <v>282</v>
      </c>
      <c r="BG1200">
        <v>98.026300000000006</v>
      </c>
      <c r="BH1200">
        <v>100</v>
      </c>
      <c r="BI1200">
        <v>86.184200000000004</v>
      </c>
      <c r="BJ1200">
        <v>70.3947</v>
      </c>
      <c r="BK1200">
        <v>65.131600000000006</v>
      </c>
      <c r="BL1200">
        <v>66.447400000000002</v>
      </c>
      <c r="BM1200">
        <v>67.1053</v>
      </c>
      <c r="BN1200">
        <v>67.1053</v>
      </c>
      <c r="BO1200">
        <v>65.131600000000006</v>
      </c>
      <c r="BX1200">
        <v>32.236800000000002</v>
      </c>
      <c r="CA1200">
        <v>26.315799999999999</v>
      </c>
      <c r="CC1200">
        <v>26.315799999999999</v>
      </c>
      <c r="CK1200">
        <v>6</v>
      </c>
      <c r="CL1200" t="s">
        <v>4</v>
      </c>
      <c r="CM1200" t="s">
        <v>13027</v>
      </c>
      <c r="CN1200" t="s">
        <v>13028</v>
      </c>
      <c r="CO1200" t="s">
        <v>99</v>
      </c>
      <c r="CP1200" t="s">
        <v>100</v>
      </c>
      <c r="CQ1200" t="s">
        <v>100</v>
      </c>
      <c r="CR1200" t="s">
        <v>100</v>
      </c>
      <c r="CS1200" t="s">
        <v>101</v>
      </c>
      <c r="CT1200" t="s">
        <v>152</v>
      </c>
      <c r="CU1200" t="s">
        <v>102</v>
      </c>
      <c r="CV1200" t="s">
        <v>100</v>
      </c>
    </row>
    <row r="1201" spans="1:100">
      <c r="A1201" s="3" t="s">
        <v>13029</v>
      </c>
      <c r="B1201" s="4" t="s">
        <v>13030</v>
      </c>
      <c r="C1201">
        <v>29.272854873981998</v>
      </c>
      <c r="D1201">
        <v>34.205795024237403</v>
      </c>
      <c r="E1201">
        <f>0.227018125588112</f>
        <v>0.22701812558811199</v>
      </c>
      <c r="F1201">
        <v>0.74108032395563905</v>
      </c>
      <c r="G1201" t="s">
        <v>4</v>
      </c>
      <c r="H1201">
        <v>29.272854873981998</v>
      </c>
      <c r="I1201">
        <v>4.8504196445793104</v>
      </c>
      <c r="J1201">
        <v>2.64104221946676</v>
      </c>
      <c r="K1201">
        <v>3.97642944483113E-4</v>
      </c>
      <c r="L1201" t="s">
        <v>4</v>
      </c>
      <c r="M1201">
        <v>34.205795024237403</v>
      </c>
      <c r="N1201">
        <v>4.8504196445793104</v>
      </c>
      <c r="O1201">
        <v>2.8680603450548801</v>
      </c>
      <c r="P1201" s="5">
        <v>9.1661328941891197E-5</v>
      </c>
      <c r="Q1201" t="s">
        <v>4</v>
      </c>
      <c r="R1201" s="4" t="s">
        <v>87</v>
      </c>
      <c r="S1201" t="s">
        <v>4</v>
      </c>
      <c r="T1201" t="s">
        <v>92</v>
      </c>
      <c r="U1201" t="s">
        <v>92</v>
      </c>
      <c r="V1201" t="s">
        <v>92</v>
      </c>
      <c r="W1201" t="s">
        <v>92</v>
      </c>
      <c r="X1201" t="s">
        <v>4</v>
      </c>
      <c r="Y1201" t="s">
        <v>92</v>
      </c>
      <c r="Z1201" t="s">
        <v>92</v>
      </c>
      <c r="AA1201" t="s">
        <v>92</v>
      </c>
      <c r="AB1201" t="s">
        <v>4</v>
      </c>
      <c r="AC1201" s="3" t="s">
        <v>93</v>
      </c>
      <c r="AD1201" t="s">
        <v>4</v>
      </c>
      <c r="AE1201" s="4" t="s">
        <v>94</v>
      </c>
      <c r="AZ1201" t="s">
        <v>4</v>
      </c>
      <c r="BA1201" s="3" t="s">
        <v>115</v>
      </c>
      <c r="BB1201" s="6" t="s">
        <v>95</v>
      </c>
      <c r="BC1201" s="3" t="s">
        <v>95</v>
      </c>
      <c r="BD1201" t="s">
        <v>4</v>
      </c>
      <c r="BE1201">
        <v>1728</v>
      </c>
      <c r="BF1201" t="s">
        <v>151</v>
      </c>
      <c r="BG1201">
        <v>96.703299999999999</v>
      </c>
      <c r="BH1201">
        <v>75.457899999999995</v>
      </c>
      <c r="CK1201">
        <v>2</v>
      </c>
      <c r="CL1201" t="s">
        <v>4</v>
      </c>
      <c r="CM1201" t="s">
        <v>98</v>
      </c>
      <c r="CN1201" t="s">
        <v>98</v>
      </c>
      <c r="CO1201" t="s">
        <v>99</v>
      </c>
      <c r="CP1201" t="s">
        <v>100</v>
      </c>
      <c r="CQ1201" t="s">
        <v>100</v>
      </c>
      <c r="CR1201" t="s">
        <v>100</v>
      </c>
      <c r="CS1201" t="s">
        <v>101</v>
      </c>
      <c r="CT1201" t="s">
        <v>152</v>
      </c>
      <c r="CU1201" t="s">
        <v>102</v>
      </c>
      <c r="CV1201" t="s">
        <v>100</v>
      </c>
    </row>
    <row r="1202" spans="1:100">
      <c r="A1202" s="3" t="s">
        <v>13031</v>
      </c>
      <c r="B1202" s="4" t="s">
        <v>13032</v>
      </c>
      <c r="C1202">
        <v>47.016170876814599</v>
      </c>
      <c r="D1202">
        <v>30.6185702866009</v>
      </c>
      <c r="E1202">
        <v>0.619149903581663</v>
      </c>
      <c r="F1202">
        <v>0.44825725642903003</v>
      </c>
      <c r="G1202" t="s">
        <v>4</v>
      </c>
      <c r="H1202">
        <v>47.016170876814599</v>
      </c>
      <c r="I1202">
        <v>4.2076906102812304</v>
      </c>
      <c r="J1202">
        <v>3.4848105589393898</v>
      </c>
      <c r="K1202" s="5">
        <v>7.1506431657930594E-5</v>
      </c>
      <c r="L1202" t="s">
        <v>4</v>
      </c>
      <c r="M1202">
        <v>30.6185702866009</v>
      </c>
      <c r="N1202">
        <v>4.2076906102812304</v>
      </c>
      <c r="O1202">
        <v>2.8656606553577202</v>
      </c>
      <c r="P1202">
        <v>1.17273618950525E-3</v>
      </c>
      <c r="Q1202" t="s">
        <v>4</v>
      </c>
      <c r="R1202" s="4" t="s">
        <v>87</v>
      </c>
      <c r="S1202" t="s">
        <v>4</v>
      </c>
      <c r="T1202" t="s">
        <v>13033</v>
      </c>
      <c r="U1202" t="s">
        <v>13034</v>
      </c>
      <c r="V1202" t="s">
        <v>13035</v>
      </c>
      <c r="W1202" t="s">
        <v>203</v>
      </c>
      <c r="X1202" t="s">
        <v>4</v>
      </c>
      <c r="Y1202" t="s">
        <v>2291</v>
      </c>
      <c r="Z1202" t="s">
        <v>2292</v>
      </c>
      <c r="AA1202" t="s">
        <v>2293</v>
      </c>
      <c r="AB1202" t="s">
        <v>4</v>
      </c>
      <c r="AC1202" s="3" t="s">
        <v>2294</v>
      </c>
      <c r="AD1202" t="s">
        <v>4</v>
      </c>
      <c r="AE1202" t="s">
        <v>13036</v>
      </c>
      <c r="AF1202" t="s">
        <v>13037</v>
      </c>
      <c r="AG1202" t="s">
        <v>13038</v>
      </c>
      <c r="AH1202" t="s">
        <v>112</v>
      </c>
      <c r="AU1202" t="s">
        <v>112</v>
      </c>
      <c r="AV1202" t="s">
        <v>13039</v>
      </c>
      <c r="AW1202" t="s">
        <v>114</v>
      </c>
      <c r="AX1202" t="s">
        <v>132</v>
      </c>
      <c r="AY1202" t="s">
        <v>8704</v>
      </c>
      <c r="AZ1202" t="s">
        <v>4</v>
      </c>
      <c r="BA1202" s="3" t="s">
        <v>95</v>
      </c>
      <c r="BB1202" s="6" t="s">
        <v>95</v>
      </c>
      <c r="BC1202" s="3" t="s">
        <v>95</v>
      </c>
      <c r="BD1202" t="s">
        <v>4</v>
      </c>
      <c r="BE1202">
        <v>6582</v>
      </c>
      <c r="BF1202" t="s">
        <v>213</v>
      </c>
      <c r="BG1202">
        <v>80.654799999999994</v>
      </c>
      <c r="BH1202">
        <v>84.821399999999997</v>
      </c>
      <c r="BI1202">
        <v>58.035699999999999</v>
      </c>
      <c r="BJ1202">
        <v>50.297600000000003</v>
      </c>
      <c r="BK1202">
        <v>62.5</v>
      </c>
      <c r="BM1202">
        <v>67.857100000000003</v>
      </c>
      <c r="BN1202">
        <v>68.452399999999997</v>
      </c>
      <c r="BP1202">
        <v>32.4405</v>
      </c>
      <c r="BQ1202" t="s">
        <v>13040</v>
      </c>
      <c r="BS1202">
        <v>38.988100000000003</v>
      </c>
      <c r="BW1202">
        <v>34.821399999999997</v>
      </c>
      <c r="CK1202">
        <v>8</v>
      </c>
      <c r="CL1202" t="s">
        <v>4</v>
      </c>
      <c r="CM1202" t="s">
        <v>98</v>
      </c>
      <c r="CN1202" t="s">
        <v>98</v>
      </c>
      <c r="CO1202" t="s">
        <v>99</v>
      </c>
      <c r="CP1202" t="s">
        <v>100</v>
      </c>
      <c r="CQ1202" t="s">
        <v>100</v>
      </c>
      <c r="CR1202" t="s">
        <v>100</v>
      </c>
      <c r="CS1202" t="s">
        <v>101</v>
      </c>
      <c r="CT1202" t="s">
        <v>152</v>
      </c>
      <c r="CU1202" t="s">
        <v>102</v>
      </c>
      <c r="CV1202" t="s">
        <v>100</v>
      </c>
    </row>
    <row r="1203" spans="1:100">
      <c r="A1203" s="3" t="s">
        <v>13041</v>
      </c>
      <c r="B1203" s="4" t="s">
        <v>13042</v>
      </c>
      <c r="C1203">
        <v>82.151308070435903</v>
      </c>
      <c r="D1203">
        <v>153.72530095351601</v>
      </c>
      <c r="E1203">
        <f>0.902331750220699</f>
        <v>0.902331750220699</v>
      </c>
      <c r="F1203">
        <v>6.01385696812251E-2</v>
      </c>
      <c r="G1203" t="s">
        <v>4</v>
      </c>
      <c r="H1203">
        <v>82.151308070435903</v>
      </c>
      <c r="I1203">
        <v>21.6548048612697</v>
      </c>
      <c r="J1203">
        <v>1.96092718540375</v>
      </c>
      <c r="K1203" s="5">
        <v>8.7970721484137299E-5</v>
      </c>
      <c r="L1203" t="s">
        <v>4</v>
      </c>
      <c r="M1203">
        <v>153.72530095351601</v>
      </c>
      <c r="N1203">
        <v>21.6548048612697</v>
      </c>
      <c r="O1203">
        <v>2.8632589356244398</v>
      </c>
      <c r="P1203" s="5">
        <v>2.88272956358495E-9</v>
      </c>
      <c r="Q1203" t="s">
        <v>4</v>
      </c>
      <c r="R1203" s="4" t="s">
        <v>87</v>
      </c>
      <c r="S1203" t="s">
        <v>4</v>
      </c>
      <c r="T1203" t="s">
        <v>2950</v>
      </c>
      <c r="U1203" t="s">
        <v>2951</v>
      </c>
      <c r="V1203" t="s">
        <v>2952</v>
      </c>
      <c r="W1203" t="s">
        <v>123</v>
      </c>
      <c r="X1203" t="s">
        <v>4</v>
      </c>
      <c r="Y1203" t="s">
        <v>7348</v>
      </c>
      <c r="Z1203" t="s">
        <v>7349</v>
      </c>
      <c r="AA1203" t="s">
        <v>7350</v>
      </c>
      <c r="AB1203" t="s">
        <v>4</v>
      </c>
      <c r="AC1203" s="3" t="s">
        <v>93</v>
      </c>
      <c r="AD1203" t="s">
        <v>4</v>
      </c>
      <c r="AE1203" t="s">
        <v>7352</v>
      </c>
      <c r="AF1203" t="s">
        <v>13043</v>
      </c>
      <c r="AG1203" t="s">
        <v>1965</v>
      </c>
      <c r="AH1203" t="s">
        <v>112</v>
      </c>
      <c r="AU1203" t="s">
        <v>112</v>
      </c>
      <c r="AV1203" t="s">
        <v>7355</v>
      </c>
      <c r="AW1203" t="s">
        <v>114</v>
      </c>
      <c r="AX1203" t="s">
        <v>371</v>
      </c>
      <c r="AY1203" t="s">
        <v>7356</v>
      </c>
      <c r="AZ1203" t="s">
        <v>4</v>
      </c>
      <c r="BA1203" s="3" t="s">
        <v>95</v>
      </c>
      <c r="BB1203" s="6" t="s">
        <v>95</v>
      </c>
      <c r="BC1203" s="3" t="s">
        <v>95</v>
      </c>
      <c r="BD1203" t="s">
        <v>4</v>
      </c>
      <c r="BE1203">
        <v>4690</v>
      </c>
      <c r="BF1203" t="s">
        <v>112</v>
      </c>
      <c r="BG1203">
        <v>77.1357</v>
      </c>
      <c r="BI1203">
        <v>43.969799999999999</v>
      </c>
      <c r="BJ1203">
        <v>72.613100000000003</v>
      </c>
      <c r="BL1203">
        <v>62.562800000000003</v>
      </c>
      <c r="BN1203">
        <v>54.773899999999998</v>
      </c>
      <c r="BQ1203" t="s">
        <v>13044</v>
      </c>
      <c r="BR1203" t="s">
        <v>13045</v>
      </c>
      <c r="BS1203" t="s">
        <v>13046</v>
      </c>
      <c r="BW1203" t="s">
        <v>13047</v>
      </c>
      <c r="BX1203" t="s">
        <v>13048</v>
      </c>
      <c r="BY1203" t="s">
        <v>13049</v>
      </c>
      <c r="BZ1203" t="s">
        <v>13050</v>
      </c>
      <c r="CA1203" t="s">
        <v>13051</v>
      </c>
      <c r="CK1203">
        <v>5</v>
      </c>
      <c r="CL1203" t="s">
        <v>4</v>
      </c>
      <c r="CM1203" t="s">
        <v>7365</v>
      </c>
      <c r="CN1203" t="s">
        <v>13052</v>
      </c>
      <c r="CO1203" t="s">
        <v>99</v>
      </c>
      <c r="CP1203" t="s">
        <v>100</v>
      </c>
      <c r="CQ1203" t="s">
        <v>100</v>
      </c>
      <c r="CR1203" t="s">
        <v>100</v>
      </c>
      <c r="CS1203" s="7" t="s">
        <v>101</v>
      </c>
      <c r="CT1203" t="s">
        <v>152</v>
      </c>
      <c r="CU1203" t="s">
        <v>102</v>
      </c>
      <c r="CV1203" t="s">
        <v>100</v>
      </c>
    </row>
    <row r="1204" spans="1:100">
      <c r="A1204" s="3" t="s">
        <v>13053</v>
      </c>
      <c r="B1204" s="4" t="s">
        <v>13054</v>
      </c>
      <c r="C1204">
        <v>720.57032382381499</v>
      </c>
      <c r="D1204">
        <v>1187.5308914681</v>
      </c>
      <c r="E1204">
        <f>0.720549221531444</f>
        <v>0.72054922153144396</v>
      </c>
      <c r="F1204">
        <v>6.2211592001278904E-3</v>
      </c>
      <c r="G1204" t="s">
        <v>4</v>
      </c>
      <c r="H1204">
        <v>720.57032382381499</v>
      </c>
      <c r="I1204">
        <v>162.785586818094</v>
      </c>
      <c r="J1204">
        <v>2.12906692213648</v>
      </c>
      <c r="K1204" s="5">
        <v>4.2713538211926E-17</v>
      </c>
      <c r="L1204" t="s">
        <v>4</v>
      </c>
      <c r="M1204">
        <v>1187.5308914681</v>
      </c>
      <c r="N1204">
        <v>162.785586818094</v>
      </c>
      <c r="O1204">
        <v>2.8496161436679301</v>
      </c>
      <c r="P1204" s="5">
        <v>4.2060450563387297E-30</v>
      </c>
      <c r="Q1204" t="s">
        <v>4</v>
      </c>
      <c r="R1204" s="4" t="s">
        <v>87</v>
      </c>
      <c r="S1204" t="s">
        <v>4</v>
      </c>
      <c r="T1204" t="s">
        <v>13055</v>
      </c>
      <c r="U1204" t="s">
        <v>13056</v>
      </c>
      <c r="V1204" t="s">
        <v>13057</v>
      </c>
      <c r="W1204" t="s">
        <v>328</v>
      </c>
      <c r="X1204" t="s">
        <v>4</v>
      </c>
      <c r="Y1204" t="s">
        <v>204</v>
      </c>
      <c r="Z1204" t="s">
        <v>205</v>
      </c>
      <c r="AA1204" t="s">
        <v>206</v>
      </c>
      <c r="AB1204" t="s">
        <v>4</v>
      </c>
      <c r="AC1204" s="3" t="s">
        <v>13058</v>
      </c>
      <c r="AD1204" t="s">
        <v>4</v>
      </c>
      <c r="AE1204" t="s">
        <v>13059</v>
      </c>
      <c r="AF1204" t="s">
        <v>13060</v>
      </c>
      <c r="AG1204" t="s">
        <v>13061</v>
      </c>
      <c r="AH1204" t="s">
        <v>112</v>
      </c>
      <c r="AJ1204" t="s">
        <v>13062</v>
      </c>
      <c r="AK1204" t="s">
        <v>6482</v>
      </c>
      <c r="AL1204" t="s">
        <v>13063</v>
      </c>
      <c r="AM1204" t="s">
        <v>13064</v>
      </c>
      <c r="AQ1204" t="s">
        <v>13065</v>
      </c>
      <c r="AU1204" t="s">
        <v>112</v>
      </c>
      <c r="AV1204" t="s">
        <v>13066</v>
      </c>
      <c r="AW1204" t="s">
        <v>114</v>
      </c>
      <c r="AX1204" t="s">
        <v>6071</v>
      </c>
      <c r="AY1204" t="s">
        <v>212</v>
      </c>
      <c r="AZ1204" t="s">
        <v>4</v>
      </c>
      <c r="BA1204" s="3" t="s">
        <v>95</v>
      </c>
      <c r="BB1204" s="6" t="s">
        <v>95</v>
      </c>
      <c r="BC1204" s="3" t="s">
        <v>95</v>
      </c>
      <c r="BD1204" t="s">
        <v>4</v>
      </c>
      <c r="BE1204">
        <v>9642</v>
      </c>
      <c r="BF1204" t="s">
        <v>169</v>
      </c>
      <c r="BI1204">
        <v>99.315100000000001</v>
      </c>
      <c r="BJ1204">
        <v>96.9178</v>
      </c>
      <c r="BK1204">
        <v>95.205500000000001</v>
      </c>
      <c r="BL1204">
        <v>92.808199999999999</v>
      </c>
      <c r="BM1204">
        <v>92.465800000000002</v>
      </c>
      <c r="BP1204">
        <v>88.0137</v>
      </c>
      <c r="BQ1204">
        <v>65.753399999999999</v>
      </c>
      <c r="BY1204">
        <v>78.0822</v>
      </c>
      <c r="CA1204">
        <v>78.424700000000001</v>
      </c>
      <c r="CB1204">
        <v>66.438400000000001</v>
      </c>
      <c r="CD1204">
        <v>76.712299999999999</v>
      </c>
      <c r="CE1204">
        <v>73.287700000000001</v>
      </c>
      <c r="CJ1204">
        <v>54.452100000000002</v>
      </c>
      <c r="CK1204">
        <v>9</v>
      </c>
      <c r="CL1204" t="s">
        <v>4</v>
      </c>
      <c r="CM1204" t="s">
        <v>13067</v>
      </c>
      <c r="CN1204" t="s">
        <v>13068</v>
      </c>
      <c r="CO1204" t="s">
        <v>219</v>
      </c>
      <c r="CP1204" t="s">
        <v>100</v>
      </c>
      <c r="CQ1204" t="s">
        <v>100</v>
      </c>
      <c r="CR1204" t="s">
        <v>100</v>
      </c>
      <c r="CS1204" t="s">
        <v>101</v>
      </c>
      <c r="CT1204" t="s">
        <v>152</v>
      </c>
      <c r="CU1204" t="s">
        <v>102</v>
      </c>
      <c r="CV1204" t="s">
        <v>100</v>
      </c>
    </row>
    <row r="1205" spans="1:100">
      <c r="A1205" s="3" t="s">
        <v>13069</v>
      </c>
      <c r="B1205" s="4" t="s">
        <v>13070</v>
      </c>
      <c r="C1205">
        <v>99.052379751824105</v>
      </c>
      <c r="D1205">
        <v>187.768545747638</v>
      </c>
      <c r="E1205">
        <f>0.925265765063368</f>
        <v>0.925265765063368</v>
      </c>
      <c r="F1205">
        <v>3.79250331710346E-2</v>
      </c>
      <c r="G1205" t="s">
        <v>4</v>
      </c>
      <c r="H1205">
        <v>99.052379751824105</v>
      </c>
      <c r="I1205">
        <v>25.304520553713701</v>
      </c>
      <c r="J1205">
        <v>1.9222449772292101</v>
      </c>
      <c r="K1205" s="5">
        <v>3.0967374149855598E-5</v>
      </c>
      <c r="L1205" t="s">
        <v>4</v>
      </c>
      <c r="M1205">
        <v>187.768545747638</v>
      </c>
      <c r="N1205">
        <v>25.304520553713701</v>
      </c>
      <c r="O1205">
        <v>2.8475107422925801</v>
      </c>
      <c r="P1205" s="5">
        <v>1.5854760402178401E-10</v>
      </c>
      <c r="Q1205" t="s">
        <v>4</v>
      </c>
      <c r="R1205" s="4" t="s">
        <v>87</v>
      </c>
      <c r="S1205" t="s">
        <v>4</v>
      </c>
      <c r="T1205" t="s">
        <v>92</v>
      </c>
      <c r="U1205" t="s">
        <v>92</v>
      </c>
      <c r="V1205" t="s">
        <v>92</v>
      </c>
      <c r="W1205" t="s">
        <v>92</v>
      </c>
      <c r="X1205" t="s">
        <v>4</v>
      </c>
      <c r="Y1205" t="s">
        <v>92</v>
      </c>
      <c r="Z1205" t="s">
        <v>92</v>
      </c>
      <c r="AA1205" t="s">
        <v>92</v>
      </c>
      <c r="AB1205" t="s">
        <v>4</v>
      </c>
      <c r="AC1205" s="3" t="s">
        <v>93</v>
      </c>
      <c r="AD1205" t="s">
        <v>4</v>
      </c>
      <c r="AE1205" t="s">
        <v>3190</v>
      </c>
      <c r="AF1205" t="s">
        <v>13071</v>
      </c>
      <c r="AG1205" t="s">
        <v>13072</v>
      </c>
      <c r="AH1205" t="s">
        <v>112</v>
      </c>
      <c r="AJ1205" t="s">
        <v>3193</v>
      </c>
      <c r="AK1205" t="s">
        <v>3194</v>
      </c>
      <c r="AL1205" t="s">
        <v>3195</v>
      </c>
      <c r="AM1205" t="s">
        <v>3196</v>
      </c>
      <c r="AQ1205" t="s">
        <v>3197</v>
      </c>
      <c r="AU1205" t="s">
        <v>112</v>
      </c>
      <c r="AV1205" t="s">
        <v>3198</v>
      </c>
      <c r="AW1205" t="s">
        <v>114</v>
      </c>
      <c r="AX1205" t="s">
        <v>2157</v>
      </c>
      <c r="AY1205" t="s">
        <v>3199</v>
      </c>
      <c r="AZ1205" t="s">
        <v>4</v>
      </c>
      <c r="BA1205" s="3" t="s">
        <v>115</v>
      </c>
      <c r="BB1205" s="6" t="s">
        <v>95</v>
      </c>
      <c r="BC1205" s="3" t="s">
        <v>95</v>
      </c>
      <c r="BD1205" t="s">
        <v>4</v>
      </c>
      <c r="BE1205">
        <v>1625</v>
      </c>
      <c r="BF1205" t="s">
        <v>151</v>
      </c>
      <c r="BG1205">
        <v>65.034999999999997</v>
      </c>
      <c r="CK1205">
        <v>2</v>
      </c>
      <c r="CL1205" t="s">
        <v>4</v>
      </c>
      <c r="CM1205" t="s">
        <v>98</v>
      </c>
      <c r="CN1205" t="s">
        <v>98</v>
      </c>
      <c r="CO1205" t="s">
        <v>99</v>
      </c>
      <c r="CP1205" t="s">
        <v>100</v>
      </c>
      <c r="CQ1205" t="s">
        <v>100</v>
      </c>
      <c r="CR1205" t="s">
        <v>100</v>
      </c>
      <c r="CS1205" s="7" t="s">
        <v>101</v>
      </c>
      <c r="CT1205" t="s">
        <v>152</v>
      </c>
      <c r="CU1205" t="s">
        <v>102</v>
      </c>
      <c r="CV1205" t="s">
        <v>100</v>
      </c>
    </row>
    <row r="1206" spans="1:100">
      <c r="A1206" s="3" t="s">
        <v>13073</v>
      </c>
      <c r="B1206" s="4" t="s">
        <v>13074</v>
      </c>
      <c r="C1206">
        <v>1011.92094920772</v>
      </c>
      <c r="D1206">
        <v>1434.9134729530199</v>
      </c>
      <c r="E1206">
        <f>0.503717389752101</f>
        <v>0.50371738975210101</v>
      </c>
      <c r="F1206">
        <v>6.4444276238388401E-2</v>
      </c>
      <c r="G1206" t="s">
        <v>4</v>
      </c>
      <c r="H1206">
        <v>1011.92094920772</v>
      </c>
      <c r="I1206">
        <v>199.14888479583601</v>
      </c>
      <c r="J1206">
        <v>2.3421611307936199</v>
      </c>
      <c r="K1206" s="5">
        <v>2.6654173249461801E-20</v>
      </c>
      <c r="L1206" t="s">
        <v>4</v>
      </c>
      <c r="M1206">
        <v>1434.9134729530199</v>
      </c>
      <c r="N1206">
        <v>199.14888479583601</v>
      </c>
      <c r="O1206">
        <v>2.8458785205457202</v>
      </c>
      <c r="P1206" s="5">
        <v>1.0833756727121E-29</v>
      </c>
      <c r="Q1206" t="s">
        <v>4</v>
      </c>
      <c r="R1206" s="4" t="s">
        <v>87</v>
      </c>
      <c r="S1206" t="s">
        <v>4</v>
      </c>
      <c r="T1206" t="s">
        <v>2243</v>
      </c>
      <c r="U1206" t="s">
        <v>2244</v>
      </c>
      <c r="V1206" t="s">
        <v>2245</v>
      </c>
      <c r="W1206" t="s">
        <v>123</v>
      </c>
      <c r="X1206" t="s">
        <v>4</v>
      </c>
      <c r="Y1206" t="s">
        <v>13075</v>
      </c>
      <c r="Z1206" t="s">
        <v>13076</v>
      </c>
      <c r="AA1206" t="s">
        <v>13077</v>
      </c>
      <c r="AB1206" t="s">
        <v>4</v>
      </c>
      <c r="AC1206" s="3" t="s">
        <v>13078</v>
      </c>
      <c r="AD1206" t="s">
        <v>4</v>
      </c>
      <c r="AE1206" t="s">
        <v>13079</v>
      </c>
      <c r="AF1206" t="s">
        <v>13080</v>
      </c>
      <c r="AG1206" t="s">
        <v>10185</v>
      </c>
      <c r="AH1206" t="s">
        <v>112</v>
      </c>
      <c r="AL1206" t="s">
        <v>13081</v>
      </c>
      <c r="AQ1206" t="s">
        <v>13082</v>
      </c>
      <c r="AU1206" t="s">
        <v>112</v>
      </c>
      <c r="AV1206" t="s">
        <v>13083</v>
      </c>
      <c r="AW1206" t="s">
        <v>114</v>
      </c>
      <c r="AX1206" t="s">
        <v>371</v>
      </c>
      <c r="AY1206" t="s">
        <v>13084</v>
      </c>
      <c r="AZ1206" t="s">
        <v>4</v>
      </c>
      <c r="BA1206" s="3" t="s">
        <v>95</v>
      </c>
      <c r="BB1206" s="6" t="s">
        <v>95</v>
      </c>
      <c r="BC1206" s="3" t="s">
        <v>95</v>
      </c>
      <c r="BD1206" t="s">
        <v>4</v>
      </c>
      <c r="BE1206">
        <v>9114</v>
      </c>
      <c r="BF1206" t="s">
        <v>169</v>
      </c>
      <c r="BG1206">
        <v>98.181799999999996</v>
      </c>
      <c r="BH1206">
        <v>100</v>
      </c>
      <c r="BJ1206">
        <v>70.909099999999995</v>
      </c>
      <c r="BK1206">
        <v>80</v>
      </c>
      <c r="BL1206">
        <v>79.2727</v>
      </c>
      <c r="BM1206">
        <v>78.181799999999996</v>
      </c>
      <c r="BN1206">
        <v>78.545500000000004</v>
      </c>
      <c r="BO1206">
        <v>81.818200000000004</v>
      </c>
      <c r="BP1206">
        <v>42.909100000000002</v>
      </c>
      <c r="BQ1206">
        <v>25.454499999999999</v>
      </c>
      <c r="BR1206">
        <v>23.636399999999998</v>
      </c>
      <c r="BS1206">
        <v>26.181799999999999</v>
      </c>
      <c r="BT1206" t="s">
        <v>13085</v>
      </c>
      <c r="BU1206">
        <v>14.9091</v>
      </c>
      <c r="BV1206" t="s">
        <v>13086</v>
      </c>
      <c r="BY1206">
        <v>26.909099999999999</v>
      </c>
      <c r="BZ1206">
        <v>22.909099999999999</v>
      </c>
      <c r="CA1206">
        <v>21.454499999999999</v>
      </c>
      <c r="CB1206">
        <v>22.909099999999999</v>
      </c>
      <c r="CC1206">
        <v>16.7273</v>
      </c>
      <c r="CD1206">
        <v>22.545500000000001</v>
      </c>
      <c r="CE1206">
        <v>22.181799999999999</v>
      </c>
      <c r="CF1206">
        <v>22.909099999999999</v>
      </c>
      <c r="CG1206">
        <v>27.636399999999998</v>
      </c>
      <c r="CH1206">
        <v>26.545500000000001</v>
      </c>
      <c r="CI1206">
        <v>23.636399999999998</v>
      </c>
      <c r="CJ1206">
        <v>22.545500000000001</v>
      </c>
      <c r="CK1206">
        <v>9</v>
      </c>
      <c r="CL1206" t="s">
        <v>4</v>
      </c>
      <c r="CM1206" t="s">
        <v>13087</v>
      </c>
      <c r="CN1206" t="s">
        <v>13088</v>
      </c>
      <c r="CO1206" t="s">
        <v>219</v>
      </c>
      <c r="CP1206" t="s">
        <v>100</v>
      </c>
      <c r="CQ1206" t="s">
        <v>100</v>
      </c>
      <c r="CR1206" t="s">
        <v>100</v>
      </c>
      <c r="CS1206" t="s">
        <v>101</v>
      </c>
      <c r="CT1206" t="s">
        <v>152</v>
      </c>
      <c r="CU1206" t="s">
        <v>102</v>
      </c>
      <c r="CV1206" t="s">
        <v>100</v>
      </c>
    </row>
    <row r="1207" spans="1:100">
      <c r="A1207" s="3" t="s">
        <v>13089</v>
      </c>
      <c r="B1207" s="4" t="s">
        <v>13090</v>
      </c>
      <c r="C1207">
        <v>5524.5439477577402</v>
      </c>
      <c r="D1207">
        <v>3904.2727641367901</v>
      </c>
      <c r="E1207">
        <v>0.50069931158262604</v>
      </c>
      <c r="F1207">
        <v>0.13614719352028201</v>
      </c>
      <c r="G1207" t="s">
        <v>4</v>
      </c>
      <c r="H1207">
        <v>5524.5439477577402</v>
      </c>
      <c r="I1207">
        <v>543.891810024969</v>
      </c>
      <c r="J1207">
        <v>3.3398923311359798</v>
      </c>
      <c r="K1207" s="5">
        <v>6.50184422746549E-29</v>
      </c>
      <c r="L1207" t="s">
        <v>4</v>
      </c>
      <c r="M1207">
        <v>3904.2727641367901</v>
      </c>
      <c r="N1207">
        <v>543.891810024969</v>
      </c>
      <c r="O1207">
        <v>2.8391930195533601</v>
      </c>
      <c r="P1207" s="5">
        <v>2.7582485282918699E-21</v>
      </c>
      <c r="Q1207" t="s">
        <v>4</v>
      </c>
      <c r="R1207" s="4" t="s">
        <v>87</v>
      </c>
      <c r="S1207" t="s">
        <v>4</v>
      </c>
      <c r="T1207" t="s">
        <v>92</v>
      </c>
      <c r="U1207" t="s">
        <v>92</v>
      </c>
      <c r="V1207" t="s">
        <v>92</v>
      </c>
      <c r="W1207" t="s">
        <v>92</v>
      </c>
      <c r="X1207" t="s">
        <v>4</v>
      </c>
      <c r="Y1207" t="s">
        <v>92</v>
      </c>
      <c r="Z1207" t="s">
        <v>92</v>
      </c>
      <c r="AA1207" t="s">
        <v>92</v>
      </c>
      <c r="AB1207" t="s">
        <v>4</v>
      </c>
      <c r="AC1207" s="3" t="s">
        <v>93</v>
      </c>
      <c r="AD1207" t="s">
        <v>4</v>
      </c>
      <c r="AE1207" s="4" t="s">
        <v>94</v>
      </c>
      <c r="AZ1207" t="s">
        <v>4</v>
      </c>
      <c r="BA1207" s="3" t="s">
        <v>115</v>
      </c>
      <c r="BB1207" s="6" t="s">
        <v>95</v>
      </c>
      <c r="BC1207" s="3" t="s">
        <v>95</v>
      </c>
      <c r="BD1207" t="s">
        <v>4</v>
      </c>
      <c r="BE1207">
        <v>3000</v>
      </c>
      <c r="BF1207" t="s">
        <v>97</v>
      </c>
      <c r="BG1207">
        <v>87.196299999999994</v>
      </c>
      <c r="BH1207">
        <v>99.7196</v>
      </c>
      <c r="BI1207">
        <v>89.626199999999997</v>
      </c>
      <c r="BJ1207">
        <v>64.859800000000007</v>
      </c>
      <c r="BK1207">
        <v>61.4953</v>
      </c>
      <c r="BL1207">
        <v>62.429900000000004</v>
      </c>
      <c r="BM1207">
        <v>60.747700000000002</v>
      </c>
      <c r="BN1207">
        <v>62.243000000000002</v>
      </c>
      <c r="BO1207">
        <v>61.401899999999998</v>
      </c>
      <c r="CK1207">
        <v>4</v>
      </c>
      <c r="CL1207" t="s">
        <v>4</v>
      </c>
      <c r="CM1207" t="s">
        <v>98</v>
      </c>
      <c r="CN1207" t="s">
        <v>98</v>
      </c>
      <c r="CO1207" t="s">
        <v>99</v>
      </c>
      <c r="CP1207" t="s">
        <v>100</v>
      </c>
      <c r="CQ1207" t="s">
        <v>100</v>
      </c>
      <c r="CR1207" t="s">
        <v>100</v>
      </c>
      <c r="CS1207" t="s">
        <v>101</v>
      </c>
      <c r="CT1207" t="s">
        <v>152</v>
      </c>
      <c r="CU1207" t="s">
        <v>102</v>
      </c>
      <c r="CV1207" t="s">
        <v>100</v>
      </c>
    </row>
    <row r="1208" spans="1:100">
      <c r="A1208" s="3" t="s">
        <v>13091</v>
      </c>
      <c r="B1208" s="4" t="s">
        <v>13092</v>
      </c>
      <c r="C1208">
        <v>27.134369456443199</v>
      </c>
      <c r="D1208">
        <v>16.244633644406498</v>
      </c>
      <c r="E1208">
        <v>0.73877549549775801</v>
      </c>
      <c r="F1208">
        <v>0.35110640130527898</v>
      </c>
      <c r="G1208" t="s">
        <v>4</v>
      </c>
      <c r="H1208">
        <v>27.134369456443199</v>
      </c>
      <c r="I1208">
        <v>2.2783934679674198</v>
      </c>
      <c r="J1208">
        <v>3.5757552637165499</v>
      </c>
      <c r="K1208">
        <v>2.5815815116097098E-4</v>
      </c>
      <c r="L1208" t="s">
        <v>4</v>
      </c>
      <c r="M1208">
        <v>16.244633644406498</v>
      </c>
      <c r="N1208">
        <v>2.2783934679674198</v>
      </c>
      <c r="O1208">
        <v>2.8369797682187898</v>
      </c>
      <c r="P1208">
        <v>4.2717991347215904E-3</v>
      </c>
      <c r="Q1208" t="s">
        <v>4</v>
      </c>
      <c r="R1208" s="4" t="s">
        <v>87</v>
      </c>
      <c r="S1208" t="s">
        <v>4</v>
      </c>
      <c r="T1208" t="s">
        <v>92</v>
      </c>
      <c r="U1208" t="s">
        <v>92</v>
      </c>
      <c r="V1208" t="s">
        <v>92</v>
      </c>
      <c r="W1208" t="s">
        <v>92</v>
      </c>
      <c r="X1208" t="s">
        <v>4</v>
      </c>
      <c r="Y1208" t="s">
        <v>92</v>
      </c>
      <c r="Z1208" t="s">
        <v>92</v>
      </c>
      <c r="AA1208" t="s">
        <v>92</v>
      </c>
      <c r="AB1208" t="s">
        <v>4</v>
      </c>
      <c r="AC1208" s="3" t="s">
        <v>93</v>
      </c>
      <c r="AD1208" t="s">
        <v>4</v>
      </c>
      <c r="AE1208" s="4" t="s">
        <v>94</v>
      </c>
      <c r="AZ1208" t="s">
        <v>4</v>
      </c>
      <c r="BA1208" s="3" t="s">
        <v>115</v>
      </c>
      <c r="BB1208" s="6" t="s">
        <v>95</v>
      </c>
      <c r="BC1208" s="3" t="s">
        <v>95</v>
      </c>
      <c r="BD1208" t="s">
        <v>4</v>
      </c>
      <c r="BE1208">
        <v>1269</v>
      </c>
      <c r="BF1208" t="s">
        <v>151</v>
      </c>
      <c r="BG1208" t="s">
        <v>13093</v>
      </c>
      <c r="CK1208">
        <v>2</v>
      </c>
      <c r="CL1208" t="s">
        <v>4</v>
      </c>
      <c r="CM1208" t="s">
        <v>98</v>
      </c>
      <c r="CN1208" t="s">
        <v>98</v>
      </c>
      <c r="CO1208" t="s">
        <v>99</v>
      </c>
      <c r="CP1208" t="s">
        <v>100</v>
      </c>
      <c r="CQ1208" t="s">
        <v>100</v>
      </c>
      <c r="CR1208" t="s">
        <v>100</v>
      </c>
      <c r="CS1208" t="s">
        <v>101</v>
      </c>
      <c r="CT1208" t="s">
        <v>152</v>
      </c>
      <c r="CU1208" t="s">
        <v>102</v>
      </c>
      <c r="CV1208" t="s">
        <v>100</v>
      </c>
    </row>
    <row r="1209" spans="1:100">
      <c r="A1209" s="3" t="s">
        <v>13094</v>
      </c>
      <c r="B1209" s="4" t="s">
        <v>13095</v>
      </c>
      <c r="C1209">
        <v>719.61288796904103</v>
      </c>
      <c r="D1209">
        <v>486.72481789186401</v>
      </c>
      <c r="E1209">
        <v>0.56390013821909102</v>
      </c>
      <c r="F1209">
        <v>0.103479780938892</v>
      </c>
      <c r="G1209" t="s">
        <v>4</v>
      </c>
      <c r="H1209">
        <v>719.61288796904103</v>
      </c>
      <c r="I1209">
        <v>68.965242573868906</v>
      </c>
      <c r="J1209">
        <v>3.4005602243804698</v>
      </c>
      <c r="K1209" s="5">
        <v>4.8567950251467704E-25</v>
      </c>
      <c r="L1209" t="s">
        <v>4</v>
      </c>
      <c r="M1209">
        <v>486.72481789186401</v>
      </c>
      <c r="N1209">
        <v>68.965242573868906</v>
      </c>
      <c r="O1209">
        <v>2.83666008616138</v>
      </c>
      <c r="P1209" s="5">
        <v>9.4380350923815793E-18</v>
      </c>
      <c r="Q1209" t="s">
        <v>4</v>
      </c>
      <c r="R1209" s="4" t="s">
        <v>87</v>
      </c>
      <c r="S1209" t="s">
        <v>4</v>
      </c>
      <c r="T1209" t="s">
        <v>13096</v>
      </c>
      <c r="U1209" t="s">
        <v>13097</v>
      </c>
      <c r="V1209" t="s">
        <v>13098</v>
      </c>
      <c r="W1209" t="s">
        <v>203</v>
      </c>
      <c r="X1209" t="s">
        <v>4</v>
      </c>
      <c r="Y1209" t="s">
        <v>13099</v>
      </c>
      <c r="Z1209" t="s">
        <v>13100</v>
      </c>
      <c r="AA1209" t="s">
        <v>13101</v>
      </c>
      <c r="AB1209" t="s">
        <v>4</v>
      </c>
      <c r="AC1209" s="3" t="s">
        <v>13102</v>
      </c>
      <c r="AD1209" t="s">
        <v>4</v>
      </c>
      <c r="AE1209" t="s">
        <v>13103</v>
      </c>
      <c r="AF1209" t="s">
        <v>834</v>
      </c>
      <c r="AG1209" t="s">
        <v>13104</v>
      </c>
      <c r="AH1209" t="s">
        <v>112</v>
      </c>
      <c r="AU1209" t="s">
        <v>112</v>
      </c>
      <c r="AV1209" t="s">
        <v>13105</v>
      </c>
      <c r="AW1209" t="s">
        <v>114</v>
      </c>
      <c r="AX1209" t="s">
        <v>132</v>
      </c>
      <c r="AY1209" t="s">
        <v>1252</v>
      </c>
      <c r="AZ1209" t="s">
        <v>4</v>
      </c>
      <c r="BA1209" s="3" t="s">
        <v>95</v>
      </c>
      <c r="BB1209" s="6" t="s">
        <v>95</v>
      </c>
      <c r="BC1209" s="3" t="s">
        <v>197</v>
      </c>
      <c r="BD1209" t="s">
        <v>4</v>
      </c>
      <c r="BE1209">
        <v>6701</v>
      </c>
      <c r="BF1209" t="s">
        <v>213</v>
      </c>
      <c r="BG1209">
        <v>90.388999999999996</v>
      </c>
      <c r="BH1209">
        <v>9.6109799999999996</v>
      </c>
      <c r="BI1209">
        <v>25.686499999999999</v>
      </c>
      <c r="BJ1209">
        <v>18.878699999999998</v>
      </c>
      <c r="BK1209">
        <v>39.473700000000001</v>
      </c>
      <c r="BM1209">
        <v>18.3066</v>
      </c>
      <c r="BN1209">
        <v>56.865000000000002</v>
      </c>
      <c r="BP1209">
        <v>4.9771200000000002</v>
      </c>
      <c r="BQ1209">
        <v>30.8352</v>
      </c>
      <c r="BR1209">
        <v>27.745999999999999</v>
      </c>
      <c r="BS1209">
        <v>8.6384399999999992</v>
      </c>
      <c r="BV1209">
        <v>1.0869599999999999</v>
      </c>
      <c r="BW1209">
        <v>1.77346</v>
      </c>
      <c r="CB1209">
        <v>0.80091500000000004</v>
      </c>
      <c r="CF1209">
        <v>8.4668200000000002</v>
      </c>
      <c r="CG1209" t="s">
        <v>13106</v>
      </c>
      <c r="CH1209" t="s">
        <v>13107</v>
      </c>
      <c r="CK1209">
        <v>8</v>
      </c>
      <c r="CL1209" t="s">
        <v>4</v>
      </c>
      <c r="CM1209" t="s">
        <v>98</v>
      </c>
      <c r="CN1209" t="s">
        <v>98</v>
      </c>
      <c r="CO1209" t="s">
        <v>99</v>
      </c>
      <c r="CP1209" t="s">
        <v>100</v>
      </c>
      <c r="CQ1209" t="s">
        <v>100</v>
      </c>
      <c r="CR1209" t="s">
        <v>100</v>
      </c>
      <c r="CS1209" t="s">
        <v>101</v>
      </c>
      <c r="CT1209" t="s">
        <v>152</v>
      </c>
      <c r="CU1209" t="s">
        <v>102</v>
      </c>
      <c r="CV1209" t="s">
        <v>100</v>
      </c>
    </row>
    <row r="1210" spans="1:100">
      <c r="A1210" s="3" t="s">
        <v>13108</v>
      </c>
      <c r="B1210" s="4" t="s">
        <v>13109</v>
      </c>
      <c r="C1210">
        <v>29.1364019229487</v>
      </c>
      <c r="D1210">
        <v>49.033065215677603</v>
      </c>
      <c r="E1210">
        <f>0.749499199854705</f>
        <v>0.74949919985470503</v>
      </c>
      <c r="F1210">
        <v>0.37569857629931502</v>
      </c>
      <c r="G1210" t="s">
        <v>4</v>
      </c>
      <c r="H1210">
        <v>29.1364019229487</v>
      </c>
      <c r="I1210">
        <v>6.8231018311045704</v>
      </c>
      <c r="J1210">
        <v>2.08294418453786</v>
      </c>
      <c r="K1210">
        <v>1.74190161378397E-2</v>
      </c>
      <c r="L1210" t="s">
        <v>4</v>
      </c>
      <c r="M1210">
        <v>49.033065215677603</v>
      </c>
      <c r="N1210">
        <v>6.8231018311045704</v>
      </c>
      <c r="O1210">
        <v>2.8324433843925698</v>
      </c>
      <c r="P1210">
        <v>8.14185807517216E-4</v>
      </c>
      <c r="Q1210" t="s">
        <v>4</v>
      </c>
      <c r="R1210" s="4" t="s">
        <v>87</v>
      </c>
      <c r="S1210" t="s">
        <v>4</v>
      </c>
      <c r="T1210" t="s">
        <v>92</v>
      </c>
      <c r="U1210" t="s">
        <v>92</v>
      </c>
      <c r="V1210" t="s">
        <v>92</v>
      </c>
      <c r="W1210" t="s">
        <v>92</v>
      </c>
      <c r="X1210" t="s">
        <v>4</v>
      </c>
      <c r="Y1210" t="s">
        <v>92</v>
      </c>
      <c r="Z1210" t="s">
        <v>92</v>
      </c>
      <c r="AA1210" t="s">
        <v>92</v>
      </c>
      <c r="AB1210" t="s">
        <v>4</v>
      </c>
      <c r="AC1210" s="3" t="s">
        <v>93</v>
      </c>
      <c r="AD1210" t="s">
        <v>4</v>
      </c>
      <c r="AE1210" s="4" t="s">
        <v>94</v>
      </c>
      <c r="AZ1210" t="s">
        <v>4</v>
      </c>
      <c r="BA1210" s="3" t="s">
        <v>95</v>
      </c>
      <c r="BB1210" s="6" t="s">
        <v>95</v>
      </c>
      <c r="BC1210" s="3" t="s">
        <v>95</v>
      </c>
      <c r="BD1210" t="s">
        <v>4</v>
      </c>
      <c r="BE1210">
        <v>2078</v>
      </c>
      <c r="BF1210" t="s">
        <v>148</v>
      </c>
      <c r="BG1210">
        <v>97.222200000000001</v>
      </c>
      <c r="BH1210">
        <v>95.555599999999998</v>
      </c>
      <c r="BI1210">
        <v>70.555599999999998</v>
      </c>
      <c r="BJ1210" t="s">
        <v>13110</v>
      </c>
      <c r="BK1210">
        <v>58.333300000000001</v>
      </c>
      <c r="BL1210">
        <v>45.555599999999998</v>
      </c>
      <c r="BM1210">
        <v>52.222200000000001</v>
      </c>
      <c r="BN1210">
        <v>53.8889</v>
      </c>
      <c r="BO1210">
        <v>45</v>
      </c>
      <c r="CK1210">
        <v>3</v>
      </c>
      <c r="CL1210" t="s">
        <v>4</v>
      </c>
      <c r="CM1210" t="s">
        <v>98</v>
      </c>
      <c r="CN1210" t="s">
        <v>98</v>
      </c>
      <c r="CO1210" t="s">
        <v>99</v>
      </c>
      <c r="CP1210" t="s">
        <v>100</v>
      </c>
      <c r="CQ1210" t="s">
        <v>100</v>
      </c>
      <c r="CR1210" t="s">
        <v>100</v>
      </c>
      <c r="CS1210" s="7" t="s">
        <v>101</v>
      </c>
      <c r="CT1210" t="s">
        <v>152</v>
      </c>
      <c r="CU1210" t="s">
        <v>102</v>
      </c>
      <c r="CV1210" t="s">
        <v>100</v>
      </c>
    </row>
    <row r="1211" spans="1:100">
      <c r="A1211" s="3" t="s">
        <v>13111</v>
      </c>
      <c r="B1211" s="4" t="s">
        <v>13112</v>
      </c>
      <c r="C1211">
        <v>2177.2879451957001</v>
      </c>
      <c r="D1211">
        <v>2761.5399910168899</v>
      </c>
      <c r="E1211">
        <f>0.342975758874261</f>
        <v>0.34297575887426102</v>
      </c>
      <c r="F1211">
        <v>0.364571191051896</v>
      </c>
      <c r="G1211" t="s">
        <v>4</v>
      </c>
      <c r="H1211">
        <v>2177.2879451957001</v>
      </c>
      <c r="I1211">
        <v>388.28486886378698</v>
      </c>
      <c r="J1211">
        <v>2.4801915871278402</v>
      </c>
      <c r="K1211" s="5">
        <v>9.1655561970780505E-14</v>
      </c>
      <c r="L1211" t="s">
        <v>4</v>
      </c>
      <c r="M1211">
        <v>2761.5399910168899</v>
      </c>
      <c r="N1211">
        <v>388.28486886378698</v>
      </c>
      <c r="O1211">
        <v>2.8231673460021001</v>
      </c>
      <c r="P1211" s="5">
        <v>1.11238821100357E-17</v>
      </c>
      <c r="Q1211" t="s">
        <v>4</v>
      </c>
      <c r="R1211" s="4" t="s">
        <v>87</v>
      </c>
      <c r="S1211" t="s">
        <v>4</v>
      </c>
      <c r="T1211" t="s">
        <v>13113</v>
      </c>
      <c r="U1211" t="s">
        <v>13114</v>
      </c>
      <c r="V1211" t="s">
        <v>13115</v>
      </c>
      <c r="W1211" t="s">
        <v>328</v>
      </c>
      <c r="X1211" t="s">
        <v>4</v>
      </c>
      <c r="Y1211" t="s">
        <v>13116</v>
      </c>
      <c r="Z1211" t="s">
        <v>13117</v>
      </c>
      <c r="AA1211" t="s">
        <v>13118</v>
      </c>
      <c r="AB1211" t="s">
        <v>4</v>
      </c>
      <c r="AC1211" s="3" t="s">
        <v>13119</v>
      </c>
      <c r="AD1211" t="s">
        <v>4</v>
      </c>
      <c r="AE1211" t="s">
        <v>13120</v>
      </c>
      <c r="AF1211" t="s">
        <v>834</v>
      </c>
      <c r="AG1211" t="s">
        <v>3703</v>
      </c>
      <c r="AH1211" t="s">
        <v>112</v>
      </c>
      <c r="AJ1211" t="s">
        <v>13121</v>
      </c>
      <c r="AL1211" t="s">
        <v>13122</v>
      </c>
      <c r="AQ1211" t="s">
        <v>1028</v>
      </c>
      <c r="AU1211" t="s">
        <v>112</v>
      </c>
      <c r="AV1211" t="s">
        <v>13123</v>
      </c>
      <c r="AW1211" t="s">
        <v>114</v>
      </c>
      <c r="AX1211" t="s">
        <v>132</v>
      </c>
      <c r="AY1211" t="s">
        <v>2943</v>
      </c>
      <c r="AZ1211" t="s">
        <v>4</v>
      </c>
      <c r="BA1211" s="3" t="s">
        <v>115</v>
      </c>
      <c r="BB1211" s="6" t="s">
        <v>95</v>
      </c>
      <c r="BC1211" s="3" t="s">
        <v>95</v>
      </c>
      <c r="BD1211" t="s">
        <v>4</v>
      </c>
      <c r="BE1211">
        <v>7186</v>
      </c>
      <c r="BF1211" t="s">
        <v>213</v>
      </c>
      <c r="BG1211">
        <v>99.427300000000002</v>
      </c>
      <c r="BH1211">
        <v>99.885499999999993</v>
      </c>
      <c r="BI1211">
        <v>93.241699999999994</v>
      </c>
      <c r="BJ1211">
        <v>89.232500000000002</v>
      </c>
      <c r="BK1211">
        <v>85.681600000000003</v>
      </c>
      <c r="BL1211">
        <v>59.2211</v>
      </c>
      <c r="BM1211">
        <v>86.941599999999994</v>
      </c>
      <c r="BN1211">
        <v>89.461600000000004</v>
      </c>
      <c r="BO1211">
        <v>83.734300000000005</v>
      </c>
      <c r="BP1211" t="s">
        <v>13124</v>
      </c>
      <c r="BQ1211">
        <v>28.178699999999999</v>
      </c>
      <c r="BR1211">
        <v>26.3459</v>
      </c>
      <c r="BS1211">
        <v>19.816700000000001</v>
      </c>
      <c r="BT1211">
        <v>15.9221</v>
      </c>
      <c r="BV1211" t="s">
        <v>13125</v>
      </c>
      <c r="BW1211">
        <v>23.2532</v>
      </c>
      <c r="BX1211">
        <v>10.996600000000001</v>
      </c>
      <c r="BZ1211">
        <v>10.7675</v>
      </c>
      <c r="CA1211">
        <v>23.1386</v>
      </c>
      <c r="CB1211">
        <v>18.4422</v>
      </c>
      <c r="CC1211">
        <v>23.1386</v>
      </c>
      <c r="CD1211" t="s">
        <v>13126</v>
      </c>
      <c r="CE1211">
        <v>9.0492600000000003</v>
      </c>
      <c r="CF1211">
        <v>19.9313</v>
      </c>
      <c r="CG1211">
        <v>22.680399999999999</v>
      </c>
      <c r="CH1211">
        <v>22.3368</v>
      </c>
      <c r="CI1211">
        <v>24.7423</v>
      </c>
      <c r="CK1211">
        <v>8</v>
      </c>
      <c r="CL1211" t="s">
        <v>4</v>
      </c>
      <c r="CM1211" t="s">
        <v>13127</v>
      </c>
      <c r="CN1211" t="s">
        <v>13128</v>
      </c>
      <c r="CO1211" t="s">
        <v>219</v>
      </c>
      <c r="CP1211" t="s">
        <v>100</v>
      </c>
      <c r="CQ1211" t="s">
        <v>100</v>
      </c>
      <c r="CR1211" t="s">
        <v>100</v>
      </c>
      <c r="CS1211" t="s">
        <v>101</v>
      </c>
      <c r="CT1211" t="s">
        <v>152</v>
      </c>
      <c r="CU1211" t="s">
        <v>102</v>
      </c>
      <c r="CV1211" t="s">
        <v>13129</v>
      </c>
    </row>
    <row r="1212" spans="1:100">
      <c r="A1212" s="3" t="s">
        <v>13130</v>
      </c>
      <c r="B1212" s="4" t="s">
        <v>13131</v>
      </c>
      <c r="C1212">
        <v>21.891618620564401</v>
      </c>
      <c r="D1212">
        <v>23.039990886232999</v>
      </c>
      <c r="E1212">
        <f>0.0698933075737437</f>
        <v>6.9893307573743693E-2</v>
      </c>
      <c r="F1212">
        <v>0.94519864344725402</v>
      </c>
      <c r="G1212" t="s">
        <v>4</v>
      </c>
      <c r="H1212">
        <v>21.891618620564401</v>
      </c>
      <c r="I1212">
        <v>3.2400223959249002</v>
      </c>
      <c r="J1212">
        <v>2.7509541122786199</v>
      </c>
      <c r="K1212">
        <v>5.8862983320964396E-3</v>
      </c>
      <c r="L1212" t="s">
        <v>4</v>
      </c>
      <c r="M1212">
        <v>23.039990886232999</v>
      </c>
      <c r="N1212">
        <v>3.2400223959249002</v>
      </c>
      <c r="O1212">
        <v>2.8208474198523601</v>
      </c>
      <c r="P1212">
        <v>4.3532623536315703E-3</v>
      </c>
      <c r="Q1212" t="s">
        <v>4</v>
      </c>
      <c r="R1212" s="4" t="s">
        <v>87</v>
      </c>
      <c r="S1212" t="s">
        <v>4</v>
      </c>
      <c r="T1212" t="s">
        <v>92</v>
      </c>
      <c r="U1212" t="s">
        <v>92</v>
      </c>
      <c r="V1212" t="s">
        <v>92</v>
      </c>
      <c r="W1212" t="s">
        <v>92</v>
      </c>
      <c r="X1212" t="s">
        <v>4</v>
      </c>
      <c r="Y1212" t="s">
        <v>92</v>
      </c>
      <c r="Z1212" t="s">
        <v>92</v>
      </c>
      <c r="AA1212" t="s">
        <v>92</v>
      </c>
      <c r="AB1212" t="s">
        <v>4</v>
      </c>
      <c r="AC1212" s="3" t="s">
        <v>93</v>
      </c>
      <c r="AD1212" t="s">
        <v>4</v>
      </c>
      <c r="AE1212" s="4" t="s">
        <v>94</v>
      </c>
      <c r="AZ1212" t="s">
        <v>4</v>
      </c>
      <c r="BA1212" s="3" t="s">
        <v>95</v>
      </c>
      <c r="BB1212" s="6" t="s">
        <v>95</v>
      </c>
      <c r="BC1212" s="3" t="s">
        <v>197</v>
      </c>
      <c r="BD1212" t="s">
        <v>4</v>
      </c>
      <c r="BE1212">
        <v>1370</v>
      </c>
      <c r="BF1212" t="s">
        <v>151</v>
      </c>
      <c r="CK1212">
        <v>2</v>
      </c>
      <c r="CL1212" t="s">
        <v>4</v>
      </c>
      <c r="CM1212" t="s">
        <v>98</v>
      </c>
      <c r="CN1212" t="s">
        <v>98</v>
      </c>
      <c r="CO1212" t="s">
        <v>99</v>
      </c>
      <c r="CP1212" t="s">
        <v>100</v>
      </c>
      <c r="CQ1212" t="s">
        <v>100</v>
      </c>
      <c r="CR1212" t="s">
        <v>100</v>
      </c>
      <c r="CS1212" t="s">
        <v>101</v>
      </c>
      <c r="CT1212" t="s">
        <v>152</v>
      </c>
      <c r="CU1212" t="s">
        <v>102</v>
      </c>
      <c r="CV1212" t="s">
        <v>100</v>
      </c>
    </row>
    <row r="1213" spans="1:100">
      <c r="A1213" s="3" t="s">
        <v>13132</v>
      </c>
      <c r="B1213" s="4" t="s">
        <v>13133</v>
      </c>
      <c r="C1213">
        <v>869.45046844035596</v>
      </c>
      <c r="D1213">
        <v>1434.4317830038401</v>
      </c>
      <c r="E1213">
        <f>0.721881562233089</f>
        <v>0.72188156223308897</v>
      </c>
      <c r="F1213">
        <v>1.5982368388406201E-3</v>
      </c>
      <c r="G1213" t="s">
        <v>4</v>
      </c>
      <c r="H1213">
        <v>869.45046844035596</v>
      </c>
      <c r="I1213">
        <v>209.148632638707</v>
      </c>
      <c r="J1213">
        <v>2.0542905668278801</v>
      </c>
      <c r="K1213" s="5">
        <v>1.8453383765518199E-20</v>
      </c>
      <c r="L1213" t="s">
        <v>4</v>
      </c>
      <c r="M1213">
        <v>1434.4317830038401</v>
      </c>
      <c r="N1213">
        <v>209.148632638707</v>
      </c>
      <c r="O1213">
        <v>2.7761721290609702</v>
      </c>
      <c r="P1213" s="5">
        <v>7.6183047001065396E-37</v>
      </c>
      <c r="Q1213" t="s">
        <v>4</v>
      </c>
      <c r="R1213" s="4" t="s">
        <v>87</v>
      </c>
      <c r="S1213" t="s">
        <v>4</v>
      </c>
      <c r="T1213" t="s">
        <v>13134</v>
      </c>
      <c r="U1213" t="s">
        <v>13135</v>
      </c>
      <c r="V1213" t="s">
        <v>13136</v>
      </c>
      <c r="W1213" t="s">
        <v>91</v>
      </c>
      <c r="X1213" t="s">
        <v>4</v>
      </c>
      <c r="Y1213" t="s">
        <v>13137</v>
      </c>
      <c r="Z1213" t="s">
        <v>13138</v>
      </c>
      <c r="AA1213" t="s">
        <v>13139</v>
      </c>
      <c r="AB1213" t="s">
        <v>4</v>
      </c>
      <c r="AC1213" s="3" t="s">
        <v>13140</v>
      </c>
      <c r="AD1213" t="s">
        <v>4</v>
      </c>
      <c r="AE1213" t="s">
        <v>13141</v>
      </c>
      <c r="AF1213" t="s">
        <v>10912</v>
      </c>
      <c r="AG1213" t="s">
        <v>5657</v>
      </c>
      <c r="AH1213" t="s">
        <v>282</v>
      </c>
      <c r="AU1213" t="s">
        <v>112</v>
      </c>
      <c r="AV1213" t="s">
        <v>13142</v>
      </c>
      <c r="AW1213" t="s">
        <v>114</v>
      </c>
      <c r="AX1213" t="s">
        <v>144</v>
      </c>
      <c r="AY1213" t="s">
        <v>13143</v>
      </c>
      <c r="AZ1213" t="s">
        <v>4</v>
      </c>
      <c r="BA1213" s="3" t="s">
        <v>95</v>
      </c>
      <c r="BB1213" s="6" t="s">
        <v>95</v>
      </c>
      <c r="BC1213" s="3" t="s">
        <v>95</v>
      </c>
      <c r="BD1213" t="s">
        <v>4</v>
      </c>
      <c r="BE1213">
        <v>5214</v>
      </c>
      <c r="BF1213" t="s">
        <v>282</v>
      </c>
      <c r="BG1213">
        <v>84.710700000000003</v>
      </c>
      <c r="BI1213">
        <v>96.694199999999995</v>
      </c>
      <c r="BJ1213">
        <v>91.735500000000002</v>
      </c>
      <c r="BK1213">
        <v>88.843000000000004</v>
      </c>
      <c r="BL1213">
        <v>56.198300000000003</v>
      </c>
      <c r="BM1213">
        <v>86.776899999999998</v>
      </c>
      <c r="BN1213">
        <v>86.776899999999998</v>
      </c>
      <c r="BO1213">
        <v>88.843000000000004</v>
      </c>
      <c r="BP1213">
        <v>48.347099999999998</v>
      </c>
      <c r="BX1213">
        <v>35.124000000000002</v>
      </c>
      <c r="CC1213" t="s">
        <v>13144</v>
      </c>
      <c r="CK1213">
        <v>6</v>
      </c>
      <c r="CL1213" t="s">
        <v>4</v>
      </c>
      <c r="CM1213" t="s">
        <v>98</v>
      </c>
      <c r="CN1213" t="s">
        <v>98</v>
      </c>
      <c r="CO1213" t="s">
        <v>99</v>
      </c>
      <c r="CP1213" t="s">
        <v>100</v>
      </c>
      <c r="CQ1213" t="s">
        <v>100</v>
      </c>
      <c r="CR1213" t="s">
        <v>100</v>
      </c>
      <c r="CS1213" t="s">
        <v>101</v>
      </c>
      <c r="CT1213" t="s">
        <v>152</v>
      </c>
      <c r="CU1213" t="s">
        <v>102</v>
      </c>
      <c r="CV1213" t="s">
        <v>100</v>
      </c>
    </row>
    <row r="1214" spans="1:100">
      <c r="A1214" s="3" t="s">
        <v>13145</v>
      </c>
      <c r="B1214" s="4" t="s">
        <v>13146</v>
      </c>
      <c r="C1214">
        <v>1996.3380767226599</v>
      </c>
      <c r="D1214">
        <v>3784.95600272192</v>
      </c>
      <c r="E1214">
        <f>0.922765567925929</f>
        <v>0.92276556792592901</v>
      </c>
      <c r="F1214">
        <v>1.6164172629427E-4</v>
      </c>
      <c r="G1214" t="s">
        <v>4</v>
      </c>
      <c r="H1214">
        <v>1996.3380767226599</v>
      </c>
      <c r="I1214">
        <v>552.07300111164295</v>
      </c>
      <c r="J1214">
        <v>1.8509594731994801</v>
      </c>
      <c r="K1214" s="5">
        <v>2.4099450172355401E-15</v>
      </c>
      <c r="L1214" t="s">
        <v>4</v>
      </c>
      <c r="M1214">
        <v>3784.95600272192</v>
      </c>
      <c r="N1214">
        <v>552.07300111164295</v>
      </c>
      <c r="O1214">
        <v>2.77372504112541</v>
      </c>
      <c r="P1214" s="5">
        <v>1.78443272694322E-33</v>
      </c>
      <c r="Q1214" t="s">
        <v>4</v>
      </c>
      <c r="R1214" s="4" t="s">
        <v>87</v>
      </c>
      <c r="S1214" t="s">
        <v>4</v>
      </c>
      <c r="T1214" t="s">
        <v>13147</v>
      </c>
      <c r="U1214" t="s">
        <v>13148</v>
      </c>
      <c r="V1214" t="s">
        <v>13149</v>
      </c>
      <c r="W1214" t="s">
        <v>123</v>
      </c>
      <c r="X1214" t="s">
        <v>4</v>
      </c>
      <c r="Y1214" t="s">
        <v>13150</v>
      </c>
      <c r="Z1214" t="s">
        <v>13151</v>
      </c>
      <c r="AA1214" t="s">
        <v>13152</v>
      </c>
      <c r="AB1214" t="s">
        <v>4</v>
      </c>
      <c r="AC1214" s="3" t="s">
        <v>13153</v>
      </c>
      <c r="AD1214" t="s">
        <v>4</v>
      </c>
      <c r="AE1214" t="s">
        <v>13154</v>
      </c>
      <c r="AF1214" t="s">
        <v>13155</v>
      </c>
      <c r="AG1214" t="s">
        <v>13156</v>
      </c>
      <c r="AH1214" t="s">
        <v>112</v>
      </c>
      <c r="AJ1214" t="s">
        <v>13157</v>
      </c>
      <c r="AL1214" t="s">
        <v>13158</v>
      </c>
      <c r="AQ1214" t="s">
        <v>3999</v>
      </c>
      <c r="AU1214" t="s">
        <v>112</v>
      </c>
      <c r="AV1214" t="s">
        <v>13159</v>
      </c>
      <c r="AW1214" t="s">
        <v>114</v>
      </c>
      <c r="AX1214" t="s">
        <v>2157</v>
      </c>
      <c r="AY1214" t="s">
        <v>13160</v>
      </c>
      <c r="AZ1214" t="s">
        <v>4</v>
      </c>
      <c r="BA1214" s="3" t="s">
        <v>95</v>
      </c>
      <c r="BB1214" s="6" t="s">
        <v>95</v>
      </c>
      <c r="BC1214" s="3" t="s">
        <v>95</v>
      </c>
      <c r="BD1214" t="s">
        <v>4</v>
      </c>
      <c r="BE1214">
        <v>7024</v>
      </c>
      <c r="BF1214" t="s">
        <v>213</v>
      </c>
      <c r="BG1214">
        <v>96.118700000000004</v>
      </c>
      <c r="BH1214">
        <v>98.630099999999999</v>
      </c>
      <c r="BI1214">
        <v>87.899500000000003</v>
      </c>
      <c r="BJ1214">
        <v>56.849299999999999</v>
      </c>
      <c r="BK1214">
        <v>57.534199999999998</v>
      </c>
      <c r="BL1214">
        <v>65.753399999999999</v>
      </c>
      <c r="BM1214">
        <v>69.634699999999995</v>
      </c>
      <c r="BN1214">
        <v>69.634699999999995</v>
      </c>
      <c r="BO1214">
        <v>62.100499999999997</v>
      </c>
      <c r="BP1214">
        <v>18.264800000000001</v>
      </c>
      <c r="BQ1214" t="s">
        <v>13161</v>
      </c>
      <c r="BR1214">
        <v>23.9726</v>
      </c>
      <c r="BS1214">
        <v>20.547899999999998</v>
      </c>
      <c r="BV1214">
        <v>20.0913</v>
      </c>
      <c r="BW1214">
        <v>21.689499999999999</v>
      </c>
      <c r="BX1214">
        <v>24.657499999999999</v>
      </c>
      <c r="CA1214">
        <v>21.232900000000001</v>
      </c>
      <c r="CC1214">
        <v>11.4155</v>
      </c>
      <c r="CE1214">
        <v>10.730600000000001</v>
      </c>
      <c r="CF1214">
        <v>10.730600000000001</v>
      </c>
      <c r="CG1214">
        <v>9.8173499999999994</v>
      </c>
      <c r="CH1214">
        <v>9.8173499999999994</v>
      </c>
      <c r="CI1214" t="s">
        <v>13162</v>
      </c>
      <c r="CK1214">
        <v>8</v>
      </c>
      <c r="CL1214" t="s">
        <v>4</v>
      </c>
      <c r="CM1214" t="s">
        <v>13163</v>
      </c>
      <c r="CN1214" t="s">
        <v>13164</v>
      </c>
      <c r="CO1214" t="s">
        <v>1218</v>
      </c>
      <c r="CP1214" t="s">
        <v>100</v>
      </c>
      <c r="CQ1214" t="s">
        <v>100</v>
      </c>
      <c r="CR1214" t="s">
        <v>100</v>
      </c>
      <c r="CS1214" s="7" t="s">
        <v>101</v>
      </c>
      <c r="CT1214" t="s">
        <v>152</v>
      </c>
      <c r="CU1214" t="s">
        <v>102</v>
      </c>
      <c r="CV1214" t="s">
        <v>100</v>
      </c>
    </row>
    <row r="1215" spans="1:100">
      <c r="A1215" s="3" t="s">
        <v>13165</v>
      </c>
      <c r="B1215" s="4" t="s">
        <v>13166</v>
      </c>
      <c r="C1215">
        <v>1730.9389074677399</v>
      </c>
      <c r="D1215">
        <v>1655.1356051995001</v>
      </c>
      <c r="E1215">
        <v>6.49736209243202E-2</v>
      </c>
      <c r="F1215">
        <v>0.80326733568968001</v>
      </c>
      <c r="G1215" t="s">
        <v>4</v>
      </c>
      <c r="H1215">
        <v>1730.9389074677399</v>
      </c>
      <c r="I1215">
        <v>242.581500325191</v>
      </c>
      <c r="J1215">
        <v>2.8346431530442802</v>
      </c>
      <c r="K1215" s="5">
        <v>1.8415735462800202E-39</v>
      </c>
      <c r="L1215" t="s">
        <v>4</v>
      </c>
      <c r="M1215">
        <v>1655.1356051995001</v>
      </c>
      <c r="N1215">
        <v>242.581500325191</v>
      </c>
      <c r="O1215">
        <v>2.76966953211996</v>
      </c>
      <c r="P1215" s="5">
        <v>8.6802074320264503E-38</v>
      </c>
      <c r="Q1215" t="s">
        <v>4</v>
      </c>
      <c r="R1215" s="4" t="s">
        <v>87</v>
      </c>
      <c r="S1215" t="s">
        <v>4</v>
      </c>
      <c r="T1215" t="s">
        <v>92</v>
      </c>
      <c r="U1215" t="s">
        <v>92</v>
      </c>
      <c r="V1215" t="s">
        <v>92</v>
      </c>
      <c r="W1215" t="s">
        <v>92</v>
      </c>
      <c r="X1215" t="s">
        <v>4</v>
      </c>
      <c r="Y1215" t="s">
        <v>92</v>
      </c>
      <c r="Z1215" t="s">
        <v>92</v>
      </c>
      <c r="AA1215" t="s">
        <v>92</v>
      </c>
      <c r="AB1215" t="s">
        <v>4</v>
      </c>
      <c r="AC1215" s="3" t="s">
        <v>93</v>
      </c>
      <c r="AD1215" t="s">
        <v>4</v>
      </c>
      <c r="AE1215" s="4" t="s">
        <v>94</v>
      </c>
      <c r="AZ1215" t="s">
        <v>4</v>
      </c>
      <c r="BA1215" s="3" t="s">
        <v>95</v>
      </c>
      <c r="BB1215" s="6" t="s">
        <v>95</v>
      </c>
      <c r="BC1215" s="3" t="s">
        <v>95</v>
      </c>
      <c r="BD1215" t="s">
        <v>4</v>
      </c>
      <c r="BE1215">
        <v>2134</v>
      </c>
      <c r="BF1215" t="s">
        <v>148</v>
      </c>
      <c r="BG1215">
        <v>94.623699999999999</v>
      </c>
      <c r="BH1215">
        <v>99.641599999999997</v>
      </c>
      <c r="BI1215" t="s">
        <v>13167</v>
      </c>
      <c r="BJ1215">
        <v>64.516099999999994</v>
      </c>
      <c r="BK1215">
        <v>60.573500000000003</v>
      </c>
      <c r="BL1215" t="s">
        <v>13168</v>
      </c>
      <c r="BM1215">
        <v>51.2545</v>
      </c>
      <c r="BN1215">
        <v>60.931899999999999</v>
      </c>
      <c r="BO1215">
        <v>58.781399999999998</v>
      </c>
      <c r="CK1215">
        <v>3</v>
      </c>
      <c r="CL1215" t="s">
        <v>4</v>
      </c>
      <c r="CM1215" t="s">
        <v>98</v>
      </c>
      <c r="CN1215" t="s">
        <v>98</v>
      </c>
      <c r="CO1215" t="s">
        <v>99</v>
      </c>
      <c r="CP1215" t="s">
        <v>100</v>
      </c>
      <c r="CQ1215" t="s">
        <v>100</v>
      </c>
      <c r="CR1215" t="s">
        <v>100</v>
      </c>
      <c r="CS1215" t="s">
        <v>101</v>
      </c>
      <c r="CT1215" t="s">
        <v>152</v>
      </c>
      <c r="CU1215" t="s">
        <v>102</v>
      </c>
      <c r="CV1215" t="s">
        <v>100</v>
      </c>
    </row>
    <row r="1216" spans="1:100">
      <c r="A1216" s="3" t="s">
        <v>13169</v>
      </c>
      <c r="B1216" s="4" t="s">
        <v>13170</v>
      </c>
      <c r="C1216">
        <v>50.932490528120802</v>
      </c>
      <c r="D1216">
        <v>55.645011936473502</v>
      </c>
      <c r="E1216">
        <f>0.129045499318455</f>
        <v>0.12904549931845499</v>
      </c>
      <c r="F1216">
        <v>0.86716194836979799</v>
      </c>
      <c r="G1216" t="s">
        <v>4</v>
      </c>
      <c r="H1216">
        <v>50.932490528120802</v>
      </c>
      <c r="I1216">
        <v>8.3901140355475405</v>
      </c>
      <c r="J1216">
        <v>2.64037594153177</v>
      </c>
      <c r="K1216">
        <v>2.3257271439428701E-4</v>
      </c>
      <c r="L1216" t="s">
        <v>4</v>
      </c>
      <c r="M1216">
        <v>55.645011936473502</v>
      </c>
      <c r="N1216">
        <v>8.3901140355475405</v>
      </c>
      <c r="O1216">
        <v>2.7694214408502198</v>
      </c>
      <c r="P1216" s="5">
        <v>8.9211244530100904E-5</v>
      </c>
      <c r="Q1216" t="s">
        <v>4</v>
      </c>
      <c r="R1216" s="4" t="s">
        <v>87</v>
      </c>
      <c r="S1216" t="s">
        <v>4</v>
      </c>
      <c r="T1216" t="s">
        <v>5648</v>
      </c>
      <c r="U1216" t="s">
        <v>5649</v>
      </c>
      <c r="V1216" t="s">
        <v>5650</v>
      </c>
      <c r="W1216" t="s">
        <v>203</v>
      </c>
      <c r="X1216" t="s">
        <v>4</v>
      </c>
      <c r="Y1216" t="s">
        <v>12678</v>
      </c>
      <c r="Z1216" t="s">
        <v>12679</v>
      </c>
      <c r="AA1216" t="s">
        <v>12680</v>
      </c>
      <c r="AB1216" t="s">
        <v>4</v>
      </c>
      <c r="AC1216" s="3" t="s">
        <v>13171</v>
      </c>
      <c r="AD1216" t="s">
        <v>4</v>
      </c>
      <c r="AE1216" t="s">
        <v>5655</v>
      </c>
      <c r="AF1216" t="s">
        <v>13172</v>
      </c>
      <c r="AG1216" t="s">
        <v>13173</v>
      </c>
      <c r="AH1216" t="s">
        <v>112</v>
      </c>
      <c r="AU1216" t="s">
        <v>112</v>
      </c>
      <c r="AV1216" t="s">
        <v>5658</v>
      </c>
      <c r="AW1216" t="s">
        <v>114</v>
      </c>
      <c r="AX1216" t="s">
        <v>536</v>
      </c>
      <c r="AY1216" t="s">
        <v>5659</v>
      </c>
      <c r="AZ1216" t="s">
        <v>4</v>
      </c>
      <c r="BA1216" s="3" t="s">
        <v>95</v>
      </c>
      <c r="BB1216" s="6" t="s">
        <v>95</v>
      </c>
      <c r="BC1216" s="3" t="s">
        <v>197</v>
      </c>
      <c r="BD1216" t="s">
        <v>4</v>
      </c>
      <c r="BE1216">
        <v>5666</v>
      </c>
      <c r="BF1216" t="s">
        <v>386</v>
      </c>
      <c r="BK1216">
        <v>59.796399999999998</v>
      </c>
      <c r="BL1216">
        <v>51.399500000000003</v>
      </c>
      <c r="BO1216">
        <v>21.882999999999999</v>
      </c>
      <c r="BP1216" t="s">
        <v>13174</v>
      </c>
      <c r="BQ1216" t="s">
        <v>13175</v>
      </c>
      <c r="BR1216" t="s">
        <v>13176</v>
      </c>
      <c r="BS1216" t="s">
        <v>13177</v>
      </c>
      <c r="BT1216" t="s">
        <v>13178</v>
      </c>
      <c r="BU1216">
        <v>8.3969500000000004</v>
      </c>
      <c r="BV1216" t="s">
        <v>13179</v>
      </c>
      <c r="BW1216" t="s">
        <v>13180</v>
      </c>
      <c r="BX1216" t="s">
        <v>13181</v>
      </c>
      <c r="BY1216" t="s">
        <v>13182</v>
      </c>
      <c r="BZ1216" t="s">
        <v>13183</v>
      </c>
      <c r="CA1216" t="s">
        <v>13184</v>
      </c>
      <c r="CB1216">
        <v>9.9236599999999999</v>
      </c>
      <c r="CD1216">
        <v>17.811699999999998</v>
      </c>
      <c r="CF1216" t="s">
        <v>13185</v>
      </c>
      <c r="CG1216">
        <v>36.132300000000001</v>
      </c>
      <c r="CH1216">
        <v>36.895699999999998</v>
      </c>
      <c r="CI1216">
        <v>36.895699999999998</v>
      </c>
      <c r="CK1216">
        <v>7</v>
      </c>
      <c r="CL1216" t="s">
        <v>4</v>
      </c>
      <c r="CM1216" t="s">
        <v>5672</v>
      </c>
      <c r="CN1216" t="s">
        <v>13186</v>
      </c>
      <c r="CO1216" t="s">
        <v>5674</v>
      </c>
      <c r="CP1216" t="s">
        <v>100</v>
      </c>
      <c r="CQ1216" t="s">
        <v>100</v>
      </c>
      <c r="CR1216" t="s">
        <v>100</v>
      </c>
      <c r="CS1216" t="s">
        <v>101</v>
      </c>
      <c r="CT1216" t="s">
        <v>152</v>
      </c>
      <c r="CU1216" t="s">
        <v>102</v>
      </c>
      <c r="CV1216" t="s">
        <v>100</v>
      </c>
    </row>
    <row r="1217" spans="1:100">
      <c r="A1217" s="3" t="s">
        <v>13187</v>
      </c>
      <c r="B1217" s="4" t="s">
        <v>13188</v>
      </c>
      <c r="C1217">
        <v>638.13778875576702</v>
      </c>
      <c r="D1217">
        <v>976.26287914882698</v>
      </c>
      <c r="E1217">
        <f>0.612382983564373</f>
        <v>0.61238298356437304</v>
      </c>
      <c r="F1217">
        <v>9.20920640670591E-4</v>
      </c>
      <c r="G1217" t="s">
        <v>4</v>
      </c>
      <c r="H1217">
        <v>638.13778875576702</v>
      </c>
      <c r="I1217">
        <v>143.314154600618</v>
      </c>
      <c r="J1217">
        <v>2.14948713234755</v>
      </c>
      <c r="K1217" s="5">
        <v>3.2347495994999399E-30</v>
      </c>
      <c r="L1217" t="s">
        <v>4</v>
      </c>
      <c r="M1217">
        <v>976.26287914882698</v>
      </c>
      <c r="N1217">
        <v>143.314154600618</v>
      </c>
      <c r="O1217">
        <v>2.7618701159119201</v>
      </c>
      <c r="P1217" s="5">
        <v>1.18178237184393E-49</v>
      </c>
      <c r="Q1217" t="s">
        <v>4</v>
      </c>
      <c r="R1217" s="4" t="s">
        <v>87</v>
      </c>
      <c r="S1217" t="s">
        <v>4</v>
      </c>
      <c r="T1217" t="s">
        <v>92</v>
      </c>
      <c r="U1217" t="s">
        <v>92</v>
      </c>
      <c r="V1217" t="s">
        <v>92</v>
      </c>
      <c r="W1217" t="s">
        <v>92</v>
      </c>
      <c r="X1217" t="s">
        <v>4</v>
      </c>
      <c r="Y1217" t="s">
        <v>92</v>
      </c>
      <c r="Z1217" t="s">
        <v>92</v>
      </c>
      <c r="AA1217" t="s">
        <v>92</v>
      </c>
      <c r="AB1217" t="s">
        <v>4</v>
      </c>
      <c r="AC1217" s="3" t="s">
        <v>93</v>
      </c>
      <c r="AD1217" t="s">
        <v>4</v>
      </c>
      <c r="AE1217" s="4" t="s">
        <v>94</v>
      </c>
      <c r="AZ1217" t="s">
        <v>4</v>
      </c>
      <c r="BA1217" s="3" t="s">
        <v>95</v>
      </c>
      <c r="BB1217" s="6" t="s">
        <v>95</v>
      </c>
      <c r="BC1217" s="3" t="s">
        <v>95</v>
      </c>
      <c r="BD1217" t="s">
        <v>4</v>
      </c>
      <c r="BE1217">
        <v>2239</v>
      </c>
      <c r="BF1217" t="s">
        <v>148</v>
      </c>
      <c r="BH1217">
        <v>94.382000000000005</v>
      </c>
      <c r="BI1217">
        <v>92.134799999999998</v>
      </c>
      <c r="BJ1217">
        <v>55.056199999999997</v>
      </c>
      <c r="BK1217">
        <v>79.775300000000001</v>
      </c>
      <c r="BL1217">
        <v>87.6404</v>
      </c>
      <c r="BM1217">
        <v>86.516900000000007</v>
      </c>
      <c r="BN1217">
        <v>86.516900000000007</v>
      </c>
      <c r="BO1217">
        <v>20.224699999999999</v>
      </c>
      <c r="CK1217">
        <v>3</v>
      </c>
      <c r="CL1217" t="s">
        <v>4</v>
      </c>
      <c r="CM1217" t="s">
        <v>98</v>
      </c>
      <c r="CN1217" t="s">
        <v>98</v>
      </c>
      <c r="CO1217" t="s">
        <v>99</v>
      </c>
      <c r="CP1217" t="s">
        <v>100</v>
      </c>
      <c r="CQ1217" t="s">
        <v>100</v>
      </c>
      <c r="CR1217" t="s">
        <v>100</v>
      </c>
      <c r="CS1217" t="s">
        <v>101</v>
      </c>
      <c r="CT1217" t="s">
        <v>152</v>
      </c>
      <c r="CU1217" t="s">
        <v>102</v>
      </c>
      <c r="CV1217" t="s">
        <v>100</v>
      </c>
    </row>
    <row r="1218" spans="1:100">
      <c r="A1218" s="3" t="s">
        <v>13189</v>
      </c>
      <c r="B1218" s="4" t="s">
        <v>13190</v>
      </c>
      <c r="C1218">
        <v>453.23553362222901</v>
      </c>
      <c r="D1218">
        <v>254.67204375755401</v>
      </c>
      <c r="E1218">
        <v>0.83132738080954505</v>
      </c>
      <c r="F1218">
        <v>5.6999693778702502E-2</v>
      </c>
      <c r="G1218" t="s">
        <v>4</v>
      </c>
      <c r="H1218">
        <v>453.23553362222901</v>
      </c>
      <c r="I1218">
        <v>37.757524817182301</v>
      </c>
      <c r="J1218">
        <v>3.5925121035302299</v>
      </c>
      <c r="K1218" s="5">
        <v>2.4304377719627901E-17</v>
      </c>
      <c r="L1218" t="s">
        <v>4</v>
      </c>
      <c r="M1218">
        <v>254.67204375755401</v>
      </c>
      <c r="N1218">
        <v>37.757524817182301</v>
      </c>
      <c r="O1218">
        <v>2.76118472272069</v>
      </c>
      <c r="P1218" s="5">
        <v>1.05275228049187E-10</v>
      </c>
      <c r="Q1218" t="s">
        <v>4</v>
      </c>
      <c r="R1218" s="4" t="s">
        <v>87</v>
      </c>
      <c r="S1218" t="s">
        <v>4</v>
      </c>
      <c r="T1218" t="s">
        <v>13191</v>
      </c>
      <c r="U1218" t="s">
        <v>13192</v>
      </c>
      <c r="V1218" t="s">
        <v>13193</v>
      </c>
      <c r="W1218" t="s">
        <v>203</v>
      </c>
      <c r="X1218" t="s">
        <v>4</v>
      </c>
      <c r="Y1218" t="s">
        <v>13194</v>
      </c>
      <c r="Z1218" t="s">
        <v>13195</v>
      </c>
      <c r="AA1218" t="s">
        <v>13196</v>
      </c>
      <c r="AB1218" t="s">
        <v>4</v>
      </c>
      <c r="AC1218" s="3" t="s">
        <v>13197</v>
      </c>
      <c r="AD1218" t="s">
        <v>4</v>
      </c>
      <c r="AE1218" t="s">
        <v>13198</v>
      </c>
      <c r="AF1218" t="s">
        <v>834</v>
      </c>
      <c r="AG1218" t="s">
        <v>13199</v>
      </c>
      <c r="AH1218" t="s">
        <v>282</v>
      </c>
      <c r="AU1218" t="s">
        <v>112</v>
      </c>
      <c r="AV1218" t="s">
        <v>13200</v>
      </c>
      <c r="AW1218" t="s">
        <v>114</v>
      </c>
      <c r="AX1218" t="s">
        <v>6608</v>
      </c>
      <c r="AY1218" t="s">
        <v>13201</v>
      </c>
      <c r="AZ1218" t="s">
        <v>4</v>
      </c>
      <c r="BA1218" s="3" t="s">
        <v>115</v>
      </c>
      <c r="BB1218" s="6" t="s">
        <v>95</v>
      </c>
      <c r="BC1218" s="3" t="s">
        <v>95</v>
      </c>
      <c r="BD1218" t="s">
        <v>4</v>
      </c>
      <c r="BE1218">
        <v>5445</v>
      </c>
      <c r="BF1218" t="s">
        <v>386</v>
      </c>
      <c r="BG1218">
        <v>74.771000000000001</v>
      </c>
      <c r="BI1218">
        <v>27.0608</v>
      </c>
      <c r="BJ1218">
        <v>74.604500000000002</v>
      </c>
      <c r="BK1218">
        <v>27.310600000000001</v>
      </c>
      <c r="BL1218">
        <v>61.198999999999998</v>
      </c>
      <c r="BM1218">
        <v>69.775199999999998</v>
      </c>
      <c r="BN1218">
        <v>71.606999999999999</v>
      </c>
      <c r="BO1218">
        <v>63.780200000000001</v>
      </c>
      <c r="BQ1218">
        <v>32.722700000000003</v>
      </c>
      <c r="BS1218">
        <v>5.2456300000000002</v>
      </c>
      <c r="BU1218">
        <v>4.7460500000000003</v>
      </c>
      <c r="BV1218">
        <v>12.239800000000001</v>
      </c>
      <c r="BW1218">
        <v>29.641999999999999</v>
      </c>
      <c r="BX1218">
        <v>33.139000000000003</v>
      </c>
      <c r="BY1218">
        <v>11.0741</v>
      </c>
      <c r="BZ1218">
        <v>15.320600000000001</v>
      </c>
      <c r="CA1218" t="s">
        <v>13202</v>
      </c>
      <c r="CB1218">
        <v>9.6586200000000009</v>
      </c>
      <c r="CC1218">
        <v>23.7302</v>
      </c>
      <c r="CD1218">
        <v>21.482099999999999</v>
      </c>
      <c r="CG1218" t="s">
        <v>13203</v>
      </c>
      <c r="CH1218" t="s">
        <v>13204</v>
      </c>
      <c r="CI1218" t="s">
        <v>13205</v>
      </c>
      <c r="CK1218">
        <v>7</v>
      </c>
      <c r="CL1218" t="s">
        <v>4</v>
      </c>
      <c r="CM1218" t="s">
        <v>13206</v>
      </c>
      <c r="CN1218" t="s">
        <v>13207</v>
      </c>
      <c r="CO1218" t="s">
        <v>663</v>
      </c>
      <c r="CP1218" t="s">
        <v>100</v>
      </c>
      <c r="CQ1218" t="s">
        <v>100</v>
      </c>
      <c r="CR1218" t="s">
        <v>100</v>
      </c>
      <c r="CS1218" t="s">
        <v>101</v>
      </c>
      <c r="CT1218" t="s">
        <v>152</v>
      </c>
      <c r="CU1218" t="s">
        <v>102</v>
      </c>
      <c r="CV1218" t="s">
        <v>100</v>
      </c>
    </row>
    <row r="1219" spans="1:100">
      <c r="A1219" s="3" t="s">
        <v>13208</v>
      </c>
      <c r="B1219" s="4" t="s">
        <v>13209</v>
      </c>
      <c r="C1219">
        <v>119.084432211278</v>
      </c>
      <c r="D1219">
        <v>160.86543385280501</v>
      </c>
      <c r="E1219">
        <f>0.433720036399499</f>
        <v>0.43372003639949902</v>
      </c>
      <c r="F1219">
        <v>0.418494556852198</v>
      </c>
      <c r="G1219" t="s">
        <v>4</v>
      </c>
      <c r="H1219">
        <v>119.084432211278</v>
      </c>
      <c r="I1219">
        <v>24.385725965001601</v>
      </c>
      <c r="J1219">
        <v>2.3239535297387799</v>
      </c>
      <c r="K1219" s="5">
        <v>7.2103227135177802E-6</v>
      </c>
      <c r="L1219" t="s">
        <v>4</v>
      </c>
      <c r="M1219">
        <v>160.86543385280501</v>
      </c>
      <c r="N1219">
        <v>24.385725965001601</v>
      </c>
      <c r="O1219">
        <v>2.7576735661382799</v>
      </c>
      <c r="P1219" s="5">
        <v>5.4033034229035303E-8</v>
      </c>
      <c r="Q1219" t="s">
        <v>4</v>
      </c>
      <c r="R1219" s="4" t="s">
        <v>87</v>
      </c>
      <c r="S1219" t="s">
        <v>4</v>
      </c>
      <c r="T1219" t="s">
        <v>92</v>
      </c>
      <c r="U1219" t="s">
        <v>92</v>
      </c>
      <c r="V1219" t="s">
        <v>92</v>
      </c>
      <c r="W1219" t="s">
        <v>92</v>
      </c>
      <c r="X1219" t="s">
        <v>4</v>
      </c>
      <c r="Y1219" t="s">
        <v>92</v>
      </c>
      <c r="Z1219" t="s">
        <v>92</v>
      </c>
      <c r="AA1219" t="s">
        <v>92</v>
      </c>
      <c r="AB1219" t="s">
        <v>4</v>
      </c>
      <c r="AC1219" s="3" t="s">
        <v>93</v>
      </c>
      <c r="AD1219" t="s">
        <v>4</v>
      </c>
      <c r="AE1219" s="4" t="s">
        <v>94</v>
      </c>
      <c r="AZ1219" t="s">
        <v>4</v>
      </c>
      <c r="BA1219" s="3" t="s">
        <v>95</v>
      </c>
      <c r="BB1219" s="6" t="s">
        <v>95</v>
      </c>
      <c r="BC1219" s="3" t="s">
        <v>197</v>
      </c>
      <c r="BD1219" t="s">
        <v>4</v>
      </c>
      <c r="BE1219">
        <v>2180</v>
      </c>
      <c r="BF1219" t="s">
        <v>148</v>
      </c>
      <c r="BG1219">
        <v>97.902100000000004</v>
      </c>
      <c r="BH1219">
        <v>78.671300000000002</v>
      </c>
      <c r="BI1219" t="s">
        <v>13210</v>
      </c>
      <c r="BJ1219">
        <v>74.825199999999995</v>
      </c>
      <c r="BK1219">
        <v>63.636400000000002</v>
      </c>
      <c r="BL1219">
        <v>24.125900000000001</v>
      </c>
      <c r="BM1219">
        <v>63.985999999999997</v>
      </c>
      <c r="BN1219">
        <v>63.985999999999997</v>
      </c>
      <c r="BO1219">
        <v>69.230800000000002</v>
      </c>
      <c r="CK1219">
        <v>3</v>
      </c>
      <c r="CL1219" t="s">
        <v>4</v>
      </c>
      <c r="CM1219" t="s">
        <v>98</v>
      </c>
      <c r="CN1219" t="s">
        <v>98</v>
      </c>
      <c r="CO1219" t="s">
        <v>99</v>
      </c>
      <c r="CP1219" t="s">
        <v>100</v>
      </c>
      <c r="CQ1219" t="s">
        <v>100</v>
      </c>
      <c r="CR1219" t="s">
        <v>100</v>
      </c>
      <c r="CS1219" t="s">
        <v>101</v>
      </c>
      <c r="CT1219" t="s">
        <v>152</v>
      </c>
      <c r="CU1219" t="s">
        <v>102</v>
      </c>
      <c r="CV1219" t="s">
        <v>100</v>
      </c>
    </row>
    <row r="1220" spans="1:100">
      <c r="A1220" s="3" t="s">
        <v>13211</v>
      </c>
      <c r="B1220" s="4" t="s">
        <v>13212</v>
      </c>
      <c r="C1220">
        <v>25.225569010726801</v>
      </c>
      <c r="D1220">
        <v>32.354526984724501</v>
      </c>
      <c r="E1220">
        <f>0.354423940664853</f>
        <v>0.354423940664853</v>
      </c>
      <c r="F1220">
        <v>0.648700591529768</v>
      </c>
      <c r="G1220" t="s">
        <v>4</v>
      </c>
      <c r="H1220">
        <v>25.225569010726801</v>
      </c>
      <c r="I1220">
        <v>4.9972359989015498</v>
      </c>
      <c r="J1220">
        <v>2.39965273832268</v>
      </c>
      <c r="K1220">
        <v>3.4972338921190698E-3</v>
      </c>
      <c r="L1220" t="s">
        <v>4</v>
      </c>
      <c r="M1220">
        <v>32.354526984724501</v>
      </c>
      <c r="N1220">
        <v>4.9972359989015498</v>
      </c>
      <c r="O1220">
        <v>2.7540766789875302</v>
      </c>
      <c r="P1220">
        <v>6.1887677398875598E-4</v>
      </c>
      <c r="Q1220" t="s">
        <v>4</v>
      </c>
      <c r="R1220" s="4" t="s">
        <v>87</v>
      </c>
      <c r="S1220" t="s">
        <v>4</v>
      </c>
      <c r="T1220" t="s">
        <v>13213</v>
      </c>
      <c r="U1220" t="s">
        <v>13214</v>
      </c>
      <c r="V1220" t="s">
        <v>13215</v>
      </c>
      <c r="W1220" t="s">
        <v>328</v>
      </c>
      <c r="X1220" t="s">
        <v>4</v>
      </c>
      <c r="Y1220" t="s">
        <v>13216</v>
      </c>
      <c r="Z1220" t="s">
        <v>13217</v>
      </c>
      <c r="AA1220" t="s">
        <v>13218</v>
      </c>
      <c r="AB1220" t="s">
        <v>4</v>
      </c>
      <c r="AC1220" s="3" t="s">
        <v>13219</v>
      </c>
      <c r="AD1220" t="s">
        <v>4</v>
      </c>
      <c r="AE1220" t="s">
        <v>13220</v>
      </c>
      <c r="AF1220" t="s">
        <v>13221</v>
      </c>
      <c r="AG1220" t="s">
        <v>903</v>
      </c>
      <c r="AH1220" t="s">
        <v>10046</v>
      </c>
      <c r="AU1220" t="s">
        <v>112</v>
      </c>
      <c r="AV1220" t="s">
        <v>13222</v>
      </c>
      <c r="AW1220" t="s">
        <v>114</v>
      </c>
      <c r="AX1220" t="s">
        <v>1308</v>
      </c>
      <c r="AY1220" t="s">
        <v>13223</v>
      </c>
      <c r="AZ1220" t="s">
        <v>4</v>
      </c>
      <c r="BA1220" s="3" t="s">
        <v>95</v>
      </c>
      <c r="BB1220" t="s">
        <v>96</v>
      </c>
      <c r="BC1220" s="3" t="s">
        <v>95</v>
      </c>
      <c r="BD1220" t="s">
        <v>4</v>
      </c>
      <c r="BE1220">
        <v>5541</v>
      </c>
      <c r="BF1220" t="s">
        <v>386</v>
      </c>
      <c r="BQ1220">
        <v>31.578900000000001</v>
      </c>
      <c r="BV1220">
        <v>37.8947</v>
      </c>
      <c r="CK1220">
        <v>7</v>
      </c>
      <c r="CL1220" t="s">
        <v>4</v>
      </c>
      <c r="CM1220" t="s">
        <v>98</v>
      </c>
      <c r="CN1220" t="s">
        <v>98</v>
      </c>
      <c r="CO1220" t="s">
        <v>99</v>
      </c>
      <c r="CP1220" t="s">
        <v>100</v>
      </c>
      <c r="CQ1220" t="s">
        <v>100</v>
      </c>
      <c r="CR1220" t="s">
        <v>100</v>
      </c>
      <c r="CS1220" t="s">
        <v>101</v>
      </c>
      <c r="CT1220" t="s">
        <v>152</v>
      </c>
      <c r="CU1220" t="s">
        <v>102</v>
      </c>
      <c r="CV1220" t="s">
        <v>100</v>
      </c>
    </row>
    <row r="1221" spans="1:100">
      <c r="A1221" s="3" t="s">
        <v>13224</v>
      </c>
      <c r="B1221" s="4" t="s">
        <v>13225</v>
      </c>
      <c r="C1221">
        <v>14597.0484105089</v>
      </c>
      <c r="D1221">
        <v>19075.044184608199</v>
      </c>
      <c r="E1221">
        <f>0.38601272976501</f>
        <v>0.38601272976501</v>
      </c>
      <c r="F1221">
        <v>0.48459596035029701</v>
      </c>
      <c r="G1221" t="s">
        <v>4</v>
      </c>
      <c r="H1221">
        <v>14597.0484105089</v>
      </c>
      <c r="I1221">
        <v>2831.2776567132701</v>
      </c>
      <c r="J1221">
        <v>2.36617330985111</v>
      </c>
      <c r="K1221" s="5">
        <v>9.6857251804336107E-7</v>
      </c>
      <c r="L1221" t="s">
        <v>4</v>
      </c>
      <c r="M1221">
        <v>19075.044184608199</v>
      </c>
      <c r="N1221">
        <v>2831.2776567132701</v>
      </c>
      <c r="O1221">
        <v>2.7521860396161202</v>
      </c>
      <c r="P1221" s="5">
        <v>6.7173622850682604E-9</v>
      </c>
      <c r="Q1221" t="s">
        <v>4</v>
      </c>
      <c r="R1221" s="4" t="s">
        <v>87</v>
      </c>
      <c r="S1221" t="s">
        <v>4</v>
      </c>
      <c r="T1221" t="s">
        <v>11502</v>
      </c>
      <c r="U1221" t="s">
        <v>11503</v>
      </c>
      <c r="V1221" t="s">
        <v>11504</v>
      </c>
      <c r="W1221" t="s">
        <v>507</v>
      </c>
      <c r="X1221" t="s">
        <v>4</v>
      </c>
      <c r="Y1221" t="s">
        <v>11505</v>
      </c>
      <c r="Z1221" t="s">
        <v>11506</v>
      </c>
      <c r="AA1221" t="s">
        <v>11506</v>
      </c>
      <c r="AB1221" t="s">
        <v>4</v>
      </c>
      <c r="AC1221" s="3" t="s">
        <v>13226</v>
      </c>
      <c r="AD1221" t="s">
        <v>4</v>
      </c>
      <c r="AE1221" t="s">
        <v>13227</v>
      </c>
      <c r="AF1221" t="s">
        <v>13228</v>
      </c>
      <c r="AG1221" t="s">
        <v>13229</v>
      </c>
      <c r="AH1221" t="s">
        <v>112</v>
      </c>
      <c r="AL1221" t="s">
        <v>11510</v>
      </c>
      <c r="AM1221" t="s">
        <v>11511</v>
      </c>
      <c r="AQ1221" t="s">
        <v>6430</v>
      </c>
      <c r="AU1221" t="s">
        <v>112</v>
      </c>
      <c r="AV1221" t="s">
        <v>11512</v>
      </c>
      <c r="AW1221" t="s">
        <v>114</v>
      </c>
      <c r="AX1221" t="s">
        <v>2139</v>
      </c>
      <c r="AY1221" t="s">
        <v>11513</v>
      </c>
      <c r="AZ1221" t="s">
        <v>4</v>
      </c>
      <c r="BA1221" s="3" t="s">
        <v>95</v>
      </c>
      <c r="BB1221" s="6" t="s">
        <v>95</v>
      </c>
      <c r="BC1221" s="3" t="s">
        <v>95</v>
      </c>
      <c r="BD1221" t="s">
        <v>4</v>
      </c>
      <c r="BE1221">
        <v>8925</v>
      </c>
      <c r="BF1221" t="s">
        <v>169</v>
      </c>
      <c r="BG1221">
        <v>83.448300000000003</v>
      </c>
      <c r="BH1221">
        <v>69.655199999999994</v>
      </c>
      <c r="BI1221" t="s">
        <v>13230</v>
      </c>
      <c r="BJ1221">
        <v>83.448300000000003</v>
      </c>
      <c r="BN1221">
        <v>82.758600000000001</v>
      </c>
      <c r="BO1221">
        <v>84.137900000000002</v>
      </c>
      <c r="BP1221">
        <v>78.620699999999999</v>
      </c>
      <c r="BS1221" t="s">
        <v>13231</v>
      </c>
      <c r="BT1221" t="s">
        <v>13232</v>
      </c>
      <c r="BV1221" t="s">
        <v>13233</v>
      </c>
      <c r="CB1221">
        <v>64.137900000000002</v>
      </c>
      <c r="CC1221" t="s">
        <v>13234</v>
      </c>
      <c r="CD1221" t="s">
        <v>13235</v>
      </c>
      <c r="CE1221">
        <v>42.758600000000001</v>
      </c>
      <c r="CF1221" t="s">
        <v>13236</v>
      </c>
      <c r="CG1221" t="s">
        <v>13237</v>
      </c>
      <c r="CH1221">
        <v>35.862099999999998</v>
      </c>
      <c r="CI1221" t="s">
        <v>13238</v>
      </c>
      <c r="CJ1221" t="s">
        <v>13239</v>
      </c>
      <c r="CK1221">
        <v>9</v>
      </c>
      <c r="CL1221" t="s">
        <v>4</v>
      </c>
      <c r="CM1221" t="s">
        <v>98</v>
      </c>
      <c r="CN1221" t="s">
        <v>98</v>
      </c>
      <c r="CO1221" t="s">
        <v>99</v>
      </c>
      <c r="CP1221" t="s">
        <v>100</v>
      </c>
      <c r="CQ1221" t="s">
        <v>100</v>
      </c>
      <c r="CR1221" t="s">
        <v>100</v>
      </c>
      <c r="CS1221" t="s">
        <v>101</v>
      </c>
      <c r="CT1221" t="s">
        <v>152</v>
      </c>
      <c r="CU1221" t="s">
        <v>102</v>
      </c>
      <c r="CV1221" t="s">
        <v>100</v>
      </c>
    </row>
    <row r="1222" spans="1:100">
      <c r="A1222" s="3" t="s">
        <v>13240</v>
      </c>
      <c r="B1222" s="4" t="s">
        <v>13241</v>
      </c>
      <c r="C1222">
        <v>56.301715410251397</v>
      </c>
      <c r="D1222">
        <v>38.2700506617225</v>
      </c>
      <c r="E1222">
        <v>0.55616469650639</v>
      </c>
      <c r="F1222">
        <v>0.44670159881365101</v>
      </c>
      <c r="G1222" t="s">
        <v>4</v>
      </c>
      <c r="H1222">
        <v>56.301715410251397</v>
      </c>
      <c r="I1222">
        <v>5.8180878589356402</v>
      </c>
      <c r="J1222">
        <v>3.3077704085817601</v>
      </c>
      <c r="K1222" s="5">
        <v>1.8256698266862401E-5</v>
      </c>
      <c r="L1222" t="s">
        <v>4</v>
      </c>
      <c r="M1222">
        <v>38.2700506617225</v>
      </c>
      <c r="N1222">
        <v>5.8180878589356402</v>
      </c>
      <c r="O1222">
        <v>2.7516057120753699</v>
      </c>
      <c r="P1222">
        <v>3.9367671461178297E-4</v>
      </c>
      <c r="Q1222" t="s">
        <v>4</v>
      </c>
      <c r="R1222" s="4" t="s">
        <v>87</v>
      </c>
      <c r="S1222" t="s">
        <v>4</v>
      </c>
      <c r="T1222" t="s">
        <v>460</v>
      </c>
      <c r="U1222" t="s">
        <v>461</v>
      </c>
      <c r="V1222" t="s">
        <v>462</v>
      </c>
      <c r="W1222" t="s">
        <v>123</v>
      </c>
      <c r="X1222" t="s">
        <v>4</v>
      </c>
      <c r="Y1222" t="s">
        <v>463</v>
      </c>
      <c r="Z1222" t="s">
        <v>464</v>
      </c>
      <c r="AA1222" t="s">
        <v>465</v>
      </c>
      <c r="AB1222" t="s">
        <v>4</v>
      </c>
      <c r="AC1222" s="3" t="s">
        <v>93</v>
      </c>
      <c r="AD1222" t="s">
        <v>4</v>
      </c>
      <c r="AE1222" t="s">
        <v>9850</v>
      </c>
      <c r="AF1222" t="s">
        <v>2410</v>
      </c>
      <c r="AG1222" t="s">
        <v>13242</v>
      </c>
      <c r="AH1222" t="s">
        <v>169</v>
      </c>
      <c r="AU1222" t="s">
        <v>112</v>
      </c>
      <c r="AV1222" t="s">
        <v>470</v>
      </c>
      <c r="AW1222" t="s">
        <v>114</v>
      </c>
      <c r="AX1222" t="s">
        <v>144</v>
      </c>
      <c r="AY1222" t="s">
        <v>471</v>
      </c>
      <c r="AZ1222" t="s">
        <v>4</v>
      </c>
      <c r="BA1222" s="3" t="s">
        <v>95</v>
      </c>
      <c r="BB1222" s="6" t="s">
        <v>95</v>
      </c>
      <c r="BC1222" s="3" t="s">
        <v>197</v>
      </c>
      <c r="BD1222" t="s">
        <v>4</v>
      </c>
      <c r="BE1222">
        <v>5829</v>
      </c>
      <c r="BF1222" t="s">
        <v>386</v>
      </c>
      <c r="BJ1222">
        <v>15.5738</v>
      </c>
      <c r="BL1222">
        <v>7.3770499999999997</v>
      </c>
      <c r="BR1222">
        <v>9.2213100000000008</v>
      </c>
      <c r="BV1222">
        <v>6.5573800000000002</v>
      </c>
      <c r="BW1222">
        <v>7.1721300000000001</v>
      </c>
      <c r="CC1222">
        <v>9.0163899999999995</v>
      </c>
      <c r="CD1222">
        <v>7.7868899999999996</v>
      </c>
      <c r="CG1222" t="s">
        <v>13243</v>
      </c>
      <c r="CH1222" t="s">
        <v>13244</v>
      </c>
      <c r="CI1222" t="s">
        <v>13245</v>
      </c>
      <c r="CK1222">
        <v>7</v>
      </c>
      <c r="CL1222" t="s">
        <v>4</v>
      </c>
      <c r="CM1222" t="s">
        <v>98</v>
      </c>
      <c r="CN1222" t="s">
        <v>98</v>
      </c>
      <c r="CO1222" t="s">
        <v>99</v>
      </c>
      <c r="CP1222" t="s">
        <v>100</v>
      </c>
      <c r="CQ1222" t="s">
        <v>100</v>
      </c>
      <c r="CR1222" t="s">
        <v>100</v>
      </c>
      <c r="CS1222" t="s">
        <v>101</v>
      </c>
      <c r="CT1222" t="s">
        <v>152</v>
      </c>
      <c r="CU1222" t="s">
        <v>102</v>
      </c>
      <c r="CV1222" t="s">
        <v>100</v>
      </c>
    </row>
    <row r="1223" spans="1:100">
      <c r="A1223" s="3" t="s">
        <v>13246</v>
      </c>
      <c r="B1223" s="4" t="s">
        <v>13247</v>
      </c>
      <c r="C1223">
        <v>111.76508401957901</v>
      </c>
      <c r="D1223">
        <v>185.71329350373799</v>
      </c>
      <c r="E1223">
        <f>0.732869738081376</f>
        <v>0.73286973808137601</v>
      </c>
      <c r="F1223">
        <v>1.99811725589348E-2</v>
      </c>
      <c r="G1223" t="s">
        <v>4</v>
      </c>
      <c r="H1223">
        <v>111.76508401957901</v>
      </c>
      <c r="I1223">
        <v>28.257855459935499</v>
      </c>
      <c r="J1223">
        <v>2.01182877193152</v>
      </c>
      <c r="K1223" s="5">
        <v>5.57712972527432E-9</v>
      </c>
      <c r="L1223" t="s">
        <v>4</v>
      </c>
      <c r="M1223">
        <v>185.71329350373799</v>
      </c>
      <c r="N1223">
        <v>28.257855459935499</v>
      </c>
      <c r="O1223">
        <v>2.7446985100129</v>
      </c>
      <c r="P1223" s="5">
        <v>3.6753709288428302E-16</v>
      </c>
      <c r="Q1223" t="s">
        <v>4</v>
      </c>
      <c r="R1223" s="4" t="s">
        <v>87</v>
      </c>
      <c r="S1223" t="s">
        <v>4</v>
      </c>
      <c r="T1223" t="s">
        <v>88</v>
      </c>
      <c r="U1223" t="s">
        <v>89</v>
      </c>
      <c r="V1223" t="s">
        <v>90</v>
      </c>
      <c r="W1223" t="s">
        <v>91</v>
      </c>
      <c r="X1223" t="s">
        <v>4</v>
      </c>
      <c r="Y1223" t="s">
        <v>977</v>
      </c>
      <c r="Z1223" t="s">
        <v>978</v>
      </c>
      <c r="AA1223" t="s">
        <v>979</v>
      </c>
      <c r="AB1223" t="s">
        <v>4</v>
      </c>
      <c r="AC1223" s="3" t="s">
        <v>93</v>
      </c>
      <c r="AD1223" t="s">
        <v>4</v>
      </c>
      <c r="AE1223" t="s">
        <v>7202</v>
      </c>
      <c r="AF1223" t="s">
        <v>13248</v>
      </c>
      <c r="AG1223" t="s">
        <v>13249</v>
      </c>
      <c r="AH1223" t="s">
        <v>112</v>
      </c>
      <c r="AU1223" t="s">
        <v>112</v>
      </c>
      <c r="AV1223" t="s">
        <v>4518</v>
      </c>
      <c r="AW1223" t="s">
        <v>114</v>
      </c>
      <c r="AX1223" t="s">
        <v>144</v>
      </c>
      <c r="AY1223" t="s">
        <v>4519</v>
      </c>
      <c r="AZ1223" t="s">
        <v>4</v>
      </c>
      <c r="BA1223" s="3" t="s">
        <v>95</v>
      </c>
      <c r="BB1223" t="s">
        <v>96</v>
      </c>
      <c r="BC1223" s="3" t="s">
        <v>95</v>
      </c>
      <c r="BD1223" t="s">
        <v>4</v>
      </c>
      <c r="BE1223">
        <v>3113</v>
      </c>
      <c r="BF1223" t="s">
        <v>97</v>
      </c>
      <c r="BP1223" t="s">
        <v>13250</v>
      </c>
      <c r="CK1223">
        <v>4</v>
      </c>
      <c r="CL1223" t="s">
        <v>4</v>
      </c>
      <c r="CM1223" t="s">
        <v>98</v>
      </c>
      <c r="CN1223" t="s">
        <v>98</v>
      </c>
      <c r="CO1223" t="s">
        <v>99</v>
      </c>
      <c r="CP1223" t="s">
        <v>100</v>
      </c>
      <c r="CQ1223" t="s">
        <v>100</v>
      </c>
      <c r="CR1223" t="s">
        <v>100</v>
      </c>
      <c r="CS1223" t="s">
        <v>101</v>
      </c>
      <c r="CT1223" t="s">
        <v>152</v>
      </c>
      <c r="CU1223" t="s">
        <v>102</v>
      </c>
      <c r="CV1223" t="s">
        <v>100</v>
      </c>
    </row>
    <row r="1224" spans="1:100">
      <c r="A1224" s="3" t="s">
        <v>13251</v>
      </c>
      <c r="B1224" s="4" t="s">
        <v>13252</v>
      </c>
      <c r="C1224">
        <v>46.750123351872197</v>
      </c>
      <c r="D1224">
        <v>91.3742295977097</v>
      </c>
      <c r="E1224">
        <f>0.966242524116439</f>
        <v>0.96624252411643896</v>
      </c>
      <c r="F1224">
        <v>1.86919481058485E-2</v>
      </c>
      <c r="G1224" t="s">
        <v>4</v>
      </c>
      <c r="H1224">
        <v>46.750123351872197</v>
      </c>
      <c r="I1224">
        <v>14.2383983264774</v>
      </c>
      <c r="J1224">
        <v>1.77552031717673</v>
      </c>
      <c r="K1224">
        <v>1.83478164426163E-4</v>
      </c>
      <c r="L1224" t="s">
        <v>4</v>
      </c>
      <c r="M1224">
        <v>91.3742295977097</v>
      </c>
      <c r="N1224">
        <v>14.2383983264774</v>
      </c>
      <c r="O1224">
        <v>2.7417628412931698</v>
      </c>
      <c r="P1224" s="5">
        <v>1.4864721171766E-9</v>
      </c>
      <c r="Q1224" t="s">
        <v>4</v>
      </c>
      <c r="R1224" s="4" t="s">
        <v>87</v>
      </c>
      <c r="S1224" t="s">
        <v>4</v>
      </c>
      <c r="T1224" t="s">
        <v>460</v>
      </c>
      <c r="U1224" t="s">
        <v>461</v>
      </c>
      <c r="V1224" t="s">
        <v>462</v>
      </c>
      <c r="W1224" t="s">
        <v>123</v>
      </c>
      <c r="X1224" t="s">
        <v>4</v>
      </c>
      <c r="Y1224" t="s">
        <v>463</v>
      </c>
      <c r="Z1224" t="s">
        <v>464</v>
      </c>
      <c r="AA1224" t="s">
        <v>465</v>
      </c>
      <c r="AB1224" t="s">
        <v>4</v>
      </c>
      <c r="AC1224" s="3" t="s">
        <v>93</v>
      </c>
      <c r="AD1224" t="s">
        <v>4</v>
      </c>
      <c r="AE1224" s="4" t="s">
        <v>94</v>
      </c>
      <c r="AZ1224" t="s">
        <v>4</v>
      </c>
      <c r="BA1224" s="3" t="s">
        <v>95</v>
      </c>
      <c r="BB1224" s="6" t="s">
        <v>95</v>
      </c>
      <c r="BC1224" s="3" t="s">
        <v>95</v>
      </c>
      <c r="BD1224" t="s">
        <v>4</v>
      </c>
      <c r="BE1224">
        <v>942</v>
      </c>
      <c r="BF1224" t="s">
        <v>604</v>
      </c>
      <c r="BG1224">
        <v>46.666699999999999</v>
      </c>
      <c r="CK1224">
        <v>1.5</v>
      </c>
      <c r="CL1224" t="s">
        <v>4</v>
      </c>
      <c r="CM1224" t="s">
        <v>98</v>
      </c>
      <c r="CN1224" t="s">
        <v>98</v>
      </c>
      <c r="CO1224" t="s">
        <v>99</v>
      </c>
      <c r="CP1224" t="s">
        <v>100</v>
      </c>
      <c r="CQ1224" t="s">
        <v>100</v>
      </c>
      <c r="CR1224" t="s">
        <v>100</v>
      </c>
      <c r="CS1224" s="7" t="s">
        <v>101</v>
      </c>
      <c r="CT1224" t="s">
        <v>152</v>
      </c>
      <c r="CU1224" t="s">
        <v>102</v>
      </c>
      <c r="CV1224" t="s">
        <v>100</v>
      </c>
    </row>
    <row r="1225" spans="1:100">
      <c r="A1225" s="3" t="s">
        <v>13253</v>
      </c>
      <c r="B1225" s="4" t="s">
        <v>13254</v>
      </c>
      <c r="C1225">
        <v>44.916882368857003</v>
      </c>
      <c r="D1225">
        <v>24.805709164877701</v>
      </c>
      <c r="E1225">
        <v>0.86493732148101599</v>
      </c>
      <c r="F1225">
        <v>0.22090035415415499</v>
      </c>
      <c r="G1225" t="s">
        <v>4</v>
      </c>
      <c r="H1225">
        <v>44.916882368857003</v>
      </c>
      <c r="I1225">
        <v>3.72989578950191</v>
      </c>
      <c r="J1225">
        <v>3.6039609742596799</v>
      </c>
      <c r="K1225" s="5">
        <v>1.24779252996646E-5</v>
      </c>
      <c r="L1225" t="s">
        <v>4</v>
      </c>
      <c r="M1225">
        <v>24.805709164877701</v>
      </c>
      <c r="N1225">
        <v>3.72989578950191</v>
      </c>
      <c r="O1225">
        <v>2.7390236527786702</v>
      </c>
      <c r="P1225">
        <v>1.08730040521211E-3</v>
      </c>
      <c r="Q1225" t="s">
        <v>4</v>
      </c>
      <c r="R1225" s="4" t="s">
        <v>87</v>
      </c>
      <c r="S1225" t="s">
        <v>4</v>
      </c>
      <c r="T1225" t="s">
        <v>88</v>
      </c>
      <c r="U1225" t="s">
        <v>89</v>
      </c>
      <c r="V1225" t="s">
        <v>90</v>
      </c>
      <c r="W1225" t="s">
        <v>91</v>
      </c>
      <c r="X1225" t="s">
        <v>4</v>
      </c>
      <c r="Y1225" t="s">
        <v>92</v>
      </c>
      <c r="Z1225" t="s">
        <v>92</v>
      </c>
      <c r="AA1225" t="s">
        <v>92</v>
      </c>
      <c r="AB1225" t="s">
        <v>4</v>
      </c>
      <c r="AC1225" s="3" t="s">
        <v>93</v>
      </c>
      <c r="AD1225" t="s">
        <v>4</v>
      </c>
      <c r="AE1225" s="4" t="s">
        <v>94</v>
      </c>
      <c r="AZ1225" t="s">
        <v>4</v>
      </c>
      <c r="BA1225" s="3" t="s">
        <v>95</v>
      </c>
      <c r="BB1225" t="s">
        <v>96</v>
      </c>
      <c r="BC1225" s="3" t="s">
        <v>95</v>
      </c>
      <c r="BD1225" t="s">
        <v>4</v>
      </c>
      <c r="BE1225">
        <v>718</v>
      </c>
      <c r="BF1225" t="s">
        <v>604</v>
      </c>
      <c r="BG1225">
        <v>38.8889</v>
      </c>
      <c r="CK1225">
        <v>1.5</v>
      </c>
      <c r="CL1225" t="s">
        <v>4</v>
      </c>
      <c r="CM1225" t="s">
        <v>98</v>
      </c>
      <c r="CN1225" t="s">
        <v>98</v>
      </c>
      <c r="CO1225" t="s">
        <v>99</v>
      </c>
      <c r="CP1225" t="s">
        <v>100</v>
      </c>
      <c r="CQ1225" t="s">
        <v>100</v>
      </c>
      <c r="CR1225" t="s">
        <v>100</v>
      </c>
      <c r="CS1225" t="s">
        <v>101</v>
      </c>
      <c r="CT1225" t="s">
        <v>152</v>
      </c>
      <c r="CU1225" t="s">
        <v>102</v>
      </c>
      <c r="CV1225" t="s">
        <v>100</v>
      </c>
    </row>
    <row r="1226" spans="1:100">
      <c r="A1226" s="3" t="s">
        <v>13255</v>
      </c>
      <c r="B1226" s="4" t="s">
        <v>13256</v>
      </c>
      <c r="C1226">
        <v>788.75680083322095</v>
      </c>
      <c r="D1226">
        <v>1256.1700720844001</v>
      </c>
      <c r="E1226">
        <f>0.671510344565066</f>
        <v>0.67151034456506598</v>
      </c>
      <c r="F1226">
        <v>1.36925511613008E-2</v>
      </c>
      <c r="G1226" t="s">
        <v>4</v>
      </c>
      <c r="H1226">
        <v>788.75680083322095</v>
      </c>
      <c r="I1226">
        <v>187.51451231356199</v>
      </c>
      <c r="J1226">
        <v>2.0673881743052598</v>
      </c>
      <c r="K1226" s="5">
        <v>1.3143499726041499E-15</v>
      </c>
      <c r="L1226" t="s">
        <v>4</v>
      </c>
      <c r="M1226">
        <v>1256.1700720844001</v>
      </c>
      <c r="N1226">
        <v>187.51451231356199</v>
      </c>
      <c r="O1226">
        <v>2.7388985188703199</v>
      </c>
      <c r="P1226" s="5">
        <v>7.2210195688718003E-27</v>
      </c>
      <c r="Q1226" t="s">
        <v>4</v>
      </c>
      <c r="R1226" s="4" t="s">
        <v>87</v>
      </c>
      <c r="S1226" t="s">
        <v>4</v>
      </c>
      <c r="T1226" t="s">
        <v>13257</v>
      </c>
      <c r="U1226" t="s">
        <v>13258</v>
      </c>
      <c r="V1226" t="s">
        <v>13259</v>
      </c>
      <c r="W1226" t="s">
        <v>203</v>
      </c>
      <c r="X1226" t="s">
        <v>4</v>
      </c>
      <c r="Y1226" t="s">
        <v>204</v>
      </c>
      <c r="Z1226" t="s">
        <v>205</v>
      </c>
      <c r="AA1226" t="s">
        <v>206</v>
      </c>
      <c r="AB1226" t="s">
        <v>4</v>
      </c>
      <c r="AC1226" s="3" t="s">
        <v>13260</v>
      </c>
      <c r="AD1226" t="s">
        <v>4</v>
      </c>
      <c r="AE1226" t="s">
        <v>13261</v>
      </c>
      <c r="AF1226" t="s">
        <v>13262</v>
      </c>
      <c r="AG1226" t="s">
        <v>13263</v>
      </c>
      <c r="AH1226" t="s">
        <v>112</v>
      </c>
      <c r="AJ1226" t="s">
        <v>13264</v>
      </c>
      <c r="AK1226" t="s">
        <v>6482</v>
      </c>
      <c r="AL1226" t="s">
        <v>13265</v>
      </c>
      <c r="AM1226" t="s">
        <v>13266</v>
      </c>
      <c r="AN1226" t="s">
        <v>5150</v>
      </c>
      <c r="AQ1226" t="s">
        <v>7529</v>
      </c>
      <c r="AU1226" t="s">
        <v>112</v>
      </c>
      <c r="AV1226" t="s">
        <v>13267</v>
      </c>
      <c r="AW1226" t="s">
        <v>114</v>
      </c>
      <c r="AX1226" t="s">
        <v>132</v>
      </c>
      <c r="AY1226" t="s">
        <v>212</v>
      </c>
      <c r="AZ1226" t="s">
        <v>4</v>
      </c>
      <c r="BA1226" s="3" t="s">
        <v>95</v>
      </c>
      <c r="BB1226" s="6" t="s">
        <v>95</v>
      </c>
      <c r="BC1226" s="3" t="s">
        <v>95</v>
      </c>
      <c r="BD1226" t="s">
        <v>4</v>
      </c>
      <c r="BE1226">
        <v>6450</v>
      </c>
      <c r="BF1226" t="s">
        <v>213</v>
      </c>
      <c r="BG1226">
        <v>98.791499999999999</v>
      </c>
      <c r="BH1226">
        <v>95.166200000000003</v>
      </c>
      <c r="BJ1226">
        <v>90.634399999999999</v>
      </c>
      <c r="BK1226">
        <v>84.894300000000001</v>
      </c>
      <c r="BL1226">
        <v>88.821799999999996</v>
      </c>
      <c r="BM1226">
        <v>87.613299999999995</v>
      </c>
      <c r="BN1226">
        <v>87.009100000000004</v>
      </c>
      <c r="BO1226">
        <v>89.123900000000006</v>
      </c>
      <c r="BP1226" t="s">
        <v>13268</v>
      </c>
      <c r="BR1226">
        <v>45.015099999999997</v>
      </c>
      <c r="BS1226">
        <v>40.483400000000003</v>
      </c>
      <c r="BT1226">
        <v>41.691800000000001</v>
      </c>
      <c r="BU1226">
        <v>39.274900000000002</v>
      </c>
      <c r="BV1226" t="s">
        <v>13269</v>
      </c>
      <c r="BW1226">
        <v>49.244700000000002</v>
      </c>
      <c r="BX1226">
        <v>56.193399999999997</v>
      </c>
      <c r="BY1226">
        <v>35.649500000000003</v>
      </c>
      <c r="BZ1226">
        <v>55.891199999999998</v>
      </c>
      <c r="CA1226">
        <v>41.691800000000001</v>
      </c>
      <c r="CB1226">
        <v>24.773399999999999</v>
      </c>
      <c r="CC1226">
        <v>34.139000000000003</v>
      </c>
      <c r="CD1226">
        <v>38.368600000000001</v>
      </c>
      <c r="CE1226">
        <v>8.7613299999999992</v>
      </c>
      <c r="CF1226">
        <v>36.253799999999998</v>
      </c>
      <c r="CG1226" t="s">
        <v>13270</v>
      </c>
      <c r="CH1226" t="s">
        <v>13271</v>
      </c>
      <c r="CI1226" t="s">
        <v>13272</v>
      </c>
      <c r="CK1226">
        <v>8</v>
      </c>
      <c r="CL1226" t="s">
        <v>4</v>
      </c>
      <c r="CM1226" t="s">
        <v>13273</v>
      </c>
      <c r="CN1226" t="s">
        <v>13274</v>
      </c>
      <c r="CO1226" t="s">
        <v>1218</v>
      </c>
      <c r="CP1226" t="s">
        <v>100</v>
      </c>
      <c r="CQ1226" t="s">
        <v>100</v>
      </c>
      <c r="CR1226" t="s">
        <v>100</v>
      </c>
      <c r="CS1226" t="s">
        <v>101</v>
      </c>
      <c r="CT1226" t="s">
        <v>152</v>
      </c>
      <c r="CU1226" t="s">
        <v>102</v>
      </c>
      <c r="CV1226" t="s">
        <v>235</v>
      </c>
    </row>
    <row r="1227" spans="1:100">
      <c r="A1227" s="3" t="s">
        <v>13275</v>
      </c>
      <c r="B1227" s="4" t="s">
        <v>13276</v>
      </c>
      <c r="C1227">
        <v>102.461993428197</v>
      </c>
      <c r="D1227">
        <v>66.0785672202407</v>
      </c>
      <c r="E1227">
        <v>0.62839846232401697</v>
      </c>
      <c r="F1227">
        <v>0.16507826020161001</v>
      </c>
      <c r="G1227" t="s">
        <v>4</v>
      </c>
      <c r="H1227">
        <v>102.461993428197</v>
      </c>
      <c r="I1227">
        <v>9.7815700911826706</v>
      </c>
      <c r="J1227">
        <v>3.3623584966086799</v>
      </c>
      <c r="K1227" s="5">
        <v>4.0877573868061003E-11</v>
      </c>
      <c r="L1227" t="s">
        <v>4</v>
      </c>
      <c r="M1227">
        <v>66.0785672202407</v>
      </c>
      <c r="N1227">
        <v>9.7815700911826706</v>
      </c>
      <c r="O1227">
        <v>2.7339600342846699</v>
      </c>
      <c r="P1227" s="5">
        <v>1.1108619051328E-7</v>
      </c>
      <c r="Q1227" t="s">
        <v>4</v>
      </c>
      <c r="R1227" s="4" t="s">
        <v>87</v>
      </c>
      <c r="S1227" t="s">
        <v>4</v>
      </c>
      <c r="T1227" t="s">
        <v>92</v>
      </c>
      <c r="U1227" t="s">
        <v>92</v>
      </c>
      <c r="V1227" t="s">
        <v>92</v>
      </c>
      <c r="W1227" t="s">
        <v>92</v>
      </c>
      <c r="X1227" t="s">
        <v>4</v>
      </c>
      <c r="Y1227" t="s">
        <v>13277</v>
      </c>
      <c r="Z1227" t="s">
        <v>13278</v>
      </c>
      <c r="AA1227" t="s">
        <v>13279</v>
      </c>
      <c r="AB1227" t="s">
        <v>4</v>
      </c>
      <c r="AC1227" s="3" t="s">
        <v>93</v>
      </c>
      <c r="AD1227" t="s">
        <v>4</v>
      </c>
      <c r="AE1227" s="4" t="s">
        <v>94</v>
      </c>
      <c r="AZ1227" t="s">
        <v>4</v>
      </c>
      <c r="BA1227" s="3" t="s">
        <v>115</v>
      </c>
      <c r="BB1227" t="s">
        <v>96</v>
      </c>
      <c r="BC1227" s="3" t="s">
        <v>95</v>
      </c>
      <c r="BD1227" t="s">
        <v>4</v>
      </c>
      <c r="BE1227">
        <v>1173</v>
      </c>
      <c r="BF1227" t="s">
        <v>151</v>
      </c>
      <c r="BG1227">
        <v>84.388199999999998</v>
      </c>
      <c r="BH1227">
        <v>52.742600000000003</v>
      </c>
      <c r="BI1227">
        <v>41.772199999999998</v>
      </c>
      <c r="CK1227">
        <v>2</v>
      </c>
      <c r="CL1227" t="s">
        <v>4</v>
      </c>
      <c r="CM1227" t="s">
        <v>98</v>
      </c>
      <c r="CN1227" t="s">
        <v>98</v>
      </c>
      <c r="CO1227" t="s">
        <v>99</v>
      </c>
      <c r="CP1227" t="s">
        <v>100</v>
      </c>
      <c r="CQ1227" t="s">
        <v>100</v>
      </c>
      <c r="CR1227" t="s">
        <v>100</v>
      </c>
      <c r="CS1227" t="s">
        <v>101</v>
      </c>
      <c r="CT1227" t="s">
        <v>152</v>
      </c>
      <c r="CU1227" t="s">
        <v>102</v>
      </c>
      <c r="CV1227" t="s">
        <v>100</v>
      </c>
    </row>
    <row r="1228" spans="1:100">
      <c r="A1228" s="3" t="s">
        <v>13280</v>
      </c>
      <c r="B1228" s="4" t="s">
        <v>13281</v>
      </c>
      <c r="C1228">
        <v>1597.5642114407699</v>
      </c>
      <c r="D1228">
        <v>1265.23459463574</v>
      </c>
      <c r="E1228">
        <v>0.33616045631521102</v>
      </c>
      <c r="F1228">
        <v>0.22624934125572899</v>
      </c>
      <c r="G1228" t="s">
        <v>4</v>
      </c>
      <c r="H1228">
        <v>1597.5642114407699</v>
      </c>
      <c r="I1228">
        <v>189.53883890953699</v>
      </c>
      <c r="J1228">
        <v>3.0672289381250701</v>
      </c>
      <c r="K1228" s="5">
        <v>4.2553509901563401E-34</v>
      </c>
      <c r="L1228" t="s">
        <v>4</v>
      </c>
      <c r="M1228">
        <v>1265.23459463574</v>
      </c>
      <c r="N1228">
        <v>189.53883890953699</v>
      </c>
      <c r="O1228">
        <v>2.7310684818098601</v>
      </c>
      <c r="P1228" s="5">
        <v>2.7276168713358099E-27</v>
      </c>
      <c r="Q1228" t="s">
        <v>4</v>
      </c>
      <c r="R1228" s="4" t="s">
        <v>87</v>
      </c>
      <c r="S1228" t="s">
        <v>4</v>
      </c>
      <c r="T1228" t="s">
        <v>92</v>
      </c>
      <c r="U1228" t="s">
        <v>92</v>
      </c>
      <c r="V1228" t="s">
        <v>92</v>
      </c>
      <c r="W1228" t="s">
        <v>92</v>
      </c>
      <c r="X1228" t="s">
        <v>4</v>
      </c>
      <c r="Y1228" t="s">
        <v>13282</v>
      </c>
      <c r="Z1228" t="s">
        <v>13283</v>
      </c>
      <c r="AA1228" t="s">
        <v>13284</v>
      </c>
      <c r="AB1228" t="s">
        <v>4</v>
      </c>
      <c r="AC1228" s="3" t="s">
        <v>13285</v>
      </c>
      <c r="AD1228" t="s">
        <v>4</v>
      </c>
      <c r="AE1228" t="s">
        <v>13286</v>
      </c>
      <c r="AF1228" t="s">
        <v>834</v>
      </c>
      <c r="AG1228" t="s">
        <v>13287</v>
      </c>
      <c r="AH1228" t="s">
        <v>112</v>
      </c>
      <c r="AI1228" t="s">
        <v>13288</v>
      </c>
      <c r="AJ1228" t="s">
        <v>13289</v>
      </c>
      <c r="AU1228" t="s">
        <v>112</v>
      </c>
      <c r="AV1228" t="s">
        <v>13290</v>
      </c>
      <c r="AW1228" t="s">
        <v>114</v>
      </c>
      <c r="AX1228" t="s">
        <v>5688</v>
      </c>
      <c r="AY1228" t="s">
        <v>5689</v>
      </c>
      <c r="AZ1228" t="s">
        <v>4</v>
      </c>
      <c r="BA1228" s="3" t="s">
        <v>115</v>
      </c>
      <c r="BB1228" s="6" t="s">
        <v>95</v>
      </c>
      <c r="BC1228" s="3" t="s">
        <v>95</v>
      </c>
      <c r="BD1228" t="s">
        <v>4</v>
      </c>
      <c r="BE1228">
        <v>3688</v>
      </c>
      <c r="BF1228" t="s">
        <v>112</v>
      </c>
      <c r="BG1228">
        <v>98.046400000000006</v>
      </c>
      <c r="BH1228">
        <v>76.068399999999997</v>
      </c>
      <c r="BI1228">
        <v>94.383399999999995</v>
      </c>
      <c r="BJ1228">
        <v>84.249099999999999</v>
      </c>
      <c r="BK1228">
        <v>74.236900000000006</v>
      </c>
      <c r="BM1228">
        <v>78.632499999999993</v>
      </c>
      <c r="BN1228">
        <v>78.998800000000003</v>
      </c>
      <c r="BO1228">
        <v>75.335800000000006</v>
      </c>
      <c r="BP1228">
        <v>23.199000000000002</v>
      </c>
      <c r="BQ1228">
        <v>20.268599999999999</v>
      </c>
      <c r="BS1228">
        <v>23.565300000000001</v>
      </c>
      <c r="BT1228">
        <v>22.5885</v>
      </c>
      <c r="BU1228">
        <v>26.2515</v>
      </c>
      <c r="BV1228" t="s">
        <v>13291</v>
      </c>
      <c r="BW1228">
        <v>20.757000000000001</v>
      </c>
      <c r="BX1228">
        <v>22.4664</v>
      </c>
      <c r="CA1228">
        <v>23.076899999999998</v>
      </c>
      <c r="CK1228">
        <v>5</v>
      </c>
      <c r="CL1228" t="s">
        <v>4</v>
      </c>
      <c r="CM1228" t="s">
        <v>13292</v>
      </c>
      <c r="CN1228" t="s">
        <v>13293</v>
      </c>
      <c r="CO1228" t="s">
        <v>663</v>
      </c>
      <c r="CP1228" t="s">
        <v>100</v>
      </c>
      <c r="CQ1228" t="s">
        <v>100</v>
      </c>
      <c r="CR1228" t="s">
        <v>100</v>
      </c>
      <c r="CS1228" t="s">
        <v>101</v>
      </c>
      <c r="CT1228" t="s">
        <v>152</v>
      </c>
      <c r="CU1228" t="s">
        <v>102</v>
      </c>
      <c r="CV1228" t="s">
        <v>100</v>
      </c>
    </row>
    <row r="1229" spans="1:100">
      <c r="A1229" s="3" t="s">
        <v>13294</v>
      </c>
      <c r="B1229" s="4" t="s">
        <v>13295</v>
      </c>
      <c r="C1229">
        <v>42.216375307518398</v>
      </c>
      <c r="D1229">
        <v>43.348515654326</v>
      </c>
      <c r="E1229">
        <f>0.0381940429452588</f>
        <v>3.8194042945258799E-2</v>
      </c>
      <c r="F1229">
        <v>0.96336367919934696</v>
      </c>
      <c r="G1229" t="s">
        <v>4</v>
      </c>
      <c r="H1229">
        <v>42.216375307518398</v>
      </c>
      <c r="I1229">
        <v>6.2297971274167701</v>
      </c>
      <c r="J1229">
        <v>2.6922449717846999</v>
      </c>
      <c r="K1229">
        <v>3.8991638036043398E-4</v>
      </c>
      <c r="L1229" t="s">
        <v>4</v>
      </c>
      <c r="M1229">
        <v>43.348515654326</v>
      </c>
      <c r="N1229">
        <v>6.2297971274167701</v>
      </c>
      <c r="O1229">
        <v>2.73043901472996</v>
      </c>
      <c r="P1229">
        <v>2.75614649022471E-4</v>
      </c>
      <c r="Q1229" t="s">
        <v>4</v>
      </c>
      <c r="R1229" s="4" t="s">
        <v>87</v>
      </c>
      <c r="S1229" t="s">
        <v>4</v>
      </c>
      <c r="T1229" t="s">
        <v>88</v>
      </c>
      <c r="U1229" t="s">
        <v>89</v>
      </c>
      <c r="V1229" t="s">
        <v>90</v>
      </c>
      <c r="W1229" t="s">
        <v>91</v>
      </c>
      <c r="X1229" t="s">
        <v>4</v>
      </c>
      <c r="Y1229" t="s">
        <v>6345</v>
      </c>
      <c r="Z1229" t="s">
        <v>6346</v>
      </c>
      <c r="AA1229" t="s">
        <v>6347</v>
      </c>
      <c r="AB1229" t="s">
        <v>4</v>
      </c>
      <c r="AC1229" s="3" t="s">
        <v>93</v>
      </c>
      <c r="AD1229" t="s">
        <v>4</v>
      </c>
      <c r="AE1229" t="s">
        <v>3829</v>
      </c>
      <c r="AF1229" t="s">
        <v>13296</v>
      </c>
      <c r="AG1229" t="s">
        <v>13297</v>
      </c>
      <c r="AH1229" t="s">
        <v>112</v>
      </c>
      <c r="AU1229" t="s">
        <v>112</v>
      </c>
      <c r="AV1229" t="s">
        <v>3832</v>
      </c>
      <c r="AW1229" t="s">
        <v>114</v>
      </c>
      <c r="AZ1229" t="s">
        <v>4</v>
      </c>
      <c r="BA1229" s="3" t="s">
        <v>95</v>
      </c>
      <c r="BB1229" t="s">
        <v>96</v>
      </c>
      <c r="BC1229" s="3" t="s">
        <v>782</v>
      </c>
      <c r="BD1229" t="s">
        <v>4</v>
      </c>
      <c r="BE1229">
        <v>1502</v>
      </c>
      <c r="BF1229" t="s">
        <v>151</v>
      </c>
      <c r="BG1229">
        <v>98.416899999999998</v>
      </c>
      <c r="BI1229">
        <v>84.696600000000004</v>
      </c>
      <c r="CK1229">
        <v>2</v>
      </c>
      <c r="CL1229" t="s">
        <v>4</v>
      </c>
      <c r="CM1229" t="s">
        <v>98</v>
      </c>
      <c r="CN1229" t="s">
        <v>98</v>
      </c>
      <c r="CO1229" t="s">
        <v>99</v>
      </c>
      <c r="CP1229" t="s">
        <v>100</v>
      </c>
      <c r="CQ1229" t="s">
        <v>100</v>
      </c>
      <c r="CR1229" t="s">
        <v>100</v>
      </c>
      <c r="CS1229" t="s">
        <v>101</v>
      </c>
      <c r="CT1229" t="s">
        <v>152</v>
      </c>
      <c r="CU1229" t="s">
        <v>102</v>
      </c>
      <c r="CV1229" t="s">
        <v>100</v>
      </c>
    </row>
    <row r="1230" spans="1:100">
      <c r="A1230" s="3" t="s">
        <v>13298</v>
      </c>
      <c r="B1230" s="4" t="s">
        <v>13299</v>
      </c>
      <c r="C1230">
        <v>229.537383889506</v>
      </c>
      <c r="D1230">
        <v>317.24503212692099</v>
      </c>
      <c r="E1230">
        <f>0.466320641881115</f>
        <v>0.46632064188111499</v>
      </c>
      <c r="F1230">
        <v>0.44918242695916899</v>
      </c>
      <c r="G1230" t="s">
        <v>4</v>
      </c>
      <c r="H1230">
        <v>229.537383889506</v>
      </c>
      <c r="I1230">
        <v>47.263571429429703</v>
      </c>
      <c r="J1230">
        <v>2.2487196079993699</v>
      </c>
      <c r="K1230" s="5">
        <v>7.4796215101633303E-5</v>
      </c>
      <c r="L1230" t="s">
        <v>4</v>
      </c>
      <c r="M1230">
        <v>317.24503212692099</v>
      </c>
      <c r="N1230">
        <v>47.263571429429703</v>
      </c>
      <c r="O1230">
        <v>2.7150402498804902</v>
      </c>
      <c r="P1230" s="5">
        <v>9.7685830271465002E-7</v>
      </c>
      <c r="Q1230" t="s">
        <v>4</v>
      </c>
      <c r="R1230" s="4" t="s">
        <v>87</v>
      </c>
      <c r="S1230" t="s">
        <v>4</v>
      </c>
      <c r="T1230" t="s">
        <v>88</v>
      </c>
      <c r="U1230" t="s">
        <v>89</v>
      </c>
      <c r="V1230" t="s">
        <v>90</v>
      </c>
      <c r="W1230" t="s">
        <v>91</v>
      </c>
      <c r="X1230" t="s">
        <v>4</v>
      </c>
      <c r="Y1230" t="s">
        <v>92</v>
      </c>
      <c r="Z1230" t="s">
        <v>92</v>
      </c>
      <c r="AA1230" t="s">
        <v>92</v>
      </c>
      <c r="AB1230" t="s">
        <v>4</v>
      </c>
      <c r="AC1230" s="3" t="s">
        <v>93</v>
      </c>
      <c r="AD1230" t="s">
        <v>4</v>
      </c>
      <c r="AE1230" s="4" t="s">
        <v>94</v>
      </c>
      <c r="AZ1230" t="s">
        <v>4</v>
      </c>
      <c r="BA1230" s="3" t="s">
        <v>95</v>
      </c>
      <c r="BB1230" t="s">
        <v>96</v>
      </c>
      <c r="BC1230" s="3" t="s">
        <v>197</v>
      </c>
      <c r="BD1230" t="s">
        <v>4</v>
      </c>
      <c r="BE1230">
        <v>2399</v>
      </c>
      <c r="BF1230" t="s">
        <v>148</v>
      </c>
      <c r="BG1230">
        <v>71.111099999999993</v>
      </c>
      <c r="BH1230">
        <v>93.777799999999999</v>
      </c>
      <c r="BI1230">
        <v>52.444400000000002</v>
      </c>
      <c r="BJ1230">
        <v>64.888900000000007</v>
      </c>
      <c r="BK1230" t="s">
        <v>13300</v>
      </c>
      <c r="BL1230">
        <v>54.666699999999999</v>
      </c>
      <c r="BM1230">
        <v>49.333300000000001</v>
      </c>
      <c r="BN1230">
        <v>56</v>
      </c>
      <c r="BO1230" t="s">
        <v>13301</v>
      </c>
      <c r="CK1230">
        <v>3</v>
      </c>
      <c r="CL1230" t="s">
        <v>4</v>
      </c>
      <c r="CM1230" t="s">
        <v>98</v>
      </c>
      <c r="CN1230" t="s">
        <v>98</v>
      </c>
      <c r="CO1230" t="s">
        <v>99</v>
      </c>
      <c r="CP1230" t="s">
        <v>100</v>
      </c>
      <c r="CQ1230" t="s">
        <v>100</v>
      </c>
      <c r="CR1230" t="s">
        <v>100</v>
      </c>
      <c r="CS1230" t="s">
        <v>101</v>
      </c>
      <c r="CT1230" t="s">
        <v>152</v>
      </c>
      <c r="CU1230" t="s">
        <v>102</v>
      </c>
      <c r="CV1230" t="s">
        <v>100</v>
      </c>
    </row>
    <row r="1231" spans="1:100">
      <c r="A1231" s="3" t="s">
        <v>13302</v>
      </c>
      <c r="B1231" s="4" t="s">
        <v>13303</v>
      </c>
      <c r="C1231">
        <v>133.82084266073201</v>
      </c>
      <c r="D1231">
        <v>181.83199288631499</v>
      </c>
      <c r="E1231">
        <f>0.442060729884353</f>
        <v>0.44206072988435302</v>
      </c>
      <c r="F1231">
        <v>0.48269215008050997</v>
      </c>
      <c r="G1231" t="s">
        <v>4</v>
      </c>
      <c r="H1231">
        <v>133.82084266073201</v>
      </c>
      <c r="I1231">
        <v>27.981994012398498</v>
      </c>
      <c r="J1231">
        <v>2.2696688975122399</v>
      </c>
      <c r="K1231">
        <v>1.2109381603703801E-4</v>
      </c>
      <c r="L1231" t="s">
        <v>4</v>
      </c>
      <c r="M1231">
        <v>181.83199288631499</v>
      </c>
      <c r="N1231">
        <v>27.981994012398498</v>
      </c>
      <c r="O1231">
        <v>2.7117296273965898</v>
      </c>
      <c r="P1231" s="5">
        <v>2.5759003358238198E-6</v>
      </c>
      <c r="Q1231" t="s">
        <v>4</v>
      </c>
      <c r="R1231" s="4" t="s">
        <v>87</v>
      </c>
      <c r="S1231" t="s">
        <v>4</v>
      </c>
      <c r="T1231" t="s">
        <v>13304</v>
      </c>
      <c r="U1231" t="s">
        <v>13305</v>
      </c>
      <c r="V1231" t="s">
        <v>13306</v>
      </c>
      <c r="W1231" t="s">
        <v>91</v>
      </c>
      <c r="X1231" t="s">
        <v>4</v>
      </c>
      <c r="Y1231" t="s">
        <v>13307</v>
      </c>
      <c r="Z1231" t="s">
        <v>13308</v>
      </c>
      <c r="AA1231" t="s">
        <v>13309</v>
      </c>
      <c r="AB1231" t="s">
        <v>4</v>
      </c>
      <c r="AC1231" s="3" t="s">
        <v>13310</v>
      </c>
      <c r="AD1231" t="s">
        <v>4</v>
      </c>
      <c r="AE1231" t="s">
        <v>13311</v>
      </c>
      <c r="AF1231" t="s">
        <v>13312</v>
      </c>
      <c r="AG1231" t="s">
        <v>4613</v>
      </c>
      <c r="AH1231" t="s">
        <v>112</v>
      </c>
      <c r="AJ1231" t="s">
        <v>13313</v>
      </c>
      <c r="AL1231" t="s">
        <v>13314</v>
      </c>
      <c r="AQ1231" t="s">
        <v>861</v>
      </c>
      <c r="AU1231" t="s">
        <v>112</v>
      </c>
      <c r="AV1231" t="s">
        <v>13315</v>
      </c>
      <c r="AW1231" t="s">
        <v>114</v>
      </c>
      <c r="AX1231" t="s">
        <v>596</v>
      </c>
      <c r="AY1231" t="s">
        <v>13316</v>
      </c>
      <c r="AZ1231" t="s">
        <v>4</v>
      </c>
      <c r="BA1231" s="3" t="s">
        <v>115</v>
      </c>
      <c r="BB1231" s="6" t="s">
        <v>95</v>
      </c>
      <c r="BC1231" s="3" t="s">
        <v>95</v>
      </c>
      <c r="BD1231" t="s">
        <v>4</v>
      </c>
      <c r="BE1231">
        <v>6978</v>
      </c>
      <c r="BF1231" t="s">
        <v>213</v>
      </c>
      <c r="BG1231">
        <v>91.776799999999994</v>
      </c>
      <c r="BJ1231">
        <v>51.541899999999998</v>
      </c>
      <c r="BK1231">
        <v>43.024999999999999</v>
      </c>
      <c r="BM1231">
        <v>25.991199999999999</v>
      </c>
      <c r="BN1231">
        <v>51.541899999999998</v>
      </c>
      <c r="BP1231" t="s">
        <v>13317</v>
      </c>
      <c r="BR1231">
        <v>16.152699999999999</v>
      </c>
      <c r="BY1231">
        <v>11.306900000000001</v>
      </c>
      <c r="BZ1231">
        <v>12.7753</v>
      </c>
      <c r="CA1231">
        <v>23.2012</v>
      </c>
      <c r="CB1231">
        <v>9.10426</v>
      </c>
      <c r="CG1231">
        <v>16.740100000000002</v>
      </c>
      <c r="CH1231">
        <v>16.5932</v>
      </c>
      <c r="CI1231">
        <v>16.0059</v>
      </c>
      <c r="CK1231">
        <v>8</v>
      </c>
      <c r="CL1231" t="s">
        <v>4</v>
      </c>
      <c r="CM1231" t="s">
        <v>13318</v>
      </c>
      <c r="CN1231" t="s">
        <v>13319</v>
      </c>
      <c r="CO1231" t="s">
        <v>99</v>
      </c>
      <c r="CP1231" t="s">
        <v>100</v>
      </c>
      <c r="CQ1231" t="s">
        <v>100</v>
      </c>
      <c r="CR1231" t="s">
        <v>100</v>
      </c>
      <c r="CS1231" t="s">
        <v>101</v>
      </c>
      <c r="CT1231" t="s">
        <v>152</v>
      </c>
      <c r="CU1231" t="s">
        <v>102</v>
      </c>
      <c r="CV1231" t="s">
        <v>100</v>
      </c>
    </row>
    <row r="1232" spans="1:100">
      <c r="A1232" s="3" t="s">
        <v>13320</v>
      </c>
      <c r="B1232" s="4" t="s">
        <v>13321</v>
      </c>
      <c r="C1232">
        <v>33.247061429901699</v>
      </c>
      <c r="D1232">
        <v>25.6588001832137</v>
      </c>
      <c r="E1232">
        <v>0.37358828163185698</v>
      </c>
      <c r="F1232">
        <v>0.68314453790178598</v>
      </c>
      <c r="G1232" t="s">
        <v>4</v>
      </c>
      <c r="H1232">
        <v>33.247061429901699</v>
      </c>
      <c r="I1232">
        <v>4.1763841388674701</v>
      </c>
      <c r="J1232">
        <v>3.0764768313835198</v>
      </c>
      <c r="K1232">
        <v>1.01748034712555E-3</v>
      </c>
      <c r="L1232" t="s">
        <v>4</v>
      </c>
      <c r="M1232">
        <v>25.6588001832137</v>
      </c>
      <c r="N1232">
        <v>4.1763841388674701</v>
      </c>
      <c r="O1232">
        <v>2.7028885497516599</v>
      </c>
      <c r="P1232">
        <v>3.9833638603521499E-3</v>
      </c>
      <c r="Q1232" t="s">
        <v>4</v>
      </c>
      <c r="R1232" s="4" t="s">
        <v>87</v>
      </c>
      <c r="S1232" t="s">
        <v>4</v>
      </c>
      <c r="T1232" t="s">
        <v>92</v>
      </c>
      <c r="U1232" t="s">
        <v>92</v>
      </c>
      <c r="V1232" t="s">
        <v>92</v>
      </c>
      <c r="W1232" t="s">
        <v>92</v>
      </c>
      <c r="X1232" t="s">
        <v>4</v>
      </c>
      <c r="Y1232" t="s">
        <v>92</v>
      </c>
      <c r="Z1232" t="s">
        <v>92</v>
      </c>
      <c r="AA1232" t="s">
        <v>92</v>
      </c>
      <c r="AB1232" t="s">
        <v>4</v>
      </c>
      <c r="AC1232" s="3" t="s">
        <v>93</v>
      </c>
      <c r="AD1232" t="s">
        <v>4</v>
      </c>
      <c r="AE1232" t="s">
        <v>772</v>
      </c>
      <c r="AF1232" t="s">
        <v>13322</v>
      </c>
      <c r="AG1232" t="s">
        <v>13323</v>
      </c>
      <c r="AH1232" t="s">
        <v>314</v>
      </c>
      <c r="AU1232" t="s">
        <v>112</v>
      </c>
      <c r="AV1232" t="s">
        <v>775</v>
      </c>
      <c r="AW1232" t="s">
        <v>114</v>
      </c>
      <c r="AZ1232" t="s">
        <v>4</v>
      </c>
      <c r="BA1232" s="3" t="s">
        <v>95</v>
      </c>
      <c r="BB1232" s="6" t="s">
        <v>95</v>
      </c>
      <c r="BC1232" s="3" t="s">
        <v>95</v>
      </c>
      <c r="BD1232" t="s">
        <v>4</v>
      </c>
      <c r="BE1232">
        <v>1256</v>
      </c>
      <c r="BF1232" t="s">
        <v>151</v>
      </c>
      <c r="BJ1232">
        <v>9.7744400000000002</v>
      </c>
      <c r="CK1232">
        <v>2</v>
      </c>
      <c r="CL1232" t="s">
        <v>4</v>
      </c>
      <c r="CM1232" t="s">
        <v>98</v>
      </c>
      <c r="CN1232" t="s">
        <v>98</v>
      </c>
      <c r="CO1232" t="s">
        <v>99</v>
      </c>
      <c r="CP1232" t="s">
        <v>100</v>
      </c>
      <c r="CQ1232" t="s">
        <v>100</v>
      </c>
      <c r="CR1232" t="s">
        <v>100</v>
      </c>
      <c r="CS1232" t="s">
        <v>101</v>
      </c>
      <c r="CT1232" t="s">
        <v>152</v>
      </c>
      <c r="CU1232" t="s">
        <v>102</v>
      </c>
      <c r="CV1232" t="s">
        <v>100</v>
      </c>
    </row>
    <row r="1233" spans="1:100">
      <c r="A1233" s="3" t="s">
        <v>13324</v>
      </c>
      <c r="B1233" s="4" t="s">
        <v>13325</v>
      </c>
      <c r="C1233">
        <v>2564.5151490971998</v>
      </c>
      <c r="D1233">
        <v>1467.86427221495</v>
      </c>
      <c r="E1233">
        <v>0.80473692601616698</v>
      </c>
      <c r="F1233">
        <v>1.5621954836796501E-3</v>
      </c>
      <c r="G1233" t="s">
        <v>4</v>
      </c>
      <c r="H1233">
        <v>2564.5151490971998</v>
      </c>
      <c r="I1233">
        <v>224.86164200856001</v>
      </c>
      <c r="J1233">
        <v>3.5039418381642</v>
      </c>
      <c r="K1233" s="5">
        <v>7.0276075757545702E-48</v>
      </c>
      <c r="L1233" t="s">
        <v>4</v>
      </c>
      <c r="M1233">
        <v>1467.86427221495</v>
      </c>
      <c r="N1233">
        <v>224.86164200856001</v>
      </c>
      <c r="O1233">
        <v>2.6992049121480299</v>
      </c>
      <c r="P1233" s="5">
        <v>7.7991569080405204E-29</v>
      </c>
      <c r="Q1233" t="s">
        <v>4</v>
      </c>
      <c r="R1233" s="4" t="s">
        <v>87</v>
      </c>
      <c r="S1233" t="s">
        <v>4</v>
      </c>
      <c r="T1233" t="s">
        <v>13326</v>
      </c>
      <c r="U1233" t="s">
        <v>13327</v>
      </c>
      <c r="V1233" t="s">
        <v>13328</v>
      </c>
      <c r="W1233" t="s">
        <v>328</v>
      </c>
      <c r="X1233" t="s">
        <v>4</v>
      </c>
      <c r="Y1233" t="s">
        <v>13329</v>
      </c>
      <c r="Z1233" t="s">
        <v>13330</v>
      </c>
      <c r="AA1233" t="s">
        <v>13331</v>
      </c>
      <c r="AB1233" t="s">
        <v>4</v>
      </c>
      <c r="AC1233" s="3" t="s">
        <v>13332</v>
      </c>
      <c r="AD1233" t="s">
        <v>4</v>
      </c>
      <c r="AE1233" t="s">
        <v>13333</v>
      </c>
      <c r="AF1233" t="s">
        <v>834</v>
      </c>
      <c r="AG1233" t="s">
        <v>13334</v>
      </c>
      <c r="AH1233" t="s">
        <v>112</v>
      </c>
      <c r="AK1233" t="s">
        <v>12544</v>
      </c>
      <c r="AL1233" t="s">
        <v>13335</v>
      </c>
      <c r="AM1233" t="s">
        <v>13336</v>
      </c>
      <c r="AN1233" t="s">
        <v>13337</v>
      </c>
      <c r="AO1233" t="s">
        <v>12548</v>
      </c>
      <c r="AP1233" t="s">
        <v>7603</v>
      </c>
      <c r="AQ1233" t="s">
        <v>13338</v>
      </c>
      <c r="AU1233" t="s">
        <v>112</v>
      </c>
      <c r="AV1233" t="s">
        <v>13339</v>
      </c>
      <c r="AW1233" t="s">
        <v>114</v>
      </c>
      <c r="AX1233" t="s">
        <v>733</v>
      </c>
      <c r="AY1233" t="s">
        <v>13340</v>
      </c>
      <c r="AZ1233" t="s">
        <v>4</v>
      </c>
      <c r="BA1233" s="3" t="s">
        <v>115</v>
      </c>
      <c r="BB1233" s="6" t="s">
        <v>95</v>
      </c>
      <c r="BC1233" s="3" t="s">
        <v>95</v>
      </c>
      <c r="BD1233" t="s">
        <v>4</v>
      </c>
      <c r="BE1233">
        <v>9076</v>
      </c>
      <c r="BF1233" t="s">
        <v>169</v>
      </c>
      <c r="BG1233">
        <v>98.771299999999997</v>
      </c>
      <c r="BH1233" t="s">
        <v>13341</v>
      </c>
      <c r="BI1233">
        <v>96.361099999999993</v>
      </c>
      <c r="BJ1233">
        <v>89.602999999999994</v>
      </c>
      <c r="BK1233">
        <v>84.404499999999999</v>
      </c>
      <c r="BL1233" t="s">
        <v>13342</v>
      </c>
      <c r="BM1233">
        <v>84.877099999999999</v>
      </c>
      <c r="BN1233">
        <v>86.861999999999995</v>
      </c>
      <c r="BO1233">
        <v>86.578500000000005</v>
      </c>
      <c r="BP1233" t="s">
        <v>13343</v>
      </c>
      <c r="BQ1233">
        <v>48.298699999999997</v>
      </c>
      <c r="BR1233">
        <v>48.487699999999997</v>
      </c>
      <c r="BS1233">
        <v>29.442299999999999</v>
      </c>
      <c r="BT1233" t="s">
        <v>13344</v>
      </c>
      <c r="BU1233">
        <v>45.699399999999997</v>
      </c>
      <c r="BV1233" t="s">
        <v>13345</v>
      </c>
      <c r="BW1233">
        <v>45.888500000000001</v>
      </c>
      <c r="BX1233">
        <v>50.519799999999996</v>
      </c>
      <c r="BY1233">
        <v>5.8601099999999997</v>
      </c>
      <c r="BZ1233" t="s">
        <v>13346</v>
      </c>
      <c r="CA1233">
        <v>48.6295</v>
      </c>
      <c r="CB1233" t="s">
        <v>13347</v>
      </c>
      <c r="CC1233">
        <v>39.272199999999998</v>
      </c>
      <c r="CD1233">
        <v>39.319499999999998</v>
      </c>
      <c r="CE1233">
        <v>40.217399999999998</v>
      </c>
      <c r="CF1233">
        <v>43.478299999999997</v>
      </c>
      <c r="CG1233">
        <v>46.266500000000001</v>
      </c>
      <c r="CH1233">
        <v>45.888500000000001</v>
      </c>
      <c r="CI1233">
        <v>45.463099999999997</v>
      </c>
      <c r="CJ1233">
        <v>36.342199999999998</v>
      </c>
      <c r="CK1233">
        <v>9</v>
      </c>
      <c r="CL1233" t="s">
        <v>4</v>
      </c>
      <c r="CM1233" t="s">
        <v>13348</v>
      </c>
      <c r="CN1233" t="s">
        <v>13349</v>
      </c>
      <c r="CO1233" t="s">
        <v>219</v>
      </c>
      <c r="CP1233" t="s">
        <v>100</v>
      </c>
      <c r="CQ1233" t="s">
        <v>100</v>
      </c>
      <c r="CR1233" t="s">
        <v>100</v>
      </c>
      <c r="CS1233" t="s">
        <v>101</v>
      </c>
      <c r="CT1233" t="s">
        <v>152</v>
      </c>
      <c r="CU1233" t="s">
        <v>102</v>
      </c>
      <c r="CV1233" t="s">
        <v>100</v>
      </c>
    </row>
    <row r="1234" spans="1:100">
      <c r="A1234" s="3" t="s">
        <v>13350</v>
      </c>
      <c r="B1234" s="4" t="s">
        <v>13351</v>
      </c>
      <c r="C1234">
        <v>22.572043592656801</v>
      </c>
      <c r="D1234">
        <v>17.128384164270798</v>
      </c>
      <c r="E1234">
        <v>0.39159830016342501</v>
      </c>
      <c r="F1234">
        <v>0.61299313962166002</v>
      </c>
      <c r="G1234" t="s">
        <v>4</v>
      </c>
      <c r="H1234">
        <v>22.572043592656801</v>
      </c>
      <c r="I1234">
        <v>2.6214505072221801</v>
      </c>
      <c r="J1234">
        <v>3.0741274520457802</v>
      </c>
      <c r="K1234">
        <v>7.4473351221047805E-4</v>
      </c>
      <c r="L1234" t="s">
        <v>4</v>
      </c>
      <c r="M1234">
        <v>17.128384164270798</v>
      </c>
      <c r="N1234">
        <v>2.6214505072221801</v>
      </c>
      <c r="O1234">
        <v>2.6825291518823602</v>
      </c>
      <c r="P1234">
        <v>3.4586159673273098E-3</v>
      </c>
      <c r="Q1234" t="s">
        <v>4</v>
      </c>
      <c r="R1234" s="4" t="s">
        <v>87</v>
      </c>
      <c r="S1234" t="s">
        <v>4</v>
      </c>
      <c r="T1234" t="s">
        <v>92</v>
      </c>
      <c r="U1234" t="s">
        <v>92</v>
      </c>
      <c r="V1234" t="s">
        <v>92</v>
      </c>
      <c r="W1234" t="s">
        <v>92</v>
      </c>
      <c r="X1234" t="s">
        <v>4</v>
      </c>
      <c r="Y1234" t="s">
        <v>92</v>
      </c>
      <c r="Z1234" t="s">
        <v>92</v>
      </c>
      <c r="AA1234" t="s">
        <v>92</v>
      </c>
      <c r="AB1234" t="s">
        <v>4</v>
      </c>
      <c r="AC1234" s="3" t="s">
        <v>93</v>
      </c>
      <c r="AD1234" t="s">
        <v>4</v>
      </c>
      <c r="AE1234" s="4" t="s">
        <v>94</v>
      </c>
      <c r="AZ1234" t="s">
        <v>4</v>
      </c>
      <c r="BA1234" s="3" t="s">
        <v>95</v>
      </c>
      <c r="BB1234" s="6" t="s">
        <v>95</v>
      </c>
      <c r="BC1234" s="3" t="s">
        <v>95</v>
      </c>
      <c r="BD1234" t="s">
        <v>4</v>
      </c>
      <c r="BE1234">
        <v>1632</v>
      </c>
      <c r="BF1234" t="s">
        <v>151</v>
      </c>
      <c r="BG1234">
        <v>92.647099999999995</v>
      </c>
      <c r="BH1234">
        <v>100</v>
      </c>
      <c r="BI1234">
        <v>60.2941</v>
      </c>
      <c r="CK1234">
        <v>2</v>
      </c>
      <c r="CL1234" t="s">
        <v>4</v>
      </c>
      <c r="CM1234" t="s">
        <v>98</v>
      </c>
      <c r="CN1234" t="s">
        <v>98</v>
      </c>
      <c r="CO1234" t="s">
        <v>99</v>
      </c>
      <c r="CP1234" t="s">
        <v>100</v>
      </c>
      <c r="CQ1234" t="s">
        <v>100</v>
      </c>
      <c r="CR1234" t="s">
        <v>100</v>
      </c>
      <c r="CS1234" t="s">
        <v>101</v>
      </c>
      <c r="CT1234" t="s">
        <v>152</v>
      </c>
      <c r="CU1234" t="s">
        <v>102</v>
      </c>
      <c r="CV1234" t="s">
        <v>100</v>
      </c>
    </row>
    <row r="1235" spans="1:100">
      <c r="A1235" s="3" t="s">
        <v>13352</v>
      </c>
      <c r="B1235" s="4" t="s">
        <v>13353</v>
      </c>
      <c r="C1235">
        <v>77.357194144114303</v>
      </c>
      <c r="D1235">
        <v>123.05904992326801</v>
      </c>
      <c r="E1235">
        <f>0.669941478104349</f>
        <v>0.66994147810434901</v>
      </c>
      <c r="F1235">
        <v>0.18882537061688101</v>
      </c>
      <c r="G1235" t="s">
        <v>4</v>
      </c>
      <c r="H1235">
        <v>77.357194144114303</v>
      </c>
      <c r="I1235">
        <v>19.7507749039709</v>
      </c>
      <c r="J1235">
        <v>1.9942355344911999</v>
      </c>
      <c r="K1235">
        <v>1.3217035182109299E-4</v>
      </c>
      <c r="L1235" t="s">
        <v>4</v>
      </c>
      <c r="M1235">
        <v>123.05904992326801</v>
      </c>
      <c r="N1235">
        <v>19.7507749039709</v>
      </c>
      <c r="O1235">
        <v>2.66417701259555</v>
      </c>
      <c r="P1235" s="5">
        <v>1.3686013802107499E-7</v>
      </c>
      <c r="Q1235" t="s">
        <v>4</v>
      </c>
      <c r="R1235" s="4" t="s">
        <v>87</v>
      </c>
      <c r="S1235" t="s">
        <v>4</v>
      </c>
      <c r="T1235" t="s">
        <v>4897</v>
      </c>
      <c r="U1235" t="s">
        <v>4898</v>
      </c>
      <c r="V1235" t="s">
        <v>4899</v>
      </c>
      <c r="W1235" t="s">
        <v>203</v>
      </c>
      <c r="X1235" t="s">
        <v>4</v>
      </c>
      <c r="Y1235" t="s">
        <v>4900</v>
      </c>
      <c r="Z1235" t="s">
        <v>4901</v>
      </c>
      <c r="AA1235" t="s">
        <v>4902</v>
      </c>
      <c r="AB1235" t="s">
        <v>4</v>
      </c>
      <c r="AC1235" s="3" t="s">
        <v>93</v>
      </c>
      <c r="AD1235" t="s">
        <v>4</v>
      </c>
      <c r="AE1235" t="s">
        <v>13354</v>
      </c>
      <c r="AF1235" t="s">
        <v>13355</v>
      </c>
      <c r="AG1235" t="s">
        <v>13356</v>
      </c>
      <c r="AH1235" t="s">
        <v>314</v>
      </c>
      <c r="AU1235" t="s">
        <v>112</v>
      </c>
      <c r="AV1235" t="s">
        <v>13357</v>
      </c>
      <c r="AW1235" t="s">
        <v>114</v>
      </c>
      <c r="AX1235" t="s">
        <v>132</v>
      </c>
      <c r="AY1235" t="s">
        <v>2299</v>
      </c>
      <c r="AZ1235" t="s">
        <v>4</v>
      </c>
      <c r="BA1235" s="3" t="s">
        <v>115</v>
      </c>
      <c r="BB1235" s="6" t="s">
        <v>95</v>
      </c>
      <c r="BC1235" s="3" t="s">
        <v>95</v>
      </c>
      <c r="BD1235" t="s">
        <v>4</v>
      </c>
      <c r="BE1235">
        <v>4741</v>
      </c>
      <c r="BF1235" t="s">
        <v>282</v>
      </c>
      <c r="BG1235">
        <v>89.717200000000005</v>
      </c>
      <c r="BJ1235">
        <v>14.91</v>
      </c>
      <c r="BK1235">
        <v>33.290500000000002</v>
      </c>
      <c r="BM1235">
        <v>45.115699999999997</v>
      </c>
      <c r="BN1235">
        <v>56.8123</v>
      </c>
      <c r="BO1235">
        <v>17.3522</v>
      </c>
      <c r="BP1235" t="s">
        <v>13358</v>
      </c>
      <c r="BR1235" t="s">
        <v>13359</v>
      </c>
      <c r="BS1235">
        <v>16.066800000000001</v>
      </c>
      <c r="BW1235" t="s">
        <v>13360</v>
      </c>
      <c r="BZ1235">
        <v>12.981999999999999</v>
      </c>
      <c r="CK1235">
        <v>6</v>
      </c>
      <c r="CL1235" t="s">
        <v>4</v>
      </c>
      <c r="CM1235" t="s">
        <v>98</v>
      </c>
      <c r="CN1235" t="s">
        <v>98</v>
      </c>
      <c r="CO1235" t="s">
        <v>99</v>
      </c>
      <c r="CP1235" t="s">
        <v>100</v>
      </c>
      <c r="CQ1235" t="s">
        <v>100</v>
      </c>
      <c r="CR1235" t="s">
        <v>100</v>
      </c>
      <c r="CS1235" s="7" t="s">
        <v>101</v>
      </c>
      <c r="CT1235" t="s">
        <v>152</v>
      </c>
      <c r="CU1235" t="s">
        <v>102</v>
      </c>
      <c r="CV1235" t="s">
        <v>100</v>
      </c>
    </row>
    <row r="1236" spans="1:100">
      <c r="A1236" s="3" t="s">
        <v>13361</v>
      </c>
      <c r="B1236" s="4" t="s">
        <v>13362</v>
      </c>
      <c r="C1236">
        <v>531.07545922185705</v>
      </c>
      <c r="D1236">
        <v>284.75817255868799</v>
      </c>
      <c r="E1236">
        <v>0.90030468385831997</v>
      </c>
      <c r="F1236">
        <v>1.23937998065115E-2</v>
      </c>
      <c r="G1236" t="s">
        <v>4</v>
      </c>
      <c r="H1236">
        <v>531.07545922185705</v>
      </c>
      <c r="I1236">
        <v>43.852024828621097</v>
      </c>
      <c r="J1236">
        <v>3.5620298655856901</v>
      </c>
      <c r="K1236" s="5">
        <v>1.73670313321567E-23</v>
      </c>
      <c r="L1236" t="s">
        <v>4</v>
      </c>
      <c r="M1236">
        <v>284.75817255868799</v>
      </c>
      <c r="N1236">
        <v>43.852024828621097</v>
      </c>
      <c r="O1236">
        <v>2.6617251817273702</v>
      </c>
      <c r="P1236" s="5">
        <v>1.5276192168962001E-13</v>
      </c>
      <c r="Q1236" t="s">
        <v>4</v>
      </c>
      <c r="R1236" s="4" t="s">
        <v>87</v>
      </c>
      <c r="S1236" t="s">
        <v>4</v>
      </c>
      <c r="T1236" t="s">
        <v>92</v>
      </c>
      <c r="U1236" t="s">
        <v>92</v>
      </c>
      <c r="V1236" t="s">
        <v>92</v>
      </c>
      <c r="W1236" t="s">
        <v>92</v>
      </c>
      <c r="X1236" t="s">
        <v>4</v>
      </c>
      <c r="Y1236" t="s">
        <v>92</v>
      </c>
      <c r="Z1236" t="s">
        <v>92</v>
      </c>
      <c r="AA1236" t="s">
        <v>92</v>
      </c>
      <c r="AB1236" t="s">
        <v>4</v>
      </c>
      <c r="AC1236" s="3" t="s">
        <v>93</v>
      </c>
      <c r="AD1236" t="s">
        <v>4</v>
      </c>
      <c r="AE1236" s="4" t="s">
        <v>94</v>
      </c>
      <c r="AZ1236" t="s">
        <v>4</v>
      </c>
      <c r="BA1236" s="3" t="s">
        <v>95</v>
      </c>
      <c r="BB1236" s="6" t="s">
        <v>95</v>
      </c>
      <c r="BC1236" s="3" t="s">
        <v>95</v>
      </c>
      <c r="BD1236" t="s">
        <v>4</v>
      </c>
      <c r="BE1236">
        <v>2965</v>
      </c>
      <c r="BF1236" t="s">
        <v>97</v>
      </c>
      <c r="BG1236">
        <v>91.364900000000006</v>
      </c>
      <c r="BH1236">
        <v>94.150400000000005</v>
      </c>
      <c r="BI1236">
        <v>87.186599999999999</v>
      </c>
      <c r="BJ1236" t="s">
        <v>13363</v>
      </c>
      <c r="BK1236">
        <v>70.194999999999993</v>
      </c>
      <c r="BL1236">
        <v>38.440100000000001</v>
      </c>
      <c r="BM1236">
        <v>73.537599999999998</v>
      </c>
      <c r="BN1236">
        <v>73.537599999999998</v>
      </c>
      <c r="BO1236">
        <v>76.044600000000003</v>
      </c>
      <c r="CK1236">
        <v>4</v>
      </c>
      <c r="CL1236" t="s">
        <v>4</v>
      </c>
      <c r="CM1236" t="s">
        <v>98</v>
      </c>
      <c r="CN1236" t="s">
        <v>98</v>
      </c>
      <c r="CO1236" t="s">
        <v>99</v>
      </c>
      <c r="CP1236" t="s">
        <v>100</v>
      </c>
      <c r="CQ1236" t="s">
        <v>100</v>
      </c>
      <c r="CR1236" t="s">
        <v>100</v>
      </c>
      <c r="CS1236" t="s">
        <v>101</v>
      </c>
      <c r="CT1236" t="s">
        <v>152</v>
      </c>
      <c r="CU1236" t="s">
        <v>102</v>
      </c>
      <c r="CV1236" t="s">
        <v>100</v>
      </c>
    </row>
    <row r="1237" spans="1:100">
      <c r="A1237" s="3" t="s">
        <v>13364</v>
      </c>
      <c r="B1237" s="4" t="s">
        <v>13365</v>
      </c>
      <c r="C1237">
        <v>22.682616647071299</v>
      </c>
      <c r="D1237">
        <v>28.708937452750799</v>
      </c>
      <c r="E1237">
        <f>0.332956986420332</f>
        <v>0.332956986420332</v>
      </c>
      <c r="F1237">
        <v>0.73235879515358904</v>
      </c>
      <c r="G1237" t="s">
        <v>4</v>
      </c>
      <c r="H1237">
        <v>22.682616647071299</v>
      </c>
      <c r="I1237">
        <v>4.5688655087325198</v>
      </c>
      <c r="J1237">
        <v>2.3272731817693599</v>
      </c>
      <c r="K1237">
        <v>1.6798493896061899E-2</v>
      </c>
      <c r="L1237" t="s">
        <v>4</v>
      </c>
      <c r="M1237">
        <v>28.708937452750799</v>
      </c>
      <c r="N1237">
        <v>4.5688655087325198</v>
      </c>
      <c r="O1237">
        <v>2.6602301681896998</v>
      </c>
      <c r="P1237">
        <v>5.3296271130084697E-3</v>
      </c>
      <c r="Q1237" t="s">
        <v>4</v>
      </c>
      <c r="R1237" s="4" t="s">
        <v>87</v>
      </c>
      <c r="S1237" t="s">
        <v>4</v>
      </c>
      <c r="T1237" t="s">
        <v>92</v>
      </c>
      <c r="U1237" t="s">
        <v>92</v>
      </c>
      <c r="V1237" t="s">
        <v>92</v>
      </c>
      <c r="W1237" t="s">
        <v>92</v>
      </c>
      <c r="X1237" t="s">
        <v>4</v>
      </c>
      <c r="Y1237" t="s">
        <v>92</v>
      </c>
      <c r="Z1237" t="s">
        <v>92</v>
      </c>
      <c r="AA1237" t="s">
        <v>92</v>
      </c>
      <c r="AB1237" t="s">
        <v>4</v>
      </c>
      <c r="AC1237" s="3" t="s">
        <v>93</v>
      </c>
      <c r="AD1237" t="s">
        <v>4</v>
      </c>
      <c r="AE1237" s="4" t="s">
        <v>94</v>
      </c>
      <c r="AZ1237" t="s">
        <v>4</v>
      </c>
      <c r="BA1237" s="3" t="s">
        <v>95</v>
      </c>
      <c r="BB1237" s="6" t="s">
        <v>95</v>
      </c>
      <c r="BC1237" s="3" t="s">
        <v>197</v>
      </c>
      <c r="BD1237" t="s">
        <v>4</v>
      </c>
      <c r="BE1237">
        <v>2049</v>
      </c>
      <c r="BF1237" t="s">
        <v>148</v>
      </c>
      <c r="BG1237">
        <v>97.247699999999995</v>
      </c>
      <c r="BH1237">
        <v>100</v>
      </c>
      <c r="BI1237">
        <v>89.908299999999997</v>
      </c>
      <c r="BJ1237">
        <v>67.889899999999997</v>
      </c>
      <c r="BO1237">
        <v>60.5505</v>
      </c>
      <c r="CK1237">
        <v>3</v>
      </c>
      <c r="CL1237" t="s">
        <v>4</v>
      </c>
      <c r="CM1237" t="s">
        <v>98</v>
      </c>
      <c r="CN1237" t="s">
        <v>98</v>
      </c>
      <c r="CO1237" t="s">
        <v>99</v>
      </c>
      <c r="CP1237" t="s">
        <v>100</v>
      </c>
      <c r="CQ1237" t="s">
        <v>100</v>
      </c>
      <c r="CR1237" t="s">
        <v>100</v>
      </c>
      <c r="CS1237" s="7" t="s">
        <v>101</v>
      </c>
      <c r="CT1237" t="s">
        <v>152</v>
      </c>
      <c r="CU1237" t="s">
        <v>102</v>
      </c>
      <c r="CV1237" t="s">
        <v>100</v>
      </c>
    </row>
    <row r="1238" spans="1:100">
      <c r="A1238" s="3" t="s">
        <v>13366</v>
      </c>
      <c r="B1238" s="4" t="s">
        <v>13367</v>
      </c>
      <c r="C1238">
        <v>3583.4443637446202</v>
      </c>
      <c r="D1238">
        <v>3591.42866209863</v>
      </c>
      <c r="E1238">
        <f>0.00325157143809289</f>
        <v>3.2515714380928901E-3</v>
      </c>
      <c r="F1238">
        <v>0.98928467563172495</v>
      </c>
      <c r="G1238" t="s">
        <v>4</v>
      </c>
      <c r="H1238">
        <v>3583.4443637446202</v>
      </c>
      <c r="I1238">
        <v>569.76171270704697</v>
      </c>
      <c r="J1238">
        <v>2.6550036596724</v>
      </c>
      <c r="K1238" s="5">
        <v>1.46605134858522E-42</v>
      </c>
      <c r="L1238" t="s">
        <v>4</v>
      </c>
      <c r="M1238">
        <v>3591.42866209863</v>
      </c>
      <c r="N1238">
        <v>569.76171270704697</v>
      </c>
      <c r="O1238">
        <v>2.6582552311104899</v>
      </c>
      <c r="P1238" s="5">
        <v>8.5116642420625198E-43</v>
      </c>
      <c r="Q1238" t="s">
        <v>4</v>
      </c>
      <c r="R1238" s="4" t="s">
        <v>87</v>
      </c>
      <c r="S1238" t="s">
        <v>4</v>
      </c>
      <c r="T1238" t="s">
        <v>13368</v>
      </c>
      <c r="U1238" t="s">
        <v>13369</v>
      </c>
      <c r="V1238" t="s">
        <v>13370</v>
      </c>
      <c r="W1238" t="s">
        <v>328</v>
      </c>
      <c r="X1238" t="s">
        <v>4</v>
      </c>
      <c r="Y1238" t="s">
        <v>13371</v>
      </c>
      <c r="Z1238" t="s">
        <v>13372</v>
      </c>
      <c r="AA1238" t="s">
        <v>13373</v>
      </c>
      <c r="AB1238" t="s">
        <v>4</v>
      </c>
      <c r="AC1238" s="3" t="s">
        <v>13374</v>
      </c>
      <c r="AD1238" t="s">
        <v>4</v>
      </c>
      <c r="AE1238" t="s">
        <v>12540</v>
      </c>
      <c r="AF1238" t="s">
        <v>834</v>
      </c>
      <c r="AG1238" t="s">
        <v>13375</v>
      </c>
      <c r="AH1238" t="s">
        <v>112</v>
      </c>
      <c r="AJ1238" t="s">
        <v>12543</v>
      </c>
      <c r="AK1238" t="s">
        <v>12544</v>
      </c>
      <c r="AL1238" t="s">
        <v>12545</v>
      </c>
      <c r="AM1238" t="s">
        <v>12546</v>
      </c>
      <c r="AN1238" t="s">
        <v>12547</v>
      </c>
      <c r="AO1238" t="s">
        <v>12548</v>
      </c>
      <c r="AP1238" t="s">
        <v>7603</v>
      </c>
      <c r="AQ1238" t="s">
        <v>12239</v>
      </c>
      <c r="AU1238" t="s">
        <v>112</v>
      </c>
      <c r="AV1238" t="s">
        <v>12549</v>
      </c>
      <c r="AW1238" t="s">
        <v>114</v>
      </c>
      <c r="AX1238" t="s">
        <v>733</v>
      </c>
      <c r="AY1238" t="s">
        <v>12550</v>
      </c>
      <c r="AZ1238" t="s">
        <v>4</v>
      </c>
      <c r="BA1238" s="3" t="s">
        <v>115</v>
      </c>
      <c r="BB1238" s="6" t="s">
        <v>95</v>
      </c>
      <c r="BC1238" s="3" t="s">
        <v>95</v>
      </c>
      <c r="BD1238" t="s">
        <v>4</v>
      </c>
      <c r="BE1238">
        <v>10160</v>
      </c>
      <c r="BF1238" t="s">
        <v>169</v>
      </c>
      <c r="BG1238">
        <v>93.062600000000003</v>
      </c>
      <c r="BH1238">
        <v>93.823999999999998</v>
      </c>
      <c r="BI1238">
        <v>95.008499999999998</v>
      </c>
      <c r="BJ1238">
        <v>78.172600000000003</v>
      </c>
      <c r="BK1238">
        <v>76.480500000000006</v>
      </c>
      <c r="BL1238">
        <v>44.331600000000002</v>
      </c>
      <c r="BM1238">
        <v>83.417900000000003</v>
      </c>
      <c r="BN1238">
        <v>83.164100000000005</v>
      </c>
      <c r="BO1238">
        <v>77.157399999999996</v>
      </c>
      <c r="BP1238" t="s">
        <v>13376</v>
      </c>
      <c r="BQ1238">
        <v>38.832500000000003</v>
      </c>
      <c r="BR1238">
        <v>26.903600000000001</v>
      </c>
      <c r="BS1238">
        <v>19.966200000000001</v>
      </c>
      <c r="BT1238">
        <v>25.719100000000001</v>
      </c>
      <c r="BU1238">
        <v>22.927199999999999</v>
      </c>
      <c r="BV1238" t="s">
        <v>13377</v>
      </c>
      <c r="BW1238">
        <v>28.764800000000001</v>
      </c>
      <c r="BX1238">
        <v>34.010199999999998</v>
      </c>
      <c r="BY1238">
        <v>21.489000000000001</v>
      </c>
      <c r="BZ1238">
        <v>28.257200000000001</v>
      </c>
      <c r="CA1238">
        <v>31.133700000000001</v>
      </c>
      <c r="CB1238" t="s">
        <v>13378</v>
      </c>
      <c r="CC1238">
        <v>25.634499999999999</v>
      </c>
      <c r="CD1238">
        <v>26.395900000000001</v>
      </c>
      <c r="CE1238">
        <v>24.450099999999999</v>
      </c>
      <c r="CF1238">
        <v>23.181000000000001</v>
      </c>
      <c r="CG1238">
        <v>27.749600000000001</v>
      </c>
      <c r="CH1238">
        <v>27.580400000000001</v>
      </c>
      <c r="CI1238">
        <v>28.088000000000001</v>
      </c>
      <c r="CJ1238">
        <v>19.712399999999999</v>
      </c>
      <c r="CK1238">
        <v>9</v>
      </c>
      <c r="CL1238" t="s">
        <v>4</v>
      </c>
      <c r="CM1238" t="s">
        <v>13379</v>
      </c>
      <c r="CN1238" t="s">
        <v>13380</v>
      </c>
      <c r="CO1238" t="s">
        <v>219</v>
      </c>
      <c r="CP1238" t="s">
        <v>100</v>
      </c>
      <c r="CQ1238" t="s">
        <v>100</v>
      </c>
      <c r="CR1238" t="s">
        <v>100</v>
      </c>
      <c r="CS1238" t="s">
        <v>101</v>
      </c>
      <c r="CT1238" t="s">
        <v>152</v>
      </c>
      <c r="CU1238" t="s">
        <v>102</v>
      </c>
      <c r="CV1238" t="s">
        <v>100</v>
      </c>
    </row>
    <row r="1239" spans="1:100">
      <c r="A1239" s="3" t="s">
        <v>13381</v>
      </c>
      <c r="B1239" s="4" t="s">
        <v>13382</v>
      </c>
      <c r="C1239">
        <v>669.55087774998105</v>
      </c>
      <c r="D1239">
        <v>1056.7928384163599</v>
      </c>
      <c r="E1239">
        <f>0.658233611814644</f>
        <v>0.65823361181464402</v>
      </c>
      <c r="F1239">
        <v>5.9602033493311501E-2</v>
      </c>
      <c r="G1239" t="s">
        <v>4</v>
      </c>
      <c r="H1239">
        <v>669.55087774998105</v>
      </c>
      <c r="I1239">
        <v>167.10178047667699</v>
      </c>
      <c r="J1239">
        <v>1.9980124907096599</v>
      </c>
      <c r="K1239" s="5">
        <v>1.07988123564459E-9</v>
      </c>
      <c r="L1239" t="s">
        <v>4</v>
      </c>
      <c r="M1239">
        <v>1056.7928384163599</v>
      </c>
      <c r="N1239">
        <v>167.10178047667699</v>
      </c>
      <c r="O1239">
        <v>2.6562461025243098</v>
      </c>
      <c r="P1239" s="5">
        <v>1.5310139983609899E-16</v>
      </c>
      <c r="Q1239" t="s">
        <v>4</v>
      </c>
      <c r="R1239" s="4" t="s">
        <v>87</v>
      </c>
      <c r="S1239" t="s">
        <v>4</v>
      </c>
      <c r="T1239" t="s">
        <v>13383</v>
      </c>
      <c r="U1239" t="s">
        <v>13384</v>
      </c>
      <c r="V1239" t="s">
        <v>13385</v>
      </c>
      <c r="W1239" t="s">
        <v>328</v>
      </c>
      <c r="X1239" t="s">
        <v>4</v>
      </c>
      <c r="Y1239" t="s">
        <v>13386</v>
      </c>
      <c r="Z1239" t="s">
        <v>13387</v>
      </c>
      <c r="AA1239" t="s">
        <v>13388</v>
      </c>
      <c r="AB1239" t="s">
        <v>4</v>
      </c>
      <c r="AC1239" s="3" t="s">
        <v>13389</v>
      </c>
      <c r="AD1239" t="s">
        <v>4</v>
      </c>
      <c r="AE1239" t="s">
        <v>13390</v>
      </c>
      <c r="AF1239" t="s">
        <v>13391</v>
      </c>
      <c r="AG1239" t="s">
        <v>13392</v>
      </c>
      <c r="AH1239" t="s">
        <v>112</v>
      </c>
      <c r="AJ1239" t="s">
        <v>13393</v>
      </c>
      <c r="AL1239" t="s">
        <v>13394</v>
      </c>
      <c r="AM1239" t="s">
        <v>8021</v>
      </c>
      <c r="AN1239" t="s">
        <v>8022</v>
      </c>
      <c r="AQ1239" t="s">
        <v>8023</v>
      </c>
      <c r="AU1239" t="s">
        <v>112</v>
      </c>
      <c r="AV1239" t="s">
        <v>13395</v>
      </c>
      <c r="AW1239" t="s">
        <v>114</v>
      </c>
      <c r="AX1239" t="s">
        <v>1879</v>
      </c>
      <c r="AY1239" t="s">
        <v>13396</v>
      </c>
      <c r="AZ1239" t="s">
        <v>4</v>
      </c>
      <c r="BA1239" s="3" t="s">
        <v>95</v>
      </c>
      <c r="BB1239" s="6" t="s">
        <v>95</v>
      </c>
      <c r="BC1239" s="3" t="s">
        <v>95</v>
      </c>
      <c r="BD1239" t="s">
        <v>4</v>
      </c>
      <c r="BE1239">
        <v>9669</v>
      </c>
      <c r="BF1239" t="s">
        <v>169</v>
      </c>
      <c r="BG1239">
        <v>80.9756</v>
      </c>
      <c r="BH1239">
        <v>100</v>
      </c>
      <c r="BI1239">
        <v>78.0488</v>
      </c>
      <c r="BJ1239">
        <v>86.829300000000003</v>
      </c>
      <c r="BK1239">
        <v>83.9024</v>
      </c>
      <c r="BL1239">
        <v>69.756100000000004</v>
      </c>
      <c r="BM1239">
        <v>70.731700000000004</v>
      </c>
      <c r="BN1239">
        <v>59.5122</v>
      </c>
      <c r="BO1239">
        <v>84.390199999999993</v>
      </c>
      <c r="BP1239">
        <v>56.5854</v>
      </c>
      <c r="BQ1239">
        <v>45.853700000000003</v>
      </c>
      <c r="BR1239">
        <v>54.634099999999997</v>
      </c>
      <c r="BS1239">
        <v>54.634099999999997</v>
      </c>
      <c r="BU1239">
        <v>39.5122</v>
      </c>
      <c r="BV1239" t="s">
        <v>13397</v>
      </c>
      <c r="BX1239">
        <v>53.658499999999997</v>
      </c>
      <c r="BZ1239">
        <v>50.731699999999996</v>
      </c>
      <c r="CA1239">
        <v>52.682899999999997</v>
      </c>
      <c r="CB1239">
        <v>40</v>
      </c>
      <c r="CC1239">
        <v>41.4634</v>
      </c>
      <c r="CD1239">
        <v>33.658499999999997</v>
      </c>
      <c r="CE1239">
        <v>28.7805</v>
      </c>
      <c r="CF1239">
        <v>35.6098</v>
      </c>
      <c r="CG1239">
        <v>28.7805</v>
      </c>
      <c r="CH1239">
        <v>28.2927</v>
      </c>
      <c r="CI1239">
        <v>31.2195</v>
      </c>
      <c r="CK1239">
        <v>9</v>
      </c>
      <c r="CL1239" t="s">
        <v>4</v>
      </c>
      <c r="CM1239" t="s">
        <v>13398</v>
      </c>
      <c r="CN1239" t="s">
        <v>13399</v>
      </c>
      <c r="CO1239" t="s">
        <v>219</v>
      </c>
      <c r="CP1239" t="s">
        <v>100</v>
      </c>
      <c r="CQ1239" t="s">
        <v>100</v>
      </c>
      <c r="CR1239" t="s">
        <v>100</v>
      </c>
      <c r="CS1239" s="7" t="s">
        <v>101</v>
      </c>
      <c r="CT1239" t="s">
        <v>152</v>
      </c>
      <c r="CU1239" t="s">
        <v>102</v>
      </c>
      <c r="CV1239" t="s">
        <v>100</v>
      </c>
    </row>
    <row r="1240" spans="1:100">
      <c r="A1240" s="3" t="s">
        <v>13400</v>
      </c>
      <c r="B1240" s="4" t="s">
        <v>13401</v>
      </c>
      <c r="C1240">
        <v>23.7273852991359</v>
      </c>
      <c r="D1240">
        <v>44.402832288718002</v>
      </c>
      <c r="E1240">
        <f>0.901833726567391</f>
        <v>0.90183372656739103</v>
      </c>
      <c r="F1240">
        <v>0.163561345339758</v>
      </c>
      <c r="G1240" t="s">
        <v>4</v>
      </c>
      <c r="H1240">
        <v>23.7273852991359</v>
      </c>
      <c r="I1240">
        <v>6.8725261617148599</v>
      </c>
      <c r="J1240">
        <v>1.75051111160094</v>
      </c>
      <c r="K1240">
        <v>1.55232882458713E-2</v>
      </c>
      <c r="L1240" t="s">
        <v>4</v>
      </c>
      <c r="M1240">
        <v>44.402832288718002</v>
      </c>
      <c r="N1240">
        <v>6.8725261617148599</v>
      </c>
      <c r="O1240">
        <v>2.6523448381683301</v>
      </c>
      <c r="P1240">
        <v>1.2353300771715501E-4</v>
      </c>
      <c r="Q1240" t="s">
        <v>4</v>
      </c>
      <c r="R1240" s="4" t="s">
        <v>87</v>
      </c>
      <c r="S1240" t="s">
        <v>4</v>
      </c>
      <c r="T1240" t="s">
        <v>13402</v>
      </c>
      <c r="U1240" t="s">
        <v>13403</v>
      </c>
      <c r="V1240" t="s">
        <v>13404</v>
      </c>
      <c r="W1240" t="s">
        <v>328</v>
      </c>
      <c r="X1240" t="s">
        <v>4</v>
      </c>
      <c r="Y1240" t="s">
        <v>13405</v>
      </c>
      <c r="Z1240" t="s">
        <v>13406</v>
      </c>
      <c r="AA1240" t="s">
        <v>13407</v>
      </c>
      <c r="AB1240" t="s">
        <v>4</v>
      </c>
      <c r="AC1240" s="3" t="s">
        <v>13408</v>
      </c>
      <c r="AD1240" t="s">
        <v>4</v>
      </c>
      <c r="AE1240" t="s">
        <v>13409</v>
      </c>
      <c r="AF1240" t="s">
        <v>13410</v>
      </c>
      <c r="AG1240" t="s">
        <v>13411</v>
      </c>
      <c r="AH1240" t="s">
        <v>112</v>
      </c>
      <c r="AK1240" t="s">
        <v>13412</v>
      </c>
      <c r="AL1240" t="s">
        <v>13413</v>
      </c>
      <c r="AM1240" t="s">
        <v>13414</v>
      </c>
      <c r="AN1240" t="s">
        <v>13415</v>
      </c>
      <c r="AO1240" t="s">
        <v>13416</v>
      </c>
      <c r="AP1240" t="s">
        <v>13417</v>
      </c>
      <c r="AQ1240" t="s">
        <v>10191</v>
      </c>
      <c r="AU1240" t="s">
        <v>112</v>
      </c>
      <c r="AV1240" t="s">
        <v>13418</v>
      </c>
      <c r="AW1240" t="s">
        <v>114</v>
      </c>
      <c r="AX1240" t="s">
        <v>13419</v>
      </c>
      <c r="AY1240" t="s">
        <v>13420</v>
      </c>
      <c r="AZ1240" t="s">
        <v>4</v>
      </c>
      <c r="BA1240" s="3" t="s">
        <v>95</v>
      </c>
      <c r="BB1240" s="6" t="s">
        <v>95</v>
      </c>
      <c r="BC1240" s="3" t="s">
        <v>95</v>
      </c>
      <c r="BD1240" t="s">
        <v>4</v>
      </c>
      <c r="BE1240">
        <v>6813</v>
      </c>
      <c r="BF1240" t="s">
        <v>213</v>
      </c>
      <c r="BG1240" t="s">
        <v>13421</v>
      </c>
      <c r="BJ1240" t="s">
        <v>13422</v>
      </c>
      <c r="BL1240">
        <v>67.503699999999995</v>
      </c>
      <c r="BM1240">
        <v>74.741500000000002</v>
      </c>
      <c r="BN1240">
        <v>74.446100000000001</v>
      </c>
      <c r="BO1240">
        <v>72.968999999999994</v>
      </c>
      <c r="BX1240">
        <v>39.143300000000004</v>
      </c>
      <c r="BZ1240">
        <v>16.691299999999998</v>
      </c>
      <c r="CA1240">
        <v>33.825699999999998</v>
      </c>
      <c r="CB1240">
        <v>2.0679500000000002</v>
      </c>
      <c r="CF1240">
        <v>6.6469699999999996</v>
      </c>
      <c r="CG1240">
        <v>8.1240799999999993</v>
      </c>
      <c r="CH1240">
        <v>8.7149199999999993</v>
      </c>
      <c r="CI1240">
        <v>8.5672099999999993</v>
      </c>
      <c r="CK1240">
        <v>8</v>
      </c>
      <c r="CL1240" t="s">
        <v>4</v>
      </c>
      <c r="CM1240" t="s">
        <v>13423</v>
      </c>
      <c r="CN1240" t="s">
        <v>13424</v>
      </c>
      <c r="CO1240" t="s">
        <v>1218</v>
      </c>
      <c r="CP1240" t="s">
        <v>100</v>
      </c>
      <c r="CQ1240" t="s">
        <v>100</v>
      </c>
      <c r="CR1240" t="s">
        <v>100</v>
      </c>
      <c r="CS1240" s="7" t="s">
        <v>101</v>
      </c>
      <c r="CT1240" t="s">
        <v>152</v>
      </c>
      <c r="CU1240" t="s">
        <v>102</v>
      </c>
      <c r="CV1240" t="s">
        <v>100</v>
      </c>
    </row>
    <row r="1241" spans="1:100">
      <c r="A1241" s="3" t="s">
        <v>13425</v>
      </c>
      <c r="B1241" s="4" t="s">
        <v>13426</v>
      </c>
      <c r="C1241">
        <v>24.760208576278099</v>
      </c>
      <c r="D1241">
        <v>25.711556248601699</v>
      </c>
      <c r="E1241">
        <f>0.0571916189157383</f>
        <v>5.7191618915738297E-2</v>
      </c>
      <c r="F1241">
        <v>0.93848349918460205</v>
      </c>
      <c r="G1241" t="s">
        <v>4</v>
      </c>
      <c r="H1241">
        <v>24.760208576278099</v>
      </c>
      <c r="I1241">
        <v>4.0669135423578302</v>
      </c>
      <c r="J1241">
        <v>2.5950493581763099</v>
      </c>
      <c r="K1241">
        <v>7.6177354777618095E-4</v>
      </c>
      <c r="L1241" t="s">
        <v>4</v>
      </c>
      <c r="M1241">
        <v>25.711556248601699</v>
      </c>
      <c r="N1241">
        <v>4.0669135423578302</v>
      </c>
      <c r="O1241">
        <v>2.6522409770920499</v>
      </c>
      <c r="P1241">
        <v>5.1018336851050997E-4</v>
      </c>
      <c r="Q1241" t="s">
        <v>4</v>
      </c>
      <c r="R1241" s="4" t="s">
        <v>87</v>
      </c>
      <c r="S1241" t="s">
        <v>4</v>
      </c>
      <c r="T1241" t="s">
        <v>460</v>
      </c>
      <c r="U1241" t="s">
        <v>461</v>
      </c>
      <c r="V1241" t="s">
        <v>462</v>
      </c>
      <c r="W1241" t="s">
        <v>123</v>
      </c>
      <c r="X1241" t="s">
        <v>4</v>
      </c>
      <c r="Y1241" t="s">
        <v>6643</v>
      </c>
      <c r="Z1241" t="s">
        <v>6644</v>
      </c>
      <c r="AA1241" t="s">
        <v>6645</v>
      </c>
      <c r="AB1241" t="s">
        <v>4</v>
      </c>
      <c r="AC1241" s="3" t="s">
        <v>93</v>
      </c>
      <c r="AD1241" t="s">
        <v>4</v>
      </c>
      <c r="AE1241" t="s">
        <v>3190</v>
      </c>
      <c r="AF1241" t="s">
        <v>11728</v>
      </c>
      <c r="AG1241" t="s">
        <v>3192</v>
      </c>
      <c r="AH1241" t="s">
        <v>112</v>
      </c>
      <c r="AJ1241" t="s">
        <v>3193</v>
      </c>
      <c r="AK1241" t="s">
        <v>3194</v>
      </c>
      <c r="AL1241" t="s">
        <v>3195</v>
      </c>
      <c r="AM1241" t="s">
        <v>3196</v>
      </c>
      <c r="AQ1241" t="s">
        <v>3197</v>
      </c>
      <c r="AU1241" t="s">
        <v>112</v>
      </c>
      <c r="AV1241" t="s">
        <v>3198</v>
      </c>
      <c r="AW1241" t="s">
        <v>114</v>
      </c>
      <c r="AX1241" t="s">
        <v>2157</v>
      </c>
      <c r="AY1241" t="s">
        <v>3199</v>
      </c>
      <c r="AZ1241" t="s">
        <v>4</v>
      </c>
      <c r="BA1241" s="3" t="s">
        <v>95</v>
      </c>
      <c r="BB1241" s="6" t="s">
        <v>95</v>
      </c>
      <c r="BC1241" s="3" t="s">
        <v>95</v>
      </c>
      <c r="BD1241" t="s">
        <v>4</v>
      </c>
      <c r="BE1241">
        <v>1686</v>
      </c>
      <c r="BF1241" t="s">
        <v>151</v>
      </c>
      <c r="BI1241">
        <v>65.0685</v>
      </c>
      <c r="BJ1241" t="s">
        <v>13427</v>
      </c>
      <c r="CK1241">
        <v>2</v>
      </c>
      <c r="CL1241" t="s">
        <v>4</v>
      </c>
      <c r="CM1241" t="s">
        <v>98</v>
      </c>
      <c r="CN1241" t="s">
        <v>98</v>
      </c>
      <c r="CO1241" t="s">
        <v>99</v>
      </c>
      <c r="CP1241" t="s">
        <v>100</v>
      </c>
      <c r="CQ1241" t="s">
        <v>100</v>
      </c>
      <c r="CR1241" t="s">
        <v>100</v>
      </c>
      <c r="CS1241" t="s">
        <v>101</v>
      </c>
      <c r="CT1241" t="s">
        <v>152</v>
      </c>
      <c r="CU1241" t="s">
        <v>102</v>
      </c>
      <c r="CV1241" t="s">
        <v>100</v>
      </c>
    </row>
    <row r="1242" spans="1:100">
      <c r="A1242" s="3" t="s">
        <v>13428</v>
      </c>
      <c r="B1242" s="4" t="s">
        <v>13429</v>
      </c>
      <c r="C1242">
        <v>2693.1903112327</v>
      </c>
      <c r="D1242">
        <v>3069.6652776586898</v>
      </c>
      <c r="E1242">
        <f>0.188980465496853</f>
        <v>0.18898046549685299</v>
      </c>
      <c r="F1242">
        <v>0.68379613762154501</v>
      </c>
      <c r="G1242" t="s">
        <v>4</v>
      </c>
      <c r="H1242">
        <v>2693.1903112327</v>
      </c>
      <c r="I1242">
        <v>490.44362191009799</v>
      </c>
      <c r="J1242">
        <v>2.4596623600151699</v>
      </c>
      <c r="K1242" s="5">
        <v>1.99736374066302E-10</v>
      </c>
      <c r="L1242" t="s">
        <v>4</v>
      </c>
      <c r="M1242">
        <v>3069.6652776586898</v>
      </c>
      <c r="N1242">
        <v>490.44362191009799</v>
      </c>
      <c r="O1242">
        <v>2.6486428255120198</v>
      </c>
      <c r="P1242" s="5">
        <v>4.5397025817819698E-12</v>
      </c>
      <c r="Q1242" t="s">
        <v>4</v>
      </c>
      <c r="R1242" s="4" t="s">
        <v>87</v>
      </c>
      <c r="S1242" t="s">
        <v>4</v>
      </c>
      <c r="T1242" t="s">
        <v>12155</v>
      </c>
      <c r="U1242" t="s">
        <v>12156</v>
      </c>
      <c r="V1242" t="s">
        <v>12157</v>
      </c>
      <c r="W1242" t="s">
        <v>203</v>
      </c>
      <c r="X1242" t="s">
        <v>4</v>
      </c>
      <c r="Y1242" t="s">
        <v>13430</v>
      </c>
      <c r="Z1242" t="s">
        <v>13431</v>
      </c>
      <c r="AA1242" t="s">
        <v>13432</v>
      </c>
      <c r="AB1242" t="s">
        <v>4</v>
      </c>
      <c r="AC1242" s="3" t="s">
        <v>13433</v>
      </c>
      <c r="AD1242" t="s">
        <v>4</v>
      </c>
      <c r="AE1242" t="s">
        <v>13434</v>
      </c>
      <c r="AF1242" t="s">
        <v>834</v>
      </c>
      <c r="AG1242" t="s">
        <v>13435</v>
      </c>
      <c r="AH1242" t="s">
        <v>112</v>
      </c>
      <c r="AJ1242" t="s">
        <v>13436</v>
      </c>
      <c r="AL1242" t="s">
        <v>13437</v>
      </c>
      <c r="AQ1242" t="s">
        <v>12257</v>
      </c>
      <c r="AU1242" t="s">
        <v>112</v>
      </c>
      <c r="AV1242" t="s">
        <v>13438</v>
      </c>
      <c r="AW1242" t="s">
        <v>114</v>
      </c>
      <c r="AX1242" t="s">
        <v>1938</v>
      </c>
      <c r="AY1242" t="s">
        <v>11312</v>
      </c>
      <c r="AZ1242" t="s">
        <v>4</v>
      </c>
      <c r="BA1242" s="3" t="s">
        <v>115</v>
      </c>
      <c r="BB1242" s="6" t="s">
        <v>95</v>
      </c>
      <c r="BC1242" s="3" t="s">
        <v>95</v>
      </c>
      <c r="BD1242" t="s">
        <v>4</v>
      </c>
      <c r="BE1242">
        <v>7416</v>
      </c>
      <c r="BF1242" t="s">
        <v>213</v>
      </c>
      <c r="BG1242">
        <v>95.863299999999995</v>
      </c>
      <c r="BH1242" t="s">
        <v>13439</v>
      </c>
      <c r="BI1242">
        <v>96.313000000000002</v>
      </c>
      <c r="BJ1242">
        <v>82.284199999999998</v>
      </c>
      <c r="BK1242">
        <v>82.284199999999998</v>
      </c>
      <c r="BL1242">
        <v>40.647500000000001</v>
      </c>
      <c r="BM1242">
        <v>85.431700000000006</v>
      </c>
      <c r="BN1242">
        <v>81.025199999999998</v>
      </c>
      <c r="BO1242">
        <v>82.194199999999995</v>
      </c>
      <c r="BP1242">
        <v>42.985599999999998</v>
      </c>
      <c r="BW1242">
        <v>30.845300000000002</v>
      </c>
      <c r="BX1242">
        <v>32.823700000000002</v>
      </c>
      <c r="BZ1242">
        <v>10.251799999999999</v>
      </c>
      <c r="CA1242">
        <v>26.978400000000001</v>
      </c>
      <c r="CB1242">
        <v>15.018000000000001</v>
      </c>
      <c r="CC1242">
        <v>25.8094</v>
      </c>
      <c r="CD1242" t="s">
        <v>13440</v>
      </c>
      <c r="CF1242">
        <v>25.2698</v>
      </c>
      <c r="CG1242" t="s">
        <v>13441</v>
      </c>
      <c r="CH1242" t="s">
        <v>13442</v>
      </c>
      <c r="CI1242" t="s">
        <v>13443</v>
      </c>
      <c r="CK1242">
        <v>8</v>
      </c>
      <c r="CL1242" t="s">
        <v>4</v>
      </c>
      <c r="CM1242" t="s">
        <v>13444</v>
      </c>
      <c r="CN1242" t="s">
        <v>13445</v>
      </c>
      <c r="CO1242" t="s">
        <v>219</v>
      </c>
      <c r="CP1242" t="s">
        <v>100</v>
      </c>
      <c r="CQ1242" t="s">
        <v>100</v>
      </c>
      <c r="CR1242" t="s">
        <v>100</v>
      </c>
      <c r="CS1242" t="s">
        <v>101</v>
      </c>
      <c r="CT1242" t="s">
        <v>152</v>
      </c>
      <c r="CU1242" t="s">
        <v>102</v>
      </c>
      <c r="CV1242" t="s">
        <v>13446</v>
      </c>
    </row>
    <row r="1243" spans="1:100">
      <c r="A1243" s="3" t="s">
        <v>13447</v>
      </c>
      <c r="B1243" s="4" t="s">
        <v>13448</v>
      </c>
      <c r="C1243">
        <v>845.55959323950401</v>
      </c>
      <c r="D1243">
        <v>1061.22500692772</v>
      </c>
      <c r="E1243">
        <f>0.327710483891646</f>
        <v>0.32771048389164598</v>
      </c>
      <c r="F1243">
        <v>0.3275142027049</v>
      </c>
      <c r="G1243" t="s">
        <v>4</v>
      </c>
      <c r="H1243">
        <v>845.55959323950401</v>
      </c>
      <c r="I1243">
        <v>169.54572910828199</v>
      </c>
      <c r="J1243">
        <v>2.3074415771582699</v>
      </c>
      <c r="K1243" s="5">
        <v>1.87266957197106E-14</v>
      </c>
      <c r="L1243" t="s">
        <v>4</v>
      </c>
      <c r="M1243">
        <v>1061.22500692772</v>
      </c>
      <c r="N1243">
        <v>169.54572910828199</v>
      </c>
      <c r="O1243">
        <v>2.6351520610499199</v>
      </c>
      <c r="P1243" s="5">
        <v>1.0771616659778999E-18</v>
      </c>
      <c r="Q1243" t="s">
        <v>4</v>
      </c>
      <c r="R1243" s="4" t="s">
        <v>87</v>
      </c>
      <c r="S1243" t="s">
        <v>4</v>
      </c>
      <c r="T1243" t="s">
        <v>13449</v>
      </c>
      <c r="U1243" t="s">
        <v>13450</v>
      </c>
      <c r="V1243" t="s">
        <v>13451</v>
      </c>
      <c r="W1243" t="s">
        <v>328</v>
      </c>
      <c r="X1243" t="s">
        <v>4</v>
      </c>
      <c r="Y1243" t="s">
        <v>13452</v>
      </c>
      <c r="Z1243" t="s">
        <v>13453</v>
      </c>
      <c r="AA1243" t="s">
        <v>13454</v>
      </c>
      <c r="AB1243" t="s">
        <v>4</v>
      </c>
      <c r="AC1243" s="3" t="s">
        <v>13455</v>
      </c>
      <c r="AD1243" t="s">
        <v>4</v>
      </c>
      <c r="AE1243" t="s">
        <v>13456</v>
      </c>
      <c r="AF1243" t="s">
        <v>834</v>
      </c>
      <c r="AG1243" t="s">
        <v>13457</v>
      </c>
      <c r="AH1243" t="s">
        <v>112</v>
      </c>
      <c r="AJ1243" t="s">
        <v>13458</v>
      </c>
      <c r="AK1243" t="s">
        <v>13459</v>
      </c>
      <c r="AL1243" t="s">
        <v>13460</v>
      </c>
      <c r="AM1243" t="s">
        <v>13461</v>
      </c>
      <c r="AQ1243" t="s">
        <v>3809</v>
      </c>
      <c r="AU1243" t="s">
        <v>112</v>
      </c>
      <c r="AV1243" t="s">
        <v>13462</v>
      </c>
      <c r="AW1243" t="s">
        <v>114</v>
      </c>
      <c r="AX1243" t="s">
        <v>132</v>
      </c>
      <c r="AY1243" t="s">
        <v>13463</v>
      </c>
      <c r="AZ1243" t="s">
        <v>4</v>
      </c>
      <c r="BA1243" s="3" t="s">
        <v>95</v>
      </c>
      <c r="BB1243" s="6" t="s">
        <v>95</v>
      </c>
      <c r="BC1243" s="3" t="s">
        <v>95</v>
      </c>
      <c r="BD1243" t="s">
        <v>4</v>
      </c>
      <c r="BE1243">
        <v>9250</v>
      </c>
      <c r="BF1243" t="s">
        <v>169</v>
      </c>
      <c r="BG1243">
        <v>48.7637</v>
      </c>
      <c r="BH1243">
        <v>99.725300000000004</v>
      </c>
      <c r="BJ1243">
        <v>88.873599999999996</v>
      </c>
      <c r="BK1243">
        <v>40.934100000000001</v>
      </c>
      <c r="BL1243">
        <v>16.2088</v>
      </c>
      <c r="BM1243">
        <v>11.9505</v>
      </c>
      <c r="BN1243">
        <v>86.538499999999999</v>
      </c>
      <c r="BO1243">
        <v>87.5</v>
      </c>
      <c r="BP1243">
        <v>41.483499999999999</v>
      </c>
      <c r="BQ1243">
        <v>59.065899999999999</v>
      </c>
      <c r="BR1243">
        <v>75</v>
      </c>
      <c r="BS1243" t="s">
        <v>13464</v>
      </c>
      <c r="BU1243">
        <v>29.395600000000002</v>
      </c>
      <c r="BV1243" t="s">
        <v>13465</v>
      </c>
      <c r="BW1243">
        <v>70.879099999999994</v>
      </c>
      <c r="BX1243">
        <v>71.977999999999994</v>
      </c>
      <c r="BY1243">
        <v>41.483499999999999</v>
      </c>
      <c r="BZ1243" t="s">
        <v>13466</v>
      </c>
      <c r="CA1243">
        <v>71.703299999999999</v>
      </c>
      <c r="CB1243">
        <v>27.3352</v>
      </c>
      <c r="CC1243" t="s">
        <v>13467</v>
      </c>
      <c r="CD1243">
        <v>5.6318700000000002</v>
      </c>
      <c r="CF1243">
        <v>59.065899999999999</v>
      </c>
      <c r="CG1243" t="s">
        <v>13468</v>
      </c>
      <c r="CH1243" t="s">
        <v>13469</v>
      </c>
      <c r="CI1243" t="s">
        <v>13470</v>
      </c>
      <c r="CJ1243">
        <v>25.274699999999999</v>
      </c>
      <c r="CK1243">
        <v>9</v>
      </c>
      <c r="CL1243" t="s">
        <v>4</v>
      </c>
      <c r="CM1243" t="s">
        <v>13471</v>
      </c>
      <c r="CN1243" t="s">
        <v>13472</v>
      </c>
      <c r="CO1243" t="s">
        <v>1218</v>
      </c>
      <c r="CP1243" t="s">
        <v>100</v>
      </c>
      <c r="CQ1243" t="s">
        <v>100</v>
      </c>
      <c r="CR1243" t="s">
        <v>100</v>
      </c>
      <c r="CS1243" t="s">
        <v>101</v>
      </c>
      <c r="CT1243" t="s">
        <v>152</v>
      </c>
      <c r="CU1243" t="s">
        <v>102</v>
      </c>
      <c r="CV1243" t="s">
        <v>100</v>
      </c>
    </row>
    <row r="1244" spans="1:100">
      <c r="A1244" s="3" t="s">
        <v>13473</v>
      </c>
      <c r="B1244" s="4" t="s">
        <v>13474</v>
      </c>
      <c r="C1244">
        <v>2611.94342434281</v>
      </c>
      <c r="D1244">
        <v>3895.5606611979902</v>
      </c>
      <c r="E1244">
        <f>0.576722996926972</f>
        <v>0.57672299692697204</v>
      </c>
      <c r="F1244">
        <v>1.8521686527757899E-2</v>
      </c>
      <c r="G1244" t="s">
        <v>4</v>
      </c>
      <c r="H1244">
        <v>2611.94342434281</v>
      </c>
      <c r="I1244">
        <v>625.82284350033501</v>
      </c>
      <c r="J1244">
        <v>2.0567163736888601</v>
      </c>
      <c r="K1244" s="5">
        <v>6.6532262054684597E-20</v>
      </c>
      <c r="L1244" t="s">
        <v>4</v>
      </c>
      <c r="M1244">
        <v>3895.5606611979902</v>
      </c>
      <c r="N1244">
        <v>625.82284350033501</v>
      </c>
      <c r="O1244">
        <v>2.6334393706158399</v>
      </c>
      <c r="P1244" s="5">
        <v>3.3967193022309399E-32</v>
      </c>
      <c r="Q1244" t="s">
        <v>4</v>
      </c>
      <c r="R1244" s="4" t="s">
        <v>87</v>
      </c>
      <c r="S1244" t="s">
        <v>4</v>
      </c>
      <c r="T1244" t="s">
        <v>2325</v>
      </c>
      <c r="U1244" t="s">
        <v>2326</v>
      </c>
      <c r="V1244" t="s">
        <v>2327</v>
      </c>
      <c r="W1244" t="s">
        <v>203</v>
      </c>
      <c r="X1244" t="s">
        <v>4</v>
      </c>
      <c r="Y1244" t="s">
        <v>204</v>
      </c>
      <c r="Z1244" t="s">
        <v>205</v>
      </c>
      <c r="AA1244" t="s">
        <v>206</v>
      </c>
      <c r="AB1244" t="s">
        <v>4</v>
      </c>
      <c r="AC1244" s="3" t="s">
        <v>207</v>
      </c>
      <c r="AD1244" t="s">
        <v>4</v>
      </c>
      <c r="AE1244" t="s">
        <v>13475</v>
      </c>
      <c r="AF1244" t="s">
        <v>834</v>
      </c>
      <c r="AG1244" t="s">
        <v>13476</v>
      </c>
      <c r="AH1244" t="s">
        <v>112</v>
      </c>
      <c r="AI1244" t="s">
        <v>13477</v>
      </c>
      <c r="AJ1244" t="s">
        <v>13478</v>
      </c>
      <c r="AK1244" t="s">
        <v>163</v>
      </c>
      <c r="AL1244" t="s">
        <v>13479</v>
      </c>
      <c r="AM1244" t="s">
        <v>13480</v>
      </c>
      <c r="AQ1244" t="s">
        <v>13481</v>
      </c>
      <c r="AU1244" t="s">
        <v>112</v>
      </c>
      <c r="AV1244" t="s">
        <v>13482</v>
      </c>
      <c r="AW1244" t="s">
        <v>114</v>
      </c>
      <c r="AX1244" t="s">
        <v>167</v>
      </c>
      <c r="AY1244" t="s">
        <v>13483</v>
      </c>
      <c r="AZ1244" t="s">
        <v>4</v>
      </c>
      <c r="BA1244" s="3" t="s">
        <v>95</v>
      </c>
      <c r="BB1244" s="6" t="s">
        <v>95</v>
      </c>
      <c r="BC1244" s="3" t="s">
        <v>95</v>
      </c>
      <c r="BD1244" t="s">
        <v>4</v>
      </c>
      <c r="BE1244">
        <v>9848</v>
      </c>
      <c r="BF1244" t="s">
        <v>169</v>
      </c>
      <c r="BG1244">
        <v>93.797499999999999</v>
      </c>
      <c r="BH1244">
        <v>44.683500000000002</v>
      </c>
      <c r="BI1244">
        <v>93.544300000000007</v>
      </c>
      <c r="BJ1244">
        <v>77.594899999999996</v>
      </c>
      <c r="BK1244">
        <v>58.607599999999998</v>
      </c>
      <c r="BL1244">
        <v>22.658200000000001</v>
      </c>
      <c r="BM1244">
        <v>56.4557</v>
      </c>
      <c r="BN1244">
        <v>67.594899999999996</v>
      </c>
      <c r="BO1244">
        <v>68.987300000000005</v>
      </c>
      <c r="BP1244">
        <v>22.278500000000001</v>
      </c>
      <c r="BQ1244">
        <v>14.303800000000001</v>
      </c>
      <c r="BR1244" t="s">
        <v>13484</v>
      </c>
      <c r="BS1244" t="s">
        <v>13485</v>
      </c>
      <c r="BT1244" t="s">
        <v>13486</v>
      </c>
      <c r="BV1244" t="s">
        <v>13487</v>
      </c>
      <c r="BW1244">
        <v>22.405100000000001</v>
      </c>
      <c r="BX1244">
        <v>22.151900000000001</v>
      </c>
      <c r="BY1244">
        <v>19.4937</v>
      </c>
      <c r="BZ1244">
        <v>15.443</v>
      </c>
      <c r="CA1244" t="s">
        <v>13488</v>
      </c>
      <c r="CB1244">
        <v>19.113900000000001</v>
      </c>
      <c r="CC1244">
        <v>15.696199999999999</v>
      </c>
      <c r="CD1244">
        <v>17.974699999999999</v>
      </c>
      <c r="CE1244">
        <v>9.3670899999999993</v>
      </c>
      <c r="CF1244">
        <v>16.8354</v>
      </c>
      <c r="CG1244">
        <v>18.354399999999998</v>
      </c>
      <c r="CH1244">
        <v>18.354399999999998</v>
      </c>
      <c r="CI1244">
        <v>17.341799999999999</v>
      </c>
      <c r="CJ1244">
        <v>11.7722</v>
      </c>
      <c r="CK1244">
        <v>9</v>
      </c>
      <c r="CL1244" t="s">
        <v>4</v>
      </c>
      <c r="CM1244" t="s">
        <v>13489</v>
      </c>
      <c r="CN1244" t="s">
        <v>13490</v>
      </c>
      <c r="CO1244" t="s">
        <v>219</v>
      </c>
      <c r="CP1244" t="s">
        <v>100</v>
      </c>
      <c r="CQ1244" t="s">
        <v>100</v>
      </c>
      <c r="CR1244" t="s">
        <v>100</v>
      </c>
      <c r="CS1244" t="s">
        <v>101</v>
      </c>
      <c r="CT1244" t="s">
        <v>152</v>
      </c>
      <c r="CU1244" t="s">
        <v>102</v>
      </c>
      <c r="CV1244" t="s">
        <v>2182</v>
      </c>
    </row>
    <row r="1245" spans="1:100">
      <c r="A1245" s="3" t="s">
        <v>13491</v>
      </c>
      <c r="B1245" s="4" t="s">
        <v>13492</v>
      </c>
      <c r="C1245">
        <v>560.69798186793696</v>
      </c>
      <c r="D1245">
        <v>1081.3451902941699</v>
      </c>
      <c r="E1245">
        <f>0.94696919050308</f>
        <v>0.94696919050308004</v>
      </c>
      <c r="F1245">
        <v>3.3154598771988702E-3</v>
      </c>
      <c r="G1245" t="s">
        <v>4</v>
      </c>
      <c r="H1245">
        <v>560.69798186793696</v>
      </c>
      <c r="I1245">
        <v>172.74819301003001</v>
      </c>
      <c r="J1245">
        <v>1.68572480954548</v>
      </c>
      <c r="K1245" s="5">
        <v>6.5750016392167501E-8</v>
      </c>
      <c r="L1245" t="s">
        <v>4</v>
      </c>
      <c r="M1245">
        <v>1081.3451902941699</v>
      </c>
      <c r="N1245">
        <v>172.74819301003001</v>
      </c>
      <c r="O1245">
        <v>2.6326940000485601</v>
      </c>
      <c r="P1245" s="5">
        <v>4.6217856215306296E-18</v>
      </c>
      <c r="Q1245" t="s">
        <v>4</v>
      </c>
      <c r="R1245" s="4" t="s">
        <v>87</v>
      </c>
      <c r="S1245" t="s">
        <v>4</v>
      </c>
      <c r="T1245" t="s">
        <v>13493</v>
      </c>
      <c r="U1245" t="s">
        <v>13494</v>
      </c>
      <c r="V1245" t="s">
        <v>13495</v>
      </c>
      <c r="W1245" t="s">
        <v>123</v>
      </c>
      <c r="X1245" t="s">
        <v>4</v>
      </c>
      <c r="Y1245" t="s">
        <v>13496</v>
      </c>
      <c r="Z1245" t="s">
        <v>13497</v>
      </c>
      <c r="AA1245" t="s">
        <v>13498</v>
      </c>
      <c r="AB1245" t="s">
        <v>4</v>
      </c>
      <c r="AC1245" s="3" t="s">
        <v>13499</v>
      </c>
      <c r="AD1245" t="s">
        <v>4</v>
      </c>
      <c r="AE1245" t="s">
        <v>13500</v>
      </c>
      <c r="AF1245" t="s">
        <v>5268</v>
      </c>
      <c r="AG1245" t="s">
        <v>13501</v>
      </c>
      <c r="AH1245" t="s">
        <v>112</v>
      </c>
      <c r="AL1245" t="s">
        <v>13502</v>
      </c>
      <c r="AQ1245" t="s">
        <v>6756</v>
      </c>
      <c r="AU1245" t="s">
        <v>112</v>
      </c>
      <c r="AV1245" t="s">
        <v>13503</v>
      </c>
      <c r="AW1245" t="s">
        <v>114</v>
      </c>
      <c r="AX1245" t="s">
        <v>144</v>
      </c>
      <c r="AY1245" t="s">
        <v>13504</v>
      </c>
      <c r="AZ1245" t="s">
        <v>4</v>
      </c>
      <c r="BA1245" s="3" t="s">
        <v>95</v>
      </c>
      <c r="BB1245" s="6" t="s">
        <v>95</v>
      </c>
      <c r="BC1245" s="3" t="s">
        <v>95</v>
      </c>
      <c r="BD1245" t="s">
        <v>4</v>
      </c>
      <c r="BE1245">
        <v>10623</v>
      </c>
      <c r="BF1245" t="s">
        <v>169</v>
      </c>
      <c r="BG1245">
        <v>98.872200000000007</v>
      </c>
      <c r="BH1245">
        <v>100</v>
      </c>
      <c r="BI1245">
        <v>97.368399999999994</v>
      </c>
      <c r="BJ1245">
        <v>90.977400000000003</v>
      </c>
      <c r="BK1245">
        <v>83.834599999999995</v>
      </c>
      <c r="BL1245" t="s">
        <v>13505</v>
      </c>
      <c r="BM1245">
        <v>93.608999999999995</v>
      </c>
      <c r="BN1245">
        <v>93.608999999999995</v>
      </c>
      <c r="BO1245">
        <v>90.2256</v>
      </c>
      <c r="BP1245">
        <v>65.037599999999998</v>
      </c>
      <c r="BQ1245">
        <v>54.135300000000001</v>
      </c>
      <c r="BR1245">
        <v>59.398499999999999</v>
      </c>
      <c r="BS1245">
        <v>55.639099999999999</v>
      </c>
      <c r="BT1245">
        <v>50</v>
      </c>
      <c r="BU1245">
        <v>50.375900000000001</v>
      </c>
      <c r="BV1245" t="s">
        <v>13506</v>
      </c>
      <c r="BW1245" t="s">
        <v>13507</v>
      </c>
      <c r="BX1245">
        <v>51.503799999999998</v>
      </c>
      <c r="BZ1245">
        <v>26.691700000000001</v>
      </c>
      <c r="CA1245">
        <v>48.872199999999999</v>
      </c>
      <c r="CK1245">
        <v>9</v>
      </c>
      <c r="CL1245" t="s">
        <v>4</v>
      </c>
      <c r="CM1245" t="s">
        <v>13508</v>
      </c>
      <c r="CN1245" t="s">
        <v>13509</v>
      </c>
      <c r="CO1245" t="s">
        <v>219</v>
      </c>
      <c r="CP1245" t="s">
        <v>100</v>
      </c>
      <c r="CQ1245" t="s">
        <v>100</v>
      </c>
      <c r="CR1245" t="s">
        <v>100</v>
      </c>
      <c r="CS1245" s="7" t="s">
        <v>101</v>
      </c>
      <c r="CT1245" t="s">
        <v>152</v>
      </c>
      <c r="CU1245" t="s">
        <v>102</v>
      </c>
      <c r="CV1245" t="s">
        <v>100</v>
      </c>
    </row>
    <row r="1246" spans="1:100">
      <c r="A1246" s="3" t="s">
        <v>13510</v>
      </c>
      <c r="B1246" s="4" t="s">
        <v>13511</v>
      </c>
      <c r="C1246">
        <v>30.521714585521799</v>
      </c>
      <c r="D1246">
        <v>57.749194843013001</v>
      </c>
      <c r="E1246">
        <f>0.918776052723683</f>
        <v>0.91877605272368301</v>
      </c>
      <c r="F1246">
        <v>0.138144255167643</v>
      </c>
      <c r="G1246" t="s">
        <v>4</v>
      </c>
      <c r="H1246">
        <v>30.521714585521799</v>
      </c>
      <c r="I1246">
        <v>9.8223884584659409</v>
      </c>
      <c r="J1246">
        <v>1.71277522193184</v>
      </c>
      <c r="K1246">
        <v>1.12316029194267E-2</v>
      </c>
      <c r="L1246" t="s">
        <v>4</v>
      </c>
      <c r="M1246">
        <v>57.749194843013001</v>
      </c>
      <c r="N1246">
        <v>9.8223884584659409</v>
      </c>
      <c r="O1246">
        <v>2.6315512746555201</v>
      </c>
      <c r="P1246" s="5">
        <v>4.5420720705261301E-5</v>
      </c>
      <c r="Q1246" t="s">
        <v>4</v>
      </c>
      <c r="R1246" s="4" t="s">
        <v>87</v>
      </c>
      <c r="S1246" t="s">
        <v>4</v>
      </c>
      <c r="T1246" t="s">
        <v>189</v>
      </c>
      <c r="U1246" t="s">
        <v>190</v>
      </c>
      <c r="V1246" t="s">
        <v>191</v>
      </c>
      <c r="W1246" t="s">
        <v>192</v>
      </c>
      <c r="X1246" t="s">
        <v>4</v>
      </c>
      <c r="Y1246" t="s">
        <v>13512</v>
      </c>
      <c r="Z1246" t="s">
        <v>13513</v>
      </c>
      <c r="AA1246" t="s">
        <v>13514</v>
      </c>
      <c r="AB1246" t="s">
        <v>4</v>
      </c>
      <c r="AC1246" s="3" t="s">
        <v>13515</v>
      </c>
      <c r="AD1246" t="s">
        <v>4</v>
      </c>
      <c r="AE1246" t="s">
        <v>13516</v>
      </c>
      <c r="AF1246" t="s">
        <v>13517</v>
      </c>
      <c r="AG1246" t="s">
        <v>859</v>
      </c>
      <c r="AH1246" t="s">
        <v>112</v>
      </c>
      <c r="AU1246" t="s">
        <v>112</v>
      </c>
      <c r="AV1246" t="s">
        <v>13518</v>
      </c>
      <c r="AW1246" t="s">
        <v>114</v>
      </c>
      <c r="AX1246" t="s">
        <v>144</v>
      </c>
      <c r="AY1246" t="s">
        <v>1908</v>
      </c>
      <c r="AZ1246" t="s">
        <v>4</v>
      </c>
      <c r="BA1246" s="3" t="s">
        <v>95</v>
      </c>
      <c r="BB1246" t="s">
        <v>96</v>
      </c>
      <c r="BC1246" s="3" t="s">
        <v>95</v>
      </c>
      <c r="BD1246" t="s">
        <v>4</v>
      </c>
      <c r="BE1246">
        <v>2482</v>
      </c>
      <c r="BF1246" t="s">
        <v>97</v>
      </c>
      <c r="BG1246">
        <v>91.093100000000007</v>
      </c>
      <c r="BH1246">
        <v>98.785399999999996</v>
      </c>
      <c r="BI1246">
        <v>95.1417</v>
      </c>
      <c r="BJ1246">
        <v>75.708500000000001</v>
      </c>
      <c r="BK1246">
        <v>65.991900000000001</v>
      </c>
      <c r="BM1246">
        <v>65.182199999999995</v>
      </c>
      <c r="BN1246">
        <v>73.684200000000004</v>
      </c>
      <c r="BO1246">
        <v>77.732799999999997</v>
      </c>
      <c r="BP1246">
        <v>42.1053</v>
      </c>
      <c r="CK1246">
        <v>4</v>
      </c>
      <c r="CL1246" t="s">
        <v>4</v>
      </c>
      <c r="CM1246" t="s">
        <v>98</v>
      </c>
      <c r="CN1246" t="s">
        <v>98</v>
      </c>
      <c r="CO1246" t="s">
        <v>99</v>
      </c>
      <c r="CP1246" t="s">
        <v>100</v>
      </c>
      <c r="CQ1246" t="s">
        <v>100</v>
      </c>
      <c r="CR1246" t="s">
        <v>100</v>
      </c>
      <c r="CS1246" s="7" t="s">
        <v>101</v>
      </c>
      <c r="CT1246" t="s">
        <v>152</v>
      </c>
      <c r="CU1246" t="s">
        <v>102</v>
      </c>
      <c r="CV1246" t="s">
        <v>100</v>
      </c>
    </row>
    <row r="1247" spans="1:100">
      <c r="A1247" s="3" t="s">
        <v>13519</v>
      </c>
      <c r="B1247" s="4" t="s">
        <v>13520</v>
      </c>
      <c r="C1247">
        <v>3353.1801821199701</v>
      </c>
      <c r="D1247">
        <v>2499.7190159940901</v>
      </c>
      <c r="E1247">
        <v>0.423495603462547</v>
      </c>
      <c r="F1247">
        <v>3.38968641151529E-2</v>
      </c>
      <c r="G1247" t="s">
        <v>4</v>
      </c>
      <c r="H1247">
        <v>3353.1801821199701</v>
      </c>
      <c r="I1247">
        <v>405.231186336164</v>
      </c>
      <c r="J1247">
        <v>3.0520668016673702</v>
      </c>
      <c r="K1247" s="5">
        <v>7.7402945075932999E-62</v>
      </c>
      <c r="L1247" t="s">
        <v>4</v>
      </c>
      <c r="M1247">
        <v>2499.7190159940901</v>
      </c>
      <c r="N1247">
        <v>405.231186336164</v>
      </c>
      <c r="O1247">
        <v>2.6285711982048201</v>
      </c>
      <c r="P1247" s="5">
        <v>3.8520431883331298E-46</v>
      </c>
      <c r="Q1247" t="s">
        <v>4</v>
      </c>
      <c r="R1247" s="4" t="s">
        <v>87</v>
      </c>
      <c r="S1247" t="s">
        <v>4</v>
      </c>
      <c r="T1247" t="s">
        <v>2229</v>
      </c>
      <c r="U1247" t="s">
        <v>2230</v>
      </c>
      <c r="V1247" t="s">
        <v>2231</v>
      </c>
      <c r="W1247" t="s">
        <v>91</v>
      </c>
      <c r="X1247" t="s">
        <v>4</v>
      </c>
      <c r="Y1247" t="s">
        <v>13521</v>
      </c>
      <c r="Z1247" t="s">
        <v>13522</v>
      </c>
      <c r="AA1247" t="s">
        <v>13523</v>
      </c>
      <c r="AB1247" t="s">
        <v>4</v>
      </c>
      <c r="AC1247" s="3" t="s">
        <v>13524</v>
      </c>
      <c r="AD1247" t="s">
        <v>4</v>
      </c>
      <c r="AE1247" t="s">
        <v>13525</v>
      </c>
      <c r="AF1247" t="s">
        <v>13526</v>
      </c>
      <c r="AG1247" t="s">
        <v>13527</v>
      </c>
      <c r="AH1247" t="s">
        <v>314</v>
      </c>
      <c r="AU1247" t="s">
        <v>112</v>
      </c>
      <c r="AV1247" t="s">
        <v>13528</v>
      </c>
      <c r="AW1247" t="s">
        <v>114</v>
      </c>
      <c r="AX1247" t="s">
        <v>3312</v>
      </c>
      <c r="AY1247" t="s">
        <v>13529</v>
      </c>
      <c r="AZ1247" t="s">
        <v>4</v>
      </c>
      <c r="BA1247" s="3" t="s">
        <v>115</v>
      </c>
      <c r="BB1247" s="6" t="s">
        <v>95</v>
      </c>
      <c r="BC1247" s="3" t="s">
        <v>95</v>
      </c>
      <c r="BD1247" t="s">
        <v>4</v>
      </c>
      <c r="BE1247">
        <v>6771</v>
      </c>
      <c r="BF1247" t="s">
        <v>213</v>
      </c>
      <c r="BG1247">
        <v>89.691699999999997</v>
      </c>
      <c r="BI1247">
        <v>84.296700000000001</v>
      </c>
      <c r="BJ1247">
        <v>30.250499999999999</v>
      </c>
      <c r="BK1247">
        <v>70.520200000000003</v>
      </c>
      <c r="BN1247">
        <v>69.9422</v>
      </c>
      <c r="BO1247">
        <v>68.882499999999993</v>
      </c>
      <c r="BP1247" t="s">
        <v>13530</v>
      </c>
      <c r="BR1247">
        <v>14.5472</v>
      </c>
      <c r="BT1247" t="s">
        <v>13531</v>
      </c>
      <c r="BU1247">
        <v>17.052</v>
      </c>
      <c r="BV1247" t="s">
        <v>13532</v>
      </c>
      <c r="BW1247">
        <v>21.676300000000001</v>
      </c>
      <c r="BX1247">
        <v>24.566500000000001</v>
      </c>
      <c r="BY1247">
        <v>18.111799999999999</v>
      </c>
      <c r="BZ1247">
        <v>11.946</v>
      </c>
      <c r="CA1247">
        <v>16.666699999999999</v>
      </c>
      <c r="CB1247">
        <v>7.2254300000000002</v>
      </c>
      <c r="CG1247">
        <v>13.3911</v>
      </c>
      <c r="CH1247">
        <v>13.8728</v>
      </c>
      <c r="CI1247">
        <v>14.932600000000001</v>
      </c>
      <c r="CK1247">
        <v>8</v>
      </c>
      <c r="CL1247" t="s">
        <v>4</v>
      </c>
      <c r="CM1247" t="s">
        <v>13533</v>
      </c>
      <c r="CN1247" t="s">
        <v>13534</v>
      </c>
      <c r="CO1247" t="s">
        <v>219</v>
      </c>
      <c r="CP1247" t="s">
        <v>100</v>
      </c>
      <c r="CQ1247" t="s">
        <v>100</v>
      </c>
      <c r="CR1247" t="s">
        <v>100</v>
      </c>
      <c r="CS1247" t="s">
        <v>101</v>
      </c>
      <c r="CT1247" t="s">
        <v>152</v>
      </c>
      <c r="CU1247" t="s">
        <v>102</v>
      </c>
      <c r="CV1247" t="s">
        <v>100</v>
      </c>
    </row>
    <row r="1248" spans="1:100">
      <c r="A1248" s="3" t="s">
        <v>13535</v>
      </c>
      <c r="B1248" s="4" t="s">
        <v>13536</v>
      </c>
      <c r="C1248">
        <v>700.68860074069596</v>
      </c>
      <c r="D1248">
        <v>675.11954193835402</v>
      </c>
      <c r="E1248">
        <v>5.44220485287207E-2</v>
      </c>
      <c r="F1248">
        <v>0.86640935330475199</v>
      </c>
      <c r="G1248" t="s">
        <v>4</v>
      </c>
      <c r="H1248">
        <v>700.68860074069596</v>
      </c>
      <c r="I1248">
        <v>108.028901366285</v>
      </c>
      <c r="J1248">
        <v>2.6812164796456699</v>
      </c>
      <c r="K1248" s="5">
        <v>7.3287055576920394E-24</v>
      </c>
      <c r="L1248" t="s">
        <v>4</v>
      </c>
      <c r="M1248">
        <v>675.11954193835402</v>
      </c>
      <c r="N1248">
        <v>108.028901366285</v>
      </c>
      <c r="O1248">
        <v>2.62679443111695</v>
      </c>
      <c r="P1248" s="5">
        <v>5.2689097060236198E-23</v>
      </c>
      <c r="Q1248" t="s">
        <v>4</v>
      </c>
      <c r="R1248" s="4" t="s">
        <v>87</v>
      </c>
      <c r="S1248" t="s">
        <v>4</v>
      </c>
      <c r="T1248" t="s">
        <v>460</v>
      </c>
      <c r="U1248" t="s">
        <v>461</v>
      </c>
      <c r="V1248" t="s">
        <v>462</v>
      </c>
      <c r="W1248" t="s">
        <v>123</v>
      </c>
      <c r="X1248" t="s">
        <v>4</v>
      </c>
      <c r="Y1248" t="s">
        <v>6643</v>
      </c>
      <c r="Z1248" t="s">
        <v>6644</v>
      </c>
      <c r="AA1248" t="s">
        <v>6645</v>
      </c>
      <c r="AB1248" t="s">
        <v>4</v>
      </c>
      <c r="AC1248" s="3" t="s">
        <v>4714</v>
      </c>
      <c r="AD1248" t="s">
        <v>4</v>
      </c>
      <c r="AE1248" t="s">
        <v>13537</v>
      </c>
      <c r="AF1248" t="s">
        <v>13538</v>
      </c>
      <c r="AG1248" t="s">
        <v>10014</v>
      </c>
      <c r="AH1248" t="s">
        <v>112</v>
      </c>
      <c r="AJ1248" t="s">
        <v>13539</v>
      </c>
      <c r="AU1248" t="s">
        <v>112</v>
      </c>
      <c r="AV1248" t="s">
        <v>13540</v>
      </c>
      <c r="AW1248" t="s">
        <v>114</v>
      </c>
      <c r="AX1248" t="s">
        <v>2157</v>
      </c>
      <c r="AY1248" t="s">
        <v>13541</v>
      </c>
      <c r="AZ1248" t="s">
        <v>4</v>
      </c>
      <c r="BA1248" s="3" t="s">
        <v>95</v>
      </c>
      <c r="BB1248" s="6" t="s">
        <v>95</v>
      </c>
      <c r="BC1248" s="3" t="s">
        <v>95</v>
      </c>
      <c r="BD1248" t="s">
        <v>4</v>
      </c>
      <c r="BE1248">
        <v>2253</v>
      </c>
      <c r="BF1248" t="s">
        <v>148</v>
      </c>
      <c r="BG1248">
        <v>73.020499999999998</v>
      </c>
      <c r="BH1248">
        <v>85.630499999999998</v>
      </c>
      <c r="BI1248">
        <v>77.419399999999996</v>
      </c>
      <c r="BJ1248">
        <v>38.416400000000003</v>
      </c>
      <c r="BK1248">
        <v>56.305</v>
      </c>
      <c r="BL1248">
        <v>15.835800000000001</v>
      </c>
      <c r="BN1248" t="s">
        <v>13542</v>
      </c>
      <c r="BO1248">
        <v>7.9178899999999999</v>
      </c>
      <c r="CK1248">
        <v>3</v>
      </c>
      <c r="CL1248" t="s">
        <v>4</v>
      </c>
      <c r="CM1248" t="s">
        <v>98</v>
      </c>
      <c r="CN1248" t="s">
        <v>98</v>
      </c>
      <c r="CO1248" t="s">
        <v>99</v>
      </c>
      <c r="CP1248" t="s">
        <v>100</v>
      </c>
      <c r="CQ1248" t="s">
        <v>100</v>
      </c>
      <c r="CR1248" t="s">
        <v>100</v>
      </c>
      <c r="CS1248" t="s">
        <v>101</v>
      </c>
      <c r="CT1248" t="s">
        <v>152</v>
      </c>
      <c r="CU1248" t="s">
        <v>102</v>
      </c>
      <c r="CV1248" t="s">
        <v>100</v>
      </c>
    </row>
    <row r="1249" spans="1:100">
      <c r="A1249" s="3" t="s">
        <v>13543</v>
      </c>
      <c r="B1249" s="4" t="s">
        <v>13544</v>
      </c>
      <c r="C1249">
        <v>4000.6920946493501</v>
      </c>
      <c r="D1249">
        <v>4444.0699317250501</v>
      </c>
      <c r="E1249">
        <f>0.151728370704643</f>
        <v>0.15172837070464301</v>
      </c>
      <c r="F1249">
        <v>0.643443334101511</v>
      </c>
      <c r="G1249" t="s">
        <v>4</v>
      </c>
      <c r="H1249">
        <v>4000.6920946493501</v>
      </c>
      <c r="I1249">
        <v>719.57260041891902</v>
      </c>
      <c r="J1249">
        <v>2.4725041665992999</v>
      </c>
      <c r="K1249" s="5">
        <v>1.00861496509375E-19</v>
      </c>
      <c r="L1249" t="s">
        <v>4</v>
      </c>
      <c r="M1249">
        <v>4444.0699317250501</v>
      </c>
      <c r="N1249">
        <v>719.57260041891902</v>
      </c>
      <c r="O1249">
        <v>2.6242325373039499</v>
      </c>
      <c r="P1249" s="5">
        <v>3.1274934260669598E-22</v>
      </c>
      <c r="Q1249" t="s">
        <v>4</v>
      </c>
      <c r="R1249" s="4" t="s">
        <v>87</v>
      </c>
      <c r="S1249" t="s">
        <v>4</v>
      </c>
      <c r="T1249" t="s">
        <v>2243</v>
      </c>
      <c r="U1249" t="s">
        <v>2244</v>
      </c>
      <c r="V1249" t="s">
        <v>2245</v>
      </c>
      <c r="W1249" t="s">
        <v>123</v>
      </c>
      <c r="X1249" t="s">
        <v>4</v>
      </c>
      <c r="Y1249" t="s">
        <v>8610</v>
      </c>
      <c r="Z1249" t="s">
        <v>8611</v>
      </c>
      <c r="AA1249" t="s">
        <v>8612</v>
      </c>
      <c r="AB1249" t="s">
        <v>4</v>
      </c>
      <c r="AC1249" s="3" t="s">
        <v>7408</v>
      </c>
      <c r="AD1249" t="s">
        <v>4</v>
      </c>
      <c r="AE1249" t="s">
        <v>13545</v>
      </c>
      <c r="AF1249" t="s">
        <v>13546</v>
      </c>
      <c r="AG1249" t="s">
        <v>13547</v>
      </c>
      <c r="AH1249" t="s">
        <v>112</v>
      </c>
      <c r="AL1249" t="s">
        <v>13548</v>
      </c>
      <c r="AQ1249" t="s">
        <v>861</v>
      </c>
      <c r="AU1249" t="s">
        <v>112</v>
      </c>
      <c r="AV1249" t="s">
        <v>13549</v>
      </c>
      <c r="AW1249" t="s">
        <v>114</v>
      </c>
      <c r="AX1249" t="s">
        <v>13550</v>
      </c>
      <c r="AY1249" t="s">
        <v>13551</v>
      </c>
      <c r="AZ1249" t="s">
        <v>4</v>
      </c>
      <c r="BA1249" s="3" t="s">
        <v>115</v>
      </c>
      <c r="BB1249" s="6" t="s">
        <v>95</v>
      </c>
      <c r="BC1249" s="3" t="s">
        <v>95</v>
      </c>
      <c r="BD1249" t="s">
        <v>4</v>
      </c>
      <c r="BE1249">
        <v>8660</v>
      </c>
      <c r="BF1249" t="s">
        <v>169</v>
      </c>
      <c r="BG1249">
        <v>82.208600000000004</v>
      </c>
      <c r="BH1249">
        <v>83.231099999999998</v>
      </c>
      <c r="BI1249">
        <v>74.642099999999999</v>
      </c>
      <c r="BJ1249">
        <v>59.713700000000003</v>
      </c>
      <c r="BK1249">
        <v>57.464199999999998</v>
      </c>
      <c r="BL1249">
        <v>37.014299999999999</v>
      </c>
      <c r="BN1249">
        <v>58.486699999999999</v>
      </c>
      <c r="BO1249">
        <v>55.419199999999996</v>
      </c>
      <c r="BP1249">
        <v>33.537799999999997</v>
      </c>
      <c r="BR1249">
        <v>21.063400000000001</v>
      </c>
      <c r="BS1249">
        <v>16.564399999999999</v>
      </c>
      <c r="BU1249">
        <v>20.654399999999999</v>
      </c>
      <c r="BV1249" t="s">
        <v>13552</v>
      </c>
      <c r="BW1249">
        <v>22.494900000000001</v>
      </c>
      <c r="BX1249">
        <v>28.2209</v>
      </c>
      <c r="BZ1249">
        <v>19.631900000000002</v>
      </c>
      <c r="CA1249">
        <v>17.177900000000001</v>
      </c>
      <c r="CB1249">
        <v>16.768899999999999</v>
      </c>
      <c r="CE1249">
        <v>15.7464</v>
      </c>
      <c r="CF1249">
        <v>15.337400000000001</v>
      </c>
      <c r="CG1249">
        <v>24.539899999999999</v>
      </c>
      <c r="CH1249">
        <v>23.721900000000002</v>
      </c>
      <c r="CI1249">
        <v>24.539899999999999</v>
      </c>
      <c r="CK1249">
        <v>9</v>
      </c>
      <c r="CL1249" t="s">
        <v>4</v>
      </c>
      <c r="CM1249" t="s">
        <v>13553</v>
      </c>
      <c r="CN1249" t="s">
        <v>13554</v>
      </c>
      <c r="CO1249" t="s">
        <v>99</v>
      </c>
      <c r="CP1249" t="s">
        <v>100</v>
      </c>
      <c r="CQ1249" t="s">
        <v>100</v>
      </c>
      <c r="CR1249" t="s">
        <v>100</v>
      </c>
      <c r="CS1249" t="s">
        <v>101</v>
      </c>
      <c r="CT1249" t="s">
        <v>152</v>
      </c>
      <c r="CU1249" t="s">
        <v>102</v>
      </c>
      <c r="CV1249" t="s">
        <v>100</v>
      </c>
    </row>
    <row r="1250" spans="1:100">
      <c r="A1250" s="3" t="s">
        <v>13555</v>
      </c>
      <c r="B1250" s="4" t="s">
        <v>13556</v>
      </c>
      <c r="C1250">
        <v>19.194586287978499</v>
      </c>
      <c r="D1250">
        <v>19.9397782333991</v>
      </c>
      <c r="E1250">
        <f>0.0491128907516355</f>
        <v>4.9112890751635503E-2</v>
      </c>
      <c r="F1250">
        <v>0.96232682721946605</v>
      </c>
      <c r="G1250" t="s">
        <v>4</v>
      </c>
      <c r="H1250">
        <v>19.194586287978499</v>
      </c>
      <c r="I1250">
        <v>3.2400223959249002</v>
      </c>
      <c r="J1250">
        <v>2.5642828746655502</v>
      </c>
      <c r="K1250">
        <v>1.0163289759506099E-2</v>
      </c>
      <c r="L1250" t="s">
        <v>4</v>
      </c>
      <c r="M1250">
        <v>19.9397782333991</v>
      </c>
      <c r="N1250">
        <v>3.2400223959249002</v>
      </c>
      <c r="O1250">
        <v>2.61339576541718</v>
      </c>
      <c r="P1250">
        <v>8.3215479111652096E-3</v>
      </c>
      <c r="Q1250" t="s">
        <v>4</v>
      </c>
      <c r="R1250" s="4" t="s">
        <v>87</v>
      </c>
      <c r="S1250" t="s">
        <v>4</v>
      </c>
      <c r="T1250" t="s">
        <v>2243</v>
      </c>
      <c r="U1250" t="s">
        <v>2244</v>
      </c>
      <c r="V1250" t="s">
        <v>2245</v>
      </c>
      <c r="W1250" t="s">
        <v>123</v>
      </c>
      <c r="X1250" t="s">
        <v>4</v>
      </c>
      <c r="Y1250" t="s">
        <v>13557</v>
      </c>
      <c r="Z1250" t="s">
        <v>13558</v>
      </c>
      <c r="AA1250" t="s">
        <v>13559</v>
      </c>
      <c r="AB1250" t="s">
        <v>4</v>
      </c>
      <c r="AC1250" s="3" t="s">
        <v>13560</v>
      </c>
      <c r="AD1250" t="s">
        <v>4</v>
      </c>
      <c r="AE1250" t="s">
        <v>13561</v>
      </c>
      <c r="AF1250" t="s">
        <v>13562</v>
      </c>
      <c r="AG1250" t="s">
        <v>13563</v>
      </c>
      <c r="AH1250" t="s">
        <v>112</v>
      </c>
      <c r="AU1250" t="s">
        <v>112</v>
      </c>
      <c r="AV1250" t="s">
        <v>13564</v>
      </c>
      <c r="AW1250" t="s">
        <v>114</v>
      </c>
      <c r="AX1250" t="s">
        <v>144</v>
      </c>
      <c r="AY1250" t="s">
        <v>13565</v>
      </c>
      <c r="AZ1250" t="s">
        <v>4</v>
      </c>
      <c r="BA1250" s="3" t="s">
        <v>95</v>
      </c>
      <c r="BB1250" s="6" t="s">
        <v>95</v>
      </c>
      <c r="BC1250" s="3" t="s">
        <v>95</v>
      </c>
      <c r="BD1250" t="s">
        <v>4</v>
      </c>
      <c r="BE1250">
        <v>4305</v>
      </c>
      <c r="BF1250" t="s">
        <v>112</v>
      </c>
      <c r="BK1250">
        <v>75.0929</v>
      </c>
      <c r="BN1250">
        <v>73.977699999999999</v>
      </c>
      <c r="BQ1250">
        <v>18.587399999999999</v>
      </c>
      <c r="BU1250" t="s">
        <v>13566</v>
      </c>
      <c r="BV1250" t="s">
        <v>13567</v>
      </c>
      <c r="CA1250">
        <v>18.215599999999998</v>
      </c>
      <c r="CK1250">
        <v>5</v>
      </c>
      <c r="CL1250" t="s">
        <v>4</v>
      </c>
      <c r="CM1250" t="s">
        <v>13568</v>
      </c>
      <c r="CN1250" t="s">
        <v>13569</v>
      </c>
      <c r="CO1250" t="s">
        <v>663</v>
      </c>
      <c r="CP1250" t="s">
        <v>100</v>
      </c>
      <c r="CQ1250" t="s">
        <v>100</v>
      </c>
      <c r="CR1250" t="s">
        <v>100</v>
      </c>
      <c r="CS1250" s="7" t="s">
        <v>101</v>
      </c>
      <c r="CT1250" t="s">
        <v>152</v>
      </c>
      <c r="CU1250" t="s">
        <v>102</v>
      </c>
      <c r="CV1250" t="s">
        <v>100</v>
      </c>
    </row>
    <row r="1251" spans="1:100">
      <c r="A1251" s="3" t="s">
        <v>13570</v>
      </c>
      <c r="B1251" s="4" t="s">
        <v>13571</v>
      </c>
      <c r="C1251">
        <v>12.425337228714801</v>
      </c>
      <c r="D1251">
        <v>31.143099955756199</v>
      </c>
      <c r="E1251">
        <f>-1.32425097464567</f>
        <v>-1.3242509746456701</v>
      </c>
      <c r="F1251">
        <v>0.106017250586826</v>
      </c>
      <c r="G1251" t="s">
        <v>4</v>
      </c>
      <c r="H1251">
        <v>12.425337228714801</v>
      </c>
      <c r="I1251">
        <v>5.6026192753870303</v>
      </c>
      <c r="J1251">
        <v>1.2794698901479</v>
      </c>
      <c r="K1251">
        <v>0.16977867837479499</v>
      </c>
      <c r="L1251" t="s">
        <v>4</v>
      </c>
      <c r="M1251">
        <v>31.143099955756199</v>
      </c>
      <c r="N1251">
        <v>5.6026192753870303</v>
      </c>
      <c r="O1251">
        <v>2.6037208647935701</v>
      </c>
      <c r="P1251">
        <v>2.6790874827538501E-3</v>
      </c>
      <c r="Q1251" t="s">
        <v>4</v>
      </c>
      <c r="R1251" s="4" t="s">
        <v>87</v>
      </c>
      <c r="S1251" t="s">
        <v>4</v>
      </c>
      <c r="T1251" t="s">
        <v>92</v>
      </c>
      <c r="U1251" t="s">
        <v>92</v>
      </c>
      <c r="V1251" t="s">
        <v>92</v>
      </c>
      <c r="W1251" t="s">
        <v>92</v>
      </c>
      <c r="X1251" t="s">
        <v>4</v>
      </c>
      <c r="Y1251" t="s">
        <v>92</v>
      </c>
      <c r="Z1251" t="s">
        <v>92</v>
      </c>
      <c r="AA1251" t="s">
        <v>92</v>
      </c>
      <c r="AB1251" t="s">
        <v>4</v>
      </c>
      <c r="AC1251" s="3" t="s">
        <v>93</v>
      </c>
      <c r="AD1251" t="s">
        <v>4</v>
      </c>
      <c r="AE1251" s="4" t="s">
        <v>94</v>
      </c>
      <c r="AZ1251" t="s">
        <v>4</v>
      </c>
      <c r="BA1251" s="3" t="s">
        <v>95</v>
      </c>
      <c r="BB1251" s="6" t="s">
        <v>95</v>
      </c>
      <c r="BC1251" s="3" t="s">
        <v>95</v>
      </c>
      <c r="BD1251" t="s">
        <v>4</v>
      </c>
      <c r="BE1251">
        <v>1821</v>
      </c>
      <c r="BF1251" t="s">
        <v>148</v>
      </c>
      <c r="BG1251">
        <v>68.513099999999994</v>
      </c>
      <c r="BH1251">
        <v>40.816299999999998</v>
      </c>
      <c r="BI1251">
        <v>44.606400000000001</v>
      </c>
      <c r="BJ1251">
        <v>51.311999999999998</v>
      </c>
      <c r="BL1251" t="s">
        <v>13572</v>
      </c>
      <c r="BO1251">
        <v>69.679299999999998</v>
      </c>
      <c r="CK1251">
        <v>3</v>
      </c>
      <c r="CL1251" t="s">
        <v>4</v>
      </c>
      <c r="CM1251" t="s">
        <v>98</v>
      </c>
      <c r="CN1251" t="s">
        <v>98</v>
      </c>
      <c r="CO1251" t="s">
        <v>99</v>
      </c>
      <c r="CP1251" t="s">
        <v>100</v>
      </c>
      <c r="CQ1251" t="s">
        <v>100</v>
      </c>
      <c r="CR1251" t="s">
        <v>100</v>
      </c>
      <c r="CS1251" t="s">
        <v>100</v>
      </c>
      <c r="CT1251" t="s">
        <v>152</v>
      </c>
      <c r="CU1251" t="s">
        <v>102</v>
      </c>
      <c r="CV1251" t="s">
        <v>100</v>
      </c>
    </row>
    <row r="1252" spans="1:100">
      <c r="A1252" s="3" t="s">
        <v>13573</v>
      </c>
      <c r="B1252" s="4" t="s">
        <v>13574</v>
      </c>
      <c r="C1252">
        <v>165.522566508517</v>
      </c>
      <c r="D1252">
        <v>164.551664636379</v>
      </c>
      <c r="E1252">
        <v>8.4914693261737909E-3</v>
      </c>
      <c r="F1252">
        <v>0.98469996199311305</v>
      </c>
      <c r="G1252" t="s">
        <v>4</v>
      </c>
      <c r="H1252">
        <v>165.522566508517</v>
      </c>
      <c r="I1252">
        <v>27.144480930676501</v>
      </c>
      <c r="J1252">
        <v>2.6118483219478699</v>
      </c>
      <c r="K1252" s="5">
        <v>2.8198760052997098E-11</v>
      </c>
      <c r="L1252" t="s">
        <v>4</v>
      </c>
      <c r="M1252">
        <v>164.551664636379</v>
      </c>
      <c r="N1252">
        <v>27.144480930676501</v>
      </c>
      <c r="O1252">
        <v>2.6033568526217001</v>
      </c>
      <c r="P1252" s="5">
        <v>2.7245938408687501E-11</v>
      </c>
      <c r="Q1252" t="s">
        <v>4</v>
      </c>
      <c r="R1252" s="4" t="s">
        <v>87</v>
      </c>
      <c r="S1252" t="s">
        <v>4</v>
      </c>
      <c r="T1252" t="s">
        <v>2950</v>
      </c>
      <c r="U1252" t="s">
        <v>2951</v>
      </c>
      <c r="V1252" t="s">
        <v>2952</v>
      </c>
      <c r="W1252" t="s">
        <v>123</v>
      </c>
      <c r="X1252" t="s">
        <v>4</v>
      </c>
      <c r="Y1252" t="s">
        <v>7348</v>
      </c>
      <c r="Z1252" t="s">
        <v>7349</v>
      </c>
      <c r="AA1252" t="s">
        <v>7350</v>
      </c>
      <c r="AB1252" t="s">
        <v>4</v>
      </c>
      <c r="AC1252" s="3" t="s">
        <v>13575</v>
      </c>
      <c r="AD1252" t="s">
        <v>4</v>
      </c>
      <c r="AE1252" t="s">
        <v>7352</v>
      </c>
      <c r="AF1252" t="s">
        <v>13576</v>
      </c>
      <c r="AG1252" t="s">
        <v>13577</v>
      </c>
      <c r="AH1252" t="s">
        <v>112</v>
      </c>
      <c r="AU1252" t="s">
        <v>112</v>
      </c>
      <c r="AV1252" t="s">
        <v>7355</v>
      </c>
      <c r="AW1252" t="s">
        <v>114</v>
      </c>
      <c r="AX1252" t="s">
        <v>371</v>
      </c>
      <c r="AY1252" t="s">
        <v>7356</v>
      </c>
      <c r="AZ1252" t="s">
        <v>4</v>
      </c>
      <c r="BA1252" s="3" t="s">
        <v>95</v>
      </c>
      <c r="BB1252" s="6" t="s">
        <v>95</v>
      </c>
      <c r="BC1252" s="3" t="s">
        <v>95</v>
      </c>
      <c r="BD1252" t="s">
        <v>4</v>
      </c>
      <c r="BE1252">
        <v>4087</v>
      </c>
      <c r="BF1252" t="s">
        <v>112</v>
      </c>
      <c r="BG1252">
        <v>62.694299999999998</v>
      </c>
      <c r="BI1252">
        <v>30.224499999999999</v>
      </c>
      <c r="BJ1252">
        <v>76.165800000000004</v>
      </c>
      <c r="BL1252">
        <v>64.075999999999993</v>
      </c>
      <c r="BN1252">
        <v>62.176200000000001</v>
      </c>
      <c r="BQ1252" t="s">
        <v>13578</v>
      </c>
      <c r="BR1252" t="s">
        <v>13579</v>
      </c>
      <c r="BS1252" t="s">
        <v>13580</v>
      </c>
      <c r="BW1252" t="s">
        <v>13581</v>
      </c>
      <c r="BX1252" t="s">
        <v>13582</v>
      </c>
      <c r="BY1252" t="s">
        <v>13583</v>
      </c>
      <c r="BZ1252" t="s">
        <v>13584</v>
      </c>
      <c r="CA1252" t="s">
        <v>13585</v>
      </c>
      <c r="CK1252">
        <v>5</v>
      </c>
      <c r="CL1252" t="s">
        <v>4</v>
      </c>
      <c r="CM1252" t="s">
        <v>7365</v>
      </c>
      <c r="CN1252" t="s">
        <v>13586</v>
      </c>
      <c r="CO1252" t="s">
        <v>99</v>
      </c>
      <c r="CP1252" t="s">
        <v>100</v>
      </c>
      <c r="CQ1252" t="s">
        <v>100</v>
      </c>
      <c r="CR1252" t="s">
        <v>100</v>
      </c>
      <c r="CS1252" t="s">
        <v>101</v>
      </c>
      <c r="CT1252" t="s">
        <v>152</v>
      </c>
      <c r="CU1252" t="s">
        <v>102</v>
      </c>
      <c r="CV1252" t="s">
        <v>100</v>
      </c>
    </row>
    <row r="1253" spans="1:100">
      <c r="A1253" s="3" t="s">
        <v>13587</v>
      </c>
      <c r="B1253" s="4" t="s">
        <v>13588</v>
      </c>
      <c r="C1253">
        <v>931.42473486000995</v>
      </c>
      <c r="D1253">
        <v>1608.01179409271</v>
      </c>
      <c r="E1253">
        <f>0.787773775984154</f>
        <v>0.78777377598415399</v>
      </c>
      <c r="F1253">
        <v>0.10622996174996301</v>
      </c>
      <c r="G1253" t="s">
        <v>4</v>
      </c>
      <c r="H1253">
        <v>931.42473486000995</v>
      </c>
      <c r="I1253">
        <v>263.22840503699098</v>
      </c>
      <c r="J1253">
        <v>1.8147749952296199</v>
      </c>
      <c r="K1253" s="5">
        <v>6.9466431232173494E-5</v>
      </c>
      <c r="L1253" t="s">
        <v>4</v>
      </c>
      <c r="M1253">
        <v>1608.01179409271</v>
      </c>
      <c r="N1253">
        <v>263.22840503699098</v>
      </c>
      <c r="O1253">
        <v>2.6025487712137698</v>
      </c>
      <c r="P1253" s="5">
        <v>4.01449604931117E-9</v>
      </c>
      <c r="Q1253" t="s">
        <v>4</v>
      </c>
      <c r="R1253" s="4" t="s">
        <v>87</v>
      </c>
      <c r="S1253" t="s">
        <v>4</v>
      </c>
      <c r="T1253" t="s">
        <v>13589</v>
      </c>
      <c r="U1253" t="s">
        <v>13590</v>
      </c>
      <c r="V1253" t="s">
        <v>13591</v>
      </c>
      <c r="W1253" t="s">
        <v>328</v>
      </c>
      <c r="X1253" t="s">
        <v>4</v>
      </c>
      <c r="Y1253" t="s">
        <v>13592</v>
      </c>
      <c r="Z1253" t="s">
        <v>13593</v>
      </c>
      <c r="AA1253" t="s">
        <v>13594</v>
      </c>
      <c r="AB1253" t="s">
        <v>4</v>
      </c>
      <c r="AC1253" s="3" t="s">
        <v>13595</v>
      </c>
      <c r="AD1253" t="s">
        <v>4</v>
      </c>
      <c r="AE1253" t="s">
        <v>13596</v>
      </c>
      <c r="AF1253" t="s">
        <v>13597</v>
      </c>
      <c r="AG1253" t="s">
        <v>13598</v>
      </c>
      <c r="AH1253" t="s">
        <v>112</v>
      </c>
      <c r="AJ1253" t="s">
        <v>13599</v>
      </c>
      <c r="AL1253" t="s">
        <v>13600</v>
      </c>
      <c r="AM1253" t="s">
        <v>13601</v>
      </c>
      <c r="AQ1253" t="s">
        <v>10582</v>
      </c>
      <c r="AU1253" t="s">
        <v>112</v>
      </c>
      <c r="AV1253" t="s">
        <v>13602</v>
      </c>
      <c r="AW1253" t="s">
        <v>114</v>
      </c>
      <c r="AX1253" t="s">
        <v>733</v>
      </c>
      <c r="AY1253" t="s">
        <v>13603</v>
      </c>
      <c r="AZ1253" t="s">
        <v>4</v>
      </c>
      <c r="BA1253" s="3" t="s">
        <v>115</v>
      </c>
      <c r="BB1253" s="6" t="s">
        <v>95</v>
      </c>
      <c r="BC1253" s="3" t="s">
        <v>95</v>
      </c>
      <c r="BD1253" t="s">
        <v>4</v>
      </c>
      <c r="BE1253">
        <v>9348</v>
      </c>
      <c r="BF1253" t="s">
        <v>169</v>
      </c>
      <c r="BG1253">
        <v>63.4146</v>
      </c>
      <c r="BH1253">
        <v>84.552800000000005</v>
      </c>
      <c r="BI1253">
        <v>93.9024</v>
      </c>
      <c r="BJ1253">
        <v>89.0244</v>
      </c>
      <c r="BK1253">
        <v>85.365899999999996</v>
      </c>
      <c r="BL1253" t="s">
        <v>13604</v>
      </c>
      <c r="BM1253">
        <v>90.243899999999996</v>
      </c>
      <c r="BN1253">
        <v>89.837400000000002</v>
      </c>
      <c r="BO1253">
        <v>88.211399999999998</v>
      </c>
      <c r="BP1253">
        <v>58.943100000000001</v>
      </c>
      <c r="BR1253">
        <v>45.122</v>
      </c>
      <c r="BS1253">
        <v>43.089399999999998</v>
      </c>
      <c r="BT1253">
        <v>43.9024</v>
      </c>
      <c r="BU1253">
        <v>41.056899999999999</v>
      </c>
      <c r="BV1253" t="s">
        <v>13605</v>
      </c>
      <c r="BW1253">
        <v>45.122</v>
      </c>
      <c r="BX1253">
        <v>54.471499999999999</v>
      </c>
      <c r="BY1253">
        <v>56.910600000000002</v>
      </c>
      <c r="BZ1253">
        <v>56.0976</v>
      </c>
      <c r="CA1253">
        <v>51.625999999999998</v>
      </c>
      <c r="CB1253">
        <v>40.243899999999996</v>
      </c>
      <c r="CC1253">
        <v>25.6098</v>
      </c>
      <c r="CD1253" t="s">
        <v>13606</v>
      </c>
      <c r="CE1253">
        <v>31.300799999999999</v>
      </c>
      <c r="CF1253">
        <v>32.9268</v>
      </c>
      <c r="CG1253">
        <v>34.959400000000002</v>
      </c>
      <c r="CH1253">
        <v>34.146299999999997</v>
      </c>
      <c r="CI1253">
        <v>34.552799999999998</v>
      </c>
      <c r="CJ1253">
        <v>19.918700000000001</v>
      </c>
      <c r="CK1253">
        <v>9</v>
      </c>
      <c r="CL1253" t="s">
        <v>4</v>
      </c>
      <c r="CM1253" t="s">
        <v>13607</v>
      </c>
      <c r="CN1253" t="s">
        <v>13608</v>
      </c>
      <c r="CO1253" t="s">
        <v>219</v>
      </c>
      <c r="CP1253" t="s">
        <v>100</v>
      </c>
      <c r="CQ1253" t="s">
        <v>100</v>
      </c>
      <c r="CR1253" t="s">
        <v>100</v>
      </c>
      <c r="CS1253" s="7" t="s">
        <v>101</v>
      </c>
      <c r="CT1253" t="s">
        <v>152</v>
      </c>
      <c r="CU1253" t="s">
        <v>102</v>
      </c>
      <c r="CV1253" t="s">
        <v>100</v>
      </c>
    </row>
    <row r="1254" spans="1:100">
      <c r="A1254" s="3" t="s">
        <v>13609</v>
      </c>
      <c r="B1254" s="4" t="s">
        <v>13610</v>
      </c>
      <c r="C1254">
        <v>1379.9153479884401</v>
      </c>
      <c r="D1254">
        <v>2410.6639264402502</v>
      </c>
      <c r="E1254">
        <f>0.804451095460647</f>
        <v>0.80445109546064697</v>
      </c>
      <c r="F1254">
        <v>2.1171849072649301E-3</v>
      </c>
      <c r="G1254" t="s">
        <v>4</v>
      </c>
      <c r="H1254">
        <v>1379.9153479884401</v>
      </c>
      <c r="I1254">
        <v>398.83312487696901</v>
      </c>
      <c r="J1254">
        <v>1.7941752874583901</v>
      </c>
      <c r="K1254" s="5">
        <v>5.0599429668990501E-13</v>
      </c>
      <c r="L1254" t="s">
        <v>4</v>
      </c>
      <c r="M1254">
        <v>2410.6639264402502</v>
      </c>
      <c r="N1254">
        <v>398.83312487696901</v>
      </c>
      <c r="O1254">
        <v>2.5986263829190399</v>
      </c>
      <c r="P1254" s="5">
        <v>1.8718011269954099E-26</v>
      </c>
      <c r="Q1254" t="s">
        <v>4</v>
      </c>
      <c r="R1254" s="4" t="s">
        <v>87</v>
      </c>
      <c r="S1254" t="s">
        <v>4</v>
      </c>
      <c r="T1254" t="s">
        <v>13611</v>
      </c>
      <c r="U1254" t="s">
        <v>13612</v>
      </c>
      <c r="V1254" t="s">
        <v>13613</v>
      </c>
      <c r="W1254" t="s">
        <v>328</v>
      </c>
      <c r="X1254" t="s">
        <v>4</v>
      </c>
      <c r="Y1254" t="s">
        <v>13614</v>
      </c>
      <c r="Z1254" t="s">
        <v>13615</v>
      </c>
      <c r="AA1254" t="s">
        <v>13616</v>
      </c>
      <c r="AB1254" t="s">
        <v>4</v>
      </c>
      <c r="AC1254" s="3" t="s">
        <v>13617</v>
      </c>
      <c r="AD1254" t="s">
        <v>4</v>
      </c>
      <c r="AE1254" t="s">
        <v>13618</v>
      </c>
      <c r="AF1254" t="s">
        <v>13619</v>
      </c>
      <c r="AG1254" t="s">
        <v>13620</v>
      </c>
      <c r="AH1254" t="s">
        <v>112</v>
      </c>
      <c r="AJ1254" t="s">
        <v>13621</v>
      </c>
      <c r="AL1254" t="s">
        <v>13622</v>
      </c>
      <c r="AM1254" t="s">
        <v>3196</v>
      </c>
      <c r="AN1254" t="s">
        <v>13623</v>
      </c>
      <c r="AQ1254" t="s">
        <v>13624</v>
      </c>
      <c r="AU1254" t="s">
        <v>112</v>
      </c>
      <c r="AV1254" t="s">
        <v>13625</v>
      </c>
      <c r="AW1254" t="s">
        <v>114</v>
      </c>
      <c r="AX1254" t="s">
        <v>2157</v>
      </c>
      <c r="AY1254" t="s">
        <v>13626</v>
      </c>
      <c r="AZ1254" t="s">
        <v>4</v>
      </c>
      <c r="BA1254" s="3" t="s">
        <v>95</v>
      </c>
      <c r="BB1254" s="6" t="s">
        <v>95</v>
      </c>
      <c r="BC1254" s="3" t="s">
        <v>95</v>
      </c>
      <c r="BD1254" t="s">
        <v>4</v>
      </c>
      <c r="BE1254">
        <v>10662</v>
      </c>
      <c r="BF1254" t="s">
        <v>169</v>
      </c>
      <c r="BG1254">
        <v>100</v>
      </c>
      <c r="BH1254">
        <v>100</v>
      </c>
      <c r="BI1254">
        <v>100</v>
      </c>
      <c r="BJ1254">
        <v>97.752799999999993</v>
      </c>
      <c r="BK1254">
        <v>96.629199999999997</v>
      </c>
      <c r="BL1254">
        <v>56.1798</v>
      </c>
      <c r="BM1254">
        <v>100</v>
      </c>
      <c r="BN1254">
        <v>100</v>
      </c>
      <c r="BO1254">
        <v>98.876400000000004</v>
      </c>
      <c r="BP1254">
        <v>93.258399999999995</v>
      </c>
      <c r="BQ1254">
        <v>56.1798</v>
      </c>
      <c r="BR1254">
        <v>68.539299999999997</v>
      </c>
      <c r="BS1254">
        <v>70.786500000000004</v>
      </c>
      <c r="BT1254">
        <v>75.280900000000003</v>
      </c>
      <c r="BU1254">
        <v>79.775300000000001</v>
      </c>
      <c r="BV1254">
        <v>79.775300000000001</v>
      </c>
      <c r="BX1254">
        <v>79.775300000000001</v>
      </c>
      <c r="CA1254">
        <v>77.528099999999995</v>
      </c>
      <c r="CB1254">
        <v>62.921300000000002</v>
      </c>
      <c r="CC1254">
        <v>62.921300000000002</v>
      </c>
      <c r="CD1254">
        <v>65.168499999999995</v>
      </c>
      <c r="CE1254">
        <v>47.191000000000003</v>
      </c>
      <c r="CF1254">
        <v>73.033699999999996</v>
      </c>
      <c r="CG1254">
        <v>76.404499999999999</v>
      </c>
      <c r="CH1254">
        <v>76.404499999999999</v>
      </c>
      <c r="CI1254">
        <v>78.651700000000005</v>
      </c>
      <c r="CJ1254">
        <v>48.314599999999999</v>
      </c>
      <c r="CK1254">
        <v>9</v>
      </c>
      <c r="CL1254" t="s">
        <v>4</v>
      </c>
      <c r="CM1254" t="s">
        <v>13627</v>
      </c>
      <c r="CN1254" t="s">
        <v>13628</v>
      </c>
      <c r="CO1254" t="s">
        <v>219</v>
      </c>
      <c r="CP1254" t="s">
        <v>100</v>
      </c>
      <c r="CQ1254" t="s">
        <v>100</v>
      </c>
      <c r="CR1254" t="s">
        <v>100</v>
      </c>
      <c r="CS1254" s="7" t="s">
        <v>101</v>
      </c>
      <c r="CT1254" t="s">
        <v>152</v>
      </c>
      <c r="CU1254" t="s">
        <v>102</v>
      </c>
      <c r="CV1254" t="s">
        <v>100</v>
      </c>
    </row>
    <row r="1255" spans="1:100">
      <c r="A1255" s="3" t="s">
        <v>13629</v>
      </c>
      <c r="B1255" s="4" t="s">
        <v>13630</v>
      </c>
      <c r="C1255">
        <v>46.586064478160203</v>
      </c>
      <c r="D1255">
        <v>52.045580832760898</v>
      </c>
      <c r="E1255">
        <f>0.16065340032603</f>
        <v>0.16065340032603001</v>
      </c>
      <c r="F1255">
        <v>0.87916023441270796</v>
      </c>
      <c r="G1255" t="s">
        <v>4</v>
      </c>
      <c r="H1255">
        <v>46.586064478160203</v>
      </c>
      <c r="I1255">
        <v>8.8366023849130908</v>
      </c>
      <c r="J1255">
        <v>2.4374920278216798</v>
      </c>
      <c r="K1255">
        <v>9.0106498324407907E-3</v>
      </c>
      <c r="L1255" t="s">
        <v>4</v>
      </c>
      <c r="M1255">
        <v>52.045580832760898</v>
      </c>
      <c r="N1255">
        <v>8.8366023849130908</v>
      </c>
      <c r="O1255">
        <v>2.5981454281477099</v>
      </c>
      <c r="P1255">
        <v>4.7898879874212902E-3</v>
      </c>
      <c r="Q1255" t="s">
        <v>4</v>
      </c>
      <c r="R1255" s="4" t="s">
        <v>87</v>
      </c>
      <c r="S1255" t="s">
        <v>4</v>
      </c>
      <c r="T1255" t="s">
        <v>88</v>
      </c>
      <c r="U1255" t="s">
        <v>89</v>
      </c>
      <c r="V1255" t="s">
        <v>90</v>
      </c>
      <c r="W1255" t="s">
        <v>91</v>
      </c>
      <c r="X1255" t="s">
        <v>4</v>
      </c>
      <c r="Y1255" t="s">
        <v>92</v>
      </c>
      <c r="Z1255" t="s">
        <v>92</v>
      </c>
      <c r="AA1255" t="s">
        <v>92</v>
      </c>
      <c r="AB1255" t="s">
        <v>4</v>
      </c>
      <c r="AC1255" s="3" t="s">
        <v>93</v>
      </c>
      <c r="AD1255" t="s">
        <v>4</v>
      </c>
      <c r="AE1255" s="4" t="s">
        <v>94</v>
      </c>
      <c r="AZ1255" t="s">
        <v>4</v>
      </c>
      <c r="BA1255" s="3" t="s">
        <v>95</v>
      </c>
      <c r="BB1255" t="s">
        <v>96</v>
      </c>
      <c r="BC1255" s="3" t="s">
        <v>95</v>
      </c>
      <c r="BD1255" t="s">
        <v>4</v>
      </c>
      <c r="BE1255">
        <v>2695</v>
      </c>
      <c r="BF1255" t="s">
        <v>97</v>
      </c>
      <c r="BG1255">
        <v>56.666699999999999</v>
      </c>
      <c r="BH1255">
        <v>83.939400000000006</v>
      </c>
      <c r="BI1255">
        <v>66.060599999999994</v>
      </c>
      <c r="BJ1255">
        <v>30.909099999999999</v>
      </c>
      <c r="BK1255">
        <v>42.424199999999999</v>
      </c>
      <c r="BM1255">
        <v>24.2424</v>
      </c>
      <c r="BN1255">
        <v>25.151499999999999</v>
      </c>
      <c r="BO1255">
        <v>46.060600000000001</v>
      </c>
      <c r="BP1255">
        <v>11.818199999999999</v>
      </c>
      <c r="CK1255">
        <v>4</v>
      </c>
      <c r="CL1255" t="s">
        <v>4</v>
      </c>
      <c r="CM1255" t="s">
        <v>98</v>
      </c>
      <c r="CN1255" t="s">
        <v>98</v>
      </c>
      <c r="CO1255" t="s">
        <v>99</v>
      </c>
      <c r="CP1255" t="s">
        <v>100</v>
      </c>
      <c r="CQ1255" t="s">
        <v>100</v>
      </c>
      <c r="CR1255" t="s">
        <v>100</v>
      </c>
      <c r="CS1255" t="s">
        <v>101</v>
      </c>
      <c r="CT1255" t="s">
        <v>152</v>
      </c>
      <c r="CU1255" t="s">
        <v>102</v>
      </c>
      <c r="CV1255" t="s">
        <v>100</v>
      </c>
    </row>
    <row r="1256" spans="1:100">
      <c r="A1256" s="3" t="s">
        <v>13631</v>
      </c>
      <c r="B1256" s="4" t="s">
        <v>13632</v>
      </c>
      <c r="C1256">
        <v>2803.54897109996</v>
      </c>
      <c r="D1256">
        <v>5530.5708269078696</v>
      </c>
      <c r="E1256">
        <f>0.980113836591221</f>
        <v>0.98011383659122098</v>
      </c>
      <c r="F1256">
        <v>3.1493771466968201E-3</v>
      </c>
      <c r="G1256" t="s">
        <v>4</v>
      </c>
      <c r="H1256">
        <v>2803.54897109996</v>
      </c>
      <c r="I1256">
        <v>912.248482984715</v>
      </c>
      <c r="J1256">
        <v>1.61698072195572</v>
      </c>
      <c r="K1256" s="5">
        <v>2.7040791200319903E-7</v>
      </c>
      <c r="L1256" t="s">
        <v>4</v>
      </c>
      <c r="M1256">
        <v>5530.5708269078696</v>
      </c>
      <c r="N1256">
        <v>912.248482984715</v>
      </c>
      <c r="O1256">
        <v>2.59709455854694</v>
      </c>
      <c r="P1256" s="5">
        <v>2.1114764355813299E-17</v>
      </c>
      <c r="Q1256" t="s">
        <v>4</v>
      </c>
      <c r="R1256" s="4" t="s">
        <v>87</v>
      </c>
      <c r="S1256" t="s">
        <v>4</v>
      </c>
      <c r="T1256" t="s">
        <v>11264</v>
      </c>
      <c r="U1256" t="s">
        <v>11265</v>
      </c>
      <c r="V1256" t="s">
        <v>11266</v>
      </c>
      <c r="W1256" t="s">
        <v>328</v>
      </c>
      <c r="X1256" t="s">
        <v>4</v>
      </c>
      <c r="Y1256" t="s">
        <v>11267</v>
      </c>
      <c r="Z1256" t="s">
        <v>11268</v>
      </c>
      <c r="AA1256" t="s">
        <v>11269</v>
      </c>
      <c r="AB1256" t="s">
        <v>4</v>
      </c>
      <c r="AC1256" s="3" t="s">
        <v>13633</v>
      </c>
      <c r="AD1256" t="s">
        <v>4</v>
      </c>
      <c r="AE1256" t="s">
        <v>13634</v>
      </c>
      <c r="AF1256" t="s">
        <v>13635</v>
      </c>
      <c r="AG1256" t="s">
        <v>13636</v>
      </c>
      <c r="AH1256" t="s">
        <v>112</v>
      </c>
      <c r="AL1256" t="s">
        <v>13637</v>
      </c>
      <c r="AQ1256" t="s">
        <v>861</v>
      </c>
      <c r="AU1256" t="s">
        <v>112</v>
      </c>
      <c r="AV1256" t="s">
        <v>13638</v>
      </c>
      <c r="AW1256" t="s">
        <v>114</v>
      </c>
      <c r="AX1256" t="s">
        <v>2139</v>
      </c>
      <c r="AY1256" t="s">
        <v>13639</v>
      </c>
      <c r="AZ1256" t="s">
        <v>4</v>
      </c>
      <c r="BA1256" s="3" t="s">
        <v>95</v>
      </c>
      <c r="BB1256" s="6" t="s">
        <v>95</v>
      </c>
      <c r="BC1256" s="3" t="s">
        <v>95</v>
      </c>
      <c r="BD1256" t="s">
        <v>4</v>
      </c>
      <c r="BE1256">
        <v>6987</v>
      </c>
      <c r="BF1256" t="s">
        <v>213</v>
      </c>
      <c r="BG1256">
        <v>67.149799999999999</v>
      </c>
      <c r="BH1256">
        <v>50.724600000000002</v>
      </c>
      <c r="BI1256">
        <v>78.744</v>
      </c>
      <c r="BJ1256">
        <v>68.115899999999996</v>
      </c>
      <c r="BK1256">
        <v>70.531400000000005</v>
      </c>
      <c r="BL1256">
        <v>23.188400000000001</v>
      </c>
      <c r="BM1256">
        <v>45.893700000000003</v>
      </c>
      <c r="BN1256">
        <v>68.115899999999996</v>
      </c>
      <c r="BO1256">
        <v>68.599000000000004</v>
      </c>
      <c r="BP1256">
        <v>35.265700000000002</v>
      </c>
      <c r="BS1256">
        <v>37.198099999999997</v>
      </c>
      <c r="BT1256">
        <v>32.367100000000001</v>
      </c>
      <c r="BU1256" t="s">
        <v>13640</v>
      </c>
      <c r="BV1256" t="s">
        <v>13641</v>
      </c>
      <c r="BX1256">
        <v>32.850200000000001</v>
      </c>
      <c r="BY1256">
        <v>31.401</v>
      </c>
      <c r="BZ1256">
        <v>31.401</v>
      </c>
      <c r="CB1256">
        <v>35.748800000000003</v>
      </c>
      <c r="CD1256">
        <v>28.502400000000002</v>
      </c>
      <c r="CK1256">
        <v>8</v>
      </c>
      <c r="CL1256" t="s">
        <v>4</v>
      </c>
      <c r="CM1256" t="s">
        <v>98</v>
      </c>
      <c r="CN1256" t="s">
        <v>98</v>
      </c>
      <c r="CO1256" t="s">
        <v>99</v>
      </c>
      <c r="CP1256" t="s">
        <v>100</v>
      </c>
      <c r="CQ1256" t="s">
        <v>100</v>
      </c>
      <c r="CR1256" t="s">
        <v>100</v>
      </c>
      <c r="CS1256" s="7" t="s">
        <v>101</v>
      </c>
      <c r="CT1256" t="s">
        <v>152</v>
      </c>
      <c r="CU1256" t="s">
        <v>102</v>
      </c>
      <c r="CV1256" t="s">
        <v>100</v>
      </c>
    </row>
    <row r="1257" spans="1:100">
      <c r="A1257" s="3" t="s">
        <v>13642</v>
      </c>
      <c r="B1257" s="4" t="s">
        <v>13643</v>
      </c>
      <c r="C1257">
        <v>1076.4552329738899</v>
      </c>
      <c r="D1257">
        <v>1431.9781795874401</v>
      </c>
      <c r="E1257">
        <f>0.411601805737258</f>
        <v>0.41160180573725802</v>
      </c>
      <c r="F1257">
        <v>0.116539822358734</v>
      </c>
      <c r="G1257" t="s">
        <v>4</v>
      </c>
      <c r="H1257">
        <v>1076.4552329738899</v>
      </c>
      <c r="I1257">
        <v>237.94217072214801</v>
      </c>
      <c r="J1257">
        <v>2.17178285865061</v>
      </c>
      <c r="K1257" s="5">
        <v>2.3938105920185802E-19</v>
      </c>
      <c r="L1257" t="s">
        <v>4</v>
      </c>
      <c r="M1257">
        <v>1431.9781795874401</v>
      </c>
      <c r="N1257">
        <v>237.94217072214801</v>
      </c>
      <c r="O1257">
        <v>2.5833846643878702</v>
      </c>
      <c r="P1257" s="5">
        <v>3.8994475124964401E-27</v>
      </c>
      <c r="Q1257" t="s">
        <v>4</v>
      </c>
      <c r="R1257" s="4" t="s">
        <v>87</v>
      </c>
      <c r="S1257" t="s">
        <v>4</v>
      </c>
      <c r="T1257" t="s">
        <v>13644</v>
      </c>
      <c r="U1257" t="s">
        <v>13645</v>
      </c>
      <c r="V1257" t="s">
        <v>13646</v>
      </c>
      <c r="W1257" t="s">
        <v>203</v>
      </c>
      <c r="X1257" t="s">
        <v>4</v>
      </c>
      <c r="Y1257" t="s">
        <v>13647</v>
      </c>
      <c r="Z1257" t="s">
        <v>13648</v>
      </c>
      <c r="AA1257" t="s">
        <v>13649</v>
      </c>
      <c r="AB1257" t="s">
        <v>4</v>
      </c>
      <c r="AC1257" s="3" t="s">
        <v>13650</v>
      </c>
      <c r="AD1257" t="s">
        <v>4</v>
      </c>
      <c r="AE1257" t="s">
        <v>13651</v>
      </c>
      <c r="AF1257" t="s">
        <v>13652</v>
      </c>
      <c r="AG1257" t="s">
        <v>13653</v>
      </c>
      <c r="AH1257" t="s">
        <v>112</v>
      </c>
      <c r="AJ1257" t="s">
        <v>13654</v>
      </c>
      <c r="AK1257" t="s">
        <v>3194</v>
      </c>
      <c r="AL1257" t="s">
        <v>13655</v>
      </c>
      <c r="AQ1257" t="s">
        <v>6947</v>
      </c>
      <c r="AU1257" t="s">
        <v>112</v>
      </c>
      <c r="AV1257" t="s">
        <v>13656</v>
      </c>
      <c r="AW1257" t="s">
        <v>114</v>
      </c>
      <c r="AX1257" t="s">
        <v>733</v>
      </c>
      <c r="AY1257" t="s">
        <v>13657</v>
      </c>
      <c r="AZ1257" t="s">
        <v>4</v>
      </c>
      <c r="BA1257" s="3" t="s">
        <v>95</v>
      </c>
      <c r="BB1257" s="6" t="s">
        <v>95</v>
      </c>
      <c r="BC1257" s="3" t="s">
        <v>95</v>
      </c>
      <c r="BD1257" t="s">
        <v>4</v>
      </c>
      <c r="BE1257">
        <v>9403</v>
      </c>
      <c r="BF1257" t="s">
        <v>169</v>
      </c>
      <c r="BG1257">
        <v>96.437700000000007</v>
      </c>
      <c r="BH1257">
        <v>69.465699999999998</v>
      </c>
      <c r="BI1257">
        <v>60.050899999999999</v>
      </c>
      <c r="BJ1257">
        <v>64.503799999999998</v>
      </c>
      <c r="BK1257">
        <v>78.244299999999996</v>
      </c>
      <c r="BM1257" t="s">
        <v>13658</v>
      </c>
      <c r="BN1257">
        <v>78.244299999999996</v>
      </c>
      <c r="BO1257">
        <v>78.880399999999995</v>
      </c>
      <c r="BP1257">
        <v>39.694699999999997</v>
      </c>
      <c r="BQ1257">
        <v>32.57</v>
      </c>
      <c r="BR1257">
        <v>24.809200000000001</v>
      </c>
      <c r="BS1257">
        <v>27.0992</v>
      </c>
      <c r="BT1257">
        <v>16.666699999999999</v>
      </c>
      <c r="BU1257">
        <v>30.788799999999998</v>
      </c>
      <c r="BV1257" t="s">
        <v>13659</v>
      </c>
      <c r="BW1257">
        <v>32.188299999999998</v>
      </c>
      <c r="BX1257">
        <v>36.641199999999998</v>
      </c>
      <c r="BY1257">
        <v>20.483499999999999</v>
      </c>
      <c r="BZ1257">
        <v>21.882999999999999</v>
      </c>
      <c r="CA1257">
        <v>36.005099999999999</v>
      </c>
      <c r="CB1257">
        <v>1.65394</v>
      </c>
      <c r="CC1257" t="s">
        <v>13660</v>
      </c>
      <c r="CD1257" t="s">
        <v>13661</v>
      </c>
      <c r="CE1257">
        <v>27.480899999999998</v>
      </c>
      <c r="CF1257">
        <v>28.244299999999999</v>
      </c>
      <c r="CG1257">
        <v>27.0992</v>
      </c>
      <c r="CH1257">
        <v>29.643799999999999</v>
      </c>
      <c r="CI1257">
        <v>30.025400000000001</v>
      </c>
      <c r="CJ1257">
        <v>26.335899999999999</v>
      </c>
      <c r="CK1257">
        <v>9</v>
      </c>
      <c r="CL1257" t="s">
        <v>4</v>
      </c>
      <c r="CM1257" t="s">
        <v>13662</v>
      </c>
      <c r="CN1257" t="s">
        <v>13663</v>
      </c>
      <c r="CO1257" t="s">
        <v>219</v>
      </c>
      <c r="CP1257" t="s">
        <v>100</v>
      </c>
      <c r="CQ1257" t="s">
        <v>100</v>
      </c>
      <c r="CR1257" t="s">
        <v>100</v>
      </c>
      <c r="CS1257" t="s">
        <v>101</v>
      </c>
      <c r="CT1257" t="s">
        <v>152</v>
      </c>
      <c r="CU1257" t="s">
        <v>102</v>
      </c>
      <c r="CV1257" t="s">
        <v>100</v>
      </c>
    </row>
    <row r="1258" spans="1:100">
      <c r="A1258" s="3" t="s">
        <v>13664</v>
      </c>
      <c r="B1258" s="4" t="s">
        <v>13665</v>
      </c>
      <c r="C1258">
        <v>503.29834051423802</v>
      </c>
      <c r="D1258">
        <v>446.36145034863199</v>
      </c>
      <c r="E1258">
        <v>0.17280059298301401</v>
      </c>
      <c r="F1258">
        <v>0.72754522863689897</v>
      </c>
      <c r="G1258" t="s">
        <v>4</v>
      </c>
      <c r="H1258">
        <v>503.29834051423802</v>
      </c>
      <c r="I1258">
        <v>75.028995448347302</v>
      </c>
      <c r="J1258">
        <v>2.7547065649030702</v>
      </c>
      <c r="K1258" s="5">
        <v>7.4539560519422598E-11</v>
      </c>
      <c r="L1258" t="s">
        <v>4</v>
      </c>
      <c r="M1258">
        <v>446.36145034863199</v>
      </c>
      <c r="N1258">
        <v>75.028995448347302</v>
      </c>
      <c r="O1258">
        <v>2.5819059719200599</v>
      </c>
      <c r="P1258" s="5">
        <v>9.1213795132163897E-10</v>
      </c>
      <c r="Q1258" t="s">
        <v>4</v>
      </c>
      <c r="R1258" s="4" t="s">
        <v>87</v>
      </c>
      <c r="S1258" t="s">
        <v>4</v>
      </c>
      <c r="T1258" t="s">
        <v>2358</v>
      </c>
      <c r="U1258" t="s">
        <v>2359</v>
      </c>
      <c r="V1258" t="s">
        <v>2360</v>
      </c>
      <c r="W1258" t="s">
        <v>507</v>
      </c>
      <c r="X1258" t="s">
        <v>4</v>
      </c>
      <c r="Y1258" t="s">
        <v>9882</v>
      </c>
      <c r="Z1258" t="s">
        <v>9883</v>
      </c>
      <c r="AA1258" t="s">
        <v>9884</v>
      </c>
      <c r="AB1258" t="s">
        <v>4</v>
      </c>
      <c r="AC1258" s="3" t="s">
        <v>13666</v>
      </c>
      <c r="AD1258" t="s">
        <v>4</v>
      </c>
      <c r="AE1258" t="s">
        <v>13667</v>
      </c>
      <c r="AF1258" t="s">
        <v>13668</v>
      </c>
      <c r="AG1258" t="s">
        <v>13669</v>
      </c>
      <c r="AH1258" t="s">
        <v>112</v>
      </c>
      <c r="AU1258" t="s">
        <v>112</v>
      </c>
      <c r="AV1258" t="s">
        <v>13670</v>
      </c>
      <c r="AW1258" t="s">
        <v>114</v>
      </c>
      <c r="AX1258" t="s">
        <v>371</v>
      </c>
      <c r="AY1258" t="s">
        <v>13671</v>
      </c>
      <c r="AZ1258" t="s">
        <v>4</v>
      </c>
      <c r="BA1258" s="3" t="s">
        <v>95</v>
      </c>
      <c r="BB1258" s="6" t="s">
        <v>95</v>
      </c>
      <c r="BC1258" s="3" t="s">
        <v>95</v>
      </c>
      <c r="BD1258" t="s">
        <v>4</v>
      </c>
      <c r="BE1258">
        <v>5561</v>
      </c>
      <c r="BF1258" t="s">
        <v>386</v>
      </c>
      <c r="BG1258">
        <v>92.077699999999993</v>
      </c>
      <c r="BH1258">
        <v>19.431999999999999</v>
      </c>
      <c r="BI1258">
        <v>87.593400000000003</v>
      </c>
      <c r="BJ1258">
        <v>42.600900000000003</v>
      </c>
      <c r="BK1258">
        <v>48.58</v>
      </c>
      <c r="BM1258">
        <v>52.017899999999997</v>
      </c>
      <c r="BN1258">
        <v>52.765300000000003</v>
      </c>
      <c r="BO1258">
        <v>48.878900000000002</v>
      </c>
      <c r="BP1258">
        <v>26.905799999999999</v>
      </c>
      <c r="BQ1258">
        <v>21.3752</v>
      </c>
      <c r="BR1258">
        <v>20.478300000000001</v>
      </c>
      <c r="BS1258">
        <v>16.1435</v>
      </c>
      <c r="BU1258">
        <v>18.834099999999999</v>
      </c>
      <c r="BV1258" t="s">
        <v>13672</v>
      </c>
      <c r="BW1258">
        <v>8.8191299999999995</v>
      </c>
      <c r="BX1258">
        <v>22.571000000000002</v>
      </c>
      <c r="CA1258">
        <v>19.132999999999999</v>
      </c>
      <c r="CC1258">
        <v>17.638300000000001</v>
      </c>
      <c r="CD1258">
        <v>20.029900000000001</v>
      </c>
      <c r="CF1258">
        <v>13.751899999999999</v>
      </c>
      <c r="CG1258">
        <v>14.050800000000001</v>
      </c>
      <c r="CH1258" t="s">
        <v>13673</v>
      </c>
      <c r="CI1258" t="s">
        <v>13674</v>
      </c>
      <c r="CK1258">
        <v>7</v>
      </c>
      <c r="CL1258" t="s">
        <v>4</v>
      </c>
      <c r="CM1258" t="s">
        <v>13675</v>
      </c>
      <c r="CN1258" t="s">
        <v>13676</v>
      </c>
      <c r="CO1258" t="s">
        <v>663</v>
      </c>
      <c r="CP1258" t="s">
        <v>100</v>
      </c>
      <c r="CQ1258" t="s">
        <v>100</v>
      </c>
      <c r="CR1258" t="s">
        <v>100</v>
      </c>
      <c r="CS1258" t="s">
        <v>101</v>
      </c>
      <c r="CT1258" t="s">
        <v>152</v>
      </c>
      <c r="CU1258" t="s">
        <v>102</v>
      </c>
      <c r="CV1258" t="s">
        <v>100</v>
      </c>
    </row>
    <row r="1259" spans="1:100">
      <c r="A1259" s="3" t="s">
        <v>13677</v>
      </c>
      <c r="B1259" s="4" t="s">
        <v>13678</v>
      </c>
      <c r="C1259">
        <v>459.23131084592097</v>
      </c>
      <c r="D1259">
        <v>565.84981454843501</v>
      </c>
      <c r="E1259">
        <f>0.301627903987482</f>
        <v>0.30162790398748202</v>
      </c>
      <c r="F1259">
        <v>0.60886049528300801</v>
      </c>
      <c r="G1259" t="s">
        <v>4</v>
      </c>
      <c r="H1259">
        <v>459.23131084592097</v>
      </c>
      <c r="I1259">
        <v>96.307074228897406</v>
      </c>
      <c r="J1259">
        <v>2.2561319291353699</v>
      </c>
      <c r="K1259" s="5">
        <v>1.2463212742864801E-5</v>
      </c>
      <c r="L1259" t="s">
        <v>4</v>
      </c>
      <c r="M1259">
        <v>565.84981454843501</v>
      </c>
      <c r="N1259">
        <v>96.307074228897406</v>
      </c>
      <c r="O1259">
        <v>2.5577598331228502</v>
      </c>
      <c r="P1259" s="5">
        <v>4.46550149139596E-7</v>
      </c>
      <c r="Q1259" t="s">
        <v>4</v>
      </c>
      <c r="R1259" s="4" t="s">
        <v>87</v>
      </c>
      <c r="S1259" t="s">
        <v>4</v>
      </c>
      <c r="T1259" t="s">
        <v>13679</v>
      </c>
      <c r="U1259" t="s">
        <v>13680</v>
      </c>
      <c r="V1259" t="s">
        <v>13681</v>
      </c>
      <c r="W1259" t="s">
        <v>328</v>
      </c>
      <c r="X1259" t="s">
        <v>4</v>
      </c>
      <c r="Y1259" t="s">
        <v>13682</v>
      </c>
      <c r="Z1259" t="s">
        <v>13683</v>
      </c>
      <c r="AA1259" t="s">
        <v>13684</v>
      </c>
      <c r="AB1259" t="s">
        <v>4</v>
      </c>
      <c r="AC1259" s="3" t="s">
        <v>13685</v>
      </c>
      <c r="AD1259" t="s">
        <v>4</v>
      </c>
      <c r="AE1259" t="s">
        <v>13686</v>
      </c>
      <c r="AF1259" t="s">
        <v>834</v>
      </c>
      <c r="AG1259" t="s">
        <v>13687</v>
      </c>
      <c r="AH1259" t="s">
        <v>112</v>
      </c>
      <c r="AU1259" t="s">
        <v>112</v>
      </c>
      <c r="AV1259" t="s">
        <v>13688</v>
      </c>
      <c r="AW1259" t="s">
        <v>114</v>
      </c>
      <c r="AX1259" t="s">
        <v>3312</v>
      </c>
      <c r="AY1259" t="s">
        <v>13689</v>
      </c>
      <c r="AZ1259" t="s">
        <v>4</v>
      </c>
      <c r="BA1259" s="3" t="s">
        <v>95</v>
      </c>
      <c r="BB1259" s="6" t="s">
        <v>95</v>
      </c>
      <c r="BC1259" s="3" t="s">
        <v>95</v>
      </c>
      <c r="BD1259" t="s">
        <v>4</v>
      </c>
      <c r="BE1259">
        <v>5784</v>
      </c>
      <c r="BF1259" t="s">
        <v>386</v>
      </c>
      <c r="BG1259">
        <v>66.770899999999997</v>
      </c>
      <c r="BH1259">
        <v>33.71</v>
      </c>
      <c r="BI1259">
        <v>90.911299999999997</v>
      </c>
      <c r="BJ1259">
        <v>71.555700000000002</v>
      </c>
      <c r="BK1259">
        <v>63.3566</v>
      </c>
      <c r="BL1259">
        <v>68.357799999999997</v>
      </c>
      <c r="BM1259">
        <v>68.2376</v>
      </c>
      <c r="BN1259">
        <v>68.2376</v>
      </c>
      <c r="BP1259">
        <v>22.120699999999999</v>
      </c>
      <c r="BS1259">
        <v>13.585000000000001</v>
      </c>
      <c r="BW1259">
        <v>2.5486900000000001</v>
      </c>
      <c r="BX1259">
        <v>10.891999999999999</v>
      </c>
      <c r="BY1259">
        <v>10.819900000000001</v>
      </c>
      <c r="BZ1259">
        <v>6.0831900000000001</v>
      </c>
      <c r="CG1259" t="s">
        <v>13690</v>
      </c>
      <c r="CH1259" t="s">
        <v>13691</v>
      </c>
      <c r="CI1259">
        <v>2.8372199999999999</v>
      </c>
      <c r="CJ1259" t="s">
        <v>13692</v>
      </c>
      <c r="CK1259">
        <v>7</v>
      </c>
      <c r="CL1259" t="s">
        <v>4</v>
      </c>
      <c r="CM1259" t="s">
        <v>98</v>
      </c>
      <c r="CN1259" t="s">
        <v>98</v>
      </c>
      <c r="CO1259" t="s">
        <v>99</v>
      </c>
      <c r="CP1259" t="s">
        <v>100</v>
      </c>
      <c r="CQ1259" t="s">
        <v>100</v>
      </c>
      <c r="CR1259" t="s">
        <v>100</v>
      </c>
      <c r="CS1259" t="s">
        <v>101</v>
      </c>
      <c r="CT1259" t="s">
        <v>152</v>
      </c>
      <c r="CU1259" t="s">
        <v>102</v>
      </c>
      <c r="CV1259" t="s">
        <v>100</v>
      </c>
    </row>
    <row r="1260" spans="1:100">
      <c r="A1260" s="3" t="s">
        <v>13693</v>
      </c>
      <c r="B1260" s="4" t="s">
        <v>13694</v>
      </c>
      <c r="C1260">
        <v>1524.4864557308899</v>
      </c>
      <c r="D1260">
        <v>2175.5976716678401</v>
      </c>
      <c r="E1260">
        <f>0.513075534617498</f>
        <v>0.513075534617498</v>
      </c>
      <c r="F1260">
        <v>0.32219210567745599</v>
      </c>
      <c r="G1260" t="s">
        <v>4</v>
      </c>
      <c r="H1260">
        <v>1524.4864557308899</v>
      </c>
      <c r="I1260">
        <v>369.46752516876597</v>
      </c>
      <c r="J1260">
        <v>2.0390581476049401</v>
      </c>
      <c r="K1260" s="5">
        <v>1.33140251919672E-5</v>
      </c>
      <c r="L1260" t="s">
        <v>4</v>
      </c>
      <c r="M1260">
        <v>2175.5976716678401</v>
      </c>
      <c r="N1260">
        <v>369.46752516876597</v>
      </c>
      <c r="O1260">
        <v>2.5521336822224399</v>
      </c>
      <c r="P1260" s="5">
        <v>2.4342062702241999E-8</v>
      </c>
      <c r="Q1260" t="s">
        <v>4</v>
      </c>
      <c r="R1260" s="4" t="s">
        <v>87</v>
      </c>
      <c r="S1260" t="s">
        <v>4</v>
      </c>
      <c r="T1260" t="s">
        <v>13695</v>
      </c>
      <c r="U1260" t="s">
        <v>13696</v>
      </c>
      <c r="V1260" t="s">
        <v>13697</v>
      </c>
      <c r="W1260" t="s">
        <v>328</v>
      </c>
      <c r="X1260" t="s">
        <v>4</v>
      </c>
      <c r="Y1260" t="s">
        <v>13698</v>
      </c>
      <c r="Z1260" t="s">
        <v>13699</v>
      </c>
      <c r="AA1260" t="s">
        <v>13700</v>
      </c>
      <c r="AB1260" t="s">
        <v>4</v>
      </c>
      <c r="AC1260" s="3" t="s">
        <v>93</v>
      </c>
      <c r="AD1260" t="s">
        <v>4</v>
      </c>
      <c r="AE1260" t="s">
        <v>13701</v>
      </c>
      <c r="AF1260" t="s">
        <v>13702</v>
      </c>
      <c r="AG1260" t="s">
        <v>6987</v>
      </c>
      <c r="AH1260" t="s">
        <v>314</v>
      </c>
      <c r="AU1260" t="s">
        <v>112</v>
      </c>
      <c r="AV1260" t="s">
        <v>13703</v>
      </c>
      <c r="AW1260" t="s">
        <v>114</v>
      </c>
      <c r="AZ1260" t="s">
        <v>4</v>
      </c>
      <c r="BA1260" s="3" t="s">
        <v>115</v>
      </c>
      <c r="BB1260" s="6" t="s">
        <v>95</v>
      </c>
      <c r="BC1260" s="3" t="s">
        <v>95</v>
      </c>
      <c r="BD1260" t="s">
        <v>4</v>
      </c>
      <c r="BE1260">
        <v>4435</v>
      </c>
      <c r="BF1260" t="s">
        <v>112</v>
      </c>
      <c r="BG1260">
        <v>35.177300000000002</v>
      </c>
      <c r="BH1260">
        <v>99.858199999999997</v>
      </c>
      <c r="BI1260">
        <v>90.780100000000004</v>
      </c>
      <c r="BJ1260">
        <v>70.212800000000001</v>
      </c>
      <c r="BK1260">
        <v>63.971600000000002</v>
      </c>
      <c r="BL1260" t="s">
        <v>13704</v>
      </c>
      <c r="BM1260">
        <v>61.702100000000002</v>
      </c>
      <c r="BN1260">
        <v>65.106399999999994</v>
      </c>
      <c r="BO1260">
        <v>66.950400000000002</v>
      </c>
      <c r="BP1260">
        <v>20.992899999999999</v>
      </c>
      <c r="BQ1260">
        <v>19.5745</v>
      </c>
      <c r="BS1260">
        <v>18.297899999999998</v>
      </c>
      <c r="CK1260">
        <v>5</v>
      </c>
      <c r="CL1260" t="s">
        <v>4</v>
      </c>
      <c r="CM1260" t="s">
        <v>98</v>
      </c>
      <c r="CN1260" t="s">
        <v>98</v>
      </c>
      <c r="CO1260" t="s">
        <v>99</v>
      </c>
      <c r="CP1260" t="s">
        <v>100</v>
      </c>
      <c r="CQ1260" t="s">
        <v>100</v>
      </c>
      <c r="CR1260" t="s">
        <v>100</v>
      </c>
      <c r="CS1260" t="s">
        <v>101</v>
      </c>
      <c r="CT1260" t="s">
        <v>152</v>
      </c>
      <c r="CU1260" t="s">
        <v>102</v>
      </c>
      <c r="CV1260" t="s">
        <v>100</v>
      </c>
    </row>
    <row r="1261" spans="1:100">
      <c r="A1261" s="3" t="s">
        <v>13705</v>
      </c>
      <c r="B1261" s="4" t="s">
        <v>13706</v>
      </c>
      <c r="C1261">
        <v>1222.5703355170699</v>
      </c>
      <c r="D1261">
        <v>1207.0724351129099</v>
      </c>
      <c r="E1261">
        <v>1.8487875056343001E-2</v>
      </c>
      <c r="F1261">
        <v>0.96250170357446896</v>
      </c>
      <c r="G1261" t="s">
        <v>4</v>
      </c>
      <c r="H1261">
        <v>1222.5703355170699</v>
      </c>
      <c r="I1261">
        <v>204.54005017262401</v>
      </c>
      <c r="J1261">
        <v>2.57058531878651</v>
      </c>
      <c r="K1261" s="5">
        <v>1.2841779449171199E-17</v>
      </c>
      <c r="L1261" t="s">
        <v>4</v>
      </c>
      <c r="M1261">
        <v>1207.0724351129099</v>
      </c>
      <c r="N1261">
        <v>204.54005017262401</v>
      </c>
      <c r="O1261">
        <v>2.5520974437301698</v>
      </c>
      <c r="P1261" s="5">
        <v>1.6939667681895201E-17</v>
      </c>
      <c r="Q1261" t="s">
        <v>4</v>
      </c>
      <c r="R1261" s="4" t="s">
        <v>87</v>
      </c>
      <c r="S1261" t="s">
        <v>4</v>
      </c>
      <c r="T1261" t="s">
        <v>92</v>
      </c>
      <c r="U1261" t="s">
        <v>92</v>
      </c>
      <c r="V1261" t="s">
        <v>92</v>
      </c>
      <c r="W1261" t="s">
        <v>92</v>
      </c>
      <c r="X1261" t="s">
        <v>4</v>
      </c>
      <c r="Y1261" t="s">
        <v>13707</v>
      </c>
      <c r="Z1261" t="s">
        <v>13708</v>
      </c>
      <c r="AA1261" t="s">
        <v>13709</v>
      </c>
      <c r="AB1261" t="s">
        <v>4</v>
      </c>
      <c r="AC1261" s="3" t="s">
        <v>93</v>
      </c>
      <c r="AD1261" t="s">
        <v>4</v>
      </c>
      <c r="AE1261" t="s">
        <v>13710</v>
      </c>
      <c r="AF1261" t="s">
        <v>13711</v>
      </c>
      <c r="AG1261" t="s">
        <v>5766</v>
      </c>
      <c r="AH1261" t="s">
        <v>2090</v>
      </c>
      <c r="AU1261" t="s">
        <v>112</v>
      </c>
      <c r="AV1261" t="s">
        <v>13712</v>
      </c>
      <c r="AW1261" t="s">
        <v>114</v>
      </c>
      <c r="AX1261" t="s">
        <v>144</v>
      </c>
      <c r="AY1261" t="s">
        <v>13713</v>
      </c>
      <c r="AZ1261" t="s">
        <v>4</v>
      </c>
      <c r="BA1261" s="3" t="s">
        <v>95</v>
      </c>
      <c r="BB1261" s="6" t="s">
        <v>95</v>
      </c>
      <c r="BC1261" s="3" t="s">
        <v>95</v>
      </c>
      <c r="BD1261" t="s">
        <v>4</v>
      </c>
      <c r="BE1261">
        <v>3177</v>
      </c>
      <c r="BF1261" t="s">
        <v>112</v>
      </c>
      <c r="BG1261">
        <v>95.840900000000005</v>
      </c>
      <c r="BH1261">
        <v>98.915000000000006</v>
      </c>
      <c r="BI1261">
        <v>86.256799999999998</v>
      </c>
      <c r="BJ1261">
        <v>70.705200000000005</v>
      </c>
      <c r="BK1261">
        <v>66.184399999999997</v>
      </c>
      <c r="BL1261" t="s">
        <v>13714</v>
      </c>
      <c r="BM1261">
        <v>64.737799999999993</v>
      </c>
      <c r="BN1261">
        <v>64.918599999999998</v>
      </c>
      <c r="BO1261">
        <v>67.811899999999994</v>
      </c>
      <c r="CK1261">
        <v>5</v>
      </c>
      <c r="CL1261" t="s">
        <v>4</v>
      </c>
      <c r="CM1261" t="s">
        <v>98</v>
      </c>
      <c r="CN1261" t="s">
        <v>98</v>
      </c>
      <c r="CO1261" t="s">
        <v>99</v>
      </c>
      <c r="CP1261" t="s">
        <v>100</v>
      </c>
      <c r="CQ1261" t="s">
        <v>100</v>
      </c>
      <c r="CR1261" t="s">
        <v>100</v>
      </c>
      <c r="CS1261" t="s">
        <v>101</v>
      </c>
      <c r="CT1261" t="s">
        <v>152</v>
      </c>
      <c r="CU1261" t="s">
        <v>102</v>
      </c>
      <c r="CV1261" t="s">
        <v>100</v>
      </c>
    </row>
    <row r="1262" spans="1:100">
      <c r="A1262" s="3" t="s">
        <v>13715</v>
      </c>
      <c r="B1262" s="4" t="s">
        <v>13716</v>
      </c>
      <c r="C1262">
        <v>834.75272856086201</v>
      </c>
      <c r="D1262">
        <v>785.28934958164598</v>
      </c>
      <c r="E1262">
        <v>8.8278894301261401E-2</v>
      </c>
      <c r="F1262">
        <v>0.83780127293574602</v>
      </c>
      <c r="G1262" t="s">
        <v>4</v>
      </c>
      <c r="H1262">
        <v>834.75272856086201</v>
      </c>
      <c r="I1262">
        <v>135.60391987979199</v>
      </c>
      <c r="J1262">
        <v>2.6353309479901998</v>
      </c>
      <c r="K1262" s="5">
        <v>7.5433835743261499E-14</v>
      </c>
      <c r="L1262" t="s">
        <v>4</v>
      </c>
      <c r="M1262">
        <v>785.28934958164598</v>
      </c>
      <c r="N1262">
        <v>135.60391987979199</v>
      </c>
      <c r="O1262">
        <v>2.5470520536889398</v>
      </c>
      <c r="P1262" s="5">
        <v>4.0543162871845499E-13</v>
      </c>
      <c r="Q1262" t="s">
        <v>4</v>
      </c>
      <c r="R1262" s="4" t="s">
        <v>87</v>
      </c>
      <c r="S1262" t="s">
        <v>4</v>
      </c>
      <c r="T1262" t="s">
        <v>13717</v>
      </c>
      <c r="U1262" t="s">
        <v>13718</v>
      </c>
      <c r="V1262" t="s">
        <v>13719</v>
      </c>
      <c r="W1262" t="s">
        <v>328</v>
      </c>
      <c r="X1262" t="s">
        <v>4</v>
      </c>
      <c r="Y1262" t="s">
        <v>13720</v>
      </c>
      <c r="Z1262" t="s">
        <v>13721</v>
      </c>
      <c r="AA1262" t="s">
        <v>13722</v>
      </c>
      <c r="AB1262" t="s">
        <v>4</v>
      </c>
      <c r="AC1262" s="3" t="s">
        <v>13723</v>
      </c>
      <c r="AD1262" t="s">
        <v>4</v>
      </c>
      <c r="AE1262" t="s">
        <v>13724</v>
      </c>
      <c r="AF1262" t="s">
        <v>13725</v>
      </c>
      <c r="AG1262" t="s">
        <v>13726</v>
      </c>
      <c r="AH1262" t="s">
        <v>112</v>
      </c>
      <c r="AJ1262" t="s">
        <v>13727</v>
      </c>
      <c r="AU1262" t="s">
        <v>112</v>
      </c>
      <c r="AV1262" t="s">
        <v>13728</v>
      </c>
      <c r="AW1262" t="s">
        <v>114</v>
      </c>
      <c r="AX1262" t="s">
        <v>596</v>
      </c>
      <c r="AY1262" t="s">
        <v>13729</v>
      </c>
      <c r="AZ1262" t="s">
        <v>4</v>
      </c>
      <c r="BA1262" s="3" t="s">
        <v>95</v>
      </c>
      <c r="BB1262" t="s">
        <v>96</v>
      </c>
      <c r="BC1262" s="3" t="s">
        <v>95</v>
      </c>
      <c r="BD1262" t="s">
        <v>4</v>
      </c>
      <c r="BE1262">
        <v>5986</v>
      </c>
      <c r="BF1262" t="s">
        <v>213</v>
      </c>
      <c r="BG1262">
        <v>61.329700000000003</v>
      </c>
      <c r="BH1262">
        <v>78.154700000000005</v>
      </c>
      <c r="BI1262">
        <v>64.857500000000002</v>
      </c>
      <c r="BJ1262">
        <v>46.404299999999999</v>
      </c>
      <c r="BM1262">
        <v>47.896900000000002</v>
      </c>
      <c r="BN1262">
        <v>44.5047</v>
      </c>
      <c r="BO1262">
        <v>42.333799999999997</v>
      </c>
      <c r="BP1262">
        <v>4.3419299999999996</v>
      </c>
      <c r="BX1262">
        <v>18.046099999999999</v>
      </c>
      <c r="BY1262">
        <v>8.9552200000000006</v>
      </c>
      <c r="BZ1262">
        <v>16.824999999999999</v>
      </c>
      <c r="CA1262">
        <v>18.181799999999999</v>
      </c>
      <c r="CC1262">
        <v>9.6336499999999994</v>
      </c>
      <c r="CD1262">
        <v>17.774799999999999</v>
      </c>
      <c r="CE1262">
        <v>16.2822</v>
      </c>
      <c r="CG1262" t="s">
        <v>13730</v>
      </c>
      <c r="CH1262" t="s">
        <v>13731</v>
      </c>
      <c r="CI1262">
        <v>18.181799999999999</v>
      </c>
      <c r="CK1262">
        <v>8</v>
      </c>
      <c r="CL1262" t="s">
        <v>4</v>
      </c>
      <c r="CM1262" t="s">
        <v>13732</v>
      </c>
      <c r="CN1262" t="s">
        <v>13733</v>
      </c>
      <c r="CO1262" t="s">
        <v>219</v>
      </c>
      <c r="CP1262" t="s">
        <v>100</v>
      </c>
      <c r="CQ1262" t="s">
        <v>100</v>
      </c>
      <c r="CR1262" t="s">
        <v>100</v>
      </c>
      <c r="CS1262" t="s">
        <v>101</v>
      </c>
      <c r="CT1262" t="s">
        <v>152</v>
      </c>
      <c r="CU1262" t="s">
        <v>102</v>
      </c>
      <c r="CV1262" t="s">
        <v>100</v>
      </c>
    </row>
    <row r="1263" spans="1:100">
      <c r="A1263" s="3" t="s">
        <v>13734</v>
      </c>
      <c r="B1263" s="4" t="s">
        <v>13735</v>
      </c>
      <c r="C1263">
        <v>37.3743078411742</v>
      </c>
      <c r="D1263">
        <v>50.703954849118901</v>
      </c>
      <c r="E1263">
        <f>0.445608154546325</f>
        <v>0.44560815454632502</v>
      </c>
      <c r="F1263">
        <v>0.495577155064712</v>
      </c>
      <c r="G1263" t="s">
        <v>4</v>
      </c>
      <c r="H1263">
        <v>37.3743078411742</v>
      </c>
      <c r="I1263">
        <v>8.7825954054125805</v>
      </c>
      <c r="J1263">
        <v>2.1007358662661</v>
      </c>
      <c r="K1263">
        <v>1.93720507953659E-3</v>
      </c>
      <c r="L1263" t="s">
        <v>4</v>
      </c>
      <c r="M1263">
        <v>50.703954849118901</v>
      </c>
      <c r="N1263">
        <v>8.7825954054125805</v>
      </c>
      <c r="O1263">
        <v>2.5463440208124202</v>
      </c>
      <c r="P1263">
        <v>1.1566646772203301E-4</v>
      </c>
      <c r="Q1263" t="s">
        <v>4</v>
      </c>
      <c r="R1263" s="4" t="s">
        <v>87</v>
      </c>
      <c r="S1263" t="s">
        <v>4</v>
      </c>
      <c r="T1263" t="s">
        <v>92</v>
      </c>
      <c r="U1263" t="s">
        <v>92</v>
      </c>
      <c r="V1263" t="s">
        <v>92</v>
      </c>
      <c r="W1263" t="s">
        <v>92</v>
      </c>
      <c r="X1263" t="s">
        <v>4</v>
      </c>
      <c r="Y1263" t="s">
        <v>92</v>
      </c>
      <c r="Z1263" t="s">
        <v>92</v>
      </c>
      <c r="AA1263" t="s">
        <v>92</v>
      </c>
      <c r="AB1263" t="s">
        <v>4</v>
      </c>
      <c r="AC1263" s="3" t="s">
        <v>93</v>
      </c>
      <c r="AD1263" t="s">
        <v>4</v>
      </c>
      <c r="AE1263" s="4" t="s">
        <v>94</v>
      </c>
      <c r="AZ1263" t="s">
        <v>4</v>
      </c>
      <c r="BA1263" s="3" t="s">
        <v>95</v>
      </c>
      <c r="BB1263" s="6" t="s">
        <v>95</v>
      </c>
      <c r="BC1263" s="3" t="s">
        <v>95</v>
      </c>
      <c r="BD1263" t="s">
        <v>4</v>
      </c>
      <c r="BE1263">
        <v>374</v>
      </c>
      <c r="BF1263" t="s">
        <v>322</v>
      </c>
      <c r="CK1263">
        <v>1</v>
      </c>
      <c r="CL1263" t="s">
        <v>4</v>
      </c>
      <c r="CM1263" t="s">
        <v>98</v>
      </c>
      <c r="CN1263" t="s">
        <v>98</v>
      </c>
      <c r="CO1263" t="s">
        <v>99</v>
      </c>
      <c r="CP1263" t="s">
        <v>100</v>
      </c>
      <c r="CQ1263" t="s">
        <v>100</v>
      </c>
      <c r="CR1263" t="s">
        <v>100</v>
      </c>
      <c r="CS1263" t="s">
        <v>101</v>
      </c>
      <c r="CT1263" t="s">
        <v>152</v>
      </c>
      <c r="CU1263" t="s">
        <v>102</v>
      </c>
      <c r="CV1263" t="s">
        <v>100</v>
      </c>
    </row>
    <row r="1264" spans="1:100">
      <c r="A1264" s="3" t="s">
        <v>13736</v>
      </c>
      <c r="B1264" s="4" t="s">
        <v>13737</v>
      </c>
      <c r="C1264">
        <v>25.527624700769401</v>
      </c>
      <c r="D1264">
        <v>81.7113386735398</v>
      </c>
      <c r="E1264">
        <f>-1.67726275960537</f>
        <v>-1.67726275960537</v>
      </c>
      <c r="F1264">
        <v>8.0404725263733795E-2</v>
      </c>
      <c r="G1264" t="s">
        <v>4</v>
      </c>
      <c r="H1264">
        <v>25.527624700769401</v>
      </c>
      <c r="I1264">
        <v>14.286366019579001</v>
      </c>
      <c r="J1264">
        <v>0.86809406953173696</v>
      </c>
      <c r="K1264">
        <v>0.39222287347919099</v>
      </c>
      <c r="L1264" t="s">
        <v>4</v>
      </c>
      <c r="M1264">
        <v>81.7113386735398</v>
      </c>
      <c r="N1264">
        <v>14.286366019579001</v>
      </c>
      <c r="O1264">
        <v>2.54535682913711</v>
      </c>
      <c r="P1264">
        <v>6.4149578853696298E-3</v>
      </c>
      <c r="Q1264" t="s">
        <v>4</v>
      </c>
      <c r="R1264" s="4" t="s">
        <v>87</v>
      </c>
      <c r="S1264" t="s">
        <v>4</v>
      </c>
      <c r="T1264" t="s">
        <v>92</v>
      </c>
      <c r="U1264" t="s">
        <v>92</v>
      </c>
      <c r="V1264" t="s">
        <v>92</v>
      </c>
      <c r="W1264" t="s">
        <v>92</v>
      </c>
      <c r="X1264" t="s">
        <v>4</v>
      </c>
      <c r="Y1264" t="s">
        <v>4755</v>
      </c>
      <c r="Z1264" t="s">
        <v>4756</v>
      </c>
      <c r="AA1264" t="s">
        <v>4757</v>
      </c>
      <c r="AB1264" t="s">
        <v>4</v>
      </c>
      <c r="AC1264" s="3" t="s">
        <v>93</v>
      </c>
      <c r="AD1264" t="s">
        <v>4</v>
      </c>
      <c r="AE1264" t="s">
        <v>13738</v>
      </c>
      <c r="AF1264" t="s">
        <v>13739</v>
      </c>
      <c r="AG1264" t="s">
        <v>11235</v>
      </c>
      <c r="AH1264" t="s">
        <v>638</v>
      </c>
      <c r="AU1264" t="s">
        <v>112</v>
      </c>
      <c r="AV1264" t="s">
        <v>13740</v>
      </c>
      <c r="AW1264" t="s">
        <v>114</v>
      </c>
      <c r="AX1264" t="s">
        <v>144</v>
      </c>
      <c r="AY1264" t="s">
        <v>4763</v>
      </c>
      <c r="AZ1264" t="s">
        <v>4</v>
      </c>
      <c r="BA1264" s="3" t="s">
        <v>95</v>
      </c>
      <c r="BB1264" s="6" t="s">
        <v>95</v>
      </c>
      <c r="BC1264" s="3" t="s">
        <v>95</v>
      </c>
      <c r="BD1264" t="s">
        <v>4</v>
      </c>
      <c r="BE1264">
        <v>4631</v>
      </c>
      <c r="BF1264" t="s">
        <v>112</v>
      </c>
      <c r="BG1264">
        <v>92.968800000000002</v>
      </c>
      <c r="BN1264">
        <v>53.906199999999998</v>
      </c>
      <c r="BR1264">
        <v>31.25</v>
      </c>
      <c r="BS1264">
        <v>27.343800000000002</v>
      </c>
      <c r="BW1264">
        <v>28.906199999999998</v>
      </c>
      <c r="BX1264">
        <v>25</v>
      </c>
      <c r="BY1264">
        <v>25.781199999999998</v>
      </c>
      <c r="CA1264">
        <v>24.218800000000002</v>
      </c>
      <c r="CK1264">
        <v>5</v>
      </c>
      <c r="CL1264" t="s">
        <v>4</v>
      </c>
      <c r="CM1264" t="s">
        <v>13741</v>
      </c>
      <c r="CN1264" t="s">
        <v>13742</v>
      </c>
      <c r="CO1264" t="s">
        <v>99</v>
      </c>
      <c r="CP1264" t="s">
        <v>100</v>
      </c>
      <c r="CQ1264" t="s">
        <v>100</v>
      </c>
      <c r="CR1264" t="s">
        <v>100</v>
      </c>
      <c r="CS1264" t="s">
        <v>100</v>
      </c>
      <c r="CT1264" t="s">
        <v>152</v>
      </c>
      <c r="CU1264" t="s">
        <v>102</v>
      </c>
      <c r="CV1264" t="s">
        <v>100</v>
      </c>
    </row>
    <row r="1265" spans="1:100">
      <c r="A1265" s="3" t="s">
        <v>13743</v>
      </c>
      <c r="B1265" s="4" t="s">
        <v>13744</v>
      </c>
      <c r="C1265">
        <v>27.099732929382899</v>
      </c>
      <c r="D1265">
        <v>17.529404068166802</v>
      </c>
      <c r="E1265">
        <v>0.64113374379009602</v>
      </c>
      <c r="F1265">
        <v>0.41712530580368001</v>
      </c>
      <c r="G1265" t="s">
        <v>4</v>
      </c>
      <c r="H1265">
        <v>27.099732929382899</v>
      </c>
      <c r="I1265">
        <v>2.8056126193570199</v>
      </c>
      <c r="J1265">
        <v>3.1613679881632502</v>
      </c>
      <c r="K1265">
        <v>5.3333281983652405E-4</v>
      </c>
      <c r="L1265" t="s">
        <v>4</v>
      </c>
      <c r="M1265">
        <v>17.529404068166802</v>
      </c>
      <c r="N1265">
        <v>2.8056126193570199</v>
      </c>
      <c r="O1265">
        <v>2.52023424437315</v>
      </c>
      <c r="P1265">
        <v>6.5328386080819997E-3</v>
      </c>
      <c r="Q1265" t="s">
        <v>4</v>
      </c>
      <c r="R1265" s="4" t="s">
        <v>87</v>
      </c>
      <c r="S1265" t="s">
        <v>4</v>
      </c>
      <c r="T1265" t="s">
        <v>92</v>
      </c>
      <c r="U1265" t="s">
        <v>92</v>
      </c>
      <c r="V1265" t="s">
        <v>92</v>
      </c>
      <c r="W1265" t="s">
        <v>92</v>
      </c>
      <c r="X1265" t="s">
        <v>4</v>
      </c>
      <c r="Y1265" t="s">
        <v>13745</v>
      </c>
      <c r="Z1265" t="s">
        <v>13746</v>
      </c>
      <c r="AA1265" t="s">
        <v>13747</v>
      </c>
      <c r="AB1265" t="s">
        <v>4</v>
      </c>
      <c r="AC1265" s="3" t="s">
        <v>9744</v>
      </c>
      <c r="AD1265" t="s">
        <v>4</v>
      </c>
      <c r="AE1265" t="s">
        <v>13748</v>
      </c>
      <c r="AF1265" t="s">
        <v>13749</v>
      </c>
      <c r="AG1265" t="s">
        <v>13750</v>
      </c>
      <c r="AH1265" t="s">
        <v>112</v>
      </c>
      <c r="AU1265" t="s">
        <v>112</v>
      </c>
      <c r="AV1265" t="s">
        <v>13751</v>
      </c>
      <c r="AW1265" t="s">
        <v>114</v>
      </c>
      <c r="AX1265" t="s">
        <v>536</v>
      </c>
      <c r="AY1265" t="s">
        <v>10293</v>
      </c>
      <c r="AZ1265" t="s">
        <v>4</v>
      </c>
      <c r="BA1265" s="3" t="s">
        <v>95</v>
      </c>
      <c r="BB1265" s="6" t="s">
        <v>95</v>
      </c>
      <c r="BC1265" s="3" t="s">
        <v>95</v>
      </c>
      <c r="BD1265" t="s">
        <v>4</v>
      </c>
      <c r="BE1265">
        <v>3690</v>
      </c>
      <c r="BF1265" t="s">
        <v>112</v>
      </c>
      <c r="BG1265">
        <v>93.147499999999994</v>
      </c>
      <c r="BH1265">
        <v>26.480799999999999</v>
      </c>
      <c r="BI1265" t="s">
        <v>13752</v>
      </c>
      <c r="BJ1265">
        <v>62.369300000000003</v>
      </c>
      <c r="BP1265">
        <v>14.169600000000001</v>
      </c>
      <c r="BR1265">
        <v>31.0105</v>
      </c>
      <c r="BW1265">
        <v>26.713100000000001</v>
      </c>
      <c r="BY1265">
        <v>5.6910600000000002</v>
      </c>
      <c r="CK1265">
        <v>5</v>
      </c>
      <c r="CL1265" t="s">
        <v>4</v>
      </c>
      <c r="CM1265" t="s">
        <v>98</v>
      </c>
      <c r="CN1265" t="s">
        <v>98</v>
      </c>
      <c r="CO1265" t="s">
        <v>99</v>
      </c>
      <c r="CP1265" t="s">
        <v>100</v>
      </c>
      <c r="CQ1265" t="s">
        <v>100</v>
      </c>
      <c r="CR1265" t="s">
        <v>100</v>
      </c>
      <c r="CS1265" t="s">
        <v>101</v>
      </c>
      <c r="CT1265" t="s">
        <v>152</v>
      </c>
      <c r="CU1265" t="s">
        <v>102</v>
      </c>
      <c r="CV1265" t="s">
        <v>100</v>
      </c>
    </row>
    <row r="1266" spans="1:100">
      <c r="A1266" s="3" t="s">
        <v>13753</v>
      </c>
      <c r="B1266" s="4" t="s">
        <v>13754</v>
      </c>
      <c r="C1266">
        <v>14.4501519277394</v>
      </c>
      <c r="D1266">
        <v>34.508876261731302</v>
      </c>
      <c r="E1266">
        <f>-1.26212399614607</f>
        <v>-1.26212399614607</v>
      </c>
      <c r="F1266">
        <v>9.6707284844259903E-2</v>
      </c>
      <c r="G1266" t="s">
        <v>4</v>
      </c>
      <c r="H1266">
        <v>14.4501519277394</v>
      </c>
      <c r="I1266">
        <v>5.7520023066374497</v>
      </c>
      <c r="J1266">
        <v>1.25100446377379</v>
      </c>
      <c r="K1266">
        <v>0.14552899931994701</v>
      </c>
      <c r="L1266" t="s">
        <v>4</v>
      </c>
      <c r="M1266">
        <v>34.508876261731302</v>
      </c>
      <c r="N1266">
        <v>5.7520023066374497</v>
      </c>
      <c r="O1266">
        <v>2.51312845991986</v>
      </c>
      <c r="P1266">
        <v>1.71138659914594E-3</v>
      </c>
      <c r="Q1266" t="s">
        <v>4</v>
      </c>
      <c r="R1266" s="4" t="s">
        <v>87</v>
      </c>
      <c r="S1266" t="s">
        <v>4</v>
      </c>
      <c r="T1266" t="s">
        <v>92</v>
      </c>
      <c r="U1266" t="s">
        <v>92</v>
      </c>
      <c r="V1266" t="s">
        <v>92</v>
      </c>
      <c r="W1266" t="s">
        <v>92</v>
      </c>
      <c r="X1266" t="s">
        <v>4</v>
      </c>
      <c r="Y1266" t="s">
        <v>92</v>
      </c>
      <c r="Z1266" t="s">
        <v>92</v>
      </c>
      <c r="AA1266" t="s">
        <v>92</v>
      </c>
      <c r="AB1266" t="s">
        <v>4</v>
      </c>
      <c r="AC1266" s="3" t="s">
        <v>93</v>
      </c>
      <c r="AD1266" t="s">
        <v>4</v>
      </c>
      <c r="AE1266" t="s">
        <v>13755</v>
      </c>
      <c r="AF1266" t="s">
        <v>13756</v>
      </c>
      <c r="AG1266" t="s">
        <v>13757</v>
      </c>
      <c r="AH1266" t="s">
        <v>112</v>
      </c>
      <c r="AU1266" t="s">
        <v>112</v>
      </c>
      <c r="AV1266" t="s">
        <v>13758</v>
      </c>
      <c r="AW1266" t="s">
        <v>114</v>
      </c>
      <c r="AZ1266" t="s">
        <v>4</v>
      </c>
      <c r="BA1266" s="3" t="s">
        <v>95</v>
      </c>
      <c r="BB1266" s="6" t="s">
        <v>95</v>
      </c>
      <c r="BC1266" s="3" t="s">
        <v>95</v>
      </c>
      <c r="BD1266" t="s">
        <v>4</v>
      </c>
      <c r="BE1266">
        <v>2107</v>
      </c>
      <c r="BF1266" t="s">
        <v>148</v>
      </c>
      <c r="BG1266">
        <v>67.2727</v>
      </c>
      <c r="BH1266">
        <v>100</v>
      </c>
      <c r="BI1266">
        <v>94.545500000000004</v>
      </c>
      <c r="BJ1266">
        <v>32.121200000000002</v>
      </c>
      <c r="BK1266">
        <v>65.454499999999996</v>
      </c>
      <c r="BL1266">
        <v>50.302999999999997</v>
      </c>
      <c r="BM1266">
        <v>63.636400000000002</v>
      </c>
      <c r="BN1266">
        <v>63.030299999999997</v>
      </c>
      <c r="BO1266">
        <v>64.848500000000001</v>
      </c>
      <c r="CK1266">
        <v>3</v>
      </c>
      <c r="CL1266" t="s">
        <v>4</v>
      </c>
      <c r="CM1266" t="s">
        <v>98</v>
      </c>
      <c r="CN1266" t="s">
        <v>98</v>
      </c>
      <c r="CO1266" t="s">
        <v>99</v>
      </c>
      <c r="CP1266" t="s">
        <v>100</v>
      </c>
      <c r="CQ1266" t="s">
        <v>100</v>
      </c>
      <c r="CR1266" t="s">
        <v>100</v>
      </c>
      <c r="CS1266" t="s">
        <v>100</v>
      </c>
      <c r="CT1266" t="s">
        <v>152</v>
      </c>
      <c r="CU1266" t="s">
        <v>102</v>
      </c>
      <c r="CV1266" t="s">
        <v>100</v>
      </c>
    </row>
    <row r="1267" spans="1:100">
      <c r="A1267" s="3" t="s">
        <v>13759</v>
      </c>
      <c r="B1267" s="4" t="s">
        <v>13760</v>
      </c>
      <c r="C1267">
        <v>67.786352865287398</v>
      </c>
      <c r="D1267">
        <v>24.701263848519002</v>
      </c>
      <c r="E1267">
        <v>1.45480027745544</v>
      </c>
      <c r="F1267">
        <v>6.5844212195920598E-2</v>
      </c>
      <c r="G1267" t="s">
        <v>4</v>
      </c>
      <c r="H1267">
        <v>67.786352865287398</v>
      </c>
      <c r="I1267">
        <v>4.5134018917233902</v>
      </c>
      <c r="J1267">
        <v>3.9655314536126398</v>
      </c>
      <c r="K1267" s="5">
        <v>5.4261179090476296E-6</v>
      </c>
      <c r="L1267" t="s">
        <v>4</v>
      </c>
      <c r="M1267">
        <v>24.701263848519002</v>
      </c>
      <c r="N1267">
        <v>4.5134018917233902</v>
      </c>
      <c r="O1267">
        <v>2.51073117615719</v>
      </c>
      <c r="P1267">
        <v>5.1999753816250899E-3</v>
      </c>
      <c r="Q1267" t="s">
        <v>4</v>
      </c>
      <c r="R1267" s="4" t="s">
        <v>87</v>
      </c>
      <c r="S1267" t="s">
        <v>4</v>
      </c>
      <c r="T1267" t="s">
        <v>1392</v>
      </c>
      <c r="U1267" t="s">
        <v>1393</v>
      </c>
      <c r="V1267" t="s">
        <v>1394</v>
      </c>
      <c r="W1267" t="s">
        <v>91</v>
      </c>
      <c r="X1267" t="s">
        <v>4</v>
      </c>
      <c r="Y1267" t="s">
        <v>448</v>
      </c>
      <c r="Z1267" t="s">
        <v>449</v>
      </c>
      <c r="AA1267" t="s">
        <v>450</v>
      </c>
      <c r="AB1267" t="s">
        <v>4</v>
      </c>
      <c r="AC1267" s="3" t="s">
        <v>451</v>
      </c>
      <c r="AD1267" t="s">
        <v>4</v>
      </c>
      <c r="AE1267" t="s">
        <v>13761</v>
      </c>
      <c r="AF1267" t="s">
        <v>13762</v>
      </c>
      <c r="AG1267" t="s">
        <v>298</v>
      </c>
      <c r="AH1267" t="s">
        <v>112</v>
      </c>
      <c r="AU1267" t="s">
        <v>112</v>
      </c>
      <c r="AV1267" t="s">
        <v>13763</v>
      </c>
      <c r="AW1267" t="s">
        <v>114</v>
      </c>
      <c r="AX1267" t="s">
        <v>1938</v>
      </c>
      <c r="AY1267" t="s">
        <v>456</v>
      </c>
      <c r="AZ1267" t="s">
        <v>4</v>
      </c>
      <c r="BA1267" s="3" t="s">
        <v>115</v>
      </c>
      <c r="BB1267" s="6" t="s">
        <v>95</v>
      </c>
      <c r="BC1267" s="3" t="s">
        <v>95</v>
      </c>
      <c r="BD1267" t="s">
        <v>4</v>
      </c>
      <c r="BE1267">
        <v>4218</v>
      </c>
      <c r="BF1267" t="s">
        <v>112</v>
      </c>
      <c r="BG1267">
        <v>98.009900000000002</v>
      </c>
      <c r="BI1267">
        <v>92.0398</v>
      </c>
      <c r="BJ1267">
        <v>68.159199999999998</v>
      </c>
      <c r="BK1267">
        <v>80.596999999999994</v>
      </c>
      <c r="BL1267">
        <v>54.228900000000003</v>
      </c>
      <c r="BM1267">
        <v>72.139300000000006</v>
      </c>
      <c r="BO1267">
        <v>72.139300000000006</v>
      </c>
      <c r="BP1267" t="s">
        <v>13764</v>
      </c>
      <c r="BR1267">
        <v>49.253700000000002</v>
      </c>
      <c r="BS1267">
        <v>58.706499999999998</v>
      </c>
      <c r="BX1267">
        <v>61.691499999999998</v>
      </c>
      <c r="BY1267">
        <v>39.801000000000002</v>
      </c>
      <c r="BZ1267">
        <v>46.268700000000003</v>
      </c>
      <c r="CA1267" t="s">
        <v>13765</v>
      </c>
      <c r="CK1267">
        <v>5</v>
      </c>
      <c r="CL1267" t="s">
        <v>4</v>
      </c>
      <c r="CM1267" t="s">
        <v>13766</v>
      </c>
      <c r="CN1267" t="s">
        <v>13767</v>
      </c>
      <c r="CO1267" t="s">
        <v>1467</v>
      </c>
      <c r="CP1267" t="s">
        <v>100</v>
      </c>
      <c r="CQ1267" t="s">
        <v>100</v>
      </c>
      <c r="CR1267" t="s">
        <v>100</v>
      </c>
      <c r="CS1267" t="s">
        <v>101</v>
      </c>
      <c r="CT1267" t="s">
        <v>152</v>
      </c>
      <c r="CU1267" t="s">
        <v>102</v>
      </c>
      <c r="CV1267" t="s">
        <v>100</v>
      </c>
    </row>
    <row r="1268" spans="1:100">
      <c r="A1268" s="3" t="s">
        <v>13768</v>
      </c>
      <c r="B1268" s="4" t="s">
        <v>13769</v>
      </c>
      <c r="C1268">
        <v>593.90142243938396</v>
      </c>
      <c r="D1268">
        <v>1144.11144070468</v>
      </c>
      <c r="E1268">
        <f>0.944881145970296</f>
        <v>0.94488114597029604</v>
      </c>
      <c r="F1268" s="5">
        <v>9.1760534104277406E-8</v>
      </c>
      <c r="G1268" t="s">
        <v>4</v>
      </c>
      <c r="H1268">
        <v>593.90142243938396</v>
      </c>
      <c r="I1268">
        <v>202.20912362163901</v>
      </c>
      <c r="J1268">
        <v>1.5601572359687299</v>
      </c>
      <c r="K1268" s="5">
        <v>1.5880442381575199E-17</v>
      </c>
      <c r="L1268" t="s">
        <v>4</v>
      </c>
      <c r="M1268">
        <v>1144.11144070468</v>
      </c>
      <c r="N1268">
        <v>202.20912362163901</v>
      </c>
      <c r="O1268">
        <v>2.5050383819390198</v>
      </c>
      <c r="P1268" s="5">
        <v>2.88810729760368E-44</v>
      </c>
      <c r="Q1268" t="s">
        <v>4</v>
      </c>
      <c r="R1268" s="4" t="s">
        <v>87</v>
      </c>
      <c r="S1268" t="s">
        <v>4</v>
      </c>
      <c r="T1268" t="s">
        <v>92</v>
      </c>
      <c r="U1268" t="s">
        <v>92</v>
      </c>
      <c r="V1268" t="s">
        <v>92</v>
      </c>
      <c r="W1268" t="s">
        <v>92</v>
      </c>
      <c r="X1268" t="s">
        <v>4</v>
      </c>
      <c r="Y1268" t="s">
        <v>92</v>
      </c>
      <c r="Z1268" t="s">
        <v>92</v>
      </c>
      <c r="AA1268" t="s">
        <v>92</v>
      </c>
      <c r="AB1268" t="s">
        <v>4</v>
      </c>
      <c r="AC1268" s="3" t="s">
        <v>93</v>
      </c>
      <c r="AD1268" t="s">
        <v>4</v>
      </c>
      <c r="AE1268" s="4" t="s">
        <v>94</v>
      </c>
      <c r="AZ1268" t="s">
        <v>4</v>
      </c>
      <c r="BA1268" s="3" t="s">
        <v>95</v>
      </c>
      <c r="BB1268" s="6" t="s">
        <v>95</v>
      </c>
      <c r="BC1268" s="3" t="s">
        <v>95</v>
      </c>
      <c r="BD1268" t="s">
        <v>4</v>
      </c>
      <c r="BE1268">
        <v>2028</v>
      </c>
      <c r="BF1268" t="s">
        <v>148</v>
      </c>
      <c r="BG1268">
        <v>78.75</v>
      </c>
      <c r="BH1268">
        <v>81.5625</v>
      </c>
      <c r="BI1268">
        <v>79.375</v>
      </c>
      <c r="BJ1268">
        <v>58.4375</v>
      </c>
      <c r="BK1268">
        <v>59.6875</v>
      </c>
      <c r="BL1268">
        <v>44.0625</v>
      </c>
      <c r="BM1268">
        <v>55</v>
      </c>
      <c r="BN1268">
        <v>55</v>
      </c>
      <c r="BO1268">
        <v>58.75</v>
      </c>
      <c r="CK1268">
        <v>3</v>
      </c>
      <c r="CL1268" t="s">
        <v>4</v>
      </c>
      <c r="CM1268" t="s">
        <v>98</v>
      </c>
      <c r="CN1268" t="s">
        <v>98</v>
      </c>
      <c r="CO1268" t="s">
        <v>99</v>
      </c>
      <c r="CP1268" t="s">
        <v>100</v>
      </c>
      <c r="CQ1268" t="s">
        <v>100</v>
      </c>
      <c r="CR1268" t="s">
        <v>100</v>
      </c>
      <c r="CS1268" s="7" t="s">
        <v>101</v>
      </c>
      <c r="CT1268" t="s">
        <v>152</v>
      </c>
      <c r="CU1268" t="s">
        <v>102</v>
      </c>
      <c r="CV1268" t="s">
        <v>100</v>
      </c>
    </row>
    <row r="1269" spans="1:100">
      <c r="A1269" s="3" t="s">
        <v>13770</v>
      </c>
      <c r="B1269" s="4" t="s">
        <v>13771</v>
      </c>
      <c r="C1269">
        <v>2410.6852899575201</v>
      </c>
      <c r="D1269">
        <v>3535.2709083404302</v>
      </c>
      <c r="E1269">
        <f>0.55246667790047</f>
        <v>0.55246667790046999</v>
      </c>
      <c r="F1269">
        <v>1.3584812327208E-2</v>
      </c>
      <c r="G1269" t="s">
        <v>4</v>
      </c>
      <c r="H1269">
        <v>2410.6852899575201</v>
      </c>
      <c r="I1269">
        <v>624.424548989767</v>
      </c>
      <c r="J1269">
        <v>1.94942788338002</v>
      </c>
      <c r="K1269" s="5">
        <v>4.12834511275424E-21</v>
      </c>
      <c r="L1269" t="s">
        <v>4</v>
      </c>
      <c r="M1269">
        <v>3535.2709083404302</v>
      </c>
      <c r="N1269">
        <v>624.424548989767</v>
      </c>
      <c r="O1269">
        <v>2.5018945612804901</v>
      </c>
      <c r="P1269" s="5">
        <v>2.4773137683701699E-34</v>
      </c>
      <c r="Q1269" t="s">
        <v>4</v>
      </c>
      <c r="R1269" s="4" t="s">
        <v>87</v>
      </c>
      <c r="S1269" t="s">
        <v>4</v>
      </c>
      <c r="T1269" t="s">
        <v>92</v>
      </c>
      <c r="U1269" t="s">
        <v>92</v>
      </c>
      <c r="V1269" t="s">
        <v>92</v>
      </c>
      <c r="W1269" t="s">
        <v>92</v>
      </c>
      <c r="X1269" t="s">
        <v>4</v>
      </c>
      <c r="Y1269" t="s">
        <v>13772</v>
      </c>
      <c r="Z1269" t="s">
        <v>13773</v>
      </c>
      <c r="AA1269" t="s">
        <v>13774</v>
      </c>
      <c r="AB1269" t="s">
        <v>4</v>
      </c>
      <c r="AC1269" s="3" t="s">
        <v>13775</v>
      </c>
      <c r="AD1269" t="s">
        <v>4</v>
      </c>
      <c r="AE1269" t="s">
        <v>13776</v>
      </c>
      <c r="AF1269" t="s">
        <v>13777</v>
      </c>
      <c r="AG1269" t="s">
        <v>13778</v>
      </c>
      <c r="AH1269" t="s">
        <v>112</v>
      </c>
      <c r="AI1269" t="s">
        <v>13779</v>
      </c>
      <c r="AJ1269" t="s">
        <v>7401</v>
      </c>
      <c r="AL1269" t="s">
        <v>13780</v>
      </c>
      <c r="AQ1269" t="s">
        <v>13781</v>
      </c>
      <c r="AU1269" t="s">
        <v>112</v>
      </c>
      <c r="AV1269" t="s">
        <v>13782</v>
      </c>
      <c r="AW1269" t="s">
        <v>114</v>
      </c>
      <c r="AX1269" t="s">
        <v>733</v>
      </c>
      <c r="AY1269" t="s">
        <v>13783</v>
      </c>
      <c r="AZ1269" t="s">
        <v>4</v>
      </c>
      <c r="BA1269" s="3" t="s">
        <v>95</v>
      </c>
      <c r="BB1269" s="6" t="s">
        <v>95</v>
      </c>
      <c r="BC1269" s="3" t="s">
        <v>95</v>
      </c>
      <c r="BD1269" t="s">
        <v>4</v>
      </c>
      <c r="BE1269">
        <v>7997</v>
      </c>
      <c r="BF1269" t="s">
        <v>213</v>
      </c>
      <c r="BJ1269">
        <v>72.8155</v>
      </c>
      <c r="BP1269">
        <v>29.288</v>
      </c>
      <c r="BX1269">
        <v>23.7864</v>
      </c>
      <c r="CA1269">
        <v>21.521000000000001</v>
      </c>
      <c r="CB1269">
        <v>17.637499999999999</v>
      </c>
      <c r="CC1269">
        <v>18.6084</v>
      </c>
      <c r="CF1269">
        <v>16.1812</v>
      </c>
      <c r="CG1269">
        <v>16.828499999999998</v>
      </c>
      <c r="CH1269">
        <v>16.019400000000001</v>
      </c>
      <c r="CI1269">
        <v>15.048500000000001</v>
      </c>
      <c r="CK1269">
        <v>8</v>
      </c>
      <c r="CL1269" t="s">
        <v>4</v>
      </c>
      <c r="CM1269" t="s">
        <v>13784</v>
      </c>
      <c r="CN1269" t="s">
        <v>13785</v>
      </c>
      <c r="CO1269" t="s">
        <v>1218</v>
      </c>
      <c r="CP1269" t="s">
        <v>100</v>
      </c>
      <c r="CQ1269" t="s">
        <v>100</v>
      </c>
      <c r="CR1269" t="s">
        <v>100</v>
      </c>
      <c r="CS1269" s="7" t="s">
        <v>101</v>
      </c>
      <c r="CT1269" t="s">
        <v>152</v>
      </c>
      <c r="CU1269" t="s">
        <v>102</v>
      </c>
      <c r="CV1269" t="s">
        <v>100</v>
      </c>
    </row>
    <row r="1270" spans="1:100">
      <c r="A1270" s="3" t="s">
        <v>13786</v>
      </c>
      <c r="B1270" s="4" t="s">
        <v>13787</v>
      </c>
      <c r="C1270">
        <v>651.95923989796597</v>
      </c>
      <c r="D1270">
        <v>1053.8741090823501</v>
      </c>
      <c r="E1270">
        <f>0.692846436577156</f>
        <v>0.69284643657715606</v>
      </c>
      <c r="F1270">
        <v>4.7681782242893399E-2</v>
      </c>
      <c r="G1270" t="s">
        <v>4</v>
      </c>
      <c r="H1270">
        <v>651.95923989796597</v>
      </c>
      <c r="I1270">
        <v>185.64928475158499</v>
      </c>
      <c r="J1270">
        <v>1.80763185831719</v>
      </c>
      <c r="K1270" s="5">
        <v>4.12579844091832E-8</v>
      </c>
      <c r="L1270" t="s">
        <v>4</v>
      </c>
      <c r="M1270">
        <v>1053.8741090823501</v>
      </c>
      <c r="N1270">
        <v>185.64928475158499</v>
      </c>
      <c r="O1270">
        <v>2.50047829489435</v>
      </c>
      <c r="P1270" s="5">
        <v>8.7691039806555802E-15</v>
      </c>
      <c r="Q1270" t="s">
        <v>4</v>
      </c>
      <c r="R1270" s="4" t="s">
        <v>87</v>
      </c>
      <c r="S1270" t="s">
        <v>4</v>
      </c>
      <c r="T1270" t="s">
        <v>13788</v>
      </c>
      <c r="U1270" t="s">
        <v>13789</v>
      </c>
      <c r="V1270" t="s">
        <v>13790</v>
      </c>
      <c r="W1270" t="s">
        <v>203</v>
      </c>
      <c r="X1270" t="s">
        <v>4</v>
      </c>
      <c r="Y1270" t="s">
        <v>13791</v>
      </c>
      <c r="Z1270" t="s">
        <v>13792</v>
      </c>
      <c r="AA1270" t="s">
        <v>13793</v>
      </c>
      <c r="AB1270" t="s">
        <v>4</v>
      </c>
      <c r="AC1270" s="3" t="s">
        <v>13794</v>
      </c>
      <c r="AD1270" t="s">
        <v>4</v>
      </c>
      <c r="AE1270" t="s">
        <v>13795</v>
      </c>
      <c r="AF1270" t="s">
        <v>13796</v>
      </c>
      <c r="AG1270" t="s">
        <v>13797</v>
      </c>
      <c r="AH1270" t="s">
        <v>112</v>
      </c>
      <c r="AK1270" t="s">
        <v>8529</v>
      </c>
      <c r="AL1270" t="s">
        <v>13798</v>
      </c>
      <c r="AM1270" t="s">
        <v>3196</v>
      </c>
      <c r="AN1270" t="s">
        <v>13799</v>
      </c>
      <c r="AQ1270" t="s">
        <v>8867</v>
      </c>
      <c r="AU1270" t="s">
        <v>112</v>
      </c>
      <c r="AV1270" t="s">
        <v>13800</v>
      </c>
      <c r="AW1270" t="s">
        <v>114</v>
      </c>
      <c r="AX1270" t="s">
        <v>536</v>
      </c>
      <c r="AY1270" t="s">
        <v>8869</v>
      </c>
      <c r="AZ1270" t="s">
        <v>4</v>
      </c>
      <c r="BA1270" s="3" t="s">
        <v>95</v>
      </c>
      <c r="BB1270" s="6" t="s">
        <v>95</v>
      </c>
      <c r="BC1270" s="3" t="s">
        <v>95</v>
      </c>
      <c r="BD1270" t="s">
        <v>4</v>
      </c>
      <c r="BE1270">
        <v>7085</v>
      </c>
      <c r="BF1270" t="s">
        <v>213</v>
      </c>
      <c r="BG1270">
        <v>95.628399999999999</v>
      </c>
      <c r="BH1270">
        <v>72.677599999999998</v>
      </c>
      <c r="BI1270">
        <v>99.453599999999994</v>
      </c>
      <c r="BJ1270">
        <v>98.9071</v>
      </c>
      <c r="BK1270">
        <v>98.9071</v>
      </c>
      <c r="BL1270">
        <v>99.453599999999994</v>
      </c>
      <c r="BM1270">
        <v>99.453599999999994</v>
      </c>
      <c r="BN1270">
        <v>99.453599999999994</v>
      </c>
      <c r="BO1270">
        <v>98.9071</v>
      </c>
      <c r="BP1270">
        <v>4.3715799999999998</v>
      </c>
      <c r="BQ1270">
        <v>69.945400000000006</v>
      </c>
      <c r="BR1270">
        <v>84.153000000000006</v>
      </c>
      <c r="BU1270">
        <v>77.049199999999999</v>
      </c>
      <c r="BV1270" t="s">
        <v>13801</v>
      </c>
      <c r="BW1270">
        <v>85.792400000000001</v>
      </c>
      <c r="BX1270">
        <v>89.070999999999998</v>
      </c>
      <c r="BY1270">
        <v>56.284199999999998</v>
      </c>
      <c r="BZ1270">
        <v>81.4208</v>
      </c>
      <c r="CA1270">
        <v>83.060100000000006</v>
      </c>
      <c r="CC1270">
        <v>74.863399999999999</v>
      </c>
      <c r="CD1270">
        <v>69.398899999999998</v>
      </c>
      <c r="CE1270">
        <v>38.797800000000002</v>
      </c>
      <c r="CF1270">
        <v>68.852500000000006</v>
      </c>
      <c r="CG1270">
        <v>67.213099999999997</v>
      </c>
      <c r="CH1270" t="s">
        <v>13802</v>
      </c>
      <c r="CI1270">
        <v>60.109299999999998</v>
      </c>
      <c r="CJ1270" t="s">
        <v>13803</v>
      </c>
      <c r="CK1270">
        <v>8</v>
      </c>
      <c r="CL1270" t="s">
        <v>4</v>
      </c>
      <c r="CM1270" t="s">
        <v>13804</v>
      </c>
      <c r="CN1270" t="s">
        <v>13805</v>
      </c>
      <c r="CO1270" t="s">
        <v>219</v>
      </c>
      <c r="CP1270" t="s">
        <v>100</v>
      </c>
      <c r="CQ1270" t="s">
        <v>100</v>
      </c>
      <c r="CR1270" t="s">
        <v>100</v>
      </c>
      <c r="CS1270" s="7" t="s">
        <v>101</v>
      </c>
      <c r="CT1270" t="s">
        <v>152</v>
      </c>
      <c r="CU1270" t="s">
        <v>102</v>
      </c>
      <c r="CV1270" t="s">
        <v>100</v>
      </c>
    </row>
    <row r="1271" spans="1:100">
      <c r="A1271" s="3" t="s">
        <v>13806</v>
      </c>
      <c r="B1271" s="4" t="s">
        <v>13807</v>
      </c>
      <c r="C1271">
        <v>197.891717096766</v>
      </c>
      <c r="D1271">
        <v>367.89400572953002</v>
      </c>
      <c r="E1271">
        <f>0.892538187700852</f>
        <v>0.89253818770085203</v>
      </c>
      <c r="F1271">
        <v>2.0360249203611101E-2</v>
      </c>
      <c r="G1271" t="s">
        <v>4</v>
      </c>
      <c r="H1271">
        <v>197.891717096766</v>
      </c>
      <c r="I1271">
        <v>66.176637774288807</v>
      </c>
      <c r="J1271">
        <v>1.60452076053173</v>
      </c>
      <c r="K1271" s="5">
        <v>2.68172311623019E-5</v>
      </c>
      <c r="L1271" t="s">
        <v>4</v>
      </c>
      <c r="M1271">
        <v>367.89400572953002</v>
      </c>
      <c r="N1271">
        <v>66.176637774288807</v>
      </c>
      <c r="O1271">
        <v>2.4970589482325898</v>
      </c>
      <c r="P1271" s="5">
        <v>1.2589793789098999E-11</v>
      </c>
      <c r="Q1271" t="s">
        <v>4</v>
      </c>
      <c r="R1271" s="4" t="s">
        <v>87</v>
      </c>
      <c r="S1271" t="s">
        <v>4</v>
      </c>
      <c r="T1271" t="s">
        <v>88</v>
      </c>
      <c r="U1271" t="s">
        <v>89</v>
      </c>
      <c r="V1271" t="s">
        <v>90</v>
      </c>
      <c r="W1271" t="s">
        <v>91</v>
      </c>
      <c r="X1271" t="s">
        <v>4</v>
      </c>
      <c r="Y1271" t="s">
        <v>92</v>
      </c>
      <c r="Z1271" t="s">
        <v>92</v>
      </c>
      <c r="AA1271" t="s">
        <v>92</v>
      </c>
      <c r="AB1271" t="s">
        <v>4</v>
      </c>
      <c r="AC1271" s="3" t="s">
        <v>13808</v>
      </c>
      <c r="AD1271" t="s">
        <v>4</v>
      </c>
      <c r="AE1271" s="4" t="s">
        <v>94</v>
      </c>
      <c r="AZ1271" t="s">
        <v>4</v>
      </c>
      <c r="BA1271" s="3" t="s">
        <v>95</v>
      </c>
      <c r="BB1271" t="s">
        <v>96</v>
      </c>
      <c r="BC1271" s="3" t="s">
        <v>95</v>
      </c>
      <c r="BD1271" t="s">
        <v>4</v>
      </c>
      <c r="BE1271">
        <v>1937</v>
      </c>
      <c r="BF1271" t="s">
        <v>148</v>
      </c>
      <c r="BG1271">
        <v>75.641000000000005</v>
      </c>
      <c r="BH1271">
        <v>97.435900000000004</v>
      </c>
      <c r="BJ1271">
        <v>84.615399999999994</v>
      </c>
      <c r="BK1271">
        <v>78.205100000000002</v>
      </c>
      <c r="BN1271">
        <v>80.769199999999998</v>
      </c>
      <c r="BO1271">
        <v>74.358999999999995</v>
      </c>
      <c r="CK1271">
        <v>3</v>
      </c>
      <c r="CL1271" t="s">
        <v>4</v>
      </c>
      <c r="CM1271" t="s">
        <v>98</v>
      </c>
      <c r="CN1271" t="s">
        <v>98</v>
      </c>
      <c r="CO1271" t="s">
        <v>99</v>
      </c>
      <c r="CP1271" t="s">
        <v>100</v>
      </c>
      <c r="CQ1271" t="s">
        <v>100</v>
      </c>
      <c r="CR1271" t="s">
        <v>100</v>
      </c>
      <c r="CS1271" s="7" t="s">
        <v>101</v>
      </c>
      <c r="CT1271" t="s">
        <v>152</v>
      </c>
      <c r="CU1271" t="s">
        <v>102</v>
      </c>
      <c r="CV1271" t="s">
        <v>100</v>
      </c>
    </row>
    <row r="1272" spans="1:100">
      <c r="A1272" s="3" t="s">
        <v>13809</v>
      </c>
      <c r="B1272" s="4" t="s">
        <v>13810</v>
      </c>
      <c r="C1272">
        <v>481.15184574733797</v>
      </c>
      <c r="D1272">
        <v>648.568921896907</v>
      </c>
      <c r="E1272">
        <f>0.430976507650612</f>
        <v>0.43097650765061202</v>
      </c>
      <c r="F1272">
        <v>9.2327135455585699E-2</v>
      </c>
      <c r="G1272" t="s">
        <v>4</v>
      </c>
      <c r="H1272">
        <v>481.15184574733797</v>
      </c>
      <c r="I1272">
        <v>113.827761326604</v>
      </c>
      <c r="J1272">
        <v>2.0654720707636001</v>
      </c>
      <c r="K1272" s="5">
        <v>4.72597427674971E-17</v>
      </c>
      <c r="L1272" t="s">
        <v>4</v>
      </c>
      <c r="M1272">
        <v>648.568921896907</v>
      </c>
      <c r="N1272">
        <v>113.827761326604</v>
      </c>
      <c r="O1272">
        <v>2.4964485784142099</v>
      </c>
      <c r="P1272" s="5">
        <v>1.2109367684063601E-24</v>
      </c>
      <c r="Q1272" t="s">
        <v>4</v>
      </c>
      <c r="R1272" s="4" t="s">
        <v>87</v>
      </c>
      <c r="S1272" t="s">
        <v>4</v>
      </c>
      <c r="T1272" t="s">
        <v>2402</v>
      </c>
      <c r="U1272" t="s">
        <v>2403</v>
      </c>
      <c r="V1272" t="s">
        <v>2404</v>
      </c>
      <c r="W1272" t="s">
        <v>91</v>
      </c>
      <c r="X1272" t="s">
        <v>4</v>
      </c>
      <c r="Y1272" t="s">
        <v>2405</v>
      </c>
      <c r="Z1272" t="s">
        <v>2406</v>
      </c>
      <c r="AA1272" t="s">
        <v>2407</v>
      </c>
      <c r="AB1272" t="s">
        <v>4</v>
      </c>
      <c r="AC1272" s="3" t="s">
        <v>13811</v>
      </c>
      <c r="AD1272" t="s">
        <v>4</v>
      </c>
      <c r="AE1272" t="s">
        <v>13812</v>
      </c>
      <c r="AF1272" t="s">
        <v>834</v>
      </c>
      <c r="AG1272" t="s">
        <v>13813</v>
      </c>
      <c r="AH1272" t="s">
        <v>112</v>
      </c>
      <c r="AU1272" t="s">
        <v>112</v>
      </c>
      <c r="AV1272" t="s">
        <v>13814</v>
      </c>
      <c r="AW1272" t="s">
        <v>114</v>
      </c>
      <c r="AZ1272" t="s">
        <v>4</v>
      </c>
      <c r="BA1272" s="3" t="s">
        <v>95</v>
      </c>
      <c r="BB1272" s="6" t="s">
        <v>95</v>
      </c>
      <c r="BC1272" s="3" t="s">
        <v>95</v>
      </c>
      <c r="BD1272" t="s">
        <v>4</v>
      </c>
      <c r="BE1272">
        <v>4825</v>
      </c>
      <c r="BF1272" t="s">
        <v>282</v>
      </c>
      <c r="BG1272">
        <v>97.863799999999998</v>
      </c>
      <c r="BH1272">
        <v>84.779700000000005</v>
      </c>
      <c r="BI1272">
        <v>90.520700000000005</v>
      </c>
      <c r="BJ1272">
        <v>83.9786</v>
      </c>
      <c r="BK1272">
        <v>83.444599999999994</v>
      </c>
      <c r="BL1272">
        <v>83.444599999999994</v>
      </c>
      <c r="BM1272">
        <v>83.845100000000002</v>
      </c>
      <c r="BN1272">
        <v>86.2483</v>
      </c>
      <c r="BO1272">
        <v>84.112200000000001</v>
      </c>
      <c r="BP1272">
        <v>53.938600000000001</v>
      </c>
      <c r="BQ1272">
        <v>43.2577</v>
      </c>
      <c r="BR1272">
        <v>45.5274</v>
      </c>
      <c r="BS1272">
        <v>43.925199999999997</v>
      </c>
      <c r="BV1272">
        <v>22.029399999999999</v>
      </c>
      <c r="BX1272">
        <v>45.794400000000003</v>
      </c>
      <c r="BZ1272">
        <v>30.974599999999999</v>
      </c>
      <c r="CA1272">
        <v>43.658200000000001</v>
      </c>
      <c r="CD1272" t="s">
        <v>13815</v>
      </c>
      <c r="CK1272">
        <v>6</v>
      </c>
      <c r="CL1272" t="s">
        <v>4</v>
      </c>
      <c r="CM1272" t="s">
        <v>13816</v>
      </c>
      <c r="CN1272" t="s">
        <v>13817</v>
      </c>
      <c r="CO1272" t="s">
        <v>219</v>
      </c>
      <c r="CP1272" t="s">
        <v>100</v>
      </c>
      <c r="CQ1272" t="s">
        <v>100</v>
      </c>
      <c r="CR1272" t="s">
        <v>100</v>
      </c>
      <c r="CS1272" t="s">
        <v>101</v>
      </c>
      <c r="CT1272" t="s">
        <v>152</v>
      </c>
      <c r="CU1272" t="s">
        <v>102</v>
      </c>
      <c r="CV1272" t="s">
        <v>100</v>
      </c>
    </row>
    <row r="1273" spans="1:100">
      <c r="A1273" s="3" t="s">
        <v>13818</v>
      </c>
      <c r="B1273" s="4" t="s">
        <v>13819</v>
      </c>
      <c r="C1273">
        <v>198.51181042863999</v>
      </c>
      <c r="D1273">
        <v>144.862744982294</v>
      </c>
      <c r="E1273">
        <v>0.452728603731965</v>
      </c>
      <c r="F1273">
        <v>0.35526741850441101</v>
      </c>
      <c r="G1273" t="s">
        <v>4</v>
      </c>
      <c r="H1273">
        <v>198.51181042863999</v>
      </c>
      <c r="I1273">
        <v>25.297024629806302</v>
      </c>
      <c r="J1273">
        <v>2.9448065594964601</v>
      </c>
      <c r="K1273" s="5">
        <v>3.9225177024461798E-10</v>
      </c>
      <c r="L1273" t="s">
        <v>4</v>
      </c>
      <c r="M1273">
        <v>144.862744982294</v>
      </c>
      <c r="N1273">
        <v>25.297024629806302</v>
      </c>
      <c r="O1273">
        <v>2.4920779557645001</v>
      </c>
      <c r="P1273" s="5">
        <v>1.32406116552215E-7</v>
      </c>
      <c r="Q1273" t="s">
        <v>4</v>
      </c>
      <c r="R1273" s="4" t="s">
        <v>87</v>
      </c>
      <c r="S1273" t="s">
        <v>4</v>
      </c>
      <c r="T1273" t="s">
        <v>92</v>
      </c>
      <c r="U1273" t="s">
        <v>92</v>
      </c>
      <c r="V1273" t="s">
        <v>92</v>
      </c>
      <c r="W1273" t="s">
        <v>92</v>
      </c>
      <c r="X1273" t="s">
        <v>4</v>
      </c>
      <c r="Y1273" t="s">
        <v>92</v>
      </c>
      <c r="Z1273" t="s">
        <v>92</v>
      </c>
      <c r="AA1273" t="s">
        <v>92</v>
      </c>
      <c r="AB1273" t="s">
        <v>4</v>
      </c>
      <c r="AC1273" s="3" t="s">
        <v>93</v>
      </c>
      <c r="AD1273" t="s">
        <v>4</v>
      </c>
      <c r="AE1273" s="4" t="s">
        <v>94</v>
      </c>
      <c r="AZ1273" t="s">
        <v>4</v>
      </c>
      <c r="BA1273" s="3" t="s">
        <v>115</v>
      </c>
      <c r="BB1273" s="6" t="s">
        <v>95</v>
      </c>
      <c r="BC1273" s="3" t="s">
        <v>95</v>
      </c>
      <c r="BD1273" t="s">
        <v>4</v>
      </c>
      <c r="BE1273">
        <v>1270</v>
      </c>
      <c r="BF1273" t="s">
        <v>151</v>
      </c>
      <c r="BG1273">
        <v>64.838700000000003</v>
      </c>
      <c r="BH1273">
        <v>66.774199999999993</v>
      </c>
      <c r="BI1273">
        <v>85.161299999999997</v>
      </c>
      <c r="BJ1273" t="s">
        <v>13820</v>
      </c>
      <c r="CK1273">
        <v>2</v>
      </c>
      <c r="CL1273" t="s">
        <v>4</v>
      </c>
      <c r="CM1273" t="s">
        <v>98</v>
      </c>
      <c r="CN1273" t="s">
        <v>98</v>
      </c>
      <c r="CO1273" t="s">
        <v>99</v>
      </c>
      <c r="CP1273" t="s">
        <v>100</v>
      </c>
      <c r="CQ1273" t="s">
        <v>100</v>
      </c>
      <c r="CR1273" t="s">
        <v>100</v>
      </c>
      <c r="CS1273" t="s">
        <v>101</v>
      </c>
      <c r="CT1273" t="s">
        <v>152</v>
      </c>
      <c r="CU1273" t="s">
        <v>102</v>
      </c>
      <c r="CV1273" t="s">
        <v>100</v>
      </c>
    </row>
    <row r="1274" spans="1:100">
      <c r="A1274" s="3" t="s">
        <v>13821</v>
      </c>
      <c r="B1274" s="4" t="s">
        <v>13822</v>
      </c>
      <c r="C1274">
        <v>160.23533686136801</v>
      </c>
      <c r="D1274">
        <v>71.289729875268307</v>
      </c>
      <c r="E1274">
        <v>1.17041738212435</v>
      </c>
      <c r="F1274">
        <v>5.3838300809839902E-2</v>
      </c>
      <c r="G1274" t="s">
        <v>4</v>
      </c>
      <c r="H1274">
        <v>160.23533686136801</v>
      </c>
      <c r="I1274">
        <v>12.788006044362399</v>
      </c>
      <c r="J1274">
        <v>3.6566805235903899</v>
      </c>
      <c r="K1274" s="5">
        <v>3.40757909061E-9</v>
      </c>
      <c r="L1274" t="s">
        <v>4</v>
      </c>
      <c r="M1274">
        <v>71.289729875268307</v>
      </c>
      <c r="N1274">
        <v>12.788006044362399</v>
      </c>
      <c r="O1274">
        <v>2.4862631414660399</v>
      </c>
      <c r="P1274" s="5">
        <v>8.0239052069364894E-5</v>
      </c>
      <c r="Q1274" t="s">
        <v>4</v>
      </c>
      <c r="R1274" s="4" t="s">
        <v>87</v>
      </c>
      <c r="S1274" t="s">
        <v>4</v>
      </c>
      <c r="T1274" t="s">
        <v>92</v>
      </c>
      <c r="U1274" t="s">
        <v>92</v>
      </c>
      <c r="V1274" t="s">
        <v>92</v>
      </c>
      <c r="W1274" t="s">
        <v>92</v>
      </c>
      <c r="X1274" t="s">
        <v>4</v>
      </c>
      <c r="Y1274" t="s">
        <v>92</v>
      </c>
      <c r="Z1274" t="s">
        <v>92</v>
      </c>
      <c r="AA1274" t="s">
        <v>92</v>
      </c>
      <c r="AB1274" t="s">
        <v>4</v>
      </c>
      <c r="AC1274" s="3" t="s">
        <v>93</v>
      </c>
      <c r="AD1274" t="s">
        <v>4</v>
      </c>
      <c r="AE1274" s="4" t="s">
        <v>94</v>
      </c>
      <c r="AZ1274" t="s">
        <v>4</v>
      </c>
      <c r="BA1274" s="3" t="s">
        <v>95</v>
      </c>
      <c r="BB1274" s="6" t="s">
        <v>95</v>
      </c>
      <c r="BC1274" s="3" t="s">
        <v>95</v>
      </c>
      <c r="BD1274" t="s">
        <v>4</v>
      </c>
      <c r="BE1274">
        <v>2344</v>
      </c>
      <c r="BF1274" t="s">
        <v>148</v>
      </c>
      <c r="BG1274">
        <v>89.441000000000003</v>
      </c>
      <c r="BH1274">
        <v>90.579700000000003</v>
      </c>
      <c r="BI1274">
        <v>61.180100000000003</v>
      </c>
      <c r="BJ1274">
        <v>29.3996</v>
      </c>
      <c r="BK1274">
        <v>32.505200000000002</v>
      </c>
      <c r="BL1274" t="s">
        <v>13823</v>
      </c>
      <c r="BM1274">
        <v>23.498999999999999</v>
      </c>
      <c r="BN1274">
        <v>30.020700000000001</v>
      </c>
      <c r="BO1274">
        <v>19.565200000000001</v>
      </c>
      <c r="CK1274">
        <v>3</v>
      </c>
      <c r="CL1274" t="s">
        <v>4</v>
      </c>
      <c r="CM1274" t="s">
        <v>98</v>
      </c>
      <c r="CN1274" t="s">
        <v>98</v>
      </c>
      <c r="CO1274" t="s">
        <v>99</v>
      </c>
      <c r="CP1274" t="s">
        <v>100</v>
      </c>
      <c r="CQ1274" t="s">
        <v>100</v>
      </c>
      <c r="CR1274" t="s">
        <v>100</v>
      </c>
      <c r="CS1274" t="s">
        <v>101</v>
      </c>
      <c r="CT1274" t="s">
        <v>152</v>
      </c>
      <c r="CU1274" t="s">
        <v>102</v>
      </c>
      <c r="CV1274" t="s">
        <v>100</v>
      </c>
    </row>
    <row r="1275" spans="1:100">
      <c r="A1275" s="3" t="s">
        <v>13824</v>
      </c>
      <c r="B1275" s="4" t="s">
        <v>13825</v>
      </c>
      <c r="C1275">
        <v>950.75707471061503</v>
      </c>
      <c r="D1275">
        <v>1580.8258499236299</v>
      </c>
      <c r="E1275">
        <f>0.73351324413291</f>
        <v>0.73351324413290997</v>
      </c>
      <c r="F1275" s="5">
        <v>1.24526507020445E-5</v>
      </c>
      <c r="G1275" t="s">
        <v>4</v>
      </c>
      <c r="H1275">
        <v>950.75707471061503</v>
      </c>
      <c r="I1275">
        <v>282.20369336989802</v>
      </c>
      <c r="J1275">
        <v>1.7506453930646599</v>
      </c>
      <c r="K1275" s="5">
        <v>1.9915974744748E-25</v>
      </c>
      <c r="L1275" t="s">
        <v>4</v>
      </c>
      <c r="M1275">
        <v>1580.8258499236299</v>
      </c>
      <c r="N1275">
        <v>282.20369336989802</v>
      </c>
      <c r="O1275">
        <v>2.4841586371975701</v>
      </c>
      <c r="P1275" s="5">
        <v>1.18422089822741E-50</v>
      </c>
      <c r="Q1275" t="s">
        <v>4</v>
      </c>
      <c r="R1275" s="4" t="s">
        <v>87</v>
      </c>
      <c r="S1275" t="s">
        <v>4</v>
      </c>
      <c r="T1275" t="s">
        <v>13826</v>
      </c>
      <c r="U1275" t="s">
        <v>13827</v>
      </c>
      <c r="V1275" t="s">
        <v>13828</v>
      </c>
      <c r="W1275" t="s">
        <v>328</v>
      </c>
      <c r="X1275" t="s">
        <v>4</v>
      </c>
      <c r="Y1275" t="s">
        <v>13829</v>
      </c>
      <c r="Z1275" t="s">
        <v>13830</v>
      </c>
      <c r="AA1275" t="s">
        <v>13831</v>
      </c>
      <c r="AB1275" t="s">
        <v>4</v>
      </c>
      <c r="AC1275" s="3" t="s">
        <v>13832</v>
      </c>
      <c r="AD1275" t="s">
        <v>4</v>
      </c>
      <c r="AE1275" t="s">
        <v>13833</v>
      </c>
      <c r="AF1275" t="s">
        <v>834</v>
      </c>
      <c r="AG1275" t="s">
        <v>13834</v>
      </c>
      <c r="AH1275" t="s">
        <v>112</v>
      </c>
      <c r="AJ1275" t="s">
        <v>13835</v>
      </c>
      <c r="AL1275" t="s">
        <v>13836</v>
      </c>
      <c r="AM1275" t="s">
        <v>13837</v>
      </c>
      <c r="AQ1275" t="s">
        <v>13838</v>
      </c>
      <c r="AU1275" t="s">
        <v>112</v>
      </c>
      <c r="AV1275" t="s">
        <v>13839</v>
      </c>
      <c r="AW1275" t="s">
        <v>114</v>
      </c>
      <c r="AX1275" t="s">
        <v>132</v>
      </c>
      <c r="AY1275" t="s">
        <v>13840</v>
      </c>
      <c r="AZ1275" t="s">
        <v>4</v>
      </c>
      <c r="BA1275" s="3" t="s">
        <v>95</v>
      </c>
      <c r="BB1275" t="s">
        <v>96</v>
      </c>
      <c r="BC1275" s="3" t="s">
        <v>95</v>
      </c>
      <c r="BD1275" t="s">
        <v>4</v>
      </c>
      <c r="BE1275">
        <v>5911</v>
      </c>
      <c r="BF1275" t="s">
        <v>213</v>
      </c>
      <c r="BG1275">
        <v>86.344099999999997</v>
      </c>
      <c r="BI1275">
        <v>7.9569900000000002</v>
      </c>
      <c r="BJ1275">
        <v>10.1075</v>
      </c>
      <c r="BL1275">
        <v>69.354799999999997</v>
      </c>
      <c r="BM1275">
        <v>69.032300000000006</v>
      </c>
      <c r="BN1275">
        <v>87.311800000000005</v>
      </c>
      <c r="BO1275">
        <v>91.1828</v>
      </c>
      <c r="BP1275" t="s">
        <v>13841</v>
      </c>
      <c r="BQ1275">
        <v>35.161299999999997</v>
      </c>
      <c r="BR1275">
        <v>43.548400000000001</v>
      </c>
      <c r="BS1275">
        <v>41.935499999999998</v>
      </c>
      <c r="BT1275">
        <v>32.903199999999998</v>
      </c>
      <c r="BV1275" t="s">
        <v>13842</v>
      </c>
      <c r="BW1275">
        <v>27.741900000000001</v>
      </c>
      <c r="BX1275">
        <v>43.871000000000002</v>
      </c>
      <c r="BY1275">
        <v>15.268800000000001</v>
      </c>
      <c r="BZ1275">
        <v>38.6021</v>
      </c>
      <c r="CA1275">
        <v>38.6021</v>
      </c>
      <c r="CB1275">
        <v>12.6882</v>
      </c>
      <c r="CC1275">
        <v>10.1075</v>
      </c>
      <c r="CD1275">
        <v>30.537600000000001</v>
      </c>
      <c r="CE1275">
        <v>16.881699999999999</v>
      </c>
      <c r="CF1275">
        <v>21.935500000000001</v>
      </c>
      <c r="CG1275" t="s">
        <v>13843</v>
      </c>
      <c r="CH1275" t="s">
        <v>13844</v>
      </c>
      <c r="CI1275">
        <v>16.129000000000001</v>
      </c>
      <c r="CK1275">
        <v>8</v>
      </c>
      <c r="CL1275" t="s">
        <v>4</v>
      </c>
      <c r="CM1275" t="s">
        <v>13845</v>
      </c>
      <c r="CN1275" t="s">
        <v>13846</v>
      </c>
      <c r="CO1275" t="s">
        <v>99</v>
      </c>
      <c r="CP1275" t="s">
        <v>100</v>
      </c>
      <c r="CQ1275" t="s">
        <v>100</v>
      </c>
      <c r="CR1275" t="s">
        <v>100</v>
      </c>
      <c r="CS1275" s="7" t="s">
        <v>101</v>
      </c>
      <c r="CT1275" t="s">
        <v>152</v>
      </c>
      <c r="CU1275" t="s">
        <v>102</v>
      </c>
      <c r="CV1275" t="s">
        <v>100</v>
      </c>
    </row>
    <row r="1276" spans="1:100">
      <c r="A1276" s="3" t="s">
        <v>13847</v>
      </c>
      <c r="B1276" s="4" t="s">
        <v>13848</v>
      </c>
      <c r="C1276">
        <v>317.223074299605</v>
      </c>
      <c r="D1276">
        <v>187.41032745115399</v>
      </c>
      <c r="E1276">
        <v>0.76159722128507501</v>
      </c>
      <c r="F1276">
        <v>5.46475995704798E-2</v>
      </c>
      <c r="G1276" t="s">
        <v>4</v>
      </c>
      <c r="H1276">
        <v>317.223074299605</v>
      </c>
      <c r="I1276">
        <v>32.788469278312903</v>
      </c>
      <c r="J1276">
        <v>3.2452085633671399</v>
      </c>
      <c r="K1276" s="5">
        <v>1.7945240547859599E-16</v>
      </c>
      <c r="L1276" t="s">
        <v>4</v>
      </c>
      <c r="M1276">
        <v>187.41032745115399</v>
      </c>
      <c r="N1276">
        <v>32.788469278312903</v>
      </c>
      <c r="O1276">
        <v>2.48361134208207</v>
      </c>
      <c r="P1276" s="5">
        <v>4.46453365480328E-10</v>
      </c>
      <c r="Q1276" t="s">
        <v>4</v>
      </c>
      <c r="R1276" s="4" t="s">
        <v>87</v>
      </c>
      <c r="S1276" t="s">
        <v>4</v>
      </c>
      <c r="T1276" t="s">
        <v>88</v>
      </c>
      <c r="U1276" t="s">
        <v>89</v>
      </c>
      <c r="V1276" t="s">
        <v>90</v>
      </c>
      <c r="W1276" t="s">
        <v>91</v>
      </c>
      <c r="X1276" t="s">
        <v>4</v>
      </c>
      <c r="Y1276" t="s">
        <v>13849</v>
      </c>
      <c r="Z1276" t="s">
        <v>13850</v>
      </c>
      <c r="AA1276" t="s">
        <v>13851</v>
      </c>
      <c r="AB1276" t="s">
        <v>4</v>
      </c>
      <c r="AC1276" s="3" t="s">
        <v>13852</v>
      </c>
      <c r="AD1276" t="s">
        <v>4</v>
      </c>
      <c r="AE1276" t="s">
        <v>13853</v>
      </c>
      <c r="AF1276" t="s">
        <v>13854</v>
      </c>
      <c r="AG1276" t="s">
        <v>10317</v>
      </c>
      <c r="AH1276" t="s">
        <v>112</v>
      </c>
      <c r="AU1276" t="s">
        <v>112</v>
      </c>
      <c r="AV1276" t="s">
        <v>13855</v>
      </c>
      <c r="AW1276" t="s">
        <v>114</v>
      </c>
      <c r="AX1276" t="s">
        <v>144</v>
      </c>
      <c r="AY1276" t="s">
        <v>13856</v>
      </c>
      <c r="AZ1276" t="s">
        <v>4</v>
      </c>
      <c r="BA1276" s="3" t="s">
        <v>95</v>
      </c>
      <c r="BB1276" t="s">
        <v>96</v>
      </c>
      <c r="BC1276" s="3" t="s">
        <v>197</v>
      </c>
      <c r="BD1276" t="s">
        <v>4</v>
      </c>
      <c r="BE1276">
        <v>3168</v>
      </c>
      <c r="BF1276" t="s">
        <v>112</v>
      </c>
      <c r="BG1276">
        <v>99.038499999999999</v>
      </c>
      <c r="BH1276">
        <v>100</v>
      </c>
      <c r="BI1276">
        <v>62.5</v>
      </c>
      <c r="BJ1276">
        <v>60.576900000000002</v>
      </c>
      <c r="BK1276">
        <v>77.884600000000006</v>
      </c>
      <c r="BN1276">
        <v>71.153800000000004</v>
      </c>
      <c r="BP1276">
        <v>63.461500000000001</v>
      </c>
      <c r="BQ1276">
        <v>45.192300000000003</v>
      </c>
      <c r="BR1276">
        <v>45.192300000000003</v>
      </c>
      <c r="BS1276">
        <v>46.153799999999997</v>
      </c>
      <c r="BU1276">
        <v>1.9230799999999999</v>
      </c>
      <c r="BV1276" t="s">
        <v>13857</v>
      </c>
      <c r="BW1276">
        <v>28.8462</v>
      </c>
      <c r="BX1276">
        <v>46.153799999999997</v>
      </c>
      <c r="BY1276">
        <v>34.615400000000001</v>
      </c>
      <c r="BZ1276">
        <v>43.269199999999998</v>
      </c>
      <c r="CA1276">
        <v>36.538499999999999</v>
      </c>
      <c r="CK1276">
        <v>5</v>
      </c>
      <c r="CL1276" t="s">
        <v>4</v>
      </c>
      <c r="CM1276" t="s">
        <v>13858</v>
      </c>
      <c r="CN1276" t="s">
        <v>13859</v>
      </c>
      <c r="CO1276" t="s">
        <v>1218</v>
      </c>
      <c r="CP1276" t="s">
        <v>100</v>
      </c>
      <c r="CQ1276" t="s">
        <v>100</v>
      </c>
      <c r="CR1276" t="s">
        <v>100</v>
      </c>
      <c r="CS1276" t="s">
        <v>101</v>
      </c>
      <c r="CT1276" t="s">
        <v>152</v>
      </c>
      <c r="CU1276" t="s">
        <v>102</v>
      </c>
      <c r="CV1276" t="s">
        <v>100</v>
      </c>
    </row>
    <row r="1277" spans="1:100">
      <c r="A1277" s="3" t="s">
        <v>13860</v>
      </c>
      <c r="B1277" s="4" t="s">
        <v>13861</v>
      </c>
      <c r="C1277">
        <v>147.47690883137</v>
      </c>
      <c r="D1277">
        <v>81.066240366913902</v>
      </c>
      <c r="E1277">
        <v>0.86637252299883005</v>
      </c>
      <c r="F1277">
        <v>6.0536332810568298E-2</v>
      </c>
      <c r="G1277" t="s">
        <v>4</v>
      </c>
      <c r="H1277">
        <v>147.47690883137</v>
      </c>
      <c r="I1277">
        <v>13.923175149165701</v>
      </c>
      <c r="J1277">
        <v>3.3483621903999201</v>
      </c>
      <c r="K1277" s="5">
        <v>7.9252566338997798E-12</v>
      </c>
      <c r="L1277" t="s">
        <v>4</v>
      </c>
      <c r="M1277">
        <v>81.066240366913902</v>
      </c>
      <c r="N1277">
        <v>13.923175149165701</v>
      </c>
      <c r="O1277">
        <v>2.4819896674010899</v>
      </c>
      <c r="P1277" s="5">
        <v>5.9785670712050304E-7</v>
      </c>
      <c r="Q1277" t="s">
        <v>4</v>
      </c>
      <c r="R1277" s="4" t="s">
        <v>87</v>
      </c>
      <c r="S1277" t="s">
        <v>4</v>
      </c>
      <c r="T1277" t="s">
        <v>2243</v>
      </c>
      <c r="U1277" t="s">
        <v>2244</v>
      </c>
      <c r="V1277" t="s">
        <v>2245</v>
      </c>
      <c r="W1277" t="s">
        <v>123</v>
      </c>
      <c r="X1277" t="s">
        <v>4</v>
      </c>
      <c r="Y1277" t="s">
        <v>3541</v>
      </c>
      <c r="Z1277" t="s">
        <v>3542</v>
      </c>
      <c r="AA1277" t="s">
        <v>3543</v>
      </c>
      <c r="AB1277" t="s">
        <v>4</v>
      </c>
      <c r="AC1277" s="3" t="s">
        <v>93</v>
      </c>
      <c r="AD1277" t="s">
        <v>4</v>
      </c>
      <c r="AE1277" t="s">
        <v>13862</v>
      </c>
      <c r="AF1277" t="s">
        <v>13863</v>
      </c>
      <c r="AG1277" t="s">
        <v>6667</v>
      </c>
      <c r="AH1277" t="s">
        <v>112</v>
      </c>
      <c r="AU1277" t="s">
        <v>112</v>
      </c>
      <c r="AV1277" t="s">
        <v>13864</v>
      </c>
      <c r="AW1277" t="s">
        <v>114</v>
      </c>
      <c r="AX1277" t="s">
        <v>144</v>
      </c>
      <c r="AY1277" t="s">
        <v>1908</v>
      </c>
      <c r="AZ1277" t="s">
        <v>4</v>
      </c>
      <c r="BA1277" s="3" t="s">
        <v>95</v>
      </c>
      <c r="BB1277" s="6" t="s">
        <v>95</v>
      </c>
      <c r="BC1277" s="3" t="s">
        <v>95</v>
      </c>
      <c r="BD1277" t="s">
        <v>4</v>
      </c>
      <c r="BE1277">
        <v>3075</v>
      </c>
      <c r="BF1277" t="s">
        <v>97</v>
      </c>
      <c r="BG1277">
        <v>46.475200000000001</v>
      </c>
      <c r="BH1277">
        <v>100</v>
      </c>
      <c r="BI1277" t="s">
        <v>13865</v>
      </c>
      <c r="BJ1277">
        <v>89.295000000000002</v>
      </c>
      <c r="BK1277">
        <v>75.195800000000006</v>
      </c>
      <c r="BL1277" t="s">
        <v>13866</v>
      </c>
      <c r="BO1277">
        <v>80.939899999999994</v>
      </c>
      <c r="CK1277">
        <v>4</v>
      </c>
      <c r="CL1277" t="s">
        <v>4</v>
      </c>
      <c r="CM1277" t="s">
        <v>98</v>
      </c>
      <c r="CN1277" t="s">
        <v>98</v>
      </c>
      <c r="CO1277" t="s">
        <v>99</v>
      </c>
      <c r="CP1277" t="s">
        <v>100</v>
      </c>
      <c r="CQ1277" t="s">
        <v>100</v>
      </c>
      <c r="CR1277" t="s">
        <v>100</v>
      </c>
      <c r="CS1277" t="s">
        <v>101</v>
      </c>
      <c r="CT1277" t="s">
        <v>152</v>
      </c>
      <c r="CU1277" t="s">
        <v>102</v>
      </c>
      <c r="CV1277" t="s">
        <v>100</v>
      </c>
    </row>
    <row r="1278" spans="1:100">
      <c r="A1278" s="3" t="s">
        <v>13867</v>
      </c>
      <c r="B1278" s="4" t="s">
        <v>13868</v>
      </c>
      <c r="C1278">
        <v>2504.2817300994302</v>
      </c>
      <c r="D1278">
        <v>2088.7106066185102</v>
      </c>
      <c r="E1278">
        <v>0.261951526162716</v>
      </c>
      <c r="F1278">
        <v>0.24893042351526301</v>
      </c>
      <c r="G1278" t="s">
        <v>4</v>
      </c>
      <c r="H1278">
        <v>2504.2817300994302</v>
      </c>
      <c r="I1278">
        <v>374.71055883568101</v>
      </c>
      <c r="J1278">
        <v>2.7438265399661499</v>
      </c>
      <c r="K1278" s="5">
        <v>1.2697958796776801E-41</v>
      </c>
      <c r="L1278" t="s">
        <v>4</v>
      </c>
      <c r="M1278">
        <v>2088.7106066185102</v>
      </c>
      <c r="N1278">
        <v>374.71055883568101</v>
      </c>
      <c r="O1278">
        <v>2.4818750138034398</v>
      </c>
      <c r="P1278" s="5">
        <v>2.6368372946693001E-34</v>
      </c>
      <c r="Q1278" t="s">
        <v>4</v>
      </c>
      <c r="R1278" s="4" t="s">
        <v>87</v>
      </c>
      <c r="S1278" t="s">
        <v>4</v>
      </c>
      <c r="T1278" t="s">
        <v>13869</v>
      </c>
      <c r="U1278" t="s">
        <v>13870</v>
      </c>
      <c r="V1278" t="s">
        <v>13871</v>
      </c>
      <c r="W1278" t="s">
        <v>123</v>
      </c>
      <c r="X1278" t="s">
        <v>4</v>
      </c>
      <c r="Y1278" t="s">
        <v>13872</v>
      </c>
      <c r="Z1278" t="s">
        <v>13873</v>
      </c>
      <c r="AA1278" t="s">
        <v>13874</v>
      </c>
      <c r="AB1278" t="s">
        <v>4</v>
      </c>
      <c r="AC1278" s="3" t="s">
        <v>8766</v>
      </c>
      <c r="AD1278" t="s">
        <v>4</v>
      </c>
      <c r="AE1278" t="s">
        <v>13875</v>
      </c>
      <c r="AF1278" t="s">
        <v>13876</v>
      </c>
      <c r="AG1278" t="s">
        <v>13877</v>
      </c>
      <c r="AH1278" t="s">
        <v>112</v>
      </c>
      <c r="AL1278" t="s">
        <v>13878</v>
      </c>
      <c r="AM1278" t="s">
        <v>13879</v>
      </c>
      <c r="AQ1278" t="s">
        <v>8795</v>
      </c>
      <c r="AU1278" t="s">
        <v>112</v>
      </c>
      <c r="AV1278" t="s">
        <v>13880</v>
      </c>
      <c r="AW1278" t="s">
        <v>114</v>
      </c>
      <c r="AX1278" t="s">
        <v>733</v>
      </c>
      <c r="AY1278" t="s">
        <v>13881</v>
      </c>
      <c r="AZ1278" t="s">
        <v>4</v>
      </c>
      <c r="BA1278" s="3" t="s">
        <v>95</v>
      </c>
      <c r="BB1278" s="6" t="s">
        <v>95</v>
      </c>
      <c r="BC1278" s="3" t="s">
        <v>95</v>
      </c>
      <c r="BD1278" t="s">
        <v>4</v>
      </c>
      <c r="BE1278">
        <v>10030</v>
      </c>
      <c r="BF1278" t="s">
        <v>169</v>
      </c>
      <c r="BG1278">
        <v>92.049700000000001</v>
      </c>
      <c r="BH1278">
        <v>99.875799999999998</v>
      </c>
      <c r="BI1278">
        <v>92.298100000000005</v>
      </c>
      <c r="BJ1278" t="s">
        <v>13882</v>
      </c>
      <c r="BK1278">
        <v>59.751600000000003</v>
      </c>
      <c r="BL1278">
        <v>35.776400000000002</v>
      </c>
      <c r="BM1278">
        <v>73.540400000000005</v>
      </c>
      <c r="BN1278">
        <v>73.664599999999993</v>
      </c>
      <c r="BO1278">
        <v>71.677000000000007</v>
      </c>
      <c r="BP1278">
        <v>41.614899999999999</v>
      </c>
      <c r="BR1278">
        <v>30.931699999999999</v>
      </c>
      <c r="BS1278">
        <v>15.1553</v>
      </c>
      <c r="BW1278">
        <v>36.646000000000001</v>
      </c>
      <c r="BX1278">
        <v>35.652200000000001</v>
      </c>
      <c r="BZ1278">
        <v>23.975200000000001</v>
      </c>
      <c r="CA1278">
        <v>34.161499999999997</v>
      </c>
      <c r="CC1278">
        <v>28.0745</v>
      </c>
      <c r="CD1278">
        <v>30.310600000000001</v>
      </c>
      <c r="CE1278">
        <v>26.3354</v>
      </c>
      <c r="CG1278" t="s">
        <v>13883</v>
      </c>
      <c r="CH1278">
        <v>32.422400000000003</v>
      </c>
      <c r="CI1278">
        <v>30.559000000000001</v>
      </c>
      <c r="CJ1278">
        <v>28.198799999999999</v>
      </c>
      <c r="CK1278">
        <v>9</v>
      </c>
      <c r="CL1278" t="s">
        <v>4</v>
      </c>
      <c r="CM1278" t="s">
        <v>13884</v>
      </c>
      <c r="CN1278" t="s">
        <v>13885</v>
      </c>
      <c r="CO1278" t="s">
        <v>219</v>
      </c>
      <c r="CP1278" t="s">
        <v>100</v>
      </c>
      <c r="CQ1278" t="s">
        <v>100</v>
      </c>
      <c r="CR1278" t="s">
        <v>100</v>
      </c>
      <c r="CS1278" t="s">
        <v>101</v>
      </c>
      <c r="CT1278" t="s">
        <v>152</v>
      </c>
      <c r="CU1278" t="s">
        <v>102</v>
      </c>
      <c r="CV1278" t="s">
        <v>100</v>
      </c>
    </row>
    <row r="1279" spans="1:100">
      <c r="A1279" s="3" t="s">
        <v>13886</v>
      </c>
      <c r="B1279" s="4" t="s">
        <v>13887</v>
      </c>
      <c r="C1279">
        <v>1375.26858458984</v>
      </c>
      <c r="D1279">
        <v>1199.3510733621799</v>
      </c>
      <c r="E1279">
        <v>0.19766910693926701</v>
      </c>
      <c r="F1279">
        <v>0.387222001187494</v>
      </c>
      <c r="G1279" t="s">
        <v>4</v>
      </c>
      <c r="H1279">
        <v>1375.26858458984</v>
      </c>
      <c r="I1279">
        <v>212.986950600965</v>
      </c>
      <c r="J1279">
        <v>2.6783585510212702</v>
      </c>
      <c r="K1279" s="5">
        <v>8.8013925009429106E-39</v>
      </c>
      <c r="L1279" t="s">
        <v>4</v>
      </c>
      <c r="M1279">
        <v>1199.3510733621799</v>
      </c>
      <c r="N1279">
        <v>212.986950600965</v>
      </c>
      <c r="O1279">
        <v>2.4806894440820102</v>
      </c>
      <c r="P1279" s="5">
        <v>2.0079276747045801E-33</v>
      </c>
      <c r="Q1279" t="s">
        <v>4</v>
      </c>
      <c r="R1279" s="4" t="s">
        <v>87</v>
      </c>
      <c r="S1279" t="s">
        <v>4</v>
      </c>
      <c r="T1279" t="s">
        <v>88</v>
      </c>
      <c r="U1279" t="s">
        <v>89</v>
      </c>
      <c r="V1279" t="s">
        <v>90</v>
      </c>
      <c r="W1279" t="s">
        <v>91</v>
      </c>
      <c r="X1279" t="s">
        <v>4</v>
      </c>
      <c r="Y1279" t="s">
        <v>13888</v>
      </c>
      <c r="Z1279" t="s">
        <v>13889</v>
      </c>
      <c r="AA1279" t="s">
        <v>13890</v>
      </c>
      <c r="AB1279" t="s">
        <v>4</v>
      </c>
      <c r="AC1279" s="3" t="s">
        <v>13891</v>
      </c>
      <c r="AD1279" t="s">
        <v>4</v>
      </c>
      <c r="AE1279" t="s">
        <v>13892</v>
      </c>
      <c r="AF1279" t="s">
        <v>13893</v>
      </c>
      <c r="AG1279" t="s">
        <v>13894</v>
      </c>
      <c r="AH1279" t="s">
        <v>112</v>
      </c>
      <c r="AJ1279" t="s">
        <v>13895</v>
      </c>
      <c r="AL1279" t="s">
        <v>13896</v>
      </c>
      <c r="AQ1279" t="s">
        <v>6756</v>
      </c>
      <c r="AU1279" t="s">
        <v>112</v>
      </c>
      <c r="AV1279" t="s">
        <v>13897</v>
      </c>
      <c r="AW1279" t="s">
        <v>114</v>
      </c>
      <c r="AX1279" t="s">
        <v>144</v>
      </c>
      <c r="AY1279" t="s">
        <v>13898</v>
      </c>
      <c r="AZ1279" t="s">
        <v>4</v>
      </c>
      <c r="BA1279" s="3" t="s">
        <v>95</v>
      </c>
      <c r="BB1279" t="s">
        <v>96</v>
      </c>
      <c r="BC1279" s="3" t="s">
        <v>95</v>
      </c>
      <c r="BD1279" t="s">
        <v>4</v>
      </c>
      <c r="BE1279">
        <v>3288</v>
      </c>
      <c r="BF1279" t="s">
        <v>112</v>
      </c>
      <c r="BG1279">
        <v>97.132599999999996</v>
      </c>
      <c r="BH1279">
        <v>99.641599999999997</v>
      </c>
      <c r="BI1279">
        <v>94.623699999999999</v>
      </c>
      <c r="BJ1279">
        <v>83.512500000000003</v>
      </c>
      <c r="BK1279">
        <v>77.060900000000004</v>
      </c>
      <c r="BL1279">
        <v>72.043000000000006</v>
      </c>
      <c r="BM1279">
        <v>73.476699999999994</v>
      </c>
      <c r="BN1279">
        <v>73.476699999999994</v>
      </c>
      <c r="BO1279">
        <v>75.627200000000002</v>
      </c>
      <c r="BR1279" t="s">
        <v>13899</v>
      </c>
      <c r="BS1279">
        <v>28.3154</v>
      </c>
      <c r="BT1279">
        <v>28.6738</v>
      </c>
      <c r="BU1279">
        <v>20.430099999999999</v>
      </c>
      <c r="BV1279" t="s">
        <v>13900</v>
      </c>
      <c r="BW1279">
        <v>30.107500000000002</v>
      </c>
      <c r="BX1279">
        <v>28.6738</v>
      </c>
      <c r="BZ1279">
        <v>18.996400000000001</v>
      </c>
      <c r="CA1279">
        <v>27.957000000000001</v>
      </c>
      <c r="CC1279">
        <v>17.2043</v>
      </c>
      <c r="CD1279">
        <v>15.7706</v>
      </c>
      <c r="CF1279" t="s">
        <v>13901</v>
      </c>
      <c r="CG1279" t="s">
        <v>13902</v>
      </c>
      <c r="CH1279" t="s">
        <v>13903</v>
      </c>
      <c r="CI1279" t="s">
        <v>13904</v>
      </c>
      <c r="CK1279">
        <v>5</v>
      </c>
      <c r="CL1279" t="s">
        <v>4</v>
      </c>
      <c r="CM1279" t="s">
        <v>13905</v>
      </c>
      <c r="CN1279" t="s">
        <v>13906</v>
      </c>
      <c r="CO1279" t="s">
        <v>1218</v>
      </c>
      <c r="CP1279" t="s">
        <v>100</v>
      </c>
      <c r="CQ1279" t="s">
        <v>100</v>
      </c>
      <c r="CR1279" t="s">
        <v>100</v>
      </c>
      <c r="CS1279" t="s">
        <v>101</v>
      </c>
      <c r="CT1279" t="s">
        <v>152</v>
      </c>
      <c r="CU1279" t="s">
        <v>102</v>
      </c>
      <c r="CV1279" t="s">
        <v>100</v>
      </c>
    </row>
    <row r="1280" spans="1:100">
      <c r="A1280" s="3" t="s">
        <v>13907</v>
      </c>
      <c r="B1280" s="4" t="s">
        <v>13908</v>
      </c>
      <c r="C1280">
        <v>152.31618729451901</v>
      </c>
      <c r="D1280">
        <v>168.27657024077499</v>
      </c>
      <c r="E1280">
        <f>0.146075973767342</f>
        <v>0.14607597376734199</v>
      </c>
      <c r="F1280">
        <v>0.763424210500809</v>
      </c>
      <c r="G1280" t="s">
        <v>4</v>
      </c>
      <c r="H1280">
        <v>152.31618729451901</v>
      </c>
      <c r="I1280">
        <v>30.3905426130002</v>
      </c>
      <c r="J1280">
        <v>2.3265028624441402</v>
      </c>
      <c r="K1280" s="5">
        <v>1.17771174858229E-7</v>
      </c>
      <c r="L1280" t="s">
        <v>4</v>
      </c>
      <c r="M1280">
        <v>168.27657024077499</v>
      </c>
      <c r="N1280">
        <v>30.3905426130002</v>
      </c>
      <c r="O1280">
        <v>2.47257883621148</v>
      </c>
      <c r="P1280" s="5">
        <v>1.26191927633012E-8</v>
      </c>
      <c r="Q1280" t="s">
        <v>4</v>
      </c>
      <c r="R1280" s="4" t="s">
        <v>87</v>
      </c>
      <c r="S1280" t="s">
        <v>4</v>
      </c>
      <c r="T1280" t="s">
        <v>1570</v>
      </c>
      <c r="U1280" t="s">
        <v>1571</v>
      </c>
      <c r="V1280" t="s">
        <v>1572</v>
      </c>
      <c r="W1280" t="s">
        <v>328</v>
      </c>
      <c r="X1280" t="s">
        <v>4</v>
      </c>
      <c r="Y1280" t="s">
        <v>13909</v>
      </c>
      <c r="Z1280" t="s">
        <v>13910</v>
      </c>
      <c r="AA1280" t="s">
        <v>13911</v>
      </c>
      <c r="AB1280" t="s">
        <v>4</v>
      </c>
      <c r="AC1280" s="3" t="s">
        <v>13912</v>
      </c>
      <c r="AD1280" t="s">
        <v>4</v>
      </c>
      <c r="AE1280" t="s">
        <v>13913</v>
      </c>
      <c r="AF1280" t="s">
        <v>13914</v>
      </c>
      <c r="AG1280" t="s">
        <v>13915</v>
      </c>
      <c r="AH1280" t="s">
        <v>112</v>
      </c>
      <c r="AJ1280" t="s">
        <v>13916</v>
      </c>
      <c r="AU1280" t="s">
        <v>112</v>
      </c>
      <c r="AV1280" t="s">
        <v>13917</v>
      </c>
      <c r="AW1280" t="s">
        <v>114</v>
      </c>
      <c r="AX1280" t="s">
        <v>371</v>
      </c>
      <c r="AY1280" t="s">
        <v>9648</v>
      </c>
      <c r="AZ1280" t="s">
        <v>4</v>
      </c>
      <c r="BA1280" s="3" t="s">
        <v>95</v>
      </c>
      <c r="BB1280" s="6" t="s">
        <v>95</v>
      </c>
      <c r="BC1280" s="3" t="s">
        <v>95</v>
      </c>
      <c r="BD1280" t="s">
        <v>4</v>
      </c>
      <c r="BE1280">
        <v>8575</v>
      </c>
      <c r="BF1280" t="s">
        <v>169</v>
      </c>
      <c r="BI1280">
        <v>95.1327</v>
      </c>
      <c r="BM1280">
        <v>88.053100000000001</v>
      </c>
      <c r="BO1280">
        <v>87.168099999999995</v>
      </c>
      <c r="BQ1280">
        <v>43.805300000000003</v>
      </c>
      <c r="BR1280">
        <v>15.9292</v>
      </c>
      <c r="BS1280">
        <v>35.840699999999998</v>
      </c>
      <c r="BT1280">
        <v>18.1416</v>
      </c>
      <c r="BW1280">
        <v>37.168100000000003</v>
      </c>
      <c r="BY1280">
        <v>20.796500000000002</v>
      </c>
      <c r="BZ1280">
        <v>29.646000000000001</v>
      </c>
      <c r="CA1280">
        <v>33.628300000000003</v>
      </c>
      <c r="CE1280">
        <v>23.008900000000001</v>
      </c>
      <c r="CG1280" t="s">
        <v>13918</v>
      </c>
      <c r="CH1280" t="s">
        <v>13919</v>
      </c>
      <c r="CI1280" t="s">
        <v>13920</v>
      </c>
      <c r="CJ1280" t="s">
        <v>13921</v>
      </c>
      <c r="CK1280">
        <v>9</v>
      </c>
      <c r="CL1280" t="s">
        <v>4</v>
      </c>
      <c r="CM1280" t="s">
        <v>13922</v>
      </c>
      <c r="CN1280" t="s">
        <v>13923</v>
      </c>
      <c r="CO1280" t="s">
        <v>663</v>
      </c>
      <c r="CP1280" t="s">
        <v>100</v>
      </c>
      <c r="CQ1280" t="s">
        <v>100</v>
      </c>
      <c r="CR1280" t="s">
        <v>100</v>
      </c>
      <c r="CS1280" t="s">
        <v>101</v>
      </c>
      <c r="CT1280" t="s">
        <v>152</v>
      </c>
      <c r="CU1280" t="s">
        <v>102</v>
      </c>
      <c r="CV1280" t="s">
        <v>100</v>
      </c>
    </row>
    <row r="1281" spans="1:100">
      <c r="A1281" s="3" t="s">
        <v>13924</v>
      </c>
      <c r="B1281" s="4" t="s">
        <v>13925</v>
      </c>
      <c r="C1281">
        <v>1109.8004895449401</v>
      </c>
      <c r="D1281">
        <v>1873.7239832385501</v>
      </c>
      <c r="E1281">
        <f>0.755699057496856</f>
        <v>0.75569905749685595</v>
      </c>
      <c r="F1281">
        <v>7.0121504611096105E-2</v>
      </c>
      <c r="G1281" t="s">
        <v>4</v>
      </c>
      <c r="H1281">
        <v>1109.8004895449401</v>
      </c>
      <c r="I1281">
        <v>336.52232805599499</v>
      </c>
      <c r="J1281">
        <v>1.7146924807297299</v>
      </c>
      <c r="K1281" s="5">
        <v>1.11641932412494E-5</v>
      </c>
      <c r="L1281" t="s">
        <v>4</v>
      </c>
      <c r="M1281">
        <v>1873.7239832385501</v>
      </c>
      <c r="N1281">
        <v>336.52232805599499</v>
      </c>
      <c r="O1281">
        <v>2.4703915382265902</v>
      </c>
      <c r="P1281" s="5">
        <v>7.2803896810156806E-11</v>
      </c>
      <c r="Q1281" t="s">
        <v>4</v>
      </c>
      <c r="R1281" s="4" t="s">
        <v>87</v>
      </c>
      <c r="S1281" t="s">
        <v>4</v>
      </c>
      <c r="T1281" t="s">
        <v>92</v>
      </c>
      <c r="U1281" t="s">
        <v>92</v>
      </c>
      <c r="V1281" t="s">
        <v>92</v>
      </c>
      <c r="W1281" t="s">
        <v>92</v>
      </c>
      <c r="X1281" t="s">
        <v>4</v>
      </c>
      <c r="Y1281" t="s">
        <v>2107</v>
      </c>
      <c r="Z1281" t="s">
        <v>2108</v>
      </c>
      <c r="AA1281" t="s">
        <v>2109</v>
      </c>
      <c r="AB1281" t="s">
        <v>4</v>
      </c>
      <c r="AC1281" s="3" t="s">
        <v>13926</v>
      </c>
      <c r="AD1281" t="s">
        <v>4</v>
      </c>
      <c r="AE1281" t="s">
        <v>13927</v>
      </c>
      <c r="AF1281" t="s">
        <v>13928</v>
      </c>
      <c r="AG1281" t="s">
        <v>13929</v>
      </c>
      <c r="AH1281" t="s">
        <v>112</v>
      </c>
      <c r="AU1281" t="s">
        <v>112</v>
      </c>
      <c r="AV1281" t="s">
        <v>13930</v>
      </c>
      <c r="AW1281" t="s">
        <v>114</v>
      </c>
      <c r="AX1281" t="s">
        <v>132</v>
      </c>
      <c r="AY1281" t="s">
        <v>2116</v>
      </c>
      <c r="AZ1281" t="s">
        <v>4</v>
      </c>
      <c r="BA1281" s="3" t="s">
        <v>115</v>
      </c>
      <c r="BB1281" t="s">
        <v>96</v>
      </c>
      <c r="BC1281" s="3" t="s">
        <v>197</v>
      </c>
      <c r="BD1281" t="s">
        <v>4</v>
      </c>
      <c r="BE1281">
        <v>1889</v>
      </c>
      <c r="BF1281" t="s">
        <v>148</v>
      </c>
      <c r="BG1281">
        <v>95.953800000000001</v>
      </c>
      <c r="BH1281">
        <v>34.248600000000003</v>
      </c>
      <c r="BI1281">
        <v>89.450900000000004</v>
      </c>
      <c r="BJ1281">
        <v>66.907499999999999</v>
      </c>
      <c r="BK1281">
        <v>57.948</v>
      </c>
      <c r="BL1281">
        <v>58.814999999999998</v>
      </c>
      <c r="BM1281">
        <v>59.682099999999998</v>
      </c>
      <c r="BN1281">
        <v>61.127200000000002</v>
      </c>
      <c r="BO1281">
        <v>57.948</v>
      </c>
      <c r="CK1281">
        <v>3</v>
      </c>
      <c r="CL1281" t="s">
        <v>4</v>
      </c>
      <c r="CM1281" t="s">
        <v>98</v>
      </c>
      <c r="CN1281" t="s">
        <v>98</v>
      </c>
      <c r="CO1281" t="s">
        <v>99</v>
      </c>
      <c r="CP1281" t="s">
        <v>100</v>
      </c>
      <c r="CQ1281" t="s">
        <v>100</v>
      </c>
      <c r="CR1281" t="s">
        <v>100</v>
      </c>
      <c r="CS1281" s="7" t="s">
        <v>101</v>
      </c>
      <c r="CT1281" t="s">
        <v>152</v>
      </c>
      <c r="CU1281" t="s">
        <v>102</v>
      </c>
      <c r="CV1281" t="s">
        <v>100</v>
      </c>
    </row>
    <row r="1282" spans="1:100">
      <c r="A1282" s="3" t="s">
        <v>13931</v>
      </c>
      <c r="B1282" s="4" t="s">
        <v>13932</v>
      </c>
      <c r="C1282">
        <v>2949.25575341171</v>
      </c>
      <c r="D1282">
        <v>4420.0100596247903</v>
      </c>
      <c r="E1282">
        <f>0.583687309688294</f>
        <v>0.58368730968829396</v>
      </c>
      <c r="F1282">
        <v>3.9578618504648097E-2</v>
      </c>
      <c r="G1282" t="s">
        <v>4</v>
      </c>
      <c r="H1282">
        <v>2949.25575341171</v>
      </c>
      <c r="I1282">
        <v>798.93671518306701</v>
      </c>
      <c r="J1282">
        <v>1.88081829781231</v>
      </c>
      <c r="K1282" s="5">
        <v>4.5754841541289401E-13</v>
      </c>
      <c r="L1282" t="s">
        <v>4</v>
      </c>
      <c r="M1282">
        <v>4420.0100596247903</v>
      </c>
      <c r="N1282">
        <v>798.93671518306701</v>
      </c>
      <c r="O1282">
        <v>2.4645056075006102</v>
      </c>
      <c r="P1282" s="5">
        <v>6.8210257798601397E-22</v>
      </c>
      <c r="Q1282" t="s">
        <v>4</v>
      </c>
      <c r="R1282" s="4" t="s">
        <v>87</v>
      </c>
      <c r="S1282" t="s">
        <v>4</v>
      </c>
      <c r="T1282" t="s">
        <v>13933</v>
      </c>
      <c r="U1282" t="s">
        <v>13934</v>
      </c>
      <c r="V1282" t="s">
        <v>13935</v>
      </c>
      <c r="W1282" t="s">
        <v>203</v>
      </c>
      <c r="X1282" t="s">
        <v>4</v>
      </c>
      <c r="Y1282" t="s">
        <v>13936</v>
      </c>
      <c r="Z1282" t="s">
        <v>13937</v>
      </c>
      <c r="AA1282" t="s">
        <v>13938</v>
      </c>
      <c r="AB1282" t="s">
        <v>4</v>
      </c>
      <c r="AC1282" s="3" t="s">
        <v>13939</v>
      </c>
      <c r="AD1282" t="s">
        <v>4</v>
      </c>
      <c r="AE1282" t="s">
        <v>13940</v>
      </c>
      <c r="AF1282" t="s">
        <v>13941</v>
      </c>
      <c r="AG1282" t="s">
        <v>13942</v>
      </c>
      <c r="AH1282" t="s">
        <v>112</v>
      </c>
      <c r="AL1282" t="s">
        <v>13943</v>
      </c>
      <c r="AM1282" t="s">
        <v>13944</v>
      </c>
      <c r="AN1282" t="s">
        <v>13945</v>
      </c>
      <c r="AQ1282" t="s">
        <v>13946</v>
      </c>
      <c r="AU1282" t="s">
        <v>112</v>
      </c>
      <c r="AV1282" t="s">
        <v>13947</v>
      </c>
      <c r="AW1282" t="s">
        <v>114</v>
      </c>
      <c r="AX1282" t="s">
        <v>733</v>
      </c>
      <c r="AY1282" t="s">
        <v>13948</v>
      </c>
      <c r="AZ1282" t="s">
        <v>4</v>
      </c>
      <c r="BA1282" s="3" t="s">
        <v>95</v>
      </c>
      <c r="BB1282" s="6" t="s">
        <v>95</v>
      </c>
      <c r="BC1282" s="3" t="s">
        <v>95</v>
      </c>
      <c r="BD1282" t="s">
        <v>4</v>
      </c>
      <c r="BE1282">
        <v>9142</v>
      </c>
      <c r="BF1282" t="s">
        <v>169</v>
      </c>
      <c r="BG1282">
        <v>81.9315</v>
      </c>
      <c r="BH1282">
        <v>51.246099999999998</v>
      </c>
      <c r="BI1282">
        <v>49.688499999999998</v>
      </c>
      <c r="BJ1282">
        <v>47.196300000000001</v>
      </c>
      <c r="BK1282">
        <v>46.105899999999998</v>
      </c>
      <c r="BL1282">
        <v>45.638599999999997</v>
      </c>
      <c r="BM1282">
        <v>73.208699999999993</v>
      </c>
      <c r="BN1282">
        <v>45.638599999999997</v>
      </c>
      <c r="BO1282">
        <v>45.950200000000002</v>
      </c>
      <c r="BP1282">
        <v>36.448599999999999</v>
      </c>
      <c r="BQ1282">
        <v>29.906500000000001</v>
      </c>
      <c r="BR1282">
        <v>30.841100000000001</v>
      </c>
      <c r="BS1282">
        <v>1.5576300000000001</v>
      </c>
      <c r="BT1282">
        <v>28.816199999999998</v>
      </c>
      <c r="BU1282">
        <v>28.660399999999999</v>
      </c>
      <c r="BV1282" t="s">
        <v>13949</v>
      </c>
      <c r="BW1282">
        <v>9.0342699999999994</v>
      </c>
      <c r="BX1282">
        <v>3.42679</v>
      </c>
      <c r="BY1282">
        <v>3.1152600000000001</v>
      </c>
      <c r="BZ1282">
        <v>2.8037399999999999</v>
      </c>
      <c r="CA1282">
        <v>2.9594999999999998</v>
      </c>
      <c r="CB1282">
        <v>18.8474</v>
      </c>
      <c r="CC1282">
        <v>23.3645</v>
      </c>
      <c r="CD1282">
        <v>27.725899999999999</v>
      </c>
      <c r="CE1282">
        <v>25.8567</v>
      </c>
      <c r="CF1282">
        <v>29.750800000000002</v>
      </c>
      <c r="CG1282">
        <v>29.2835</v>
      </c>
      <c r="CH1282">
        <v>29.750800000000002</v>
      </c>
      <c r="CI1282">
        <v>28.660399999999999</v>
      </c>
      <c r="CJ1282">
        <v>23.2087</v>
      </c>
      <c r="CK1282">
        <v>9</v>
      </c>
      <c r="CL1282" t="s">
        <v>4</v>
      </c>
      <c r="CM1282" t="s">
        <v>13950</v>
      </c>
      <c r="CN1282" t="s">
        <v>13951</v>
      </c>
      <c r="CO1282" t="s">
        <v>219</v>
      </c>
      <c r="CP1282" t="s">
        <v>100</v>
      </c>
      <c r="CQ1282" t="s">
        <v>100</v>
      </c>
      <c r="CR1282" t="s">
        <v>100</v>
      </c>
      <c r="CS1282" s="7" t="s">
        <v>101</v>
      </c>
      <c r="CT1282" t="s">
        <v>152</v>
      </c>
      <c r="CU1282" t="s">
        <v>102</v>
      </c>
      <c r="CV1282" t="s">
        <v>100</v>
      </c>
    </row>
    <row r="1283" spans="1:100">
      <c r="A1283" s="3" t="s">
        <v>13952</v>
      </c>
      <c r="B1283" s="4" t="s">
        <v>13953</v>
      </c>
      <c r="C1283">
        <v>155.167036475321</v>
      </c>
      <c r="D1283">
        <v>230.02187036237001</v>
      </c>
      <c r="E1283">
        <f>0.565876063596978</f>
        <v>0.56587606359697795</v>
      </c>
      <c r="F1283">
        <v>0.191739888295056</v>
      </c>
      <c r="G1283" t="s">
        <v>4</v>
      </c>
      <c r="H1283">
        <v>155.167036475321</v>
      </c>
      <c r="I1283">
        <v>43.277193211706198</v>
      </c>
      <c r="J1283">
        <v>1.88031821659396</v>
      </c>
      <c r="K1283" s="5">
        <v>9.216312621421E-6</v>
      </c>
      <c r="L1283" t="s">
        <v>4</v>
      </c>
      <c r="M1283">
        <v>230.02187036237001</v>
      </c>
      <c r="N1283">
        <v>43.277193211706198</v>
      </c>
      <c r="O1283">
        <v>2.4461942801909302</v>
      </c>
      <c r="P1283" s="5">
        <v>3.2068624920855398E-9</v>
      </c>
      <c r="Q1283" t="s">
        <v>4</v>
      </c>
      <c r="R1283" s="4" t="s">
        <v>87</v>
      </c>
      <c r="S1283" t="s">
        <v>4</v>
      </c>
      <c r="T1283" t="s">
        <v>13954</v>
      </c>
      <c r="U1283" t="s">
        <v>13955</v>
      </c>
      <c r="V1283" t="s">
        <v>13956</v>
      </c>
      <c r="W1283" t="s">
        <v>203</v>
      </c>
      <c r="X1283" t="s">
        <v>4</v>
      </c>
      <c r="Y1283" t="s">
        <v>13957</v>
      </c>
      <c r="Z1283" t="s">
        <v>13958</v>
      </c>
      <c r="AA1283" t="s">
        <v>13959</v>
      </c>
      <c r="AB1283" t="s">
        <v>4</v>
      </c>
      <c r="AC1283" s="3" t="s">
        <v>13960</v>
      </c>
      <c r="AD1283" t="s">
        <v>4</v>
      </c>
      <c r="AE1283" t="s">
        <v>13961</v>
      </c>
      <c r="AF1283" t="s">
        <v>13962</v>
      </c>
      <c r="AG1283" t="s">
        <v>5053</v>
      </c>
      <c r="AH1283" t="s">
        <v>112</v>
      </c>
      <c r="AU1283" t="s">
        <v>112</v>
      </c>
      <c r="AV1283" t="s">
        <v>13963</v>
      </c>
      <c r="AW1283" t="s">
        <v>114</v>
      </c>
      <c r="AX1283" t="s">
        <v>144</v>
      </c>
      <c r="AY1283" t="s">
        <v>13964</v>
      </c>
      <c r="AZ1283" t="s">
        <v>4</v>
      </c>
      <c r="BA1283" s="3" t="s">
        <v>95</v>
      </c>
      <c r="BB1283" s="6" t="s">
        <v>95</v>
      </c>
      <c r="BC1283" s="3" t="s">
        <v>197</v>
      </c>
      <c r="BD1283" t="s">
        <v>4</v>
      </c>
      <c r="BE1283">
        <v>7070</v>
      </c>
      <c r="BF1283" t="s">
        <v>213</v>
      </c>
      <c r="BG1283">
        <v>98.337299999999999</v>
      </c>
      <c r="BH1283">
        <v>70.546300000000002</v>
      </c>
      <c r="BI1283">
        <v>90.261300000000006</v>
      </c>
      <c r="BJ1283">
        <v>73.634200000000007</v>
      </c>
      <c r="BK1283">
        <v>56.5321</v>
      </c>
      <c r="BL1283">
        <v>28.028500000000001</v>
      </c>
      <c r="BM1283">
        <v>65.795699999999997</v>
      </c>
      <c r="BN1283">
        <v>64.845600000000005</v>
      </c>
      <c r="BO1283" t="s">
        <v>13965</v>
      </c>
      <c r="BP1283">
        <v>42.0428</v>
      </c>
      <c r="BQ1283">
        <v>35.6295</v>
      </c>
      <c r="BR1283">
        <v>32.304000000000002</v>
      </c>
      <c r="BV1283" t="s">
        <v>13966</v>
      </c>
      <c r="BW1283">
        <v>33.491700000000002</v>
      </c>
      <c r="BX1283">
        <v>32.541600000000003</v>
      </c>
      <c r="BZ1283">
        <v>31.353899999999999</v>
      </c>
      <c r="CA1283">
        <v>37.054600000000001</v>
      </c>
      <c r="CB1283">
        <v>21.852699999999999</v>
      </c>
      <c r="CC1283">
        <v>8.7886000000000006</v>
      </c>
      <c r="CD1283">
        <v>6.4132999999999996</v>
      </c>
      <c r="CE1283">
        <v>4.9881200000000003</v>
      </c>
      <c r="CF1283">
        <v>4.9881200000000003</v>
      </c>
      <c r="CG1283">
        <v>4.9881200000000003</v>
      </c>
      <c r="CH1283">
        <v>4.7505899999999999</v>
      </c>
      <c r="CI1283" t="s">
        <v>13967</v>
      </c>
      <c r="CK1283">
        <v>8</v>
      </c>
      <c r="CL1283" t="s">
        <v>4</v>
      </c>
      <c r="CM1283" t="s">
        <v>13968</v>
      </c>
      <c r="CN1283" t="s">
        <v>13969</v>
      </c>
      <c r="CO1283" t="s">
        <v>663</v>
      </c>
      <c r="CP1283" t="s">
        <v>100</v>
      </c>
      <c r="CQ1283" t="s">
        <v>100</v>
      </c>
      <c r="CR1283" t="s">
        <v>100</v>
      </c>
      <c r="CS1283" s="7" t="s">
        <v>101</v>
      </c>
      <c r="CT1283" t="s">
        <v>152</v>
      </c>
      <c r="CU1283" t="s">
        <v>102</v>
      </c>
      <c r="CV1283" t="s">
        <v>100</v>
      </c>
    </row>
    <row r="1284" spans="1:100">
      <c r="A1284" s="3" t="s">
        <v>13970</v>
      </c>
      <c r="B1284" s="4" t="s">
        <v>13971</v>
      </c>
      <c r="C1284">
        <v>2387.5688678524898</v>
      </c>
      <c r="D1284">
        <v>3074.9563068727798</v>
      </c>
      <c r="E1284">
        <f>0.365071497249641</f>
        <v>0.365071497249641</v>
      </c>
      <c r="F1284">
        <v>3.0080032701630101E-2</v>
      </c>
      <c r="G1284" t="s">
        <v>4</v>
      </c>
      <c r="H1284">
        <v>2387.5688678524898</v>
      </c>
      <c r="I1284">
        <v>564.48846413990896</v>
      </c>
      <c r="J1284">
        <v>2.0791886351556799</v>
      </c>
      <c r="K1284" s="5">
        <v>1.18141285057457E-40</v>
      </c>
      <c r="L1284" t="s">
        <v>4</v>
      </c>
      <c r="M1284">
        <v>3074.9563068727798</v>
      </c>
      <c r="N1284">
        <v>564.48846413990896</v>
      </c>
      <c r="O1284">
        <v>2.4442601324053199</v>
      </c>
      <c r="P1284" s="5">
        <v>5.1088397661575404E-56</v>
      </c>
      <c r="Q1284" t="s">
        <v>4</v>
      </c>
      <c r="R1284" s="4" t="s">
        <v>87</v>
      </c>
      <c r="S1284" t="s">
        <v>4</v>
      </c>
      <c r="T1284" t="s">
        <v>92</v>
      </c>
      <c r="U1284" t="s">
        <v>92</v>
      </c>
      <c r="V1284" t="s">
        <v>92</v>
      </c>
      <c r="W1284" t="s">
        <v>92</v>
      </c>
      <c r="X1284" t="s">
        <v>4</v>
      </c>
      <c r="Y1284" t="s">
        <v>13972</v>
      </c>
      <c r="Z1284" t="s">
        <v>13973</v>
      </c>
      <c r="AA1284" t="s">
        <v>13974</v>
      </c>
      <c r="AB1284" t="s">
        <v>4</v>
      </c>
      <c r="AC1284" s="3" t="s">
        <v>13975</v>
      </c>
      <c r="AD1284" t="s">
        <v>4</v>
      </c>
      <c r="AE1284" t="s">
        <v>13976</v>
      </c>
      <c r="AF1284" t="s">
        <v>13977</v>
      </c>
      <c r="AG1284" t="s">
        <v>13978</v>
      </c>
      <c r="AH1284" t="s">
        <v>112</v>
      </c>
      <c r="AJ1284" t="s">
        <v>13979</v>
      </c>
      <c r="AL1284" t="s">
        <v>13980</v>
      </c>
      <c r="AQ1284" t="s">
        <v>861</v>
      </c>
      <c r="AU1284" t="s">
        <v>112</v>
      </c>
      <c r="AV1284" t="s">
        <v>13981</v>
      </c>
      <c r="AW1284" t="s">
        <v>114</v>
      </c>
      <c r="AX1284" t="s">
        <v>167</v>
      </c>
      <c r="AY1284" t="s">
        <v>13982</v>
      </c>
      <c r="AZ1284" t="s">
        <v>4</v>
      </c>
      <c r="BA1284" s="3" t="s">
        <v>115</v>
      </c>
      <c r="BB1284" s="6" t="s">
        <v>95</v>
      </c>
      <c r="BC1284" s="3" t="s">
        <v>95</v>
      </c>
      <c r="BD1284" t="s">
        <v>4</v>
      </c>
      <c r="BE1284">
        <v>9649</v>
      </c>
      <c r="BF1284" t="s">
        <v>169</v>
      </c>
      <c r="BG1284">
        <v>97.368399999999994</v>
      </c>
      <c r="BJ1284">
        <v>74.013199999999998</v>
      </c>
      <c r="BK1284">
        <v>77.138199999999998</v>
      </c>
      <c r="BL1284">
        <v>29.111799999999999</v>
      </c>
      <c r="BN1284">
        <v>78.947400000000002</v>
      </c>
      <c r="BO1284">
        <v>74.342100000000002</v>
      </c>
      <c r="BP1284">
        <v>33.881599999999999</v>
      </c>
      <c r="BT1284">
        <v>10.526300000000001</v>
      </c>
      <c r="BU1284">
        <v>19.078900000000001</v>
      </c>
      <c r="BV1284" t="s">
        <v>13983</v>
      </c>
      <c r="BX1284">
        <v>23.026299999999999</v>
      </c>
      <c r="BZ1284">
        <v>20.888200000000001</v>
      </c>
      <c r="CA1284">
        <v>15.953900000000001</v>
      </c>
      <c r="CE1284">
        <v>13.815799999999999</v>
      </c>
      <c r="CG1284">
        <v>18.75</v>
      </c>
      <c r="CH1284">
        <v>19.078900000000001</v>
      </c>
      <c r="CI1284">
        <v>18.75</v>
      </c>
      <c r="CJ1284">
        <v>16.447399999999998</v>
      </c>
      <c r="CK1284">
        <v>9</v>
      </c>
      <c r="CL1284" t="s">
        <v>4</v>
      </c>
      <c r="CM1284" t="s">
        <v>13984</v>
      </c>
      <c r="CN1284" t="s">
        <v>13985</v>
      </c>
      <c r="CO1284" t="s">
        <v>219</v>
      </c>
      <c r="CP1284" t="s">
        <v>100</v>
      </c>
      <c r="CQ1284" t="s">
        <v>100</v>
      </c>
      <c r="CR1284" t="s">
        <v>100</v>
      </c>
      <c r="CS1284" t="s">
        <v>101</v>
      </c>
      <c r="CT1284" t="s">
        <v>152</v>
      </c>
      <c r="CU1284" t="s">
        <v>102</v>
      </c>
      <c r="CV1284" t="s">
        <v>100</v>
      </c>
    </row>
    <row r="1285" spans="1:100">
      <c r="A1285" s="3" t="s">
        <v>13986</v>
      </c>
      <c r="B1285" s="4" t="s">
        <v>13987</v>
      </c>
      <c r="C1285">
        <v>1176.0765054897699</v>
      </c>
      <c r="D1285">
        <v>665.28102094926805</v>
      </c>
      <c r="E1285">
        <v>0.82116249370385896</v>
      </c>
      <c r="F1285">
        <v>1.5539259104430599E-2</v>
      </c>
      <c r="G1285" t="s">
        <v>4</v>
      </c>
      <c r="H1285">
        <v>1176.0765054897699</v>
      </c>
      <c r="I1285">
        <v>122.595364884202</v>
      </c>
      <c r="J1285">
        <v>3.2571836609411799</v>
      </c>
      <c r="K1285" s="5">
        <v>1.6587109380463001E-24</v>
      </c>
      <c r="L1285" t="s">
        <v>4</v>
      </c>
      <c r="M1285">
        <v>665.28102094926805</v>
      </c>
      <c r="N1285">
        <v>122.595364884202</v>
      </c>
      <c r="O1285">
        <v>2.4360211672373202</v>
      </c>
      <c r="P1285" s="5">
        <v>3.3374273681546503E-14</v>
      </c>
      <c r="Q1285" t="s">
        <v>4</v>
      </c>
      <c r="R1285" s="4" t="s">
        <v>87</v>
      </c>
      <c r="S1285" t="s">
        <v>4</v>
      </c>
      <c r="T1285" t="s">
        <v>13988</v>
      </c>
      <c r="U1285" t="s">
        <v>13989</v>
      </c>
      <c r="V1285" t="s">
        <v>13990</v>
      </c>
      <c r="W1285" t="s">
        <v>328</v>
      </c>
      <c r="X1285" t="s">
        <v>4</v>
      </c>
      <c r="Y1285" t="s">
        <v>8471</v>
      </c>
      <c r="Z1285" t="s">
        <v>8472</v>
      </c>
      <c r="AA1285" t="s">
        <v>8473</v>
      </c>
      <c r="AB1285" t="s">
        <v>4</v>
      </c>
      <c r="AC1285" s="3" t="s">
        <v>13991</v>
      </c>
      <c r="AD1285" t="s">
        <v>4</v>
      </c>
      <c r="AE1285" t="s">
        <v>13992</v>
      </c>
      <c r="AF1285" t="s">
        <v>834</v>
      </c>
      <c r="AG1285" t="s">
        <v>13993</v>
      </c>
      <c r="AH1285" t="s">
        <v>112</v>
      </c>
      <c r="AI1285" t="s">
        <v>13994</v>
      </c>
      <c r="AJ1285" t="s">
        <v>13995</v>
      </c>
      <c r="AL1285" t="s">
        <v>13996</v>
      </c>
      <c r="AM1285" t="s">
        <v>13997</v>
      </c>
      <c r="AQ1285" t="s">
        <v>13838</v>
      </c>
      <c r="AU1285" t="s">
        <v>112</v>
      </c>
      <c r="AV1285" t="s">
        <v>13998</v>
      </c>
      <c r="AW1285" t="s">
        <v>114</v>
      </c>
      <c r="AX1285" t="s">
        <v>132</v>
      </c>
      <c r="AY1285" t="s">
        <v>13999</v>
      </c>
      <c r="AZ1285" t="s">
        <v>4</v>
      </c>
      <c r="BA1285" s="3" t="s">
        <v>95</v>
      </c>
      <c r="BB1285" t="s">
        <v>96</v>
      </c>
      <c r="BC1285" s="3" t="s">
        <v>197</v>
      </c>
      <c r="BD1285" t="s">
        <v>4</v>
      </c>
      <c r="BE1285">
        <v>7510</v>
      </c>
      <c r="BF1285" t="s">
        <v>213</v>
      </c>
      <c r="BG1285">
        <v>98.560500000000005</v>
      </c>
      <c r="BH1285" t="s">
        <v>14000</v>
      </c>
      <c r="BI1285">
        <v>94.834900000000005</v>
      </c>
      <c r="BJ1285">
        <v>87.891599999999997</v>
      </c>
      <c r="BK1285">
        <v>84.42</v>
      </c>
      <c r="BL1285">
        <v>83.5732</v>
      </c>
      <c r="BM1285">
        <v>84.589299999999994</v>
      </c>
      <c r="BN1285">
        <v>83.488600000000005</v>
      </c>
      <c r="BO1285">
        <v>81.879800000000003</v>
      </c>
      <c r="BP1285">
        <v>64.352199999999996</v>
      </c>
      <c r="BQ1285">
        <v>48.5182</v>
      </c>
      <c r="BR1285">
        <v>53.1753</v>
      </c>
      <c r="BS1285">
        <v>41.490299999999998</v>
      </c>
      <c r="BT1285">
        <v>30.0593</v>
      </c>
      <c r="BU1285" t="s">
        <v>14001</v>
      </c>
      <c r="BV1285" t="s">
        <v>14002</v>
      </c>
      <c r="BW1285">
        <v>47.840800000000002</v>
      </c>
      <c r="BX1285" t="s">
        <v>14003</v>
      </c>
      <c r="BY1285" t="s">
        <v>14004</v>
      </c>
      <c r="BZ1285">
        <v>45.1312</v>
      </c>
      <c r="CA1285">
        <v>48.433500000000002</v>
      </c>
      <c r="CB1285">
        <v>14.140599999999999</v>
      </c>
      <c r="CC1285">
        <v>38.442</v>
      </c>
      <c r="CD1285">
        <v>41.659599999999998</v>
      </c>
      <c r="CF1285" t="s">
        <v>14005</v>
      </c>
      <c r="CG1285" t="s">
        <v>14006</v>
      </c>
      <c r="CH1285" t="s">
        <v>14007</v>
      </c>
      <c r="CI1285" t="s">
        <v>14008</v>
      </c>
      <c r="CK1285">
        <v>8</v>
      </c>
      <c r="CL1285" t="s">
        <v>4</v>
      </c>
      <c r="CM1285" t="s">
        <v>14009</v>
      </c>
      <c r="CN1285" t="s">
        <v>14010</v>
      </c>
      <c r="CO1285" t="s">
        <v>99</v>
      </c>
      <c r="CP1285" t="s">
        <v>100</v>
      </c>
      <c r="CQ1285" t="s">
        <v>100</v>
      </c>
      <c r="CR1285" t="s">
        <v>100</v>
      </c>
      <c r="CS1285" t="s">
        <v>101</v>
      </c>
      <c r="CT1285" t="s">
        <v>152</v>
      </c>
      <c r="CU1285" t="s">
        <v>102</v>
      </c>
      <c r="CV1285" t="s">
        <v>100</v>
      </c>
    </row>
    <row r="1286" spans="1:100">
      <c r="A1286" s="3" t="s">
        <v>14011</v>
      </c>
      <c r="B1286" s="4" t="s">
        <v>14012</v>
      </c>
      <c r="C1286">
        <v>160.784190855905</v>
      </c>
      <c r="D1286">
        <v>283.26077652151503</v>
      </c>
      <c r="E1286">
        <f>0.817216252981918</f>
        <v>0.81721625298191802</v>
      </c>
      <c r="F1286">
        <v>6.0869091153388503E-2</v>
      </c>
      <c r="G1286" t="s">
        <v>4</v>
      </c>
      <c r="H1286">
        <v>160.784190855905</v>
      </c>
      <c r="I1286">
        <v>53.353506050952902</v>
      </c>
      <c r="J1286">
        <v>1.6094655166088001</v>
      </c>
      <c r="K1286">
        <v>1.9179752186384999E-4</v>
      </c>
      <c r="L1286" t="s">
        <v>4</v>
      </c>
      <c r="M1286">
        <v>283.26077652151503</v>
      </c>
      <c r="N1286">
        <v>53.353506050952902</v>
      </c>
      <c r="O1286">
        <v>2.4266817695907199</v>
      </c>
      <c r="P1286" s="5">
        <v>5.4210026138863799E-9</v>
      </c>
      <c r="Q1286" t="s">
        <v>4</v>
      </c>
      <c r="R1286" s="4" t="s">
        <v>87</v>
      </c>
      <c r="S1286" t="s">
        <v>4</v>
      </c>
      <c r="T1286" t="s">
        <v>88</v>
      </c>
      <c r="U1286" t="s">
        <v>89</v>
      </c>
      <c r="V1286" t="s">
        <v>90</v>
      </c>
      <c r="W1286" t="s">
        <v>91</v>
      </c>
      <c r="X1286" t="s">
        <v>4</v>
      </c>
      <c r="Y1286" t="s">
        <v>92</v>
      </c>
      <c r="Z1286" t="s">
        <v>92</v>
      </c>
      <c r="AA1286" t="s">
        <v>92</v>
      </c>
      <c r="AB1286" t="s">
        <v>4</v>
      </c>
      <c r="AC1286" s="3" t="s">
        <v>93</v>
      </c>
      <c r="AD1286" t="s">
        <v>4</v>
      </c>
      <c r="AE1286" s="4" t="s">
        <v>94</v>
      </c>
      <c r="AZ1286" t="s">
        <v>4</v>
      </c>
      <c r="BA1286" s="3" t="s">
        <v>115</v>
      </c>
      <c r="BB1286" t="s">
        <v>96</v>
      </c>
      <c r="BC1286" s="3" t="s">
        <v>95</v>
      </c>
      <c r="BD1286" t="s">
        <v>4</v>
      </c>
      <c r="BE1286">
        <v>2152</v>
      </c>
      <c r="BF1286" t="s">
        <v>148</v>
      </c>
      <c r="BG1286">
        <v>84.880600000000001</v>
      </c>
      <c r="BH1286">
        <v>78.249300000000005</v>
      </c>
      <c r="BI1286">
        <v>90.716200000000001</v>
      </c>
      <c r="BJ1286">
        <v>51.4589</v>
      </c>
      <c r="BK1286">
        <v>52.254600000000003</v>
      </c>
      <c r="BL1286">
        <v>41.379300000000001</v>
      </c>
      <c r="BM1286">
        <v>49.6021</v>
      </c>
      <c r="BN1286">
        <v>54.907200000000003</v>
      </c>
      <c r="BO1286">
        <v>50.6631</v>
      </c>
      <c r="CK1286">
        <v>3</v>
      </c>
      <c r="CL1286" t="s">
        <v>4</v>
      </c>
      <c r="CM1286" t="s">
        <v>98</v>
      </c>
      <c r="CN1286" t="s">
        <v>98</v>
      </c>
      <c r="CO1286" t="s">
        <v>99</v>
      </c>
      <c r="CP1286" t="s">
        <v>100</v>
      </c>
      <c r="CQ1286" t="s">
        <v>100</v>
      </c>
      <c r="CR1286" t="s">
        <v>100</v>
      </c>
      <c r="CS1286" s="7" t="s">
        <v>101</v>
      </c>
      <c r="CT1286" t="s">
        <v>152</v>
      </c>
      <c r="CU1286" t="s">
        <v>102</v>
      </c>
      <c r="CV1286" t="s">
        <v>100</v>
      </c>
    </row>
    <row r="1287" spans="1:100">
      <c r="A1287" s="3" t="s">
        <v>14013</v>
      </c>
      <c r="B1287" s="4" t="s">
        <v>14014</v>
      </c>
      <c r="C1287">
        <v>2082.9980215013402</v>
      </c>
      <c r="D1287">
        <v>2895.74345878135</v>
      </c>
      <c r="E1287">
        <f>0.475496697114351</f>
        <v>0.475496697114351</v>
      </c>
      <c r="F1287">
        <v>0.27591562047708601</v>
      </c>
      <c r="G1287" t="s">
        <v>4</v>
      </c>
      <c r="H1287">
        <v>2082.9980215013402</v>
      </c>
      <c r="I1287">
        <v>537.84263215506405</v>
      </c>
      <c r="J1287">
        <v>1.9504004518571101</v>
      </c>
      <c r="K1287" s="5">
        <v>7.0200508158053099E-7</v>
      </c>
      <c r="L1287" t="s">
        <v>4</v>
      </c>
      <c r="M1287">
        <v>2895.74345878135</v>
      </c>
      <c r="N1287">
        <v>537.84263215506405</v>
      </c>
      <c r="O1287">
        <v>2.4258971489714698</v>
      </c>
      <c r="P1287" s="5">
        <v>3.0695038048513E-10</v>
      </c>
      <c r="Q1287" t="s">
        <v>4</v>
      </c>
      <c r="R1287" s="4" t="s">
        <v>87</v>
      </c>
      <c r="S1287" t="s">
        <v>4</v>
      </c>
      <c r="T1287" t="s">
        <v>12302</v>
      </c>
      <c r="U1287" t="s">
        <v>12303</v>
      </c>
      <c r="V1287" t="s">
        <v>12304</v>
      </c>
      <c r="W1287" t="s">
        <v>507</v>
      </c>
      <c r="X1287" t="s">
        <v>4</v>
      </c>
      <c r="Y1287" t="s">
        <v>14015</v>
      </c>
      <c r="Z1287" t="s">
        <v>14016</v>
      </c>
      <c r="AA1287" t="s">
        <v>14017</v>
      </c>
      <c r="AB1287" t="s">
        <v>4</v>
      </c>
      <c r="AC1287" s="3" t="s">
        <v>14018</v>
      </c>
      <c r="AD1287" t="s">
        <v>4</v>
      </c>
      <c r="AE1287" t="s">
        <v>14019</v>
      </c>
      <c r="AF1287" t="s">
        <v>849</v>
      </c>
      <c r="AG1287" t="s">
        <v>14020</v>
      </c>
      <c r="AH1287" t="s">
        <v>112</v>
      </c>
      <c r="AI1287" t="s">
        <v>14021</v>
      </c>
      <c r="AJ1287" t="s">
        <v>14022</v>
      </c>
      <c r="AU1287" t="s">
        <v>112</v>
      </c>
      <c r="AV1287" t="s">
        <v>14023</v>
      </c>
      <c r="AW1287" t="s">
        <v>114</v>
      </c>
      <c r="AX1287" t="s">
        <v>2139</v>
      </c>
      <c r="AY1287" t="s">
        <v>14024</v>
      </c>
      <c r="AZ1287" t="s">
        <v>4</v>
      </c>
      <c r="BA1287" s="3" t="s">
        <v>95</v>
      </c>
      <c r="BB1287" s="6" t="s">
        <v>95</v>
      </c>
      <c r="BC1287" s="3" t="s">
        <v>95</v>
      </c>
      <c r="BD1287" t="s">
        <v>4</v>
      </c>
      <c r="BE1287">
        <v>4522</v>
      </c>
      <c r="BF1287" t="s">
        <v>112</v>
      </c>
      <c r="BG1287">
        <v>81.859899999999996</v>
      </c>
      <c r="BH1287" t="s">
        <v>14025</v>
      </c>
      <c r="BI1287">
        <v>92.652100000000004</v>
      </c>
      <c r="BJ1287">
        <v>83.352500000000006</v>
      </c>
      <c r="BK1287">
        <v>58.323799999999999</v>
      </c>
      <c r="BL1287">
        <v>16.532699999999998</v>
      </c>
      <c r="BM1287">
        <v>60.7348</v>
      </c>
      <c r="BN1287">
        <v>77.8416</v>
      </c>
      <c r="BO1287">
        <v>78.760000000000005</v>
      </c>
      <c r="BP1287" t="s">
        <v>14026</v>
      </c>
      <c r="CK1287">
        <v>5</v>
      </c>
      <c r="CL1287" t="s">
        <v>4</v>
      </c>
      <c r="CM1287" t="s">
        <v>98</v>
      </c>
      <c r="CN1287" t="s">
        <v>98</v>
      </c>
      <c r="CO1287" t="s">
        <v>99</v>
      </c>
      <c r="CP1287" t="s">
        <v>100</v>
      </c>
      <c r="CQ1287" t="s">
        <v>100</v>
      </c>
      <c r="CR1287" t="s">
        <v>100</v>
      </c>
      <c r="CS1287" s="7" t="s">
        <v>101</v>
      </c>
      <c r="CT1287" t="s">
        <v>152</v>
      </c>
      <c r="CU1287" t="s">
        <v>102</v>
      </c>
      <c r="CV1287" t="s">
        <v>100</v>
      </c>
    </row>
    <row r="1288" spans="1:100">
      <c r="A1288" s="3" t="s">
        <v>14027</v>
      </c>
      <c r="B1288" s="4" t="s">
        <v>14028</v>
      </c>
      <c r="C1288">
        <v>219.59967323514999</v>
      </c>
      <c r="D1288">
        <v>343.76048885063801</v>
      </c>
      <c r="E1288">
        <f>0.647404264716232</f>
        <v>0.64740426471623203</v>
      </c>
      <c r="F1288">
        <v>8.4190397446184603E-3</v>
      </c>
      <c r="G1288" t="s">
        <v>4</v>
      </c>
      <c r="H1288">
        <v>219.59967323514999</v>
      </c>
      <c r="I1288">
        <v>63.576075910068397</v>
      </c>
      <c r="J1288">
        <v>1.7762923005551201</v>
      </c>
      <c r="K1288" s="5">
        <v>4.4275720725737899E-12</v>
      </c>
      <c r="L1288" t="s">
        <v>4</v>
      </c>
      <c r="M1288">
        <v>343.76048885063801</v>
      </c>
      <c r="N1288">
        <v>63.576075910068397</v>
      </c>
      <c r="O1288">
        <v>2.4236965652713498</v>
      </c>
      <c r="P1288" s="5">
        <v>5.8240517390605199E-22</v>
      </c>
      <c r="Q1288" t="s">
        <v>4</v>
      </c>
      <c r="R1288" s="4" t="s">
        <v>87</v>
      </c>
      <c r="S1288" t="s">
        <v>4</v>
      </c>
      <c r="T1288" t="s">
        <v>88</v>
      </c>
      <c r="U1288" t="s">
        <v>89</v>
      </c>
      <c r="V1288" t="s">
        <v>90</v>
      </c>
      <c r="W1288" t="s">
        <v>91</v>
      </c>
      <c r="X1288" t="s">
        <v>4</v>
      </c>
      <c r="Y1288" t="s">
        <v>92</v>
      </c>
      <c r="Z1288" t="s">
        <v>92</v>
      </c>
      <c r="AA1288" t="s">
        <v>92</v>
      </c>
      <c r="AB1288" t="s">
        <v>4</v>
      </c>
      <c r="AC1288" s="3" t="s">
        <v>93</v>
      </c>
      <c r="AD1288" t="s">
        <v>4</v>
      </c>
      <c r="AE1288" t="s">
        <v>14029</v>
      </c>
      <c r="AF1288" t="s">
        <v>10034</v>
      </c>
      <c r="AG1288" t="s">
        <v>14030</v>
      </c>
      <c r="AH1288" t="s">
        <v>112</v>
      </c>
      <c r="AU1288" t="s">
        <v>112</v>
      </c>
      <c r="AV1288" t="s">
        <v>14031</v>
      </c>
      <c r="AW1288" t="s">
        <v>114</v>
      </c>
      <c r="AZ1288" t="s">
        <v>4</v>
      </c>
      <c r="BA1288" s="3" t="s">
        <v>95</v>
      </c>
      <c r="BB1288" t="s">
        <v>96</v>
      </c>
      <c r="BC1288" s="3" t="s">
        <v>95</v>
      </c>
      <c r="BD1288" t="s">
        <v>4</v>
      </c>
      <c r="BE1288">
        <v>3586</v>
      </c>
      <c r="BF1288" t="s">
        <v>112</v>
      </c>
      <c r="BI1288">
        <v>79.234999999999999</v>
      </c>
      <c r="BW1288">
        <v>32.240400000000001</v>
      </c>
      <c r="BZ1288">
        <v>40.983600000000003</v>
      </c>
      <c r="CA1288">
        <v>39.890700000000002</v>
      </c>
      <c r="CK1288">
        <v>5</v>
      </c>
      <c r="CL1288" t="s">
        <v>4</v>
      </c>
      <c r="CM1288" t="s">
        <v>14032</v>
      </c>
      <c r="CN1288" t="s">
        <v>14033</v>
      </c>
      <c r="CO1288" t="s">
        <v>99</v>
      </c>
      <c r="CP1288" t="s">
        <v>100</v>
      </c>
      <c r="CQ1288" t="s">
        <v>100</v>
      </c>
      <c r="CR1288" t="s">
        <v>100</v>
      </c>
      <c r="CS1288" s="7" t="s">
        <v>101</v>
      </c>
      <c r="CT1288" t="s">
        <v>152</v>
      </c>
      <c r="CU1288" t="s">
        <v>102</v>
      </c>
      <c r="CV1288" t="s">
        <v>100</v>
      </c>
    </row>
    <row r="1289" spans="1:100">
      <c r="A1289" s="3" t="s">
        <v>14034</v>
      </c>
      <c r="B1289" s="4" t="s">
        <v>14035</v>
      </c>
      <c r="C1289">
        <v>323.03539088196601</v>
      </c>
      <c r="D1289">
        <v>408.64419478306098</v>
      </c>
      <c r="E1289">
        <f>0.339661530621576</f>
        <v>0.339661530621576</v>
      </c>
      <c r="F1289">
        <v>0.215101215839228</v>
      </c>
      <c r="G1289" t="s">
        <v>4</v>
      </c>
      <c r="H1289">
        <v>323.03539088196601</v>
      </c>
      <c r="I1289">
        <v>76.148613370882202</v>
      </c>
      <c r="J1289">
        <v>2.08351655424977</v>
      </c>
      <c r="K1289" s="5">
        <v>4.8784120900497802E-15</v>
      </c>
      <c r="L1289" t="s">
        <v>4</v>
      </c>
      <c r="M1289">
        <v>408.64419478306098</v>
      </c>
      <c r="N1289">
        <v>76.148613370882202</v>
      </c>
      <c r="O1289">
        <v>2.4231780848713398</v>
      </c>
      <c r="P1289" s="5">
        <v>3.82667513657855E-20</v>
      </c>
      <c r="Q1289" t="s">
        <v>4</v>
      </c>
      <c r="R1289" s="4" t="s">
        <v>87</v>
      </c>
      <c r="S1289" t="s">
        <v>4</v>
      </c>
      <c r="T1289" t="s">
        <v>14036</v>
      </c>
      <c r="U1289" t="s">
        <v>14037</v>
      </c>
      <c r="V1289" t="s">
        <v>14038</v>
      </c>
      <c r="W1289" t="s">
        <v>203</v>
      </c>
      <c r="X1289" t="s">
        <v>4</v>
      </c>
      <c r="Y1289" t="s">
        <v>14039</v>
      </c>
      <c r="Z1289" t="s">
        <v>14040</v>
      </c>
      <c r="AA1289" t="s">
        <v>14041</v>
      </c>
      <c r="AB1289" t="s">
        <v>4</v>
      </c>
      <c r="AC1289" s="3" t="s">
        <v>14042</v>
      </c>
      <c r="AD1289" t="s">
        <v>4</v>
      </c>
      <c r="AE1289" t="s">
        <v>14043</v>
      </c>
      <c r="AF1289" t="s">
        <v>14044</v>
      </c>
      <c r="AG1289" t="s">
        <v>14045</v>
      </c>
      <c r="AH1289" t="s">
        <v>112</v>
      </c>
      <c r="AJ1289" t="s">
        <v>14046</v>
      </c>
      <c r="AK1289" t="s">
        <v>12544</v>
      </c>
      <c r="AL1289" t="s">
        <v>14047</v>
      </c>
      <c r="AQ1289" t="s">
        <v>9403</v>
      </c>
      <c r="AU1289" t="s">
        <v>112</v>
      </c>
      <c r="AV1289" t="s">
        <v>14048</v>
      </c>
      <c r="AW1289" t="s">
        <v>114</v>
      </c>
      <c r="AX1289" t="s">
        <v>733</v>
      </c>
      <c r="AY1289" t="s">
        <v>14049</v>
      </c>
      <c r="AZ1289" t="s">
        <v>4</v>
      </c>
      <c r="BA1289" s="3" t="s">
        <v>95</v>
      </c>
      <c r="BB1289" s="6" t="s">
        <v>95</v>
      </c>
      <c r="BC1289" s="3" t="s">
        <v>95</v>
      </c>
      <c r="BD1289" t="s">
        <v>4</v>
      </c>
      <c r="BE1289">
        <v>8368</v>
      </c>
      <c r="BF1289" t="s">
        <v>213</v>
      </c>
      <c r="BG1289">
        <v>91.943100000000001</v>
      </c>
      <c r="BH1289">
        <v>92.180099999999996</v>
      </c>
      <c r="BI1289">
        <v>92.653999999999996</v>
      </c>
      <c r="BJ1289">
        <v>82.701400000000007</v>
      </c>
      <c r="BK1289" t="s">
        <v>14050</v>
      </c>
      <c r="BL1289">
        <v>15.876799999999999</v>
      </c>
      <c r="BM1289">
        <v>78.91</v>
      </c>
      <c r="BN1289">
        <v>79.857799999999997</v>
      </c>
      <c r="BO1289">
        <v>77.014200000000002</v>
      </c>
      <c r="BP1289">
        <v>36.966799999999999</v>
      </c>
      <c r="BS1289">
        <v>30.331800000000001</v>
      </c>
      <c r="BU1289">
        <v>40.521299999999997</v>
      </c>
      <c r="BV1289" t="s">
        <v>14051</v>
      </c>
      <c r="BW1289">
        <v>42.180100000000003</v>
      </c>
      <c r="BX1289">
        <v>41.943100000000001</v>
      </c>
      <c r="BY1289">
        <v>24.644600000000001</v>
      </c>
      <c r="BZ1289">
        <v>33.412300000000002</v>
      </c>
      <c r="CA1289">
        <v>39.099499999999999</v>
      </c>
      <c r="CC1289">
        <v>36.492899999999999</v>
      </c>
      <c r="CD1289">
        <v>37.203800000000001</v>
      </c>
      <c r="CE1289">
        <v>26.3033</v>
      </c>
      <c r="CF1289">
        <v>35.545000000000002</v>
      </c>
      <c r="CG1289">
        <v>39.336500000000001</v>
      </c>
      <c r="CH1289">
        <v>39.810400000000001</v>
      </c>
      <c r="CI1289">
        <v>38.625599999999999</v>
      </c>
      <c r="CK1289">
        <v>8</v>
      </c>
      <c r="CL1289" t="s">
        <v>4</v>
      </c>
      <c r="CM1289" t="s">
        <v>14052</v>
      </c>
      <c r="CN1289" t="s">
        <v>14053</v>
      </c>
      <c r="CO1289" t="s">
        <v>219</v>
      </c>
      <c r="CP1289" t="s">
        <v>100</v>
      </c>
      <c r="CQ1289" t="s">
        <v>100</v>
      </c>
      <c r="CR1289" t="s">
        <v>100</v>
      </c>
      <c r="CS1289" t="s">
        <v>101</v>
      </c>
      <c r="CT1289" t="s">
        <v>152</v>
      </c>
      <c r="CU1289" t="s">
        <v>102</v>
      </c>
      <c r="CV1289" t="s">
        <v>100</v>
      </c>
    </row>
    <row r="1290" spans="1:100">
      <c r="A1290" s="3" t="s">
        <v>14054</v>
      </c>
      <c r="B1290" s="4" t="s">
        <v>14055</v>
      </c>
      <c r="C1290">
        <v>754.18381197046699</v>
      </c>
      <c r="D1290">
        <v>919.30498831853799</v>
      </c>
      <c r="E1290">
        <f>0.28531506994602</f>
        <v>0.28531506994602002</v>
      </c>
      <c r="F1290">
        <v>0.44825725642903003</v>
      </c>
      <c r="G1290" t="s">
        <v>4</v>
      </c>
      <c r="H1290">
        <v>754.18381197046699</v>
      </c>
      <c r="I1290">
        <v>172.88746908375401</v>
      </c>
      <c r="J1290">
        <v>2.1364828658431798</v>
      </c>
      <c r="K1290" s="5">
        <v>1.73191567419834E-10</v>
      </c>
      <c r="L1290" t="s">
        <v>4</v>
      </c>
      <c r="M1290">
        <v>919.30498831853799</v>
      </c>
      <c r="N1290">
        <v>172.88746908375401</v>
      </c>
      <c r="O1290">
        <v>2.4217979357892001</v>
      </c>
      <c r="P1290" s="5">
        <v>2.4708013672336598E-13</v>
      </c>
      <c r="Q1290" t="s">
        <v>4</v>
      </c>
      <c r="R1290" s="4" t="s">
        <v>87</v>
      </c>
      <c r="S1290" t="s">
        <v>4</v>
      </c>
      <c r="T1290" t="s">
        <v>11502</v>
      </c>
      <c r="U1290" t="s">
        <v>11503</v>
      </c>
      <c r="V1290" t="s">
        <v>11504</v>
      </c>
      <c r="W1290" t="s">
        <v>507</v>
      </c>
      <c r="X1290" t="s">
        <v>4</v>
      </c>
      <c r="Y1290" t="s">
        <v>12216</v>
      </c>
      <c r="Z1290" t="s">
        <v>12217</v>
      </c>
      <c r="AA1290" t="s">
        <v>12217</v>
      </c>
      <c r="AB1290" t="s">
        <v>4</v>
      </c>
      <c r="AC1290" s="3" t="s">
        <v>14056</v>
      </c>
      <c r="AD1290" t="s">
        <v>4</v>
      </c>
      <c r="AE1290" t="s">
        <v>14057</v>
      </c>
      <c r="AF1290" t="s">
        <v>14058</v>
      </c>
      <c r="AG1290" t="s">
        <v>14059</v>
      </c>
      <c r="AH1290" t="s">
        <v>112</v>
      </c>
      <c r="AJ1290" t="s">
        <v>14060</v>
      </c>
      <c r="AL1290" t="s">
        <v>14061</v>
      </c>
      <c r="AM1290" t="s">
        <v>14062</v>
      </c>
      <c r="AQ1290" t="s">
        <v>6430</v>
      </c>
      <c r="AU1290" t="s">
        <v>112</v>
      </c>
      <c r="AV1290" t="s">
        <v>14063</v>
      </c>
      <c r="AW1290" t="s">
        <v>114</v>
      </c>
      <c r="AX1290" t="s">
        <v>2139</v>
      </c>
      <c r="AY1290" t="s">
        <v>12000</v>
      </c>
      <c r="AZ1290" t="s">
        <v>4</v>
      </c>
      <c r="BA1290" s="3" t="s">
        <v>95</v>
      </c>
      <c r="BB1290" s="6" t="s">
        <v>95</v>
      </c>
      <c r="BC1290" s="3" t="s">
        <v>95</v>
      </c>
      <c r="BD1290" t="s">
        <v>4</v>
      </c>
      <c r="BE1290">
        <v>10350</v>
      </c>
      <c r="BF1290" t="s">
        <v>169</v>
      </c>
      <c r="BG1290">
        <v>99.378900000000002</v>
      </c>
      <c r="BH1290">
        <v>100</v>
      </c>
      <c r="BI1290">
        <v>95.031099999999995</v>
      </c>
      <c r="BJ1290">
        <v>84.471999999999994</v>
      </c>
      <c r="BL1290">
        <v>55.279499999999999</v>
      </c>
      <c r="BM1290">
        <v>72.049700000000001</v>
      </c>
      <c r="BN1290">
        <v>82.608699999999999</v>
      </c>
      <c r="BO1290">
        <v>80.7453</v>
      </c>
      <c r="BP1290">
        <v>37.267099999999999</v>
      </c>
      <c r="BQ1290">
        <v>22.981400000000001</v>
      </c>
      <c r="BS1290">
        <v>34.782600000000002</v>
      </c>
      <c r="BT1290" t="s">
        <v>14064</v>
      </c>
      <c r="BW1290">
        <v>28.571400000000001</v>
      </c>
      <c r="BX1290">
        <v>33.540399999999998</v>
      </c>
      <c r="BZ1290">
        <v>36.646000000000001</v>
      </c>
      <c r="CA1290" t="s">
        <v>14065</v>
      </c>
      <c r="CB1290">
        <v>24.223600000000001</v>
      </c>
      <c r="CD1290">
        <v>29.813700000000001</v>
      </c>
      <c r="CG1290">
        <v>30.434799999999999</v>
      </c>
      <c r="CH1290">
        <v>27.3292</v>
      </c>
      <c r="CJ1290">
        <v>34.782600000000002</v>
      </c>
      <c r="CK1290">
        <v>9</v>
      </c>
      <c r="CL1290" t="s">
        <v>4</v>
      </c>
      <c r="CM1290" t="s">
        <v>14066</v>
      </c>
      <c r="CN1290" t="s">
        <v>14067</v>
      </c>
      <c r="CO1290" t="s">
        <v>2543</v>
      </c>
      <c r="CP1290" t="s">
        <v>100</v>
      </c>
      <c r="CQ1290" t="s">
        <v>100</v>
      </c>
      <c r="CR1290" t="s">
        <v>100</v>
      </c>
      <c r="CS1290" t="s">
        <v>101</v>
      </c>
      <c r="CT1290" t="s">
        <v>152</v>
      </c>
      <c r="CU1290" t="s">
        <v>102</v>
      </c>
      <c r="CV1290" t="s">
        <v>13129</v>
      </c>
    </row>
    <row r="1291" spans="1:100">
      <c r="A1291" s="3" t="s">
        <v>14068</v>
      </c>
      <c r="B1291" s="4" t="s">
        <v>14069</v>
      </c>
      <c r="C1291">
        <v>89.719534793784405</v>
      </c>
      <c r="D1291">
        <v>72.183461580086501</v>
      </c>
      <c r="E1291">
        <v>0.31454954162012699</v>
      </c>
      <c r="F1291">
        <v>0.61455478376292305</v>
      </c>
      <c r="G1291" t="s">
        <v>4</v>
      </c>
      <c r="H1291">
        <v>89.719534793784405</v>
      </c>
      <c r="I1291">
        <v>13.3586102399635</v>
      </c>
      <c r="J1291">
        <v>2.7283103160948499</v>
      </c>
      <c r="K1291" s="5">
        <v>5.0246776859015198E-6</v>
      </c>
      <c r="L1291" t="s">
        <v>4</v>
      </c>
      <c r="M1291">
        <v>72.183461580086501</v>
      </c>
      <c r="N1291">
        <v>13.3586102399635</v>
      </c>
      <c r="O1291">
        <v>2.4137607744747198</v>
      </c>
      <c r="P1291" s="5">
        <v>5.3460573802730997E-5</v>
      </c>
      <c r="Q1291" t="s">
        <v>4</v>
      </c>
      <c r="R1291" s="4" t="s">
        <v>87</v>
      </c>
      <c r="S1291" t="s">
        <v>4</v>
      </c>
      <c r="T1291" t="s">
        <v>92</v>
      </c>
      <c r="U1291" t="s">
        <v>92</v>
      </c>
      <c r="V1291" t="s">
        <v>92</v>
      </c>
      <c r="W1291" t="s">
        <v>92</v>
      </c>
      <c r="X1291" t="s">
        <v>4</v>
      </c>
      <c r="Y1291" t="s">
        <v>92</v>
      </c>
      <c r="Z1291" t="s">
        <v>92</v>
      </c>
      <c r="AA1291" t="s">
        <v>92</v>
      </c>
      <c r="AB1291" t="s">
        <v>4</v>
      </c>
      <c r="AC1291" s="3" t="s">
        <v>93</v>
      </c>
      <c r="AD1291" t="s">
        <v>4</v>
      </c>
      <c r="AE1291" s="4" t="s">
        <v>94</v>
      </c>
      <c r="AZ1291" t="s">
        <v>4</v>
      </c>
      <c r="BA1291" s="3" t="s">
        <v>115</v>
      </c>
      <c r="BB1291" t="s">
        <v>96</v>
      </c>
      <c r="BC1291" s="3" t="s">
        <v>782</v>
      </c>
      <c r="BD1291" t="s">
        <v>4</v>
      </c>
      <c r="BE1291">
        <v>1712</v>
      </c>
      <c r="BF1291" t="s">
        <v>151</v>
      </c>
      <c r="BG1291">
        <v>88.688900000000004</v>
      </c>
      <c r="CK1291">
        <v>2</v>
      </c>
      <c r="CL1291" t="s">
        <v>4</v>
      </c>
      <c r="CM1291" t="s">
        <v>98</v>
      </c>
      <c r="CN1291" t="s">
        <v>98</v>
      </c>
      <c r="CO1291" t="s">
        <v>99</v>
      </c>
      <c r="CP1291" t="s">
        <v>100</v>
      </c>
      <c r="CQ1291" t="s">
        <v>100</v>
      </c>
      <c r="CR1291" t="s">
        <v>100</v>
      </c>
      <c r="CS1291" t="s">
        <v>101</v>
      </c>
      <c r="CT1291" t="s">
        <v>152</v>
      </c>
      <c r="CU1291" t="s">
        <v>102</v>
      </c>
      <c r="CV1291" t="s">
        <v>100</v>
      </c>
    </row>
    <row r="1292" spans="1:100">
      <c r="A1292" s="3" t="s">
        <v>14070</v>
      </c>
      <c r="B1292" s="4" t="s">
        <v>14071</v>
      </c>
      <c r="C1292">
        <v>34.533369348329799</v>
      </c>
      <c r="D1292">
        <v>42.255796595504599</v>
      </c>
      <c r="E1292">
        <f>0.28630785495333</f>
        <v>0.28630785495333</v>
      </c>
      <c r="F1292">
        <v>0.60790525621393399</v>
      </c>
      <c r="G1292" t="s">
        <v>4</v>
      </c>
      <c r="H1292">
        <v>34.533369348329799</v>
      </c>
      <c r="I1292">
        <v>8.2553762540229805</v>
      </c>
      <c r="J1292">
        <v>2.12257187815002</v>
      </c>
      <c r="K1292">
        <v>3.9538083368215502E-4</v>
      </c>
      <c r="L1292" t="s">
        <v>4</v>
      </c>
      <c r="M1292">
        <v>42.255796595504599</v>
      </c>
      <c r="N1292">
        <v>8.2553762540229805</v>
      </c>
      <c r="O1292">
        <v>2.4088797331033498</v>
      </c>
      <c r="P1292" s="5">
        <v>4.0698916699532E-5</v>
      </c>
      <c r="Q1292" t="s">
        <v>4</v>
      </c>
      <c r="R1292" s="4" t="s">
        <v>87</v>
      </c>
      <c r="S1292" t="s">
        <v>4</v>
      </c>
      <c r="T1292" t="s">
        <v>92</v>
      </c>
      <c r="U1292" t="s">
        <v>92</v>
      </c>
      <c r="V1292" t="s">
        <v>92</v>
      </c>
      <c r="W1292" t="s">
        <v>92</v>
      </c>
      <c r="X1292" t="s">
        <v>4</v>
      </c>
      <c r="Y1292" t="s">
        <v>10634</v>
      </c>
      <c r="Z1292" t="s">
        <v>10635</v>
      </c>
      <c r="AA1292" t="s">
        <v>10636</v>
      </c>
      <c r="AB1292" t="s">
        <v>4</v>
      </c>
      <c r="AC1292" s="3" t="s">
        <v>14072</v>
      </c>
      <c r="AD1292" t="s">
        <v>4</v>
      </c>
      <c r="AE1292" t="s">
        <v>14073</v>
      </c>
      <c r="AF1292" t="s">
        <v>14074</v>
      </c>
      <c r="AG1292" t="s">
        <v>14075</v>
      </c>
      <c r="AH1292" t="s">
        <v>112</v>
      </c>
      <c r="AL1292" t="s">
        <v>14076</v>
      </c>
      <c r="AQ1292" t="s">
        <v>1458</v>
      </c>
      <c r="AU1292" t="s">
        <v>112</v>
      </c>
      <c r="AV1292" t="s">
        <v>14077</v>
      </c>
      <c r="AW1292" t="s">
        <v>114</v>
      </c>
      <c r="AX1292" t="s">
        <v>144</v>
      </c>
      <c r="AY1292" t="s">
        <v>14078</v>
      </c>
      <c r="AZ1292" t="s">
        <v>4</v>
      </c>
      <c r="BA1292" s="3" t="s">
        <v>95</v>
      </c>
      <c r="BB1292" s="6" t="s">
        <v>95</v>
      </c>
      <c r="BC1292" s="3" t="s">
        <v>95</v>
      </c>
      <c r="BD1292" t="s">
        <v>4</v>
      </c>
      <c r="BE1292">
        <v>4283</v>
      </c>
      <c r="BF1292" t="s">
        <v>112</v>
      </c>
      <c r="BG1292">
        <v>99.293300000000002</v>
      </c>
      <c r="BJ1292">
        <v>85.159000000000006</v>
      </c>
      <c r="BM1292">
        <v>78.798599999999993</v>
      </c>
      <c r="BN1292">
        <v>83.392200000000003</v>
      </c>
      <c r="BO1292">
        <v>83.392200000000003</v>
      </c>
      <c r="BP1292">
        <v>63.604199999999999</v>
      </c>
      <c r="BQ1292">
        <v>45.936399999999999</v>
      </c>
      <c r="BR1292">
        <v>50.53</v>
      </c>
      <c r="BS1292" t="s">
        <v>14079</v>
      </c>
      <c r="BT1292">
        <v>51.236699999999999</v>
      </c>
      <c r="BU1292">
        <v>46.996499999999997</v>
      </c>
      <c r="BV1292" t="s">
        <v>14080</v>
      </c>
      <c r="BW1292">
        <v>48.0565</v>
      </c>
      <c r="BX1292">
        <v>46.643099999999997</v>
      </c>
      <c r="BZ1292">
        <v>25.795100000000001</v>
      </c>
      <c r="CA1292">
        <v>43.462899999999998</v>
      </c>
      <c r="CK1292">
        <v>5</v>
      </c>
      <c r="CL1292" t="s">
        <v>4</v>
      </c>
      <c r="CM1292" t="s">
        <v>14081</v>
      </c>
      <c r="CN1292" t="s">
        <v>14082</v>
      </c>
      <c r="CO1292" t="s">
        <v>219</v>
      </c>
      <c r="CP1292" t="s">
        <v>100</v>
      </c>
      <c r="CQ1292" t="s">
        <v>100</v>
      </c>
      <c r="CR1292" t="s">
        <v>100</v>
      </c>
      <c r="CS1292" t="s">
        <v>101</v>
      </c>
      <c r="CT1292" t="s">
        <v>152</v>
      </c>
      <c r="CU1292" t="s">
        <v>102</v>
      </c>
      <c r="CV1292" t="s">
        <v>100</v>
      </c>
    </row>
    <row r="1293" spans="1:100">
      <c r="A1293" s="3" t="s">
        <v>14083</v>
      </c>
      <c r="B1293" s="4" t="s">
        <v>14084</v>
      </c>
      <c r="C1293">
        <v>63.735156925307798</v>
      </c>
      <c r="D1293">
        <v>105.795755996381</v>
      </c>
      <c r="E1293">
        <f>0.726219291948702</f>
        <v>0.72621929194870205</v>
      </c>
      <c r="F1293">
        <v>9.8208764469638998E-2</v>
      </c>
      <c r="G1293" t="s">
        <v>4</v>
      </c>
      <c r="H1293">
        <v>63.735156925307798</v>
      </c>
      <c r="I1293">
        <v>20.131177701038201</v>
      </c>
      <c r="J1293">
        <v>1.68210019424586</v>
      </c>
      <c r="K1293">
        <v>3.1373150315335701E-4</v>
      </c>
      <c r="L1293" t="s">
        <v>4</v>
      </c>
      <c r="M1293">
        <v>105.795755996381</v>
      </c>
      <c r="N1293">
        <v>20.131177701038201</v>
      </c>
      <c r="O1293">
        <v>2.4083194861945598</v>
      </c>
      <c r="P1293" s="5">
        <v>8.4007291077274898E-8</v>
      </c>
      <c r="Q1293" t="s">
        <v>4</v>
      </c>
      <c r="R1293" s="4" t="s">
        <v>87</v>
      </c>
      <c r="S1293" t="s">
        <v>4</v>
      </c>
      <c r="T1293" t="s">
        <v>92</v>
      </c>
      <c r="U1293" t="s">
        <v>92</v>
      </c>
      <c r="V1293" t="s">
        <v>92</v>
      </c>
      <c r="W1293" t="s">
        <v>92</v>
      </c>
      <c r="X1293" t="s">
        <v>4</v>
      </c>
      <c r="Y1293" t="s">
        <v>92</v>
      </c>
      <c r="Z1293" t="s">
        <v>92</v>
      </c>
      <c r="AA1293" t="s">
        <v>92</v>
      </c>
      <c r="AB1293" t="s">
        <v>4</v>
      </c>
      <c r="AC1293" s="3" t="s">
        <v>93</v>
      </c>
      <c r="AD1293" t="s">
        <v>4</v>
      </c>
      <c r="AE1293" s="4" t="s">
        <v>94</v>
      </c>
      <c r="AZ1293" t="s">
        <v>4</v>
      </c>
      <c r="BA1293" s="3" t="s">
        <v>95</v>
      </c>
      <c r="BB1293" s="6" t="s">
        <v>95</v>
      </c>
      <c r="BC1293" s="3" t="s">
        <v>95</v>
      </c>
      <c r="BD1293" t="s">
        <v>4</v>
      </c>
      <c r="BE1293">
        <v>1585</v>
      </c>
      <c r="BF1293" t="s">
        <v>151</v>
      </c>
      <c r="BG1293" t="s">
        <v>14085</v>
      </c>
      <c r="BI1293">
        <v>72.480599999999995</v>
      </c>
      <c r="CK1293">
        <v>2</v>
      </c>
      <c r="CL1293" t="s">
        <v>4</v>
      </c>
      <c r="CM1293" t="s">
        <v>98</v>
      </c>
      <c r="CN1293" t="s">
        <v>98</v>
      </c>
      <c r="CO1293" t="s">
        <v>99</v>
      </c>
      <c r="CP1293" t="s">
        <v>100</v>
      </c>
      <c r="CQ1293" t="s">
        <v>100</v>
      </c>
      <c r="CR1293" t="s">
        <v>100</v>
      </c>
      <c r="CS1293" s="7" t="s">
        <v>101</v>
      </c>
      <c r="CT1293" t="s">
        <v>152</v>
      </c>
      <c r="CU1293" t="s">
        <v>102</v>
      </c>
      <c r="CV1293" t="s">
        <v>100</v>
      </c>
    </row>
    <row r="1294" spans="1:100">
      <c r="A1294" s="3" t="s">
        <v>14086</v>
      </c>
      <c r="B1294" s="4" t="s">
        <v>14087</v>
      </c>
      <c r="C1294">
        <v>67.656826695126398</v>
      </c>
      <c r="D1294">
        <v>54.528140026080301</v>
      </c>
      <c r="E1294">
        <v>0.309117454631402</v>
      </c>
      <c r="F1294">
        <v>0.64417692734585896</v>
      </c>
      <c r="G1294" t="s">
        <v>4</v>
      </c>
      <c r="H1294">
        <v>67.656826695126398</v>
      </c>
      <c r="I1294">
        <v>10.3688355084716</v>
      </c>
      <c r="J1294">
        <v>2.7163485324484702</v>
      </c>
      <c r="K1294" s="5">
        <v>2.8797279736421499E-5</v>
      </c>
      <c r="L1294" t="s">
        <v>4</v>
      </c>
      <c r="M1294">
        <v>54.528140026080301</v>
      </c>
      <c r="N1294">
        <v>10.3688355084716</v>
      </c>
      <c r="O1294">
        <v>2.40723107781707</v>
      </c>
      <c r="P1294">
        <v>2.0965326588521401E-4</v>
      </c>
      <c r="Q1294" t="s">
        <v>4</v>
      </c>
      <c r="R1294" s="4" t="s">
        <v>87</v>
      </c>
      <c r="S1294" t="s">
        <v>4</v>
      </c>
      <c r="T1294" t="s">
        <v>14088</v>
      </c>
      <c r="U1294" t="s">
        <v>14089</v>
      </c>
      <c r="V1294" t="s">
        <v>14090</v>
      </c>
      <c r="W1294" t="s">
        <v>507</v>
      </c>
      <c r="X1294" t="s">
        <v>4</v>
      </c>
      <c r="Y1294" t="s">
        <v>14091</v>
      </c>
      <c r="Z1294" t="s">
        <v>14092</v>
      </c>
      <c r="AA1294" t="s">
        <v>14093</v>
      </c>
      <c r="AB1294" t="s">
        <v>4</v>
      </c>
      <c r="AC1294" s="3" t="s">
        <v>14094</v>
      </c>
      <c r="AD1294" t="s">
        <v>4</v>
      </c>
      <c r="AE1294" t="s">
        <v>14095</v>
      </c>
      <c r="AF1294" t="s">
        <v>14096</v>
      </c>
      <c r="AG1294" t="s">
        <v>14097</v>
      </c>
      <c r="AH1294" t="s">
        <v>112</v>
      </c>
      <c r="AL1294" t="s">
        <v>14098</v>
      </c>
      <c r="AQ1294" t="s">
        <v>1458</v>
      </c>
      <c r="AU1294" t="s">
        <v>112</v>
      </c>
      <c r="AV1294" t="s">
        <v>14099</v>
      </c>
      <c r="AW1294" t="s">
        <v>114</v>
      </c>
      <c r="AX1294" t="s">
        <v>144</v>
      </c>
      <c r="AY1294" t="s">
        <v>14100</v>
      </c>
      <c r="AZ1294" t="s">
        <v>4</v>
      </c>
      <c r="BA1294" s="3" t="s">
        <v>115</v>
      </c>
      <c r="BB1294" t="s">
        <v>96</v>
      </c>
      <c r="BC1294" s="3" t="s">
        <v>95</v>
      </c>
      <c r="BD1294" t="s">
        <v>4</v>
      </c>
      <c r="BE1294">
        <v>4000</v>
      </c>
      <c r="BF1294" t="s">
        <v>112</v>
      </c>
      <c r="BG1294">
        <v>99.414100000000005</v>
      </c>
      <c r="BH1294">
        <v>26.171900000000001</v>
      </c>
      <c r="BI1294">
        <v>97.851600000000005</v>
      </c>
      <c r="BJ1294">
        <v>94.531199999999998</v>
      </c>
      <c r="BK1294">
        <v>85.546899999999994</v>
      </c>
      <c r="BL1294">
        <v>90.039100000000005</v>
      </c>
      <c r="BM1294">
        <v>90.234399999999994</v>
      </c>
      <c r="BN1294">
        <v>90.234399999999994</v>
      </c>
      <c r="BO1294">
        <v>90.234399999999994</v>
      </c>
      <c r="BP1294">
        <v>46.484400000000001</v>
      </c>
      <c r="BQ1294">
        <v>54.492199999999997</v>
      </c>
      <c r="BR1294">
        <v>58.007800000000003</v>
      </c>
      <c r="BS1294" t="s">
        <v>14101</v>
      </c>
      <c r="BT1294">
        <v>46.875</v>
      </c>
      <c r="BV1294" t="s">
        <v>14102</v>
      </c>
      <c r="BW1294" t="s">
        <v>14103</v>
      </c>
      <c r="BX1294">
        <v>53.320300000000003</v>
      </c>
      <c r="BY1294">
        <v>20.5078</v>
      </c>
      <c r="BZ1294" t="s">
        <v>14104</v>
      </c>
      <c r="CA1294">
        <v>58.007800000000003</v>
      </c>
      <c r="CG1294" t="s">
        <v>14105</v>
      </c>
      <c r="CH1294" t="s">
        <v>14106</v>
      </c>
      <c r="CI1294" t="s">
        <v>14107</v>
      </c>
      <c r="CK1294">
        <v>5</v>
      </c>
      <c r="CL1294" t="s">
        <v>4</v>
      </c>
      <c r="CM1294" t="s">
        <v>14108</v>
      </c>
      <c r="CN1294" t="s">
        <v>14109</v>
      </c>
      <c r="CO1294" t="s">
        <v>99</v>
      </c>
      <c r="CP1294" t="s">
        <v>100</v>
      </c>
      <c r="CQ1294" t="s">
        <v>100</v>
      </c>
      <c r="CR1294" t="s">
        <v>100</v>
      </c>
      <c r="CS1294" t="s">
        <v>101</v>
      </c>
      <c r="CT1294" t="s">
        <v>152</v>
      </c>
      <c r="CU1294" t="s">
        <v>102</v>
      </c>
      <c r="CV1294" t="s">
        <v>100</v>
      </c>
    </row>
    <row r="1295" spans="1:100">
      <c r="A1295" s="3" t="s">
        <v>14110</v>
      </c>
      <c r="B1295" s="4" t="s">
        <v>14111</v>
      </c>
      <c r="C1295">
        <v>6622.8594126533199</v>
      </c>
      <c r="D1295">
        <v>7855.0292834258798</v>
      </c>
      <c r="E1295">
        <f>0.246190209012319</f>
        <v>0.246190209012319</v>
      </c>
      <c r="F1295">
        <v>0.12716893360193801</v>
      </c>
      <c r="G1295" t="s">
        <v>4</v>
      </c>
      <c r="H1295">
        <v>6622.8594126533199</v>
      </c>
      <c r="I1295">
        <v>1481.2094505651701</v>
      </c>
      <c r="J1295">
        <v>2.15932814761522</v>
      </c>
      <c r="K1295" s="5">
        <v>4.8105540966255602E-51</v>
      </c>
      <c r="L1295" t="s">
        <v>4</v>
      </c>
      <c r="M1295">
        <v>7855.0292834258798</v>
      </c>
      <c r="N1295">
        <v>1481.2094505651701</v>
      </c>
      <c r="O1295">
        <v>2.4055183566275402</v>
      </c>
      <c r="P1295" s="5">
        <v>2.55608723739134E-63</v>
      </c>
      <c r="Q1295" t="s">
        <v>4</v>
      </c>
      <c r="R1295" s="4" t="s">
        <v>87</v>
      </c>
      <c r="S1295" t="s">
        <v>4</v>
      </c>
      <c r="T1295" t="s">
        <v>14112</v>
      </c>
      <c r="U1295" t="s">
        <v>14113</v>
      </c>
      <c r="V1295" t="s">
        <v>14114</v>
      </c>
      <c r="W1295" t="s">
        <v>328</v>
      </c>
      <c r="X1295" t="s">
        <v>4</v>
      </c>
      <c r="Y1295" t="s">
        <v>13430</v>
      </c>
      <c r="Z1295" t="s">
        <v>13431</v>
      </c>
      <c r="AA1295" t="s">
        <v>13432</v>
      </c>
      <c r="AB1295" t="s">
        <v>4</v>
      </c>
      <c r="AC1295" s="3" t="s">
        <v>14115</v>
      </c>
      <c r="AD1295" t="s">
        <v>4</v>
      </c>
      <c r="AE1295" t="s">
        <v>14116</v>
      </c>
      <c r="AF1295" t="s">
        <v>834</v>
      </c>
      <c r="AG1295" t="s">
        <v>14117</v>
      </c>
      <c r="AH1295" t="s">
        <v>112</v>
      </c>
      <c r="AI1295" t="s">
        <v>14118</v>
      </c>
      <c r="AJ1295" t="s">
        <v>14119</v>
      </c>
      <c r="AL1295" t="s">
        <v>14120</v>
      </c>
      <c r="AQ1295" t="s">
        <v>11373</v>
      </c>
      <c r="AU1295" t="s">
        <v>112</v>
      </c>
      <c r="AV1295" t="s">
        <v>14121</v>
      </c>
      <c r="AW1295" t="s">
        <v>114</v>
      </c>
      <c r="AX1295" t="s">
        <v>1938</v>
      </c>
      <c r="AY1295" t="s">
        <v>11312</v>
      </c>
      <c r="AZ1295" t="s">
        <v>4</v>
      </c>
      <c r="BA1295" s="3" t="s">
        <v>115</v>
      </c>
      <c r="BB1295" s="6" t="s">
        <v>95</v>
      </c>
      <c r="BC1295" s="3" t="s">
        <v>95</v>
      </c>
      <c r="BD1295" t="s">
        <v>4</v>
      </c>
      <c r="BE1295">
        <v>9004</v>
      </c>
      <c r="BF1295" t="s">
        <v>169</v>
      </c>
      <c r="BG1295">
        <v>97.847099999999998</v>
      </c>
      <c r="BH1295">
        <v>43.810600000000001</v>
      </c>
      <c r="BI1295">
        <v>82.346599999999995</v>
      </c>
      <c r="BJ1295">
        <v>78.471500000000006</v>
      </c>
      <c r="BK1295">
        <v>76.749200000000002</v>
      </c>
      <c r="BL1295">
        <v>23.6814</v>
      </c>
      <c r="BM1295">
        <v>79.870800000000003</v>
      </c>
      <c r="BN1295">
        <v>78.686800000000005</v>
      </c>
      <c r="BO1295">
        <v>78.256200000000007</v>
      </c>
      <c r="BP1295">
        <v>25.403700000000001</v>
      </c>
      <c r="BQ1295" t="s">
        <v>14122</v>
      </c>
      <c r="BR1295">
        <v>32.615699999999997</v>
      </c>
      <c r="BS1295">
        <v>31.108699999999999</v>
      </c>
      <c r="BT1295">
        <v>31.539300000000001</v>
      </c>
      <c r="BU1295" t="s">
        <v>14123</v>
      </c>
      <c r="BV1295" t="s">
        <v>14124</v>
      </c>
      <c r="BW1295">
        <v>28.4177</v>
      </c>
      <c r="BX1295" t="s">
        <v>14125</v>
      </c>
      <c r="BY1295">
        <v>17.330500000000001</v>
      </c>
      <c r="BZ1295">
        <v>14.3165</v>
      </c>
      <c r="CA1295">
        <v>29.171199999999999</v>
      </c>
      <c r="CB1295">
        <v>10.656599999999999</v>
      </c>
      <c r="CE1295">
        <v>27.8794</v>
      </c>
      <c r="CF1295" t="s">
        <v>14126</v>
      </c>
      <c r="CG1295">
        <v>28.740600000000001</v>
      </c>
      <c r="CH1295">
        <v>28.31</v>
      </c>
      <c r="CI1295">
        <v>27.771799999999999</v>
      </c>
      <c r="CJ1295">
        <v>20.8827</v>
      </c>
      <c r="CK1295">
        <v>9</v>
      </c>
      <c r="CL1295" t="s">
        <v>4</v>
      </c>
      <c r="CM1295" t="s">
        <v>14127</v>
      </c>
      <c r="CN1295" t="s">
        <v>14128</v>
      </c>
      <c r="CO1295" t="s">
        <v>663</v>
      </c>
      <c r="CP1295" t="s">
        <v>100</v>
      </c>
      <c r="CQ1295" t="s">
        <v>100</v>
      </c>
      <c r="CR1295" t="s">
        <v>100</v>
      </c>
      <c r="CS1295" t="s">
        <v>101</v>
      </c>
      <c r="CT1295" t="s">
        <v>152</v>
      </c>
      <c r="CU1295" t="s">
        <v>102</v>
      </c>
      <c r="CV1295" t="s">
        <v>14129</v>
      </c>
    </row>
    <row r="1296" spans="1:100">
      <c r="A1296" s="3" t="s">
        <v>14130</v>
      </c>
      <c r="B1296" s="4" t="s">
        <v>14131</v>
      </c>
      <c r="C1296">
        <v>765.08157525553395</v>
      </c>
      <c r="D1296">
        <v>1313.6333633096301</v>
      </c>
      <c r="E1296">
        <f>0.780025460405773</f>
        <v>0.78002546040577303</v>
      </c>
      <c r="F1296">
        <v>3.4810860393660798E-3</v>
      </c>
      <c r="G1296" t="s">
        <v>4</v>
      </c>
      <c r="H1296">
        <v>765.08157525553395</v>
      </c>
      <c r="I1296">
        <v>247.42712458451601</v>
      </c>
      <c r="J1296">
        <v>1.62522910821591</v>
      </c>
      <c r="K1296" s="5">
        <v>2.3001742773247799E-10</v>
      </c>
      <c r="L1296" t="s">
        <v>4</v>
      </c>
      <c r="M1296">
        <v>1313.6333633096301</v>
      </c>
      <c r="N1296">
        <v>247.42712458451601</v>
      </c>
      <c r="O1296">
        <v>2.4052545686216802</v>
      </c>
      <c r="P1296" s="5">
        <v>9.7479089708664401E-22</v>
      </c>
      <c r="Q1296" t="s">
        <v>4</v>
      </c>
      <c r="R1296" s="4" t="s">
        <v>87</v>
      </c>
      <c r="S1296" t="s">
        <v>4</v>
      </c>
      <c r="T1296" t="s">
        <v>460</v>
      </c>
      <c r="U1296" t="s">
        <v>461</v>
      </c>
      <c r="V1296" t="s">
        <v>462</v>
      </c>
      <c r="W1296" t="s">
        <v>123</v>
      </c>
      <c r="X1296" t="s">
        <v>4</v>
      </c>
      <c r="Y1296" t="s">
        <v>6643</v>
      </c>
      <c r="Z1296" t="s">
        <v>6644</v>
      </c>
      <c r="AA1296" t="s">
        <v>6645</v>
      </c>
      <c r="AB1296" t="s">
        <v>4</v>
      </c>
      <c r="AC1296" s="3" t="s">
        <v>93</v>
      </c>
      <c r="AD1296" t="s">
        <v>4</v>
      </c>
      <c r="AE1296" s="4" t="s">
        <v>94</v>
      </c>
      <c r="AZ1296" t="s">
        <v>4</v>
      </c>
      <c r="BA1296" s="3" t="s">
        <v>95</v>
      </c>
      <c r="BB1296" s="6" t="s">
        <v>95</v>
      </c>
      <c r="BC1296" s="3" t="s">
        <v>95</v>
      </c>
      <c r="BD1296" t="s">
        <v>4</v>
      </c>
      <c r="BE1296">
        <v>2994</v>
      </c>
      <c r="BF1296" t="s">
        <v>97</v>
      </c>
      <c r="BG1296">
        <v>92.465800000000002</v>
      </c>
      <c r="BH1296">
        <v>93.150700000000001</v>
      </c>
      <c r="BI1296">
        <v>93.835599999999999</v>
      </c>
      <c r="BJ1296">
        <v>78.767099999999999</v>
      </c>
      <c r="BK1296">
        <v>69.863</v>
      </c>
      <c r="BL1296">
        <v>59.588999999999999</v>
      </c>
      <c r="BM1296">
        <v>69.178100000000001</v>
      </c>
      <c r="BN1296">
        <v>74.657499999999999</v>
      </c>
      <c r="BO1296" t="s">
        <v>14132</v>
      </c>
      <c r="BP1296">
        <v>30.137</v>
      </c>
      <c r="CK1296">
        <v>4</v>
      </c>
      <c r="CL1296" t="s">
        <v>4</v>
      </c>
      <c r="CM1296" t="s">
        <v>98</v>
      </c>
      <c r="CN1296" t="s">
        <v>98</v>
      </c>
      <c r="CO1296" t="s">
        <v>99</v>
      </c>
      <c r="CP1296" t="s">
        <v>100</v>
      </c>
      <c r="CQ1296" t="s">
        <v>100</v>
      </c>
      <c r="CR1296" t="s">
        <v>100</v>
      </c>
      <c r="CS1296" s="7" t="s">
        <v>101</v>
      </c>
      <c r="CT1296" t="s">
        <v>152</v>
      </c>
      <c r="CU1296" t="s">
        <v>102</v>
      </c>
      <c r="CV1296" t="s">
        <v>100</v>
      </c>
    </row>
    <row r="1297" spans="1:100">
      <c r="A1297" s="3" t="s">
        <v>14133</v>
      </c>
      <c r="B1297" s="4" t="s">
        <v>14134</v>
      </c>
      <c r="C1297">
        <v>77.579711890983205</v>
      </c>
      <c r="D1297">
        <v>133.42220237491401</v>
      </c>
      <c r="E1297">
        <f>0.783044947830821</f>
        <v>0.78304494783082101</v>
      </c>
      <c r="F1297">
        <v>0.427776067299381</v>
      </c>
      <c r="G1297" t="s">
        <v>4</v>
      </c>
      <c r="H1297">
        <v>77.579711890983205</v>
      </c>
      <c r="I1297">
        <v>25.142712351576598</v>
      </c>
      <c r="J1297">
        <v>1.61910318302884</v>
      </c>
      <c r="K1297">
        <v>8.7343152197872101E-2</v>
      </c>
      <c r="L1297" t="s">
        <v>4</v>
      </c>
      <c r="M1297">
        <v>133.42220237491401</v>
      </c>
      <c r="N1297">
        <v>25.142712351576598</v>
      </c>
      <c r="O1297">
        <v>2.4021481308596599</v>
      </c>
      <c r="P1297">
        <v>8.5327229047105196E-3</v>
      </c>
      <c r="Q1297" t="s">
        <v>4</v>
      </c>
      <c r="R1297" s="4" t="s">
        <v>87</v>
      </c>
      <c r="S1297" t="s">
        <v>4</v>
      </c>
      <c r="T1297" t="s">
        <v>88</v>
      </c>
      <c r="U1297" t="s">
        <v>89</v>
      </c>
      <c r="V1297" t="s">
        <v>90</v>
      </c>
      <c r="W1297" t="s">
        <v>91</v>
      </c>
      <c r="X1297" t="s">
        <v>4</v>
      </c>
      <c r="Y1297" t="s">
        <v>14135</v>
      </c>
      <c r="Z1297" t="s">
        <v>14136</v>
      </c>
      <c r="AA1297" t="s">
        <v>14137</v>
      </c>
      <c r="AB1297" t="s">
        <v>4</v>
      </c>
      <c r="AC1297" s="3" t="s">
        <v>14138</v>
      </c>
      <c r="AD1297" t="s">
        <v>4</v>
      </c>
      <c r="AE1297" t="s">
        <v>14139</v>
      </c>
      <c r="AF1297" t="s">
        <v>14140</v>
      </c>
      <c r="AG1297" t="s">
        <v>14141</v>
      </c>
      <c r="AH1297" t="s">
        <v>112</v>
      </c>
      <c r="AU1297" t="s">
        <v>112</v>
      </c>
      <c r="AV1297" t="s">
        <v>14142</v>
      </c>
      <c r="AW1297" t="s">
        <v>114</v>
      </c>
      <c r="AX1297" t="s">
        <v>144</v>
      </c>
      <c r="AY1297" t="s">
        <v>14143</v>
      </c>
      <c r="AZ1297" t="s">
        <v>4</v>
      </c>
      <c r="BA1297" s="3" t="s">
        <v>95</v>
      </c>
      <c r="BB1297" t="s">
        <v>96</v>
      </c>
      <c r="BC1297" s="3" t="s">
        <v>95</v>
      </c>
      <c r="BD1297" t="s">
        <v>4</v>
      </c>
      <c r="BE1297">
        <v>2324</v>
      </c>
      <c r="BF1297" t="s">
        <v>148</v>
      </c>
      <c r="BG1297">
        <v>96.415800000000004</v>
      </c>
      <c r="BH1297">
        <v>16.487500000000001</v>
      </c>
      <c r="BI1297">
        <v>91.756299999999996</v>
      </c>
      <c r="BJ1297">
        <v>73.118300000000005</v>
      </c>
      <c r="BK1297">
        <v>43.010800000000003</v>
      </c>
      <c r="BL1297">
        <v>71.3262</v>
      </c>
      <c r="BM1297">
        <v>71.3262</v>
      </c>
      <c r="BN1297">
        <v>71.3262</v>
      </c>
      <c r="BO1297">
        <v>12.186400000000001</v>
      </c>
      <c r="CK1297">
        <v>3</v>
      </c>
      <c r="CL1297" t="s">
        <v>4</v>
      </c>
      <c r="CM1297" t="s">
        <v>98</v>
      </c>
      <c r="CN1297" t="s">
        <v>98</v>
      </c>
      <c r="CO1297" t="s">
        <v>99</v>
      </c>
      <c r="CP1297" t="s">
        <v>100</v>
      </c>
      <c r="CQ1297" t="s">
        <v>100</v>
      </c>
      <c r="CR1297" t="s">
        <v>100</v>
      </c>
      <c r="CS1297" t="s">
        <v>100</v>
      </c>
      <c r="CT1297" t="s">
        <v>152</v>
      </c>
      <c r="CU1297" t="s">
        <v>102</v>
      </c>
      <c r="CV1297" t="s">
        <v>100</v>
      </c>
    </row>
    <row r="1298" spans="1:100">
      <c r="A1298" s="3" t="s">
        <v>14144</v>
      </c>
      <c r="B1298" s="4" t="s">
        <v>14145</v>
      </c>
      <c r="C1298">
        <v>59.721821676630597</v>
      </c>
      <c r="D1298">
        <v>61.763284110031002</v>
      </c>
      <c r="E1298">
        <f>0.0441580447904286</f>
        <v>4.4158044790428598E-2</v>
      </c>
      <c r="F1298">
        <v>0.95054049395351903</v>
      </c>
      <c r="G1298" t="s">
        <v>4</v>
      </c>
      <c r="H1298">
        <v>59.721821676630597</v>
      </c>
      <c r="I1298">
        <v>12.0947426400345</v>
      </c>
      <c r="J1298">
        <v>2.3551598484973102</v>
      </c>
      <c r="K1298">
        <v>1.99005583679629E-4</v>
      </c>
      <c r="L1298" t="s">
        <v>4</v>
      </c>
      <c r="M1298">
        <v>61.763284110031002</v>
      </c>
      <c r="N1298">
        <v>12.0947426400345</v>
      </c>
      <c r="O1298">
        <v>2.3993178932877401</v>
      </c>
      <c r="P1298">
        <v>1.2515697326668E-4</v>
      </c>
      <c r="Q1298" t="s">
        <v>4</v>
      </c>
      <c r="R1298" s="4" t="s">
        <v>87</v>
      </c>
      <c r="S1298" t="s">
        <v>4</v>
      </c>
      <c r="T1298" t="s">
        <v>92</v>
      </c>
      <c r="U1298" t="s">
        <v>92</v>
      </c>
      <c r="V1298" t="s">
        <v>92</v>
      </c>
      <c r="W1298" t="s">
        <v>92</v>
      </c>
      <c r="X1298" t="s">
        <v>4</v>
      </c>
      <c r="Y1298" t="s">
        <v>92</v>
      </c>
      <c r="Z1298" t="s">
        <v>92</v>
      </c>
      <c r="AA1298" t="s">
        <v>92</v>
      </c>
      <c r="AB1298" t="s">
        <v>4</v>
      </c>
      <c r="AC1298" s="3" t="s">
        <v>93</v>
      </c>
      <c r="AD1298" t="s">
        <v>4</v>
      </c>
      <c r="AE1298" t="s">
        <v>13286</v>
      </c>
      <c r="AF1298" t="s">
        <v>14146</v>
      </c>
      <c r="AG1298" t="s">
        <v>14147</v>
      </c>
      <c r="AH1298" t="s">
        <v>112</v>
      </c>
      <c r="AI1298" t="s">
        <v>13288</v>
      </c>
      <c r="AJ1298" t="s">
        <v>13289</v>
      </c>
      <c r="AU1298" t="s">
        <v>112</v>
      </c>
      <c r="AV1298" t="s">
        <v>13290</v>
      </c>
      <c r="AW1298" t="s">
        <v>114</v>
      </c>
      <c r="AX1298" t="s">
        <v>5688</v>
      </c>
      <c r="AY1298" t="s">
        <v>5689</v>
      </c>
      <c r="AZ1298" t="s">
        <v>4</v>
      </c>
      <c r="BA1298" s="3" t="s">
        <v>95</v>
      </c>
      <c r="BB1298" s="6" t="s">
        <v>95</v>
      </c>
      <c r="BC1298" s="3" t="s">
        <v>95</v>
      </c>
      <c r="BD1298" t="s">
        <v>4</v>
      </c>
      <c r="BE1298">
        <v>1441</v>
      </c>
      <c r="BF1298" t="s">
        <v>151</v>
      </c>
      <c r="BG1298">
        <v>62.333300000000001</v>
      </c>
      <c r="BH1298">
        <v>99.333299999999994</v>
      </c>
      <c r="BI1298">
        <v>34.666699999999999</v>
      </c>
      <c r="CK1298">
        <v>2</v>
      </c>
      <c r="CL1298" t="s">
        <v>4</v>
      </c>
      <c r="CM1298" t="s">
        <v>98</v>
      </c>
      <c r="CN1298" t="s">
        <v>98</v>
      </c>
      <c r="CO1298" t="s">
        <v>99</v>
      </c>
      <c r="CP1298" t="s">
        <v>100</v>
      </c>
      <c r="CQ1298" t="s">
        <v>100</v>
      </c>
      <c r="CR1298" t="s">
        <v>100</v>
      </c>
      <c r="CS1298" t="s">
        <v>101</v>
      </c>
      <c r="CT1298" t="s">
        <v>152</v>
      </c>
      <c r="CU1298" t="s">
        <v>102</v>
      </c>
      <c r="CV1298" t="s">
        <v>100</v>
      </c>
    </row>
    <row r="1299" spans="1:100">
      <c r="A1299" s="3" t="s">
        <v>14148</v>
      </c>
      <c r="B1299" s="4" t="s">
        <v>14149</v>
      </c>
      <c r="C1299">
        <v>264.85384265321102</v>
      </c>
      <c r="D1299">
        <v>164.763587384055</v>
      </c>
      <c r="E1299">
        <v>0.68538051427564595</v>
      </c>
      <c r="F1299">
        <v>2.5735979410802901E-2</v>
      </c>
      <c r="G1299" t="s">
        <v>4</v>
      </c>
      <c r="H1299">
        <v>264.85384265321102</v>
      </c>
      <c r="I1299">
        <v>31.101923876524701</v>
      </c>
      <c r="J1299">
        <v>3.0799033783105401</v>
      </c>
      <c r="K1299" s="5">
        <v>2.8018608886882701E-21</v>
      </c>
      <c r="L1299" t="s">
        <v>4</v>
      </c>
      <c r="M1299">
        <v>164.763587384055</v>
      </c>
      <c r="N1299">
        <v>31.101923876524701</v>
      </c>
      <c r="O1299">
        <v>2.3945228640348901</v>
      </c>
      <c r="P1299" s="5">
        <v>3.8538248300249601E-13</v>
      </c>
      <c r="Q1299" t="s">
        <v>4</v>
      </c>
      <c r="R1299" s="4" t="s">
        <v>87</v>
      </c>
      <c r="S1299" t="s">
        <v>4</v>
      </c>
      <c r="T1299" t="s">
        <v>92</v>
      </c>
      <c r="U1299" t="s">
        <v>92</v>
      </c>
      <c r="V1299" t="s">
        <v>92</v>
      </c>
      <c r="W1299" t="s">
        <v>92</v>
      </c>
      <c r="X1299" t="s">
        <v>4</v>
      </c>
      <c r="Y1299" t="s">
        <v>92</v>
      </c>
      <c r="Z1299" t="s">
        <v>92</v>
      </c>
      <c r="AA1299" t="s">
        <v>92</v>
      </c>
      <c r="AB1299" t="s">
        <v>4</v>
      </c>
      <c r="AC1299" s="3" t="s">
        <v>93</v>
      </c>
      <c r="AD1299" t="s">
        <v>4</v>
      </c>
      <c r="AE1299" s="4" t="s">
        <v>94</v>
      </c>
      <c r="AZ1299" t="s">
        <v>4</v>
      </c>
      <c r="BA1299" s="3" t="s">
        <v>95</v>
      </c>
      <c r="BB1299" t="s">
        <v>96</v>
      </c>
      <c r="BC1299" s="3" t="s">
        <v>197</v>
      </c>
      <c r="BD1299" t="s">
        <v>4</v>
      </c>
      <c r="BE1299">
        <v>2300</v>
      </c>
      <c r="BF1299" t="s">
        <v>148</v>
      </c>
      <c r="BG1299">
        <v>78.854600000000005</v>
      </c>
      <c r="BH1299">
        <v>68.281899999999993</v>
      </c>
      <c r="BI1299">
        <v>30.837</v>
      </c>
      <c r="BJ1299">
        <v>23.788499999999999</v>
      </c>
      <c r="BL1299">
        <v>26.872199999999999</v>
      </c>
      <c r="BO1299">
        <v>50.660800000000002</v>
      </c>
      <c r="CK1299">
        <v>3</v>
      </c>
      <c r="CL1299" t="s">
        <v>4</v>
      </c>
      <c r="CM1299" t="s">
        <v>98</v>
      </c>
      <c r="CN1299" t="s">
        <v>98</v>
      </c>
      <c r="CO1299" t="s">
        <v>99</v>
      </c>
      <c r="CP1299" t="s">
        <v>100</v>
      </c>
      <c r="CQ1299" t="s">
        <v>100</v>
      </c>
      <c r="CR1299" t="s">
        <v>100</v>
      </c>
      <c r="CS1299" t="s">
        <v>101</v>
      </c>
      <c r="CT1299" t="s">
        <v>152</v>
      </c>
      <c r="CU1299" t="s">
        <v>102</v>
      </c>
      <c r="CV1299" t="s">
        <v>100</v>
      </c>
    </row>
    <row r="1300" spans="1:100">
      <c r="A1300" s="3" t="s">
        <v>14150</v>
      </c>
      <c r="B1300" s="4" t="s">
        <v>14151</v>
      </c>
      <c r="C1300">
        <v>59.387050389477999</v>
      </c>
      <c r="D1300">
        <v>51.432117854910302</v>
      </c>
      <c r="E1300">
        <v>0.20802047641667701</v>
      </c>
      <c r="F1300">
        <v>0.70331980379118197</v>
      </c>
      <c r="G1300" t="s">
        <v>4</v>
      </c>
      <c r="H1300">
        <v>59.387050389477999</v>
      </c>
      <c r="I1300">
        <v>10.0378570420146</v>
      </c>
      <c r="J1300">
        <v>2.5950613839197101</v>
      </c>
      <c r="K1300" s="5">
        <v>2.7186586746224698E-6</v>
      </c>
      <c r="L1300" t="s">
        <v>4</v>
      </c>
      <c r="M1300">
        <v>51.432117854910302</v>
      </c>
      <c r="N1300">
        <v>10.0378570420146</v>
      </c>
      <c r="O1300">
        <v>2.3870409075030299</v>
      </c>
      <c r="P1300" s="5">
        <v>1.5858309740398101E-5</v>
      </c>
      <c r="Q1300" t="s">
        <v>4</v>
      </c>
      <c r="R1300" s="4" t="s">
        <v>87</v>
      </c>
      <c r="S1300" t="s">
        <v>4</v>
      </c>
      <c r="T1300" t="s">
        <v>88</v>
      </c>
      <c r="U1300" t="s">
        <v>89</v>
      </c>
      <c r="V1300" t="s">
        <v>90</v>
      </c>
      <c r="W1300" t="s">
        <v>91</v>
      </c>
      <c r="X1300" t="s">
        <v>4</v>
      </c>
      <c r="Y1300" t="s">
        <v>92</v>
      </c>
      <c r="Z1300" t="s">
        <v>92</v>
      </c>
      <c r="AA1300" t="s">
        <v>92</v>
      </c>
      <c r="AB1300" t="s">
        <v>4</v>
      </c>
      <c r="AC1300" s="3" t="s">
        <v>93</v>
      </c>
      <c r="AD1300" t="s">
        <v>4</v>
      </c>
      <c r="AE1300" t="s">
        <v>14152</v>
      </c>
      <c r="AF1300" t="s">
        <v>6242</v>
      </c>
      <c r="AG1300" t="s">
        <v>6565</v>
      </c>
      <c r="AH1300" t="s">
        <v>112</v>
      </c>
      <c r="AU1300" t="s">
        <v>112</v>
      </c>
      <c r="AV1300" t="s">
        <v>14153</v>
      </c>
      <c r="AW1300" t="s">
        <v>114</v>
      </c>
      <c r="AZ1300" t="s">
        <v>4</v>
      </c>
      <c r="BA1300" s="3" t="s">
        <v>95</v>
      </c>
      <c r="BB1300" t="s">
        <v>96</v>
      </c>
      <c r="BC1300" s="3" t="s">
        <v>95</v>
      </c>
      <c r="BD1300" t="s">
        <v>4</v>
      </c>
      <c r="BE1300">
        <v>4318</v>
      </c>
      <c r="BF1300" t="s">
        <v>112</v>
      </c>
      <c r="BG1300">
        <v>97.841700000000003</v>
      </c>
      <c r="BH1300">
        <v>99.280600000000007</v>
      </c>
      <c r="BJ1300">
        <v>78.417299999999997</v>
      </c>
      <c r="BL1300">
        <v>76.259</v>
      </c>
      <c r="BM1300">
        <v>58.992800000000003</v>
      </c>
      <c r="BN1300">
        <v>76.259</v>
      </c>
      <c r="BO1300">
        <v>70.503600000000006</v>
      </c>
      <c r="BP1300">
        <v>38.8489</v>
      </c>
      <c r="BQ1300">
        <v>29.496400000000001</v>
      </c>
      <c r="BR1300">
        <v>37.4101</v>
      </c>
      <c r="BX1300">
        <v>34.532400000000003</v>
      </c>
      <c r="BZ1300">
        <v>33.093499999999999</v>
      </c>
      <c r="CA1300">
        <v>28.777000000000001</v>
      </c>
      <c r="CK1300">
        <v>5</v>
      </c>
      <c r="CL1300" t="s">
        <v>4</v>
      </c>
      <c r="CM1300" t="s">
        <v>14154</v>
      </c>
      <c r="CN1300" t="s">
        <v>14155</v>
      </c>
      <c r="CO1300" t="s">
        <v>99</v>
      </c>
      <c r="CP1300" t="s">
        <v>100</v>
      </c>
      <c r="CQ1300" t="s">
        <v>100</v>
      </c>
      <c r="CR1300" t="s">
        <v>100</v>
      </c>
      <c r="CS1300" t="s">
        <v>101</v>
      </c>
      <c r="CT1300" t="s">
        <v>152</v>
      </c>
      <c r="CU1300" t="s">
        <v>102</v>
      </c>
      <c r="CV1300" t="s">
        <v>100</v>
      </c>
    </row>
    <row r="1301" spans="1:100">
      <c r="A1301" s="3" t="s">
        <v>14156</v>
      </c>
      <c r="B1301" s="4" t="s">
        <v>14157</v>
      </c>
      <c r="C1301">
        <v>873.78112262132004</v>
      </c>
      <c r="D1301">
        <v>1682.4007988919</v>
      </c>
      <c r="E1301">
        <f>0.945360095408324</f>
        <v>0.945360095408324</v>
      </c>
      <c r="F1301">
        <v>8.9034195909525201E-4</v>
      </c>
      <c r="G1301" t="s">
        <v>4</v>
      </c>
      <c r="H1301">
        <v>873.78112262132004</v>
      </c>
      <c r="I1301">
        <v>322.37538060135199</v>
      </c>
      <c r="J1301">
        <v>1.43510093820216</v>
      </c>
      <c r="K1301" s="5">
        <v>1.9279744033454301E-7</v>
      </c>
      <c r="L1301" t="s">
        <v>4</v>
      </c>
      <c r="M1301">
        <v>1682.4007988919</v>
      </c>
      <c r="N1301">
        <v>322.37538060135199</v>
      </c>
      <c r="O1301">
        <v>2.3804610336104801</v>
      </c>
      <c r="P1301" s="5">
        <v>6.1670027123205196E-19</v>
      </c>
      <c r="Q1301" t="s">
        <v>4</v>
      </c>
      <c r="R1301" s="4" t="s">
        <v>87</v>
      </c>
      <c r="S1301" t="s">
        <v>4</v>
      </c>
      <c r="T1301" t="s">
        <v>92</v>
      </c>
      <c r="U1301" t="s">
        <v>92</v>
      </c>
      <c r="V1301" t="s">
        <v>92</v>
      </c>
      <c r="W1301" t="s">
        <v>92</v>
      </c>
      <c r="X1301" t="s">
        <v>4</v>
      </c>
      <c r="Y1301" t="s">
        <v>14158</v>
      </c>
      <c r="Z1301" t="s">
        <v>14159</v>
      </c>
      <c r="AA1301" t="s">
        <v>14160</v>
      </c>
      <c r="AB1301" t="s">
        <v>4</v>
      </c>
      <c r="AC1301" s="3" t="s">
        <v>14161</v>
      </c>
      <c r="AD1301" t="s">
        <v>4</v>
      </c>
      <c r="AE1301" t="s">
        <v>14162</v>
      </c>
      <c r="AF1301" t="s">
        <v>14163</v>
      </c>
      <c r="AG1301" t="s">
        <v>14164</v>
      </c>
      <c r="AH1301" t="s">
        <v>112</v>
      </c>
      <c r="AU1301" t="s">
        <v>112</v>
      </c>
      <c r="AV1301" t="s">
        <v>14165</v>
      </c>
      <c r="AW1301" t="s">
        <v>114</v>
      </c>
      <c r="AX1301" t="s">
        <v>144</v>
      </c>
      <c r="AY1301" t="s">
        <v>14166</v>
      </c>
      <c r="AZ1301" t="s">
        <v>4</v>
      </c>
      <c r="BA1301" s="3" t="s">
        <v>95</v>
      </c>
      <c r="BB1301" s="6" t="s">
        <v>95</v>
      </c>
      <c r="BC1301" s="3" t="s">
        <v>95</v>
      </c>
      <c r="BD1301" t="s">
        <v>4</v>
      </c>
      <c r="BE1301">
        <v>7224</v>
      </c>
      <c r="BF1301" t="s">
        <v>213</v>
      </c>
      <c r="BG1301">
        <v>84.154899999999998</v>
      </c>
      <c r="BI1301" t="s">
        <v>14167</v>
      </c>
      <c r="BJ1301">
        <v>68.662000000000006</v>
      </c>
      <c r="BK1301">
        <v>86.267600000000002</v>
      </c>
      <c r="BM1301">
        <v>79.225300000000004</v>
      </c>
      <c r="BN1301">
        <v>75</v>
      </c>
      <c r="BO1301">
        <v>78.168999999999997</v>
      </c>
      <c r="BP1301">
        <v>58.450699999999998</v>
      </c>
      <c r="BR1301">
        <v>35.915500000000002</v>
      </c>
      <c r="BS1301">
        <v>34.859200000000001</v>
      </c>
      <c r="BT1301" t="s">
        <v>14168</v>
      </c>
      <c r="BU1301">
        <v>34.506999999999998</v>
      </c>
      <c r="BV1301" t="s">
        <v>14169</v>
      </c>
      <c r="BX1301">
        <v>32.746499999999997</v>
      </c>
      <c r="BY1301">
        <v>30.985900000000001</v>
      </c>
      <c r="BZ1301">
        <v>32.746499999999997</v>
      </c>
      <c r="CA1301">
        <v>29.929600000000001</v>
      </c>
      <c r="CB1301">
        <v>22.8873</v>
      </c>
      <c r="CD1301">
        <v>21.831</v>
      </c>
      <c r="CE1301">
        <v>22.8873</v>
      </c>
      <c r="CF1301">
        <v>26.0563</v>
      </c>
      <c r="CG1301">
        <v>24.2958</v>
      </c>
      <c r="CH1301">
        <v>23.5915</v>
      </c>
      <c r="CI1301">
        <v>23.5915</v>
      </c>
      <c r="CK1301">
        <v>8</v>
      </c>
      <c r="CL1301" t="s">
        <v>4</v>
      </c>
      <c r="CM1301" t="s">
        <v>14170</v>
      </c>
      <c r="CN1301" t="s">
        <v>14171</v>
      </c>
      <c r="CO1301" t="s">
        <v>219</v>
      </c>
      <c r="CP1301" t="s">
        <v>100</v>
      </c>
      <c r="CQ1301" t="s">
        <v>100</v>
      </c>
      <c r="CR1301" t="s">
        <v>100</v>
      </c>
      <c r="CS1301" s="7" t="s">
        <v>101</v>
      </c>
      <c r="CT1301" t="s">
        <v>152</v>
      </c>
      <c r="CU1301" t="s">
        <v>102</v>
      </c>
      <c r="CV1301" t="s">
        <v>100</v>
      </c>
    </row>
    <row r="1302" spans="1:100">
      <c r="A1302" s="3" t="s">
        <v>14172</v>
      </c>
      <c r="B1302" s="4" t="s">
        <v>14173</v>
      </c>
      <c r="C1302">
        <v>869.51860018008801</v>
      </c>
      <c r="D1302">
        <v>1401.4833533641599</v>
      </c>
      <c r="E1302">
        <f>0.688545028855529</f>
        <v>0.68854502885552904</v>
      </c>
      <c r="F1302">
        <v>0.118647771754176</v>
      </c>
      <c r="G1302" t="s">
        <v>4</v>
      </c>
      <c r="H1302">
        <v>869.51860018008801</v>
      </c>
      <c r="I1302">
        <v>267.55785755294397</v>
      </c>
      <c r="J1302">
        <v>1.6915663374905601</v>
      </c>
      <c r="K1302" s="5">
        <v>3.9750147778212902E-5</v>
      </c>
      <c r="L1302" t="s">
        <v>4</v>
      </c>
      <c r="M1302">
        <v>1401.4833533641599</v>
      </c>
      <c r="N1302">
        <v>267.55785755294397</v>
      </c>
      <c r="O1302">
        <v>2.3801113663460902</v>
      </c>
      <c r="P1302" s="5">
        <v>2.6185792412324799E-9</v>
      </c>
      <c r="Q1302" t="s">
        <v>4</v>
      </c>
      <c r="R1302" s="4" t="s">
        <v>87</v>
      </c>
      <c r="S1302" t="s">
        <v>4</v>
      </c>
      <c r="T1302" t="s">
        <v>14174</v>
      </c>
      <c r="U1302" t="s">
        <v>14175</v>
      </c>
      <c r="V1302" t="s">
        <v>14176</v>
      </c>
      <c r="W1302" t="s">
        <v>1845</v>
      </c>
      <c r="X1302" t="s">
        <v>4</v>
      </c>
      <c r="Y1302" t="s">
        <v>14177</v>
      </c>
      <c r="Z1302" t="s">
        <v>14178</v>
      </c>
      <c r="AA1302" t="s">
        <v>14179</v>
      </c>
      <c r="AB1302" t="s">
        <v>4</v>
      </c>
      <c r="AC1302" s="3" t="s">
        <v>14180</v>
      </c>
      <c r="AD1302" t="s">
        <v>4</v>
      </c>
      <c r="AE1302" t="s">
        <v>14181</v>
      </c>
      <c r="AF1302" t="s">
        <v>14182</v>
      </c>
      <c r="AG1302" t="s">
        <v>5211</v>
      </c>
      <c r="AH1302" t="s">
        <v>112</v>
      </c>
      <c r="AL1302" t="s">
        <v>14183</v>
      </c>
      <c r="AM1302" t="s">
        <v>5637</v>
      </c>
      <c r="AN1302" t="s">
        <v>5638</v>
      </c>
      <c r="AQ1302" t="s">
        <v>14184</v>
      </c>
      <c r="AU1302" t="s">
        <v>112</v>
      </c>
      <c r="AV1302" t="s">
        <v>14185</v>
      </c>
      <c r="AW1302" t="s">
        <v>114</v>
      </c>
      <c r="AX1302" t="s">
        <v>371</v>
      </c>
      <c r="AY1302" t="s">
        <v>14186</v>
      </c>
      <c r="AZ1302" t="s">
        <v>4</v>
      </c>
      <c r="BA1302" s="3" t="s">
        <v>95</v>
      </c>
      <c r="BB1302" s="6" t="s">
        <v>95</v>
      </c>
      <c r="BC1302" s="3" t="s">
        <v>95</v>
      </c>
      <c r="BD1302" t="s">
        <v>4</v>
      </c>
      <c r="BE1302">
        <v>10734</v>
      </c>
      <c r="BF1302" t="s">
        <v>169</v>
      </c>
      <c r="BG1302">
        <v>97.120400000000004</v>
      </c>
      <c r="BH1302">
        <v>28.272300000000001</v>
      </c>
      <c r="BI1302">
        <v>89.790599999999998</v>
      </c>
      <c r="BJ1302">
        <v>90.314099999999996</v>
      </c>
      <c r="BK1302" t="s">
        <v>14187</v>
      </c>
      <c r="BL1302">
        <v>40.575899999999997</v>
      </c>
      <c r="BM1302">
        <v>88.481700000000004</v>
      </c>
      <c r="BN1302">
        <v>89.005200000000002</v>
      </c>
      <c r="BO1302">
        <v>89.266999999999996</v>
      </c>
      <c r="BP1302" t="s">
        <v>14188</v>
      </c>
      <c r="BQ1302">
        <v>30.628299999999999</v>
      </c>
      <c r="BR1302">
        <v>40.052399999999999</v>
      </c>
      <c r="BS1302">
        <v>25.392700000000001</v>
      </c>
      <c r="BT1302">
        <v>44.2408</v>
      </c>
      <c r="BU1302">
        <v>41.099499999999999</v>
      </c>
      <c r="BV1302" t="s">
        <v>14189</v>
      </c>
      <c r="BW1302">
        <v>47.120399999999997</v>
      </c>
      <c r="BX1302">
        <v>53.664900000000003</v>
      </c>
      <c r="BZ1302">
        <v>54.188499999999998</v>
      </c>
      <c r="CA1302">
        <v>51.570700000000002</v>
      </c>
      <c r="CB1302">
        <v>24.345600000000001</v>
      </c>
      <c r="CC1302">
        <v>27.748699999999999</v>
      </c>
      <c r="CD1302">
        <v>29.057600000000001</v>
      </c>
      <c r="CE1302">
        <v>25.392700000000001</v>
      </c>
      <c r="CF1302">
        <v>26.178000000000001</v>
      </c>
      <c r="CG1302" t="s">
        <v>14190</v>
      </c>
      <c r="CH1302">
        <v>28.533999999999999</v>
      </c>
      <c r="CI1302">
        <v>28.272300000000001</v>
      </c>
      <c r="CJ1302">
        <v>23.560199999999998</v>
      </c>
      <c r="CK1302">
        <v>9</v>
      </c>
      <c r="CL1302" t="s">
        <v>4</v>
      </c>
      <c r="CM1302" t="s">
        <v>14191</v>
      </c>
      <c r="CN1302" t="s">
        <v>14192</v>
      </c>
      <c r="CO1302" t="s">
        <v>99</v>
      </c>
      <c r="CP1302" t="s">
        <v>100</v>
      </c>
      <c r="CQ1302" t="s">
        <v>100</v>
      </c>
      <c r="CR1302" t="s">
        <v>100</v>
      </c>
      <c r="CS1302" s="7" t="s">
        <v>101</v>
      </c>
      <c r="CT1302" t="s">
        <v>152</v>
      </c>
      <c r="CU1302" t="s">
        <v>102</v>
      </c>
      <c r="CV1302" t="s">
        <v>100</v>
      </c>
    </row>
    <row r="1303" spans="1:100">
      <c r="A1303" s="3" t="s">
        <v>14193</v>
      </c>
      <c r="B1303" s="4" t="s">
        <v>14194</v>
      </c>
      <c r="C1303">
        <v>131.48858654646699</v>
      </c>
      <c r="D1303">
        <v>177.885260125293</v>
      </c>
      <c r="E1303">
        <f>0.436744879445054</f>
        <v>0.43674487944505402</v>
      </c>
      <c r="F1303">
        <v>0.48274976869467501</v>
      </c>
      <c r="G1303" t="s">
        <v>4</v>
      </c>
      <c r="H1303">
        <v>131.48858654646699</v>
      </c>
      <c r="I1303">
        <v>34.109816467213101</v>
      </c>
      <c r="J1303">
        <v>1.94026763097051</v>
      </c>
      <c r="K1303">
        <v>8.5679699441390999E-4</v>
      </c>
      <c r="L1303" t="s">
        <v>4</v>
      </c>
      <c r="M1303">
        <v>177.885260125293</v>
      </c>
      <c r="N1303">
        <v>34.109816467213101</v>
      </c>
      <c r="O1303">
        <v>2.3770125104155699</v>
      </c>
      <c r="P1303" s="5">
        <v>2.7753613419036202E-5</v>
      </c>
      <c r="Q1303" t="s">
        <v>4</v>
      </c>
      <c r="R1303" s="4" t="s">
        <v>87</v>
      </c>
      <c r="S1303" t="s">
        <v>4</v>
      </c>
      <c r="T1303" t="s">
        <v>14195</v>
      </c>
      <c r="U1303" t="s">
        <v>14196</v>
      </c>
      <c r="V1303" t="s">
        <v>14197</v>
      </c>
      <c r="W1303" t="s">
        <v>203</v>
      </c>
      <c r="X1303" t="s">
        <v>4</v>
      </c>
      <c r="Y1303" t="s">
        <v>14198</v>
      </c>
      <c r="Z1303" t="s">
        <v>14199</v>
      </c>
      <c r="AA1303" t="s">
        <v>14200</v>
      </c>
      <c r="AB1303" t="s">
        <v>4</v>
      </c>
      <c r="AC1303" s="3" t="s">
        <v>93</v>
      </c>
      <c r="AD1303" t="s">
        <v>4</v>
      </c>
      <c r="AE1303" t="s">
        <v>14201</v>
      </c>
      <c r="AF1303" t="s">
        <v>14202</v>
      </c>
      <c r="AG1303" t="s">
        <v>14203</v>
      </c>
      <c r="AH1303" t="s">
        <v>14204</v>
      </c>
      <c r="AU1303" t="s">
        <v>112</v>
      </c>
      <c r="AV1303" t="s">
        <v>14205</v>
      </c>
      <c r="AW1303" t="s">
        <v>114</v>
      </c>
      <c r="AX1303" t="s">
        <v>144</v>
      </c>
      <c r="AY1303" t="s">
        <v>14206</v>
      </c>
      <c r="AZ1303" t="s">
        <v>4</v>
      </c>
      <c r="BA1303" s="3" t="s">
        <v>95</v>
      </c>
      <c r="BB1303" s="6" t="s">
        <v>95</v>
      </c>
      <c r="BC1303" s="3" t="s">
        <v>95</v>
      </c>
      <c r="BD1303" t="s">
        <v>4</v>
      </c>
      <c r="BE1303">
        <v>7852</v>
      </c>
      <c r="BF1303" t="s">
        <v>213</v>
      </c>
      <c r="BK1303">
        <v>21.852399999999999</v>
      </c>
      <c r="BQ1303">
        <v>8.1765600000000003</v>
      </c>
      <c r="BR1303" t="s">
        <v>14207</v>
      </c>
      <c r="BS1303">
        <v>5.13748</v>
      </c>
      <c r="CB1303" t="s">
        <v>14208</v>
      </c>
      <c r="CC1303">
        <v>10.347300000000001</v>
      </c>
      <c r="CD1303">
        <v>11.505100000000001</v>
      </c>
      <c r="CF1303">
        <v>10.9986</v>
      </c>
      <c r="CG1303" t="s">
        <v>14209</v>
      </c>
      <c r="CH1303" t="s">
        <v>14210</v>
      </c>
      <c r="CI1303" t="s">
        <v>14211</v>
      </c>
      <c r="CK1303">
        <v>8</v>
      </c>
      <c r="CL1303" t="s">
        <v>4</v>
      </c>
      <c r="CM1303" t="s">
        <v>98</v>
      </c>
      <c r="CN1303" t="s">
        <v>98</v>
      </c>
      <c r="CO1303" t="s">
        <v>99</v>
      </c>
      <c r="CP1303" t="s">
        <v>100</v>
      </c>
      <c r="CQ1303" t="s">
        <v>100</v>
      </c>
      <c r="CR1303" t="s">
        <v>100</v>
      </c>
      <c r="CS1303" s="7" t="s">
        <v>101</v>
      </c>
      <c r="CT1303" t="s">
        <v>152</v>
      </c>
      <c r="CU1303" t="s">
        <v>102</v>
      </c>
      <c r="CV1303" t="s">
        <v>100</v>
      </c>
    </row>
    <row r="1304" spans="1:100">
      <c r="A1304" s="3" t="s">
        <v>14212</v>
      </c>
      <c r="B1304" s="4" t="s">
        <v>14213</v>
      </c>
      <c r="C1304">
        <v>101.447197097163</v>
      </c>
      <c r="D1304">
        <v>179.460229846831</v>
      </c>
      <c r="E1304">
        <f>0.820502944384421</f>
        <v>0.82050294438442095</v>
      </c>
      <c r="F1304">
        <v>8.1837649535261306E-2</v>
      </c>
      <c r="G1304" t="s">
        <v>4</v>
      </c>
      <c r="H1304">
        <v>101.447197097163</v>
      </c>
      <c r="I1304">
        <v>34.506880485968303</v>
      </c>
      <c r="J1304">
        <v>1.5528040076440099</v>
      </c>
      <c r="K1304">
        <v>1.08841499891225E-3</v>
      </c>
      <c r="L1304" t="s">
        <v>4</v>
      </c>
      <c r="M1304">
        <v>179.460229846831</v>
      </c>
      <c r="N1304">
        <v>34.506880485968303</v>
      </c>
      <c r="O1304">
        <v>2.3733069520284298</v>
      </c>
      <c r="P1304" s="5">
        <v>2.01793057723021E-7</v>
      </c>
      <c r="Q1304" t="s">
        <v>4</v>
      </c>
      <c r="R1304" s="4" t="s">
        <v>87</v>
      </c>
      <c r="S1304" t="s">
        <v>4</v>
      </c>
      <c r="T1304" t="s">
        <v>92</v>
      </c>
      <c r="U1304" t="s">
        <v>92</v>
      </c>
      <c r="V1304" t="s">
        <v>92</v>
      </c>
      <c r="W1304" t="s">
        <v>92</v>
      </c>
      <c r="X1304" t="s">
        <v>4</v>
      </c>
      <c r="Y1304" t="s">
        <v>5047</v>
      </c>
      <c r="Z1304" t="s">
        <v>5048</v>
      </c>
      <c r="AA1304" t="s">
        <v>5049</v>
      </c>
      <c r="AB1304" t="s">
        <v>4</v>
      </c>
      <c r="AC1304" s="3" t="s">
        <v>14214</v>
      </c>
      <c r="AD1304" t="s">
        <v>4</v>
      </c>
      <c r="AE1304" t="s">
        <v>14215</v>
      </c>
      <c r="AF1304" t="s">
        <v>14216</v>
      </c>
      <c r="AG1304" t="s">
        <v>14217</v>
      </c>
      <c r="AH1304" t="s">
        <v>112</v>
      </c>
      <c r="AU1304" t="s">
        <v>112</v>
      </c>
      <c r="AV1304" t="s">
        <v>14218</v>
      </c>
      <c r="AW1304" t="s">
        <v>114</v>
      </c>
      <c r="AX1304" t="s">
        <v>144</v>
      </c>
      <c r="AY1304" t="s">
        <v>5056</v>
      </c>
      <c r="AZ1304" t="s">
        <v>4</v>
      </c>
      <c r="BA1304" s="3" t="s">
        <v>115</v>
      </c>
      <c r="BB1304" s="6" t="s">
        <v>95</v>
      </c>
      <c r="BC1304" s="3" t="s">
        <v>95</v>
      </c>
      <c r="BD1304" t="s">
        <v>4</v>
      </c>
      <c r="BE1304">
        <v>6556</v>
      </c>
      <c r="BF1304" t="s">
        <v>213</v>
      </c>
      <c r="BL1304">
        <v>53.740499999999997</v>
      </c>
      <c r="BM1304">
        <v>29.0076</v>
      </c>
      <c r="BN1304">
        <v>78.015299999999996</v>
      </c>
      <c r="BO1304">
        <v>75.267200000000003</v>
      </c>
      <c r="BP1304">
        <v>30.228999999999999</v>
      </c>
      <c r="BR1304" t="s">
        <v>14219</v>
      </c>
      <c r="BS1304" t="s">
        <v>14220</v>
      </c>
      <c r="BT1304" t="s">
        <v>14221</v>
      </c>
      <c r="BU1304" t="s">
        <v>14222</v>
      </c>
      <c r="BV1304" t="s">
        <v>14223</v>
      </c>
      <c r="BX1304" t="s">
        <v>14224</v>
      </c>
      <c r="BY1304" t="s">
        <v>14225</v>
      </c>
      <c r="BZ1304" t="s">
        <v>14226</v>
      </c>
      <c r="CA1304" t="s">
        <v>14227</v>
      </c>
      <c r="CI1304">
        <v>13.740500000000001</v>
      </c>
      <c r="CK1304">
        <v>8</v>
      </c>
      <c r="CL1304" t="s">
        <v>4</v>
      </c>
      <c r="CM1304" t="s">
        <v>14228</v>
      </c>
      <c r="CN1304" t="s">
        <v>14229</v>
      </c>
      <c r="CO1304" t="s">
        <v>99</v>
      </c>
      <c r="CP1304" t="s">
        <v>100</v>
      </c>
      <c r="CQ1304" t="s">
        <v>100</v>
      </c>
      <c r="CR1304" t="s">
        <v>100</v>
      </c>
      <c r="CS1304" s="7" t="s">
        <v>101</v>
      </c>
      <c r="CT1304" t="s">
        <v>152</v>
      </c>
      <c r="CU1304" t="s">
        <v>102</v>
      </c>
      <c r="CV1304" t="s">
        <v>100</v>
      </c>
    </row>
    <row r="1305" spans="1:100">
      <c r="A1305" s="3" t="s">
        <v>14230</v>
      </c>
      <c r="B1305" s="4" t="s">
        <v>14231</v>
      </c>
      <c r="C1305">
        <v>361.12964200884602</v>
      </c>
      <c r="D1305">
        <v>571.52588078793599</v>
      </c>
      <c r="E1305">
        <f>0.663063164526344</f>
        <v>0.66306316452634395</v>
      </c>
      <c r="F1305">
        <v>9.3294709202073806E-2</v>
      </c>
      <c r="G1305" t="s">
        <v>4</v>
      </c>
      <c r="H1305">
        <v>361.12964200884602</v>
      </c>
      <c r="I1305">
        <v>109.526702007048</v>
      </c>
      <c r="J1305">
        <v>1.70786388887053</v>
      </c>
      <c r="K1305" s="5">
        <v>5.59462302638993E-6</v>
      </c>
      <c r="L1305" t="s">
        <v>4</v>
      </c>
      <c r="M1305">
        <v>571.52588078793599</v>
      </c>
      <c r="N1305">
        <v>109.526702007048</v>
      </c>
      <c r="O1305">
        <v>2.37092705339687</v>
      </c>
      <c r="P1305" s="5">
        <v>9.1762525751299501E-11</v>
      </c>
      <c r="Q1305" t="s">
        <v>4</v>
      </c>
      <c r="R1305" s="4" t="s">
        <v>87</v>
      </c>
      <c r="S1305" t="s">
        <v>4</v>
      </c>
      <c r="T1305" t="s">
        <v>14232</v>
      </c>
      <c r="U1305" t="s">
        <v>14233</v>
      </c>
      <c r="V1305" t="s">
        <v>14234</v>
      </c>
      <c r="W1305" t="s">
        <v>328</v>
      </c>
      <c r="X1305" t="s">
        <v>4</v>
      </c>
      <c r="Y1305" t="s">
        <v>14235</v>
      </c>
      <c r="Z1305" t="s">
        <v>14236</v>
      </c>
      <c r="AA1305" t="s">
        <v>14237</v>
      </c>
      <c r="AB1305" t="s">
        <v>4</v>
      </c>
      <c r="AC1305" s="3" t="s">
        <v>14238</v>
      </c>
      <c r="AD1305" t="s">
        <v>4</v>
      </c>
      <c r="AE1305" t="s">
        <v>14239</v>
      </c>
      <c r="AF1305" t="s">
        <v>14240</v>
      </c>
      <c r="AG1305" t="s">
        <v>14241</v>
      </c>
      <c r="AH1305" t="s">
        <v>112</v>
      </c>
      <c r="AL1305" t="s">
        <v>14242</v>
      </c>
      <c r="AM1305" t="s">
        <v>8283</v>
      </c>
      <c r="AQ1305" t="s">
        <v>14243</v>
      </c>
      <c r="AR1305" t="s">
        <v>14244</v>
      </c>
      <c r="AU1305" t="s">
        <v>112</v>
      </c>
      <c r="AV1305" t="s">
        <v>14245</v>
      </c>
      <c r="AW1305" t="s">
        <v>114</v>
      </c>
      <c r="AX1305" t="s">
        <v>596</v>
      </c>
      <c r="AY1305" t="s">
        <v>14246</v>
      </c>
      <c r="AZ1305" t="s">
        <v>4</v>
      </c>
      <c r="BA1305" s="3" t="s">
        <v>95</v>
      </c>
      <c r="BB1305" s="6" t="s">
        <v>95</v>
      </c>
      <c r="BC1305" s="3" t="s">
        <v>95</v>
      </c>
      <c r="BD1305" t="s">
        <v>4</v>
      </c>
      <c r="BE1305">
        <v>9104</v>
      </c>
      <c r="BF1305" t="s">
        <v>169</v>
      </c>
      <c r="BG1305">
        <v>100</v>
      </c>
      <c r="BH1305">
        <v>100</v>
      </c>
      <c r="BI1305">
        <v>98.630099999999999</v>
      </c>
      <c r="BJ1305">
        <v>88.356200000000001</v>
      </c>
      <c r="BK1305">
        <v>93.150700000000001</v>
      </c>
      <c r="BL1305">
        <v>85.616399999999999</v>
      </c>
      <c r="BM1305">
        <v>86.301400000000001</v>
      </c>
      <c r="BN1305">
        <v>86.301400000000001</v>
      </c>
      <c r="BO1305">
        <v>91.0959</v>
      </c>
      <c r="BQ1305">
        <v>43.150700000000001</v>
      </c>
      <c r="BR1305">
        <v>43.835599999999999</v>
      </c>
      <c r="BS1305">
        <v>42.465800000000002</v>
      </c>
      <c r="BV1305" t="s">
        <v>14247</v>
      </c>
      <c r="BW1305">
        <v>41.780799999999999</v>
      </c>
      <c r="BX1305">
        <v>44.520499999999998</v>
      </c>
      <c r="BZ1305">
        <v>44.520499999999998</v>
      </c>
      <c r="CA1305">
        <v>41.0959</v>
      </c>
      <c r="CB1305">
        <v>47.9452</v>
      </c>
      <c r="CD1305">
        <v>47.9452</v>
      </c>
      <c r="CE1305">
        <v>39.725999999999999</v>
      </c>
      <c r="CF1305">
        <v>40.411000000000001</v>
      </c>
      <c r="CG1305">
        <v>49.315100000000001</v>
      </c>
      <c r="CH1305">
        <v>47.9452</v>
      </c>
      <c r="CI1305">
        <v>44.520499999999998</v>
      </c>
      <c r="CJ1305">
        <v>21.9178</v>
      </c>
      <c r="CK1305">
        <v>9</v>
      </c>
      <c r="CL1305" t="s">
        <v>4</v>
      </c>
      <c r="CM1305" t="s">
        <v>14248</v>
      </c>
      <c r="CN1305" t="s">
        <v>14249</v>
      </c>
      <c r="CO1305" t="s">
        <v>219</v>
      </c>
      <c r="CP1305" t="s">
        <v>100</v>
      </c>
      <c r="CQ1305" t="s">
        <v>100</v>
      </c>
      <c r="CR1305" t="s">
        <v>100</v>
      </c>
      <c r="CS1305" s="7" t="s">
        <v>101</v>
      </c>
      <c r="CT1305" t="s">
        <v>152</v>
      </c>
      <c r="CU1305" t="s">
        <v>102</v>
      </c>
      <c r="CV1305" t="s">
        <v>100</v>
      </c>
    </row>
    <row r="1306" spans="1:100">
      <c r="A1306" s="3" t="s">
        <v>14250</v>
      </c>
      <c r="B1306" s="4" t="s">
        <v>14251</v>
      </c>
      <c r="C1306">
        <v>89.884438877183399</v>
      </c>
      <c r="D1306">
        <v>122.422591895433</v>
      </c>
      <c r="E1306">
        <f>0.447593247345082</f>
        <v>0.44759324734508199</v>
      </c>
      <c r="F1306">
        <v>0.28277187581382501</v>
      </c>
      <c r="G1306" t="s">
        <v>4</v>
      </c>
      <c r="H1306">
        <v>89.884438877183399</v>
      </c>
      <c r="I1306">
        <v>24.172824058381099</v>
      </c>
      <c r="J1306">
        <v>1.9193492225401401</v>
      </c>
      <c r="K1306" s="5">
        <v>6.5734597103448801E-6</v>
      </c>
      <c r="L1306" t="s">
        <v>4</v>
      </c>
      <c r="M1306">
        <v>122.422591895433</v>
      </c>
      <c r="N1306">
        <v>24.172824058381099</v>
      </c>
      <c r="O1306">
        <v>2.3669424698852302</v>
      </c>
      <c r="P1306" s="5">
        <v>1.27548786608894E-8</v>
      </c>
      <c r="Q1306" t="s">
        <v>4</v>
      </c>
      <c r="R1306" s="4" t="s">
        <v>87</v>
      </c>
      <c r="S1306" t="s">
        <v>4</v>
      </c>
      <c r="T1306" t="s">
        <v>92</v>
      </c>
      <c r="U1306" t="s">
        <v>92</v>
      </c>
      <c r="V1306" t="s">
        <v>92</v>
      </c>
      <c r="W1306" t="s">
        <v>92</v>
      </c>
      <c r="X1306" t="s">
        <v>4</v>
      </c>
      <c r="Y1306" t="s">
        <v>92</v>
      </c>
      <c r="Z1306" t="s">
        <v>92</v>
      </c>
      <c r="AA1306" t="s">
        <v>92</v>
      </c>
      <c r="AB1306" t="s">
        <v>4</v>
      </c>
      <c r="AC1306" s="3" t="s">
        <v>93</v>
      </c>
      <c r="AD1306" t="s">
        <v>4</v>
      </c>
      <c r="AE1306" t="s">
        <v>3190</v>
      </c>
      <c r="AF1306" t="s">
        <v>14252</v>
      </c>
      <c r="AG1306" t="s">
        <v>9322</v>
      </c>
      <c r="AH1306" t="s">
        <v>112</v>
      </c>
      <c r="AJ1306" t="s">
        <v>3193</v>
      </c>
      <c r="AK1306" t="s">
        <v>3194</v>
      </c>
      <c r="AL1306" t="s">
        <v>3195</v>
      </c>
      <c r="AM1306" t="s">
        <v>3196</v>
      </c>
      <c r="AQ1306" t="s">
        <v>3197</v>
      </c>
      <c r="AU1306" t="s">
        <v>112</v>
      </c>
      <c r="AV1306" t="s">
        <v>3198</v>
      </c>
      <c r="AW1306" t="s">
        <v>114</v>
      </c>
      <c r="AX1306" t="s">
        <v>2157</v>
      </c>
      <c r="AY1306" t="s">
        <v>3199</v>
      </c>
      <c r="AZ1306" t="s">
        <v>4</v>
      </c>
      <c r="BA1306" s="3" t="s">
        <v>95</v>
      </c>
      <c r="BB1306" s="6" t="s">
        <v>95</v>
      </c>
      <c r="BC1306" s="3" t="s">
        <v>95</v>
      </c>
      <c r="BD1306" t="s">
        <v>4</v>
      </c>
      <c r="BE1306">
        <v>2377</v>
      </c>
      <c r="BF1306" t="s">
        <v>148</v>
      </c>
      <c r="BG1306">
        <v>40.514499999999998</v>
      </c>
      <c r="BH1306">
        <v>47.2669</v>
      </c>
      <c r="BM1306" t="s">
        <v>14253</v>
      </c>
      <c r="BN1306" t="s">
        <v>14254</v>
      </c>
      <c r="CK1306">
        <v>3</v>
      </c>
      <c r="CL1306" t="s">
        <v>4</v>
      </c>
      <c r="CM1306" t="s">
        <v>98</v>
      </c>
      <c r="CN1306" t="s">
        <v>98</v>
      </c>
      <c r="CO1306" t="s">
        <v>99</v>
      </c>
      <c r="CP1306" t="s">
        <v>100</v>
      </c>
      <c r="CQ1306" t="s">
        <v>100</v>
      </c>
      <c r="CR1306" t="s">
        <v>100</v>
      </c>
      <c r="CS1306" s="7" t="s">
        <v>101</v>
      </c>
      <c r="CT1306" t="s">
        <v>152</v>
      </c>
      <c r="CU1306" t="s">
        <v>102</v>
      </c>
      <c r="CV1306" t="s">
        <v>100</v>
      </c>
    </row>
    <row r="1307" spans="1:100">
      <c r="A1307" s="3" t="s">
        <v>14255</v>
      </c>
      <c r="B1307" s="4" t="s">
        <v>14256</v>
      </c>
      <c r="C1307">
        <v>19.224490205260398</v>
      </c>
      <c r="D1307">
        <v>38.321023966026601</v>
      </c>
      <c r="E1307">
        <f>0.991094305518131</f>
        <v>0.99109430551813105</v>
      </c>
      <c r="F1307">
        <v>0.105448643322191</v>
      </c>
      <c r="G1307" t="s">
        <v>4</v>
      </c>
      <c r="H1307">
        <v>19.224490205260398</v>
      </c>
      <c r="I1307">
        <v>7.62472579252257</v>
      </c>
      <c r="J1307">
        <v>1.3756227471540801</v>
      </c>
      <c r="K1307">
        <v>4.92533427252266E-2</v>
      </c>
      <c r="L1307" t="s">
        <v>4</v>
      </c>
      <c r="M1307">
        <v>38.321023966026601</v>
      </c>
      <c r="N1307">
        <v>7.62472579252257</v>
      </c>
      <c r="O1307">
        <v>2.3667170526722101</v>
      </c>
      <c r="P1307">
        <v>3.33271702539925E-4</v>
      </c>
      <c r="Q1307" t="s">
        <v>4</v>
      </c>
      <c r="R1307" s="4" t="s">
        <v>87</v>
      </c>
      <c r="S1307" t="s">
        <v>4</v>
      </c>
      <c r="T1307" t="s">
        <v>92</v>
      </c>
      <c r="U1307" t="s">
        <v>92</v>
      </c>
      <c r="V1307" t="s">
        <v>92</v>
      </c>
      <c r="W1307" t="s">
        <v>92</v>
      </c>
      <c r="X1307" t="s">
        <v>4</v>
      </c>
      <c r="Y1307" t="s">
        <v>14257</v>
      </c>
      <c r="Z1307" t="s">
        <v>14258</v>
      </c>
      <c r="AA1307" t="s">
        <v>14259</v>
      </c>
      <c r="AB1307" t="s">
        <v>4</v>
      </c>
      <c r="AC1307" s="3" t="s">
        <v>93</v>
      </c>
      <c r="AD1307" t="s">
        <v>4</v>
      </c>
      <c r="AE1307" t="s">
        <v>14260</v>
      </c>
      <c r="AF1307" t="s">
        <v>14261</v>
      </c>
      <c r="AG1307" t="s">
        <v>14262</v>
      </c>
      <c r="AH1307" t="s">
        <v>112</v>
      </c>
      <c r="AI1307" t="s">
        <v>14263</v>
      </c>
      <c r="AU1307" t="s">
        <v>112</v>
      </c>
      <c r="AV1307" t="s">
        <v>14264</v>
      </c>
      <c r="AW1307" t="s">
        <v>114</v>
      </c>
      <c r="AX1307" t="s">
        <v>132</v>
      </c>
      <c r="AY1307" t="s">
        <v>14265</v>
      </c>
      <c r="AZ1307" t="s">
        <v>4</v>
      </c>
      <c r="BA1307" s="3" t="s">
        <v>95</v>
      </c>
      <c r="BB1307" s="6" t="s">
        <v>95</v>
      </c>
      <c r="BC1307" s="3" t="s">
        <v>95</v>
      </c>
      <c r="BD1307" t="s">
        <v>4</v>
      </c>
      <c r="BE1307">
        <v>5851</v>
      </c>
      <c r="BF1307" t="s">
        <v>386</v>
      </c>
      <c r="BG1307">
        <v>71.9512</v>
      </c>
      <c r="BH1307">
        <v>47.561</v>
      </c>
      <c r="BI1307">
        <v>65.121899999999997</v>
      </c>
      <c r="BJ1307">
        <v>60.9756</v>
      </c>
      <c r="BK1307">
        <v>62.9268</v>
      </c>
      <c r="BN1307">
        <v>58.5366</v>
      </c>
      <c r="BQ1307">
        <v>42.439</v>
      </c>
      <c r="BR1307">
        <v>45.6098</v>
      </c>
      <c r="BV1307">
        <v>38.5366</v>
      </c>
      <c r="BX1307">
        <v>41.9512</v>
      </c>
      <c r="CA1307">
        <v>43.9024</v>
      </c>
      <c r="CB1307" t="s">
        <v>14266</v>
      </c>
      <c r="CC1307">
        <v>24.3902</v>
      </c>
      <c r="CF1307">
        <v>25.6098</v>
      </c>
      <c r="CG1307" t="s">
        <v>14267</v>
      </c>
      <c r="CH1307" t="s">
        <v>14268</v>
      </c>
      <c r="CI1307" t="s">
        <v>14269</v>
      </c>
      <c r="CK1307">
        <v>7</v>
      </c>
      <c r="CL1307" t="s">
        <v>4</v>
      </c>
      <c r="CM1307" t="s">
        <v>14270</v>
      </c>
      <c r="CN1307" t="s">
        <v>14271</v>
      </c>
      <c r="CO1307" t="s">
        <v>99</v>
      </c>
      <c r="CP1307" t="s">
        <v>100</v>
      </c>
      <c r="CQ1307" t="s">
        <v>100</v>
      </c>
      <c r="CR1307" t="s">
        <v>100</v>
      </c>
      <c r="CS1307" s="7" t="s">
        <v>101</v>
      </c>
      <c r="CT1307" t="s">
        <v>152</v>
      </c>
      <c r="CU1307" t="s">
        <v>102</v>
      </c>
      <c r="CV1307" t="s">
        <v>100</v>
      </c>
    </row>
    <row r="1308" spans="1:100">
      <c r="A1308" s="3" t="s">
        <v>14272</v>
      </c>
      <c r="B1308" s="4" t="s">
        <v>14273</v>
      </c>
      <c r="C1308">
        <v>3112.1140339163999</v>
      </c>
      <c r="D1308">
        <v>5733.4955402449204</v>
      </c>
      <c r="E1308">
        <f>0.881581638017495</f>
        <v>0.88158163801749501</v>
      </c>
      <c r="F1308" s="5">
        <v>5.7420705282194499E-5</v>
      </c>
      <c r="G1308" t="s">
        <v>4</v>
      </c>
      <c r="H1308">
        <v>3112.1140339163999</v>
      </c>
      <c r="I1308">
        <v>1119.3059659222799</v>
      </c>
      <c r="J1308">
        <v>1.47259347401408</v>
      </c>
      <c r="K1308" s="5">
        <v>2.3199091959079301E-12</v>
      </c>
      <c r="L1308" t="s">
        <v>4</v>
      </c>
      <c r="M1308">
        <v>5733.4955402449204</v>
      </c>
      <c r="N1308">
        <v>1119.3059659222799</v>
      </c>
      <c r="O1308">
        <v>2.3541751120315699</v>
      </c>
      <c r="P1308" s="5">
        <v>2.82398561076371E-30</v>
      </c>
      <c r="Q1308" t="s">
        <v>4</v>
      </c>
      <c r="R1308" s="4" t="s">
        <v>87</v>
      </c>
      <c r="S1308" t="s">
        <v>4</v>
      </c>
      <c r="T1308" t="s">
        <v>92</v>
      </c>
      <c r="U1308" t="s">
        <v>92</v>
      </c>
      <c r="V1308" t="s">
        <v>92</v>
      </c>
      <c r="W1308" t="s">
        <v>92</v>
      </c>
      <c r="X1308" t="s">
        <v>4</v>
      </c>
      <c r="Y1308" t="s">
        <v>14274</v>
      </c>
      <c r="Z1308" t="s">
        <v>14275</v>
      </c>
      <c r="AA1308" t="s">
        <v>14276</v>
      </c>
      <c r="AB1308" t="s">
        <v>4</v>
      </c>
      <c r="AC1308" s="3" t="s">
        <v>14277</v>
      </c>
      <c r="AD1308" t="s">
        <v>4</v>
      </c>
      <c r="AE1308" t="s">
        <v>14278</v>
      </c>
      <c r="AF1308" t="s">
        <v>834</v>
      </c>
      <c r="AG1308" t="s">
        <v>14279</v>
      </c>
      <c r="AH1308" t="s">
        <v>112</v>
      </c>
      <c r="AJ1308" t="s">
        <v>14280</v>
      </c>
      <c r="AL1308" t="s">
        <v>14281</v>
      </c>
      <c r="AM1308" t="s">
        <v>7647</v>
      </c>
      <c r="AN1308" t="s">
        <v>14282</v>
      </c>
      <c r="AQ1308" t="s">
        <v>14283</v>
      </c>
      <c r="AR1308" t="s">
        <v>14284</v>
      </c>
      <c r="AU1308" t="s">
        <v>112</v>
      </c>
      <c r="AV1308" t="s">
        <v>14285</v>
      </c>
      <c r="AW1308" t="s">
        <v>114</v>
      </c>
      <c r="AX1308" t="s">
        <v>5840</v>
      </c>
      <c r="AY1308" t="s">
        <v>14286</v>
      </c>
      <c r="AZ1308" t="s">
        <v>4</v>
      </c>
      <c r="BA1308" s="3" t="s">
        <v>115</v>
      </c>
      <c r="BB1308" s="6" t="s">
        <v>95</v>
      </c>
      <c r="BC1308" s="3" t="s">
        <v>95</v>
      </c>
      <c r="BD1308" t="s">
        <v>4</v>
      </c>
      <c r="BE1308">
        <v>10260</v>
      </c>
      <c r="BF1308" t="s">
        <v>169</v>
      </c>
      <c r="BG1308">
        <v>9.7345100000000002</v>
      </c>
      <c r="BH1308">
        <v>52.581099999999999</v>
      </c>
      <c r="BI1308" t="s">
        <v>14287</v>
      </c>
      <c r="BJ1308">
        <v>87.389399999999995</v>
      </c>
      <c r="BK1308">
        <v>73.008899999999997</v>
      </c>
      <c r="BM1308">
        <v>64.085499999999996</v>
      </c>
      <c r="BN1308">
        <v>82.743399999999994</v>
      </c>
      <c r="BO1308" t="s">
        <v>14288</v>
      </c>
      <c r="BP1308">
        <v>23.598800000000001</v>
      </c>
      <c r="BR1308">
        <v>20.427700000000002</v>
      </c>
      <c r="BS1308">
        <v>20.353999999999999</v>
      </c>
      <c r="BU1308">
        <v>21.902699999999999</v>
      </c>
      <c r="BV1308" t="s">
        <v>14289</v>
      </c>
      <c r="BX1308">
        <v>21.6814</v>
      </c>
      <c r="CA1308">
        <v>17.7729</v>
      </c>
      <c r="CC1308">
        <v>14.601800000000001</v>
      </c>
      <c r="CD1308" t="s">
        <v>14290</v>
      </c>
      <c r="CE1308" t="s">
        <v>14291</v>
      </c>
      <c r="CF1308">
        <v>14.7493</v>
      </c>
      <c r="CG1308">
        <v>16.371700000000001</v>
      </c>
      <c r="CH1308">
        <v>16.297899999999998</v>
      </c>
      <c r="CI1308">
        <v>13.2743</v>
      </c>
      <c r="CK1308">
        <v>9</v>
      </c>
      <c r="CL1308" t="s">
        <v>4</v>
      </c>
      <c r="CM1308" t="s">
        <v>14292</v>
      </c>
      <c r="CN1308" t="s">
        <v>14293</v>
      </c>
      <c r="CO1308" t="s">
        <v>99</v>
      </c>
      <c r="CP1308" t="s">
        <v>100</v>
      </c>
      <c r="CQ1308" t="s">
        <v>100</v>
      </c>
      <c r="CR1308" t="s">
        <v>100</v>
      </c>
      <c r="CS1308" s="7" t="s">
        <v>101</v>
      </c>
      <c r="CT1308" t="s">
        <v>152</v>
      </c>
      <c r="CU1308" t="s">
        <v>102</v>
      </c>
      <c r="CV1308" t="s">
        <v>100</v>
      </c>
    </row>
    <row r="1309" spans="1:100">
      <c r="A1309" s="3" t="s">
        <v>14294</v>
      </c>
      <c r="B1309" s="4" t="s">
        <v>14295</v>
      </c>
      <c r="C1309">
        <v>1261.73312947922</v>
      </c>
      <c r="D1309">
        <v>2085.2345556294399</v>
      </c>
      <c r="E1309">
        <f>0.724687355950708</f>
        <v>0.72468735595070799</v>
      </c>
      <c r="F1309">
        <v>3.4448507459014701E-3</v>
      </c>
      <c r="G1309" t="s">
        <v>4</v>
      </c>
      <c r="H1309">
        <v>1261.73312947922</v>
      </c>
      <c r="I1309">
        <v>406.43304468440903</v>
      </c>
      <c r="J1309">
        <v>1.62938268050506</v>
      </c>
      <c r="K1309" s="5">
        <v>4.0471887942704801E-12</v>
      </c>
      <c r="L1309" t="s">
        <v>4</v>
      </c>
      <c r="M1309">
        <v>2085.2345556294399</v>
      </c>
      <c r="N1309">
        <v>406.43304468440903</v>
      </c>
      <c r="O1309">
        <v>2.3540700364557701</v>
      </c>
      <c r="P1309" s="5">
        <v>1.9341210887006601E-24</v>
      </c>
      <c r="Q1309" t="s">
        <v>4</v>
      </c>
      <c r="R1309" s="4" t="s">
        <v>87</v>
      </c>
      <c r="S1309" t="s">
        <v>4</v>
      </c>
      <c r="T1309" t="s">
        <v>14296</v>
      </c>
      <c r="U1309" t="s">
        <v>14297</v>
      </c>
      <c r="V1309" t="s">
        <v>14298</v>
      </c>
      <c r="W1309" t="s">
        <v>328</v>
      </c>
      <c r="X1309" t="s">
        <v>4</v>
      </c>
      <c r="Y1309" t="s">
        <v>14299</v>
      </c>
      <c r="Z1309" t="s">
        <v>14300</v>
      </c>
      <c r="AA1309" t="s">
        <v>14301</v>
      </c>
      <c r="AB1309" t="s">
        <v>4</v>
      </c>
      <c r="AC1309" s="3" t="s">
        <v>14302</v>
      </c>
      <c r="AD1309" t="s">
        <v>4</v>
      </c>
      <c r="AE1309" t="s">
        <v>14303</v>
      </c>
      <c r="AF1309" t="s">
        <v>14304</v>
      </c>
      <c r="AG1309" t="s">
        <v>14305</v>
      </c>
      <c r="AH1309" t="s">
        <v>112</v>
      </c>
      <c r="AL1309" t="s">
        <v>14306</v>
      </c>
      <c r="AM1309" t="s">
        <v>7600</v>
      </c>
      <c r="AN1309" t="s">
        <v>8753</v>
      </c>
      <c r="AO1309" t="s">
        <v>7602</v>
      </c>
      <c r="AP1309" t="s">
        <v>7603</v>
      </c>
      <c r="AQ1309" t="s">
        <v>7604</v>
      </c>
      <c r="AU1309" t="s">
        <v>112</v>
      </c>
      <c r="AV1309" t="s">
        <v>14307</v>
      </c>
      <c r="AW1309" t="s">
        <v>114</v>
      </c>
      <c r="AX1309" t="s">
        <v>371</v>
      </c>
      <c r="AY1309" t="s">
        <v>14308</v>
      </c>
      <c r="AZ1309" t="s">
        <v>4</v>
      </c>
      <c r="BA1309" s="3" t="s">
        <v>95</v>
      </c>
      <c r="BB1309" s="6" t="s">
        <v>95</v>
      </c>
      <c r="BC1309" s="3" t="s">
        <v>95</v>
      </c>
      <c r="BD1309" t="s">
        <v>4</v>
      </c>
      <c r="BE1309">
        <v>8833</v>
      </c>
      <c r="BF1309" t="s">
        <v>169</v>
      </c>
      <c r="BG1309">
        <v>99.421999999999997</v>
      </c>
      <c r="BH1309">
        <v>100</v>
      </c>
      <c r="BI1309">
        <v>95.953800000000001</v>
      </c>
      <c r="BJ1309">
        <v>89.402699999999996</v>
      </c>
      <c r="BK1309">
        <v>56.647399999999998</v>
      </c>
      <c r="BL1309">
        <v>63.969200000000001</v>
      </c>
      <c r="BM1309">
        <v>89.595399999999998</v>
      </c>
      <c r="BN1309">
        <v>89.21</v>
      </c>
      <c r="BO1309">
        <v>87.090599999999995</v>
      </c>
      <c r="BP1309">
        <v>58.959499999999998</v>
      </c>
      <c r="BU1309">
        <v>28.901700000000002</v>
      </c>
      <c r="BV1309" t="s">
        <v>14309</v>
      </c>
      <c r="BW1309">
        <v>39.499000000000002</v>
      </c>
      <c r="BX1309">
        <v>44.701300000000003</v>
      </c>
      <c r="BY1309">
        <v>23.699400000000001</v>
      </c>
      <c r="BZ1309">
        <v>25.626200000000001</v>
      </c>
      <c r="CA1309">
        <v>39.884399999999999</v>
      </c>
      <c r="CB1309">
        <v>32.562600000000003</v>
      </c>
      <c r="CE1309">
        <v>16.184999999999999</v>
      </c>
      <c r="CF1309">
        <v>24.2775</v>
      </c>
      <c r="CG1309">
        <v>29.287099999999999</v>
      </c>
      <c r="CH1309">
        <v>29.865100000000002</v>
      </c>
      <c r="CI1309">
        <v>29.6724</v>
      </c>
      <c r="CJ1309">
        <v>15.0289</v>
      </c>
      <c r="CK1309">
        <v>9</v>
      </c>
      <c r="CL1309" t="s">
        <v>4</v>
      </c>
      <c r="CM1309" t="s">
        <v>14310</v>
      </c>
      <c r="CN1309" t="s">
        <v>14311</v>
      </c>
      <c r="CO1309" t="s">
        <v>219</v>
      </c>
      <c r="CP1309" t="s">
        <v>100</v>
      </c>
      <c r="CQ1309" t="s">
        <v>100</v>
      </c>
      <c r="CR1309" t="s">
        <v>100</v>
      </c>
      <c r="CS1309" s="7" t="s">
        <v>101</v>
      </c>
      <c r="CT1309" t="s">
        <v>152</v>
      </c>
      <c r="CU1309" t="s">
        <v>102</v>
      </c>
      <c r="CV1309" t="s">
        <v>100</v>
      </c>
    </row>
    <row r="1310" spans="1:100">
      <c r="A1310" s="3" t="s">
        <v>14312</v>
      </c>
      <c r="B1310" s="4" t="s">
        <v>14313</v>
      </c>
      <c r="C1310">
        <v>100.115233633315</v>
      </c>
      <c r="D1310">
        <v>82.094907996209102</v>
      </c>
      <c r="E1310">
        <v>0.28954497503007198</v>
      </c>
      <c r="F1310">
        <v>0.72626405540698002</v>
      </c>
      <c r="G1310" t="s">
        <v>4</v>
      </c>
      <c r="H1310">
        <v>100.115233633315</v>
      </c>
      <c r="I1310">
        <v>16.199001940205001</v>
      </c>
      <c r="J1310">
        <v>2.6376516525589899</v>
      </c>
      <c r="K1310">
        <v>3.9831938069814402E-4</v>
      </c>
      <c r="L1310" t="s">
        <v>4</v>
      </c>
      <c r="M1310">
        <v>82.094907996209102</v>
      </c>
      <c r="N1310">
        <v>16.199001940205001</v>
      </c>
      <c r="O1310">
        <v>2.3481066775289201</v>
      </c>
      <c r="P1310">
        <v>1.5657237651368601E-3</v>
      </c>
      <c r="Q1310" t="s">
        <v>4</v>
      </c>
      <c r="R1310" s="4" t="s">
        <v>87</v>
      </c>
      <c r="S1310" t="s">
        <v>4</v>
      </c>
      <c r="T1310" t="s">
        <v>270</v>
      </c>
      <c r="U1310" t="s">
        <v>271</v>
      </c>
      <c r="V1310" t="s">
        <v>272</v>
      </c>
      <c r="W1310" t="s">
        <v>203</v>
      </c>
      <c r="X1310" t="s">
        <v>4</v>
      </c>
      <c r="Y1310" t="s">
        <v>273</v>
      </c>
      <c r="Z1310" t="s">
        <v>274</v>
      </c>
      <c r="AA1310" t="s">
        <v>275</v>
      </c>
      <c r="AB1310" t="s">
        <v>4</v>
      </c>
      <c r="AC1310" s="3" t="s">
        <v>14314</v>
      </c>
      <c r="AD1310" t="s">
        <v>4</v>
      </c>
      <c r="AE1310" t="s">
        <v>14315</v>
      </c>
      <c r="AF1310" t="s">
        <v>14316</v>
      </c>
      <c r="AG1310" t="s">
        <v>14317</v>
      </c>
      <c r="AH1310" t="s">
        <v>112</v>
      </c>
      <c r="AU1310" t="s">
        <v>112</v>
      </c>
      <c r="AV1310" t="s">
        <v>14318</v>
      </c>
      <c r="AW1310" t="s">
        <v>114</v>
      </c>
      <c r="AX1310" t="s">
        <v>132</v>
      </c>
      <c r="AY1310" t="s">
        <v>14319</v>
      </c>
      <c r="AZ1310" t="s">
        <v>4</v>
      </c>
      <c r="BA1310" s="3" t="s">
        <v>115</v>
      </c>
      <c r="BB1310" s="6" t="s">
        <v>95</v>
      </c>
      <c r="BC1310" s="3" t="s">
        <v>95</v>
      </c>
      <c r="BD1310" t="s">
        <v>4</v>
      </c>
      <c r="BE1310">
        <v>5113</v>
      </c>
      <c r="BF1310" t="s">
        <v>282</v>
      </c>
      <c r="BG1310">
        <v>99.4</v>
      </c>
      <c r="BH1310">
        <v>51.8</v>
      </c>
      <c r="BI1310">
        <v>52</v>
      </c>
      <c r="BJ1310">
        <v>74.599999999999994</v>
      </c>
      <c r="BK1310">
        <v>79.8</v>
      </c>
      <c r="BO1310">
        <v>78.599999999999994</v>
      </c>
      <c r="BP1310" t="s">
        <v>14320</v>
      </c>
      <c r="BQ1310" t="s">
        <v>14321</v>
      </c>
      <c r="BR1310" t="s">
        <v>14322</v>
      </c>
      <c r="BT1310" t="s">
        <v>14323</v>
      </c>
      <c r="BU1310" t="s">
        <v>14324</v>
      </c>
      <c r="BV1310" t="s">
        <v>14325</v>
      </c>
      <c r="BX1310" t="s">
        <v>14326</v>
      </c>
      <c r="BZ1310">
        <v>30</v>
      </c>
      <c r="CA1310" t="s">
        <v>14327</v>
      </c>
      <c r="CK1310">
        <v>6</v>
      </c>
      <c r="CL1310" t="s">
        <v>4</v>
      </c>
      <c r="CM1310" t="s">
        <v>14328</v>
      </c>
      <c r="CN1310" t="s">
        <v>14329</v>
      </c>
      <c r="CO1310" t="s">
        <v>1467</v>
      </c>
      <c r="CP1310" t="s">
        <v>100</v>
      </c>
      <c r="CQ1310" t="s">
        <v>100</v>
      </c>
      <c r="CR1310" t="s">
        <v>100</v>
      </c>
      <c r="CS1310" t="s">
        <v>101</v>
      </c>
      <c r="CT1310" t="s">
        <v>152</v>
      </c>
      <c r="CU1310" t="s">
        <v>102</v>
      </c>
      <c r="CV1310" t="s">
        <v>100</v>
      </c>
    </row>
    <row r="1311" spans="1:100">
      <c r="A1311" s="3" t="s">
        <v>14330</v>
      </c>
      <c r="B1311" s="4" t="s">
        <v>14331</v>
      </c>
      <c r="C1311">
        <v>79.569272554213498</v>
      </c>
      <c r="D1311">
        <v>59.781726128674102</v>
      </c>
      <c r="E1311">
        <v>0.41690310928913599</v>
      </c>
      <c r="F1311">
        <v>0.33692021104992698</v>
      </c>
      <c r="G1311" t="s">
        <v>4</v>
      </c>
      <c r="H1311">
        <v>79.569272554213498</v>
      </c>
      <c r="I1311">
        <v>12.2970226113659</v>
      </c>
      <c r="J1311">
        <v>2.7607588069304301</v>
      </c>
      <c r="K1311" s="5">
        <v>6.0730661775023198E-9</v>
      </c>
      <c r="L1311" t="s">
        <v>4</v>
      </c>
      <c r="M1311">
        <v>59.781726128674102</v>
      </c>
      <c r="N1311">
        <v>12.2970226113659</v>
      </c>
      <c r="O1311">
        <v>2.3438556976412901</v>
      </c>
      <c r="P1311" s="5">
        <v>1.0092376201239901E-6</v>
      </c>
      <c r="Q1311" t="s">
        <v>4</v>
      </c>
      <c r="R1311" s="4" t="s">
        <v>87</v>
      </c>
      <c r="S1311" t="s">
        <v>4</v>
      </c>
      <c r="T1311" t="s">
        <v>92</v>
      </c>
      <c r="U1311" t="s">
        <v>92</v>
      </c>
      <c r="V1311" t="s">
        <v>92</v>
      </c>
      <c r="W1311" t="s">
        <v>92</v>
      </c>
      <c r="X1311" t="s">
        <v>4</v>
      </c>
      <c r="Y1311" t="s">
        <v>92</v>
      </c>
      <c r="Z1311" t="s">
        <v>92</v>
      </c>
      <c r="AA1311" t="s">
        <v>92</v>
      </c>
      <c r="AB1311" t="s">
        <v>4</v>
      </c>
      <c r="AC1311" s="3" t="s">
        <v>93</v>
      </c>
      <c r="AD1311" t="s">
        <v>4</v>
      </c>
      <c r="AE1311" s="4" t="s">
        <v>94</v>
      </c>
      <c r="AZ1311" t="s">
        <v>4</v>
      </c>
      <c r="BA1311" s="3" t="s">
        <v>95</v>
      </c>
      <c r="BB1311" s="6" t="s">
        <v>95</v>
      </c>
      <c r="BC1311" s="3" t="s">
        <v>95</v>
      </c>
      <c r="BD1311" t="s">
        <v>4</v>
      </c>
      <c r="BE1311">
        <v>138</v>
      </c>
      <c r="BF1311" t="s">
        <v>322</v>
      </c>
      <c r="CK1311">
        <v>1</v>
      </c>
      <c r="CL1311" t="s">
        <v>4</v>
      </c>
      <c r="CM1311" t="s">
        <v>98</v>
      </c>
      <c r="CN1311" t="s">
        <v>98</v>
      </c>
      <c r="CO1311" t="s">
        <v>99</v>
      </c>
      <c r="CP1311" t="s">
        <v>100</v>
      </c>
      <c r="CQ1311" t="s">
        <v>100</v>
      </c>
      <c r="CR1311" t="s">
        <v>100</v>
      </c>
      <c r="CS1311" t="s">
        <v>101</v>
      </c>
      <c r="CT1311" t="s">
        <v>152</v>
      </c>
      <c r="CU1311" t="s">
        <v>102</v>
      </c>
      <c r="CV1311" t="s">
        <v>100</v>
      </c>
    </row>
    <row r="1312" spans="1:100">
      <c r="A1312" s="3" t="s">
        <v>14332</v>
      </c>
      <c r="B1312" s="4" t="s">
        <v>14333</v>
      </c>
      <c r="C1312">
        <v>601.04699597330296</v>
      </c>
      <c r="D1312">
        <v>896.82090197031096</v>
      </c>
      <c r="E1312">
        <f>0.577315463026028</f>
        <v>0.57731546302602799</v>
      </c>
      <c r="F1312">
        <v>0.15566712878497099</v>
      </c>
      <c r="G1312" t="s">
        <v>4</v>
      </c>
      <c r="H1312">
        <v>601.04699597330296</v>
      </c>
      <c r="I1312">
        <v>175.863744332143</v>
      </c>
      <c r="J1312">
        <v>1.75920516627404</v>
      </c>
      <c r="K1312" s="5">
        <v>3.4081098949461698E-6</v>
      </c>
      <c r="L1312" t="s">
        <v>4</v>
      </c>
      <c r="M1312">
        <v>896.82090197031096</v>
      </c>
      <c r="N1312">
        <v>175.863744332143</v>
      </c>
      <c r="O1312">
        <v>2.33652062930007</v>
      </c>
      <c r="P1312" s="5">
        <v>2.5780658577959498E-10</v>
      </c>
      <c r="Q1312" t="s">
        <v>4</v>
      </c>
      <c r="R1312" s="4" t="s">
        <v>87</v>
      </c>
      <c r="S1312" t="s">
        <v>4</v>
      </c>
      <c r="T1312" t="s">
        <v>92</v>
      </c>
      <c r="U1312" t="s">
        <v>92</v>
      </c>
      <c r="V1312" t="s">
        <v>92</v>
      </c>
      <c r="W1312" t="s">
        <v>92</v>
      </c>
      <c r="X1312" t="s">
        <v>4</v>
      </c>
      <c r="Y1312" t="s">
        <v>14334</v>
      </c>
      <c r="Z1312" t="s">
        <v>14335</v>
      </c>
      <c r="AA1312" t="s">
        <v>14336</v>
      </c>
      <c r="AB1312" t="s">
        <v>4</v>
      </c>
      <c r="AC1312" s="3" t="s">
        <v>14337</v>
      </c>
      <c r="AD1312" t="s">
        <v>4</v>
      </c>
      <c r="AE1312" t="s">
        <v>14338</v>
      </c>
      <c r="AF1312" t="s">
        <v>14339</v>
      </c>
      <c r="AG1312" t="s">
        <v>14340</v>
      </c>
      <c r="AH1312" t="s">
        <v>112</v>
      </c>
      <c r="AJ1312" t="s">
        <v>14341</v>
      </c>
      <c r="AU1312" t="s">
        <v>112</v>
      </c>
      <c r="AV1312" t="s">
        <v>14342</v>
      </c>
      <c r="AW1312" t="s">
        <v>114</v>
      </c>
      <c r="AX1312" t="s">
        <v>144</v>
      </c>
      <c r="AY1312" t="s">
        <v>14343</v>
      </c>
      <c r="AZ1312" t="s">
        <v>4</v>
      </c>
      <c r="BA1312" s="3" t="s">
        <v>115</v>
      </c>
      <c r="BB1312" s="6" t="s">
        <v>95</v>
      </c>
      <c r="BC1312" s="3" t="s">
        <v>95</v>
      </c>
      <c r="BD1312" t="s">
        <v>4</v>
      </c>
      <c r="BE1312">
        <v>4112</v>
      </c>
      <c r="BF1312" t="s">
        <v>112</v>
      </c>
      <c r="BG1312">
        <v>98.908299999999997</v>
      </c>
      <c r="BH1312">
        <v>61.790399999999998</v>
      </c>
      <c r="BJ1312">
        <v>80.349299999999999</v>
      </c>
      <c r="BK1312">
        <v>77.292599999999993</v>
      </c>
      <c r="BL1312">
        <v>46.069899999999997</v>
      </c>
      <c r="BM1312">
        <v>76.637600000000006</v>
      </c>
      <c r="BN1312">
        <v>76.637600000000006</v>
      </c>
      <c r="BO1312">
        <v>68.777299999999997</v>
      </c>
      <c r="BP1312">
        <v>54.366799999999998</v>
      </c>
      <c r="BW1312">
        <v>32.532800000000002</v>
      </c>
      <c r="BX1312">
        <v>32.0961</v>
      </c>
      <c r="CA1312">
        <v>28.602599999999999</v>
      </c>
      <c r="CK1312">
        <v>5</v>
      </c>
      <c r="CL1312" t="s">
        <v>4</v>
      </c>
      <c r="CM1312" t="s">
        <v>14344</v>
      </c>
      <c r="CN1312" t="s">
        <v>14345</v>
      </c>
      <c r="CO1312" t="s">
        <v>219</v>
      </c>
      <c r="CP1312" t="s">
        <v>100</v>
      </c>
      <c r="CQ1312" t="s">
        <v>100</v>
      </c>
      <c r="CR1312" t="s">
        <v>100</v>
      </c>
      <c r="CS1312" s="7" t="s">
        <v>101</v>
      </c>
      <c r="CT1312" t="s">
        <v>152</v>
      </c>
      <c r="CU1312" t="s">
        <v>102</v>
      </c>
      <c r="CV1312" t="s">
        <v>100</v>
      </c>
    </row>
    <row r="1313" spans="1:100">
      <c r="A1313" s="3" t="s">
        <v>14346</v>
      </c>
      <c r="B1313" s="4" t="s">
        <v>14347</v>
      </c>
      <c r="C1313">
        <v>7470.8768023640096</v>
      </c>
      <c r="D1313">
        <v>7527.3926286890501</v>
      </c>
      <c r="E1313">
        <f>0.0108619178347495</f>
        <v>1.0861917834749499E-2</v>
      </c>
      <c r="F1313">
        <v>0.97378776856656601</v>
      </c>
      <c r="G1313" t="s">
        <v>4</v>
      </c>
      <c r="H1313">
        <v>7470.8768023640096</v>
      </c>
      <c r="I1313">
        <v>1490.9913142682601</v>
      </c>
      <c r="J1313">
        <v>2.3249193902343199</v>
      </c>
      <c r="K1313" s="5">
        <v>8.1019782973743001E-21</v>
      </c>
      <c r="L1313" t="s">
        <v>4</v>
      </c>
      <c r="M1313">
        <v>7527.3926286890501</v>
      </c>
      <c r="N1313">
        <v>1490.9913142682601</v>
      </c>
      <c r="O1313">
        <v>2.3357813080690701</v>
      </c>
      <c r="P1313" s="5">
        <v>3.8836150647531599E-21</v>
      </c>
      <c r="Q1313" t="s">
        <v>4</v>
      </c>
      <c r="R1313" s="4" t="s">
        <v>87</v>
      </c>
      <c r="S1313" t="s">
        <v>4</v>
      </c>
      <c r="T1313" t="s">
        <v>1201</v>
      </c>
      <c r="U1313" t="s">
        <v>1202</v>
      </c>
      <c r="V1313" t="s">
        <v>1203</v>
      </c>
      <c r="W1313" t="s">
        <v>123</v>
      </c>
      <c r="X1313" t="s">
        <v>4</v>
      </c>
      <c r="Y1313" t="s">
        <v>14348</v>
      </c>
      <c r="Z1313" t="s">
        <v>14349</v>
      </c>
      <c r="AA1313" t="s">
        <v>14350</v>
      </c>
      <c r="AB1313" t="s">
        <v>4</v>
      </c>
      <c r="AC1313" s="3" t="s">
        <v>14351</v>
      </c>
      <c r="AD1313" t="s">
        <v>4</v>
      </c>
      <c r="AE1313" t="s">
        <v>14352</v>
      </c>
      <c r="AF1313" t="s">
        <v>834</v>
      </c>
      <c r="AG1313" t="s">
        <v>14353</v>
      </c>
      <c r="AH1313" t="s">
        <v>112</v>
      </c>
      <c r="AU1313" t="s">
        <v>112</v>
      </c>
      <c r="AV1313" t="s">
        <v>14354</v>
      </c>
      <c r="AW1313" t="s">
        <v>114</v>
      </c>
      <c r="AX1313" t="s">
        <v>144</v>
      </c>
      <c r="AY1313" t="s">
        <v>14355</v>
      </c>
      <c r="AZ1313" t="s">
        <v>4</v>
      </c>
      <c r="BA1313" s="3" t="s">
        <v>95</v>
      </c>
      <c r="BB1313" s="6" t="s">
        <v>95</v>
      </c>
      <c r="BC1313" s="3" t="s">
        <v>95</v>
      </c>
      <c r="BD1313" t="s">
        <v>4</v>
      </c>
      <c r="BE1313">
        <v>4248</v>
      </c>
      <c r="BF1313" t="s">
        <v>112</v>
      </c>
      <c r="BG1313">
        <v>22.278199999999998</v>
      </c>
      <c r="BH1313">
        <v>51.915300000000002</v>
      </c>
      <c r="BI1313">
        <v>90.625</v>
      </c>
      <c r="BJ1313">
        <v>71.068600000000004</v>
      </c>
      <c r="BK1313">
        <v>69.254000000000005</v>
      </c>
      <c r="BL1313">
        <v>44.556399999999996</v>
      </c>
      <c r="BM1313">
        <v>68.145200000000003</v>
      </c>
      <c r="BN1313">
        <v>68.346800000000002</v>
      </c>
      <c r="BO1313">
        <v>67.641099999999994</v>
      </c>
      <c r="BP1313">
        <v>31.854800000000001</v>
      </c>
      <c r="CK1313">
        <v>5</v>
      </c>
      <c r="CL1313" t="s">
        <v>4</v>
      </c>
      <c r="CM1313" t="s">
        <v>98</v>
      </c>
      <c r="CN1313" t="s">
        <v>98</v>
      </c>
      <c r="CO1313" t="s">
        <v>99</v>
      </c>
      <c r="CP1313" t="s">
        <v>100</v>
      </c>
      <c r="CQ1313" t="s">
        <v>100</v>
      </c>
      <c r="CR1313" t="s">
        <v>100</v>
      </c>
      <c r="CS1313" t="s">
        <v>101</v>
      </c>
      <c r="CT1313" t="s">
        <v>152</v>
      </c>
      <c r="CU1313" t="s">
        <v>102</v>
      </c>
      <c r="CV1313" t="s">
        <v>100</v>
      </c>
    </row>
    <row r="1314" spans="1:100">
      <c r="A1314" s="3" t="s">
        <v>14356</v>
      </c>
      <c r="B1314" s="4" t="s">
        <v>14357</v>
      </c>
      <c r="C1314">
        <v>1614.4095380984099</v>
      </c>
      <c r="D1314">
        <v>2389.4973780636301</v>
      </c>
      <c r="E1314">
        <f>0.565668620269594</f>
        <v>0.56566862026959397</v>
      </c>
      <c r="F1314">
        <v>0.16516405451177199</v>
      </c>
      <c r="G1314" t="s">
        <v>4</v>
      </c>
      <c r="H1314">
        <v>1614.4095380984099</v>
      </c>
      <c r="I1314">
        <v>476.26553478040898</v>
      </c>
      <c r="J1314">
        <v>1.7556277633678401</v>
      </c>
      <c r="K1314" s="5">
        <v>2.7199264288726198E-6</v>
      </c>
      <c r="L1314" t="s">
        <v>4</v>
      </c>
      <c r="M1314">
        <v>2389.4973780636301</v>
      </c>
      <c r="N1314">
        <v>476.26553478040898</v>
      </c>
      <c r="O1314">
        <v>2.3212963836374301</v>
      </c>
      <c r="P1314" s="5">
        <v>2.13025499678955E-10</v>
      </c>
      <c r="Q1314" t="s">
        <v>4</v>
      </c>
      <c r="R1314" s="4" t="s">
        <v>87</v>
      </c>
      <c r="S1314" t="s">
        <v>4</v>
      </c>
      <c r="T1314" t="s">
        <v>14358</v>
      </c>
      <c r="U1314" t="s">
        <v>14359</v>
      </c>
      <c r="V1314" t="s">
        <v>14360</v>
      </c>
      <c r="W1314" t="s">
        <v>328</v>
      </c>
      <c r="X1314" t="s">
        <v>4</v>
      </c>
      <c r="Y1314" t="s">
        <v>6287</v>
      </c>
      <c r="Z1314" t="s">
        <v>6288</v>
      </c>
      <c r="AA1314" t="s">
        <v>6289</v>
      </c>
      <c r="AB1314" t="s">
        <v>4</v>
      </c>
      <c r="AC1314" s="3" t="s">
        <v>14361</v>
      </c>
      <c r="AD1314" t="s">
        <v>4</v>
      </c>
      <c r="AE1314" t="s">
        <v>14362</v>
      </c>
      <c r="AF1314" t="s">
        <v>14363</v>
      </c>
      <c r="AG1314" t="s">
        <v>10567</v>
      </c>
      <c r="AH1314" t="s">
        <v>112</v>
      </c>
      <c r="AJ1314" t="s">
        <v>14364</v>
      </c>
      <c r="AL1314" t="s">
        <v>14365</v>
      </c>
      <c r="AM1314" t="s">
        <v>14366</v>
      </c>
      <c r="AQ1314" t="s">
        <v>14367</v>
      </c>
      <c r="AU1314" t="s">
        <v>112</v>
      </c>
      <c r="AV1314" t="s">
        <v>14368</v>
      </c>
      <c r="AW1314" t="s">
        <v>114</v>
      </c>
      <c r="AX1314" t="s">
        <v>167</v>
      </c>
      <c r="AY1314" t="s">
        <v>8973</v>
      </c>
      <c r="AZ1314" t="s">
        <v>4</v>
      </c>
      <c r="BA1314" s="3" t="s">
        <v>95</v>
      </c>
      <c r="BB1314" s="6" t="s">
        <v>95</v>
      </c>
      <c r="BC1314" s="3" t="s">
        <v>95</v>
      </c>
      <c r="BD1314" t="s">
        <v>4</v>
      </c>
      <c r="BE1314">
        <v>10577</v>
      </c>
      <c r="BF1314" t="s">
        <v>169</v>
      </c>
      <c r="BG1314">
        <v>97.633099999999999</v>
      </c>
      <c r="BH1314">
        <v>91.124300000000005</v>
      </c>
      <c r="BI1314">
        <v>88.757400000000004</v>
      </c>
      <c r="BJ1314">
        <v>92.307699999999997</v>
      </c>
      <c r="BK1314">
        <v>84.615399999999994</v>
      </c>
      <c r="BL1314">
        <v>94.970399999999998</v>
      </c>
      <c r="BM1314">
        <v>93.787000000000006</v>
      </c>
      <c r="BN1314">
        <v>93.787000000000006</v>
      </c>
      <c r="BO1314">
        <v>81.656800000000004</v>
      </c>
      <c r="BP1314">
        <v>79.585800000000006</v>
      </c>
      <c r="BQ1314">
        <v>32.2485</v>
      </c>
      <c r="BR1314">
        <v>47.337299999999999</v>
      </c>
      <c r="BS1314">
        <v>51.479300000000002</v>
      </c>
      <c r="BT1314">
        <v>52.662700000000001</v>
      </c>
      <c r="BU1314">
        <v>50.591700000000003</v>
      </c>
      <c r="BV1314" t="s">
        <v>14369</v>
      </c>
      <c r="BW1314">
        <v>50</v>
      </c>
      <c r="BX1314">
        <v>54.437899999999999</v>
      </c>
      <c r="BZ1314">
        <v>52.958599999999997</v>
      </c>
      <c r="CA1314">
        <v>53.5503</v>
      </c>
      <c r="CB1314">
        <v>35.503</v>
      </c>
      <c r="CC1314">
        <v>46.153799999999997</v>
      </c>
      <c r="CD1314">
        <v>44.082799999999999</v>
      </c>
      <c r="CE1314">
        <v>39.3491</v>
      </c>
      <c r="CF1314">
        <v>39.940800000000003</v>
      </c>
      <c r="CG1314">
        <v>47.929000000000002</v>
      </c>
      <c r="CH1314">
        <v>47.929000000000002</v>
      </c>
      <c r="CI1314">
        <v>47.337299999999999</v>
      </c>
      <c r="CJ1314">
        <v>25.4438</v>
      </c>
      <c r="CK1314">
        <v>9</v>
      </c>
      <c r="CL1314" t="s">
        <v>4</v>
      </c>
      <c r="CM1314" t="s">
        <v>14370</v>
      </c>
      <c r="CN1314" t="s">
        <v>14371</v>
      </c>
      <c r="CO1314" t="s">
        <v>219</v>
      </c>
      <c r="CP1314" t="s">
        <v>100</v>
      </c>
      <c r="CQ1314" t="s">
        <v>100</v>
      </c>
      <c r="CR1314" t="s">
        <v>100</v>
      </c>
      <c r="CS1314" s="7" t="s">
        <v>101</v>
      </c>
      <c r="CT1314" t="s">
        <v>152</v>
      </c>
      <c r="CU1314" t="s">
        <v>102</v>
      </c>
      <c r="CV1314" t="s">
        <v>14372</v>
      </c>
    </row>
    <row r="1315" spans="1:100">
      <c r="A1315" s="3" t="s">
        <v>14373</v>
      </c>
      <c r="B1315" s="4" t="s">
        <v>14374</v>
      </c>
      <c r="C1315">
        <v>402.10272286808703</v>
      </c>
      <c r="D1315">
        <v>708.88948015643302</v>
      </c>
      <c r="E1315">
        <f>0.817357647591295</f>
        <v>0.81735764759129503</v>
      </c>
      <c r="F1315">
        <v>2.36286886391643E-2</v>
      </c>
      <c r="G1315" t="s">
        <v>4</v>
      </c>
      <c r="H1315">
        <v>402.10272286808703</v>
      </c>
      <c r="I1315">
        <v>140.61216876876199</v>
      </c>
      <c r="J1315">
        <v>1.49942761110256</v>
      </c>
      <c r="K1315" s="5">
        <v>1.6935640648938901E-5</v>
      </c>
      <c r="L1315" t="s">
        <v>4</v>
      </c>
      <c r="M1315">
        <v>708.88948015643302</v>
      </c>
      <c r="N1315">
        <v>140.61216876876199</v>
      </c>
      <c r="O1315">
        <v>2.31678525869386</v>
      </c>
      <c r="P1315" s="5">
        <v>6.4256439189775402E-12</v>
      </c>
      <c r="Q1315" t="s">
        <v>4</v>
      </c>
      <c r="R1315" s="4" t="s">
        <v>87</v>
      </c>
      <c r="S1315" t="s">
        <v>4</v>
      </c>
      <c r="T1315" t="s">
        <v>14375</v>
      </c>
      <c r="U1315" t="s">
        <v>14376</v>
      </c>
      <c r="V1315" t="s">
        <v>14377</v>
      </c>
      <c r="W1315" t="s">
        <v>976</v>
      </c>
      <c r="X1315" t="s">
        <v>4</v>
      </c>
      <c r="Y1315" t="s">
        <v>14378</v>
      </c>
      <c r="Z1315" t="s">
        <v>14379</v>
      </c>
      <c r="AA1315" t="s">
        <v>14380</v>
      </c>
      <c r="AB1315" t="s">
        <v>4</v>
      </c>
      <c r="AC1315" s="3" t="s">
        <v>14381</v>
      </c>
      <c r="AD1315" t="s">
        <v>4</v>
      </c>
      <c r="AE1315" t="s">
        <v>14382</v>
      </c>
      <c r="AF1315" t="s">
        <v>14383</v>
      </c>
      <c r="AG1315" t="s">
        <v>14384</v>
      </c>
      <c r="AH1315" t="s">
        <v>112</v>
      </c>
      <c r="AL1315" t="s">
        <v>14385</v>
      </c>
      <c r="AM1315" t="s">
        <v>14386</v>
      </c>
      <c r="AN1315" t="s">
        <v>14387</v>
      </c>
      <c r="AO1315" t="s">
        <v>14388</v>
      </c>
      <c r="AP1315" t="s">
        <v>14389</v>
      </c>
      <c r="AQ1315" t="s">
        <v>5151</v>
      </c>
      <c r="AU1315" t="s">
        <v>112</v>
      </c>
      <c r="AV1315" t="s">
        <v>14390</v>
      </c>
      <c r="AW1315" t="s">
        <v>114</v>
      </c>
      <c r="AX1315" t="s">
        <v>1756</v>
      </c>
      <c r="AY1315" t="s">
        <v>14391</v>
      </c>
      <c r="AZ1315" t="s">
        <v>4</v>
      </c>
      <c r="BA1315" s="3" t="s">
        <v>95</v>
      </c>
      <c r="BB1315" s="6" t="s">
        <v>95</v>
      </c>
      <c r="BC1315" s="3" t="s">
        <v>95</v>
      </c>
      <c r="BD1315" t="s">
        <v>4</v>
      </c>
      <c r="BE1315">
        <v>9174</v>
      </c>
      <c r="BF1315" t="s">
        <v>169</v>
      </c>
      <c r="BG1315">
        <v>97.590400000000002</v>
      </c>
      <c r="BH1315">
        <v>99.397599999999997</v>
      </c>
      <c r="BI1315" t="s">
        <v>14392</v>
      </c>
      <c r="BK1315">
        <v>70.481899999999996</v>
      </c>
      <c r="BM1315">
        <v>83.734899999999996</v>
      </c>
      <c r="BN1315">
        <v>84.337299999999999</v>
      </c>
      <c r="BO1315">
        <v>77.710800000000006</v>
      </c>
      <c r="BP1315">
        <v>42.771099999999997</v>
      </c>
      <c r="BQ1315">
        <v>42.771099999999997</v>
      </c>
      <c r="BR1315">
        <v>53.012</v>
      </c>
      <c r="BS1315">
        <v>43.975900000000003</v>
      </c>
      <c r="BT1315">
        <v>36.747</v>
      </c>
      <c r="BU1315">
        <v>42.168700000000001</v>
      </c>
      <c r="BV1315" t="s">
        <v>14393</v>
      </c>
      <c r="BX1315">
        <v>44.578299999999999</v>
      </c>
      <c r="CB1315">
        <v>35.542200000000001</v>
      </c>
      <c r="CC1315">
        <v>41.566299999999998</v>
      </c>
      <c r="CD1315">
        <v>40.361400000000003</v>
      </c>
      <c r="CE1315">
        <v>33.734900000000003</v>
      </c>
      <c r="CF1315">
        <v>43.3735</v>
      </c>
      <c r="CG1315" t="s">
        <v>14394</v>
      </c>
      <c r="CH1315">
        <v>41.566299999999998</v>
      </c>
      <c r="CJ1315">
        <v>33.1325</v>
      </c>
      <c r="CK1315">
        <v>9</v>
      </c>
      <c r="CL1315" t="s">
        <v>4</v>
      </c>
      <c r="CM1315" t="s">
        <v>98</v>
      </c>
      <c r="CN1315" t="s">
        <v>98</v>
      </c>
      <c r="CO1315" t="s">
        <v>99</v>
      </c>
      <c r="CP1315" t="s">
        <v>100</v>
      </c>
      <c r="CQ1315" t="s">
        <v>100</v>
      </c>
      <c r="CR1315" t="s">
        <v>100</v>
      </c>
      <c r="CS1315" s="7" t="s">
        <v>101</v>
      </c>
      <c r="CT1315" t="s">
        <v>152</v>
      </c>
      <c r="CU1315" t="s">
        <v>102</v>
      </c>
      <c r="CV1315" t="s">
        <v>100</v>
      </c>
    </row>
    <row r="1316" spans="1:100">
      <c r="A1316" s="3" t="s">
        <v>14395</v>
      </c>
      <c r="B1316" s="4" t="s">
        <v>14396</v>
      </c>
      <c r="C1316">
        <v>51.236889752957303</v>
      </c>
      <c r="D1316">
        <v>51.608292698387302</v>
      </c>
      <c r="E1316">
        <f>0.0120314376380772</f>
        <v>1.2031437638077199E-2</v>
      </c>
      <c r="F1316">
        <v>0.98758800963259596</v>
      </c>
      <c r="G1316" t="s">
        <v>4</v>
      </c>
      <c r="H1316">
        <v>51.236889752957303</v>
      </c>
      <c r="I1316">
        <v>10.5216911491927</v>
      </c>
      <c r="J1316">
        <v>2.3015132470439399</v>
      </c>
      <c r="K1316">
        <v>1.3354967227432401E-3</v>
      </c>
      <c r="L1316" t="s">
        <v>4</v>
      </c>
      <c r="M1316">
        <v>51.608292698387302</v>
      </c>
      <c r="N1316">
        <v>10.5216911491927</v>
      </c>
      <c r="O1316">
        <v>2.3135446846820198</v>
      </c>
      <c r="P1316">
        <v>1.1287574263675001E-3</v>
      </c>
      <c r="Q1316" t="s">
        <v>4</v>
      </c>
      <c r="R1316" s="4" t="s">
        <v>87</v>
      </c>
      <c r="S1316" t="s">
        <v>4</v>
      </c>
      <c r="T1316" t="s">
        <v>92</v>
      </c>
      <c r="U1316" t="s">
        <v>92</v>
      </c>
      <c r="V1316" t="s">
        <v>92</v>
      </c>
      <c r="W1316" t="s">
        <v>92</v>
      </c>
      <c r="X1316" t="s">
        <v>4</v>
      </c>
      <c r="Y1316" t="s">
        <v>4755</v>
      </c>
      <c r="Z1316" t="s">
        <v>4756</v>
      </c>
      <c r="AA1316" t="s">
        <v>4757</v>
      </c>
      <c r="AB1316" t="s">
        <v>4</v>
      </c>
      <c r="AC1316" s="3" t="s">
        <v>14397</v>
      </c>
      <c r="AD1316" t="s">
        <v>4</v>
      </c>
      <c r="AE1316" t="s">
        <v>14398</v>
      </c>
      <c r="AF1316" t="s">
        <v>14399</v>
      </c>
      <c r="AG1316" t="s">
        <v>14400</v>
      </c>
      <c r="AH1316" t="s">
        <v>112</v>
      </c>
      <c r="AU1316" t="s">
        <v>112</v>
      </c>
      <c r="AV1316" t="s">
        <v>14401</v>
      </c>
      <c r="AW1316" t="s">
        <v>114</v>
      </c>
      <c r="AX1316" t="s">
        <v>144</v>
      </c>
      <c r="AY1316" t="s">
        <v>4763</v>
      </c>
      <c r="AZ1316" t="s">
        <v>4</v>
      </c>
      <c r="BA1316" s="3" t="s">
        <v>95</v>
      </c>
      <c r="BB1316" s="6" t="s">
        <v>95</v>
      </c>
      <c r="BC1316" s="3" t="s">
        <v>197</v>
      </c>
      <c r="BD1316" t="s">
        <v>4</v>
      </c>
      <c r="BE1316">
        <v>3565</v>
      </c>
      <c r="BF1316" t="s">
        <v>112</v>
      </c>
      <c r="BG1316">
        <v>99.264700000000005</v>
      </c>
      <c r="BH1316">
        <v>99.632400000000004</v>
      </c>
      <c r="BJ1316">
        <v>79.0441</v>
      </c>
      <c r="BL1316">
        <v>72.058800000000005</v>
      </c>
      <c r="BM1316" t="s">
        <v>14402</v>
      </c>
      <c r="BN1316" t="s">
        <v>14403</v>
      </c>
      <c r="BO1316">
        <v>72.7941</v>
      </c>
      <c r="BP1316" t="s">
        <v>14404</v>
      </c>
      <c r="BQ1316">
        <v>41.911799999999999</v>
      </c>
      <c r="BR1316">
        <v>25.735299999999999</v>
      </c>
      <c r="BS1316">
        <v>41.176499999999997</v>
      </c>
      <c r="BT1316">
        <v>34.926499999999997</v>
      </c>
      <c r="BU1316">
        <v>37.867600000000003</v>
      </c>
      <c r="BV1316">
        <v>38.235300000000002</v>
      </c>
      <c r="BW1316">
        <v>41.176499999999997</v>
      </c>
      <c r="BZ1316">
        <v>44.852899999999998</v>
      </c>
      <c r="CA1316">
        <v>42.279400000000003</v>
      </c>
      <c r="CK1316">
        <v>5</v>
      </c>
      <c r="CL1316" t="s">
        <v>4</v>
      </c>
      <c r="CM1316" t="s">
        <v>14405</v>
      </c>
      <c r="CN1316" t="s">
        <v>14406</v>
      </c>
      <c r="CO1316" t="s">
        <v>219</v>
      </c>
      <c r="CP1316" t="s">
        <v>100</v>
      </c>
      <c r="CQ1316" t="s">
        <v>100</v>
      </c>
      <c r="CR1316" t="s">
        <v>100</v>
      </c>
      <c r="CS1316" t="s">
        <v>101</v>
      </c>
      <c r="CT1316" t="s">
        <v>152</v>
      </c>
      <c r="CU1316" t="s">
        <v>102</v>
      </c>
      <c r="CV1316" t="s">
        <v>100</v>
      </c>
    </row>
    <row r="1317" spans="1:100">
      <c r="A1317" s="3" t="s">
        <v>14407</v>
      </c>
      <c r="B1317" s="4" t="s">
        <v>14408</v>
      </c>
      <c r="C1317">
        <v>80.075328223350098</v>
      </c>
      <c r="D1317">
        <v>38.387860710862199</v>
      </c>
      <c r="E1317">
        <v>1.0617818186544601</v>
      </c>
      <c r="F1317">
        <v>5.3532464927262997E-2</v>
      </c>
      <c r="G1317" t="s">
        <v>4</v>
      </c>
      <c r="H1317">
        <v>80.075328223350098</v>
      </c>
      <c r="I1317">
        <v>7.6560322639363401</v>
      </c>
      <c r="J1317">
        <v>3.3743742911816099</v>
      </c>
      <c r="K1317" s="5">
        <v>3.5997802011746599E-8</v>
      </c>
      <c r="L1317" t="s">
        <v>4</v>
      </c>
      <c r="M1317">
        <v>38.387860710862199</v>
      </c>
      <c r="N1317">
        <v>7.6560322639363401</v>
      </c>
      <c r="O1317">
        <v>2.3125924725271401</v>
      </c>
      <c r="P1317">
        <v>2.3493299957265301E-4</v>
      </c>
      <c r="Q1317" t="s">
        <v>4</v>
      </c>
      <c r="R1317" s="4" t="s">
        <v>87</v>
      </c>
      <c r="S1317" t="s">
        <v>4</v>
      </c>
      <c r="T1317" t="s">
        <v>2358</v>
      </c>
      <c r="U1317" t="s">
        <v>2359</v>
      </c>
      <c r="V1317" t="s">
        <v>2360</v>
      </c>
      <c r="W1317" t="s">
        <v>507</v>
      </c>
      <c r="X1317" t="s">
        <v>4</v>
      </c>
      <c r="Y1317" t="s">
        <v>2361</v>
      </c>
      <c r="Z1317" t="s">
        <v>2362</v>
      </c>
      <c r="AA1317" t="s">
        <v>2363</v>
      </c>
      <c r="AB1317" t="s">
        <v>4</v>
      </c>
      <c r="AC1317" s="3" t="s">
        <v>2364</v>
      </c>
      <c r="AD1317" t="s">
        <v>4</v>
      </c>
      <c r="AE1317" t="s">
        <v>14409</v>
      </c>
      <c r="AF1317" t="s">
        <v>14410</v>
      </c>
      <c r="AG1317" t="s">
        <v>14075</v>
      </c>
      <c r="AH1317" t="s">
        <v>112</v>
      </c>
      <c r="AL1317" t="s">
        <v>14411</v>
      </c>
      <c r="AM1317" t="s">
        <v>14412</v>
      </c>
      <c r="AQ1317" t="s">
        <v>1584</v>
      </c>
      <c r="AU1317" t="s">
        <v>112</v>
      </c>
      <c r="AV1317" t="s">
        <v>14413</v>
      </c>
      <c r="AW1317" t="s">
        <v>114</v>
      </c>
      <c r="AX1317" t="s">
        <v>371</v>
      </c>
      <c r="AY1317" t="s">
        <v>2369</v>
      </c>
      <c r="AZ1317" t="s">
        <v>4</v>
      </c>
      <c r="BA1317" s="3" t="s">
        <v>95</v>
      </c>
      <c r="BB1317" s="6" t="s">
        <v>95</v>
      </c>
      <c r="BC1317" s="3" t="s">
        <v>95</v>
      </c>
      <c r="BD1317" t="s">
        <v>4</v>
      </c>
      <c r="BE1317">
        <v>6620</v>
      </c>
      <c r="BF1317" t="s">
        <v>213</v>
      </c>
      <c r="BG1317" t="s">
        <v>14414</v>
      </c>
      <c r="BI1317">
        <v>92.493300000000005</v>
      </c>
      <c r="BP1317">
        <v>49.866</v>
      </c>
      <c r="BQ1317">
        <v>44.772100000000002</v>
      </c>
      <c r="BS1317">
        <v>26.541599999999999</v>
      </c>
      <c r="BT1317" t="s">
        <v>14415</v>
      </c>
      <c r="BV1317" t="s">
        <v>14416</v>
      </c>
      <c r="BX1317">
        <v>29.490600000000001</v>
      </c>
      <c r="BZ1317">
        <v>29.490600000000001</v>
      </c>
      <c r="CA1317">
        <v>26.273499999999999</v>
      </c>
      <c r="CB1317">
        <v>21.447700000000001</v>
      </c>
      <c r="CC1317">
        <v>27.882000000000001</v>
      </c>
      <c r="CD1317">
        <v>29.2225</v>
      </c>
      <c r="CG1317">
        <v>25.737300000000001</v>
      </c>
      <c r="CH1317">
        <v>25.737300000000001</v>
      </c>
      <c r="CI1317">
        <v>25.469200000000001</v>
      </c>
      <c r="CK1317">
        <v>8</v>
      </c>
      <c r="CL1317" t="s">
        <v>4</v>
      </c>
      <c r="CM1317" t="s">
        <v>14417</v>
      </c>
      <c r="CN1317" t="s">
        <v>14418</v>
      </c>
      <c r="CO1317" t="s">
        <v>99</v>
      </c>
      <c r="CP1317" t="s">
        <v>100</v>
      </c>
      <c r="CQ1317" t="s">
        <v>100</v>
      </c>
      <c r="CR1317" t="s">
        <v>100</v>
      </c>
      <c r="CS1317" t="s">
        <v>101</v>
      </c>
      <c r="CT1317" t="s">
        <v>152</v>
      </c>
      <c r="CU1317" t="s">
        <v>102</v>
      </c>
      <c r="CV1317" t="s">
        <v>100</v>
      </c>
    </row>
    <row r="1318" spans="1:100">
      <c r="A1318" s="3" t="s">
        <v>14419</v>
      </c>
      <c r="B1318" s="4" t="s">
        <v>14420</v>
      </c>
      <c r="C1318">
        <v>253.23295708453799</v>
      </c>
      <c r="D1318">
        <v>109.68408359003899</v>
      </c>
      <c r="E1318">
        <v>1.2055729950777501</v>
      </c>
      <c r="F1318">
        <v>8.0766801502242594E-2</v>
      </c>
      <c r="G1318" t="s">
        <v>4</v>
      </c>
      <c r="H1318">
        <v>253.23295708453799</v>
      </c>
      <c r="I1318">
        <v>21.295637305293202</v>
      </c>
      <c r="J1318">
        <v>3.5160676685179899</v>
      </c>
      <c r="K1318" s="5">
        <v>1.2537279936068601E-7</v>
      </c>
      <c r="L1318" t="s">
        <v>4</v>
      </c>
      <c r="M1318">
        <v>109.68408359003899</v>
      </c>
      <c r="N1318">
        <v>21.295637305293202</v>
      </c>
      <c r="O1318">
        <v>2.3104946734402301</v>
      </c>
      <c r="P1318">
        <v>6.4126504995951896E-4</v>
      </c>
      <c r="Q1318" t="s">
        <v>4</v>
      </c>
      <c r="R1318" s="4" t="s">
        <v>87</v>
      </c>
      <c r="S1318" t="s">
        <v>4</v>
      </c>
      <c r="T1318" t="s">
        <v>2243</v>
      </c>
      <c r="U1318" t="s">
        <v>2244</v>
      </c>
      <c r="V1318" t="s">
        <v>2245</v>
      </c>
      <c r="W1318" t="s">
        <v>123</v>
      </c>
      <c r="X1318" t="s">
        <v>4</v>
      </c>
      <c r="Y1318" t="s">
        <v>14421</v>
      </c>
      <c r="Z1318" t="s">
        <v>14422</v>
      </c>
      <c r="AA1318" t="s">
        <v>14423</v>
      </c>
      <c r="AB1318" t="s">
        <v>4</v>
      </c>
      <c r="AC1318" s="3" t="s">
        <v>14424</v>
      </c>
      <c r="AD1318" t="s">
        <v>4</v>
      </c>
      <c r="AE1318" t="s">
        <v>14425</v>
      </c>
      <c r="AF1318" t="s">
        <v>14426</v>
      </c>
      <c r="AG1318" t="s">
        <v>14427</v>
      </c>
      <c r="AH1318" t="s">
        <v>112</v>
      </c>
      <c r="AU1318" t="s">
        <v>112</v>
      </c>
      <c r="AV1318" t="s">
        <v>14428</v>
      </c>
      <c r="AW1318" t="s">
        <v>114</v>
      </c>
      <c r="AX1318" t="s">
        <v>144</v>
      </c>
      <c r="AY1318" t="s">
        <v>14429</v>
      </c>
      <c r="AZ1318" t="s">
        <v>4</v>
      </c>
      <c r="BA1318" s="3" t="s">
        <v>95</v>
      </c>
      <c r="BB1318" s="6" t="s">
        <v>95</v>
      </c>
      <c r="BC1318" s="3" t="s">
        <v>95</v>
      </c>
      <c r="BD1318" t="s">
        <v>4</v>
      </c>
      <c r="BE1318">
        <v>4551</v>
      </c>
      <c r="BF1318" t="s">
        <v>112</v>
      </c>
      <c r="BG1318">
        <v>78.186999999999998</v>
      </c>
      <c r="BI1318">
        <v>77.337100000000007</v>
      </c>
      <c r="BJ1318">
        <v>64.872500000000002</v>
      </c>
      <c r="BK1318">
        <v>64.0227</v>
      </c>
      <c r="BN1318">
        <v>67.705399999999997</v>
      </c>
      <c r="BP1318">
        <v>39.6601</v>
      </c>
      <c r="BQ1318">
        <v>33.710999999999999</v>
      </c>
      <c r="BR1318">
        <v>35.694000000000003</v>
      </c>
      <c r="BS1318">
        <v>35.410800000000002</v>
      </c>
      <c r="BX1318">
        <v>32.861199999999997</v>
      </c>
      <c r="BY1318">
        <v>29.745000000000001</v>
      </c>
      <c r="BZ1318">
        <v>34.560899999999997</v>
      </c>
      <c r="CA1318">
        <v>36.260599999999997</v>
      </c>
      <c r="CC1318">
        <v>8.7818699999999996</v>
      </c>
      <c r="CD1318">
        <v>8.2152999999999992</v>
      </c>
      <c r="CF1318">
        <v>12.464600000000001</v>
      </c>
      <c r="CG1318" t="s">
        <v>14430</v>
      </c>
      <c r="CH1318" t="s">
        <v>14431</v>
      </c>
      <c r="CI1318" t="s">
        <v>14432</v>
      </c>
      <c r="CK1318">
        <v>5</v>
      </c>
      <c r="CL1318" t="s">
        <v>4</v>
      </c>
      <c r="CM1318" t="s">
        <v>14433</v>
      </c>
      <c r="CN1318" t="s">
        <v>14434</v>
      </c>
      <c r="CO1318" t="s">
        <v>99</v>
      </c>
      <c r="CP1318" t="s">
        <v>100</v>
      </c>
      <c r="CQ1318" t="s">
        <v>100</v>
      </c>
      <c r="CR1318" t="s">
        <v>100</v>
      </c>
      <c r="CS1318" t="s">
        <v>101</v>
      </c>
      <c r="CT1318" t="s">
        <v>152</v>
      </c>
      <c r="CU1318" t="s">
        <v>102</v>
      </c>
      <c r="CV1318" t="s">
        <v>100</v>
      </c>
    </row>
    <row r="1319" spans="1:100">
      <c r="A1319" s="3" t="s">
        <v>14435</v>
      </c>
      <c r="B1319" s="4" t="s">
        <v>14436</v>
      </c>
      <c r="C1319">
        <v>2239.6058156213498</v>
      </c>
      <c r="D1319">
        <v>3107.74211234616</v>
      </c>
      <c r="E1319">
        <f>0.4724807557762</f>
        <v>0.47248075577620002</v>
      </c>
      <c r="F1319">
        <v>1.7159540052885398E-2</v>
      </c>
      <c r="G1319" t="s">
        <v>4</v>
      </c>
      <c r="H1319">
        <v>2239.6058156213498</v>
      </c>
      <c r="I1319">
        <v>626.72868147307599</v>
      </c>
      <c r="J1319">
        <v>1.83571018257972</v>
      </c>
      <c r="K1319" s="5">
        <v>1.21977560915527E-23</v>
      </c>
      <c r="L1319" t="s">
        <v>4</v>
      </c>
      <c r="M1319">
        <v>3107.74211234616</v>
      </c>
      <c r="N1319">
        <v>626.72868147307599</v>
      </c>
      <c r="O1319">
        <v>2.3081909383559198</v>
      </c>
      <c r="P1319" s="5">
        <v>5.4133754731417503E-37</v>
      </c>
      <c r="Q1319" t="s">
        <v>4</v>
      </c>
      <c r="R1319" s="4" t="s">
        <v>87</v>
      </c>
      <c r="S1319" t="s">
        <v>4</v>
      </c>
      <c r="T1319" t="s">
        <v>14437</v>
      </c>
      <c r="U1319" t="s">
        <v>14438</v>
      </c>
      <c r="V1319" t="s">
        <v>14439</v>
      </c>
      <c r="W1319" t="s">
        <v>328</v>
      </c>
      <c r="X1319" t="s">
        <v>4</v>
      </c>
      <c r="Y1319" t="s">
        <v>14440</v>
      </c>
      <c r="Z1319" t="s">
        <v>14441</v>
      </c>
      <c r="AA1319" t="s">
        <v>14442</v>
      </c>
      <c r="AB1319" t="s">
        <v>4</v>
      </c>
      <c r="AC1319" s="3" t="s">
        <v>14443</v>
      </c>
      <c r="AD1319" t="s">
        <v>4</v>
      </c>
      <c r="AE1319" t="s">
        <v>14444</v>
      </c>
      <c r="AF1319" t="s">
        <v>834</v>
      </c>
      <c r="AG1319" t="s">
        <v>14445</v>
      </c>
      <c r="AH1319" t="s">
        <v>112</v>
      </c>
      <c r="AJ1319" t="s">
        <v>14446</v>
      </c>
      <c r="AL1319" t="s">
        <v>14447</v>
      </c>
      <c r="AM1319" t="s">
        <v>14448</v>
      </c>
      <c r="AN1319" t="s">
        <v>14449</v>
      </c>
      <c r="AQ1319" t="s">
        <v>14450</v>
      </c>
      <c r="AU1319" t="s">
        <v>112</v>
      </c>
      <c r="AV1319" t="s">
        <v>14451</v>
      </c>
      <c r="AW1319" t="s">
        <v>114</v>
      </c>
      <c r="AX1319" t="s">
        <v>733</v>
      </c>
      <c r="AY1319" t="s">
        <v>14452</v>
      </c>
      <c r="AZ1319" t="s">
        <v>4</v>
      </c>
      <c r="BA1319" s="3" t="s">
        <v>115</v>
      </c>
      <c r="BB1319" s="6" t="s">
        <v>95</v>
      </c>
      <c r="BC1319" s="3" t="s">
        <v>95</v>
      </c>
      <c r="BD1319" t="s">
        <v>4</v>
      </c>
      <c r="BE1319">
        <v>10274</v>
      </c>
      <c r="BF1319" t="s">
        <v>169</v>
      </c>
      <c r="BG1319">
        <v>100</v>
      </c>
      <c r="BH1319">
        <v>53.344200000000001</v>
      </c>
      <c r="BI1319">
        <v>95.432299999999998</v>
      </c>
      <c r="BJ1319">
        <v>89.722700000000003</v>
      </c>
      <c r="BK1319">
        <v>84.013099999999994</v>
      </c>
      <c r="BL1319">
        <v>47.308300000000003</v>
      </c>
      <c r="BM1319">
        <v>25.122299999999999</v>
      </c>
      <c r="BN1319">
        <v>86.623199999999997</v>
      </c>
      <c r="BO1319">
        <v>88.254499999999993</v>
      </c>
      <c r="BP1319">
        <v>14.681900000000001</v>
      </c>
      <c r="BR1319" t="s">
        <v>14453</v>
      </c>
      <c r="BW1319">
        <v>34.2577</v>
      </c>
      <c r="BX1319">
        <v>39.151699999999998</v>
      </c>
      <c r="BY1319" t="s">
        <v>14454</v>
      </c>
      <c r="BZ1319">
        <v>20.228400000000001</v>
      </c>
      <c r="CA1319" t="s">
        <v>14455</v>
      </c>
      <c r="CB1319">
        <v>25.122299999999999</v>
      </c>
      <c r="CC1319" t="s">
        <v>14456</v>
      </c>
      <c r="CD1319">
        <v>25.285499999999999</v>
      </c>
      <c r="CE1319">
        <v>24.469799999999999</v>
      </c>
      <c r="CF1319">
        <v>25.448599999999999</v>
      </c>
      <c r="CG1319">
        <v>27.732500000000002</v>
      </c>
      <c r="CH1319">
        <v>26.916799999999999</v>
      </c>
      <c r="CI1319">
        <v>26.916799999999999</v>
      </c>
      <c r="CJ1319">
        <v>26.101099999999999</v>
      </c>
      <c r="CK1319">
        <v>9</v>
      </c>
      <c r="CL1319" t="s">
        <v>4</v>
      </c>
      <c r="CM1319" t="s">
        <v>14457</v>
      </c>
      <c r="CN1319" t="s">
        <v>14458</v>
      </c>
      <c r="CO1319" t="s">
        <v>1745</v>
      </c>
      <c r="CP1319" t="s">
        <v>100</v>
      </c>
      <c r="CQ1319" t="s">
        <v>100</v>
      </c>
      <c r="CR1319" t="s">
        <v>100</v>
      </c>
      <c r="CS1319" s="7" t="s">
        <v>101</v>
      </c>
      <c r="CT1319" t="s">
        <v>152</v>
      </c>
      <c r="CU1319" t="s">
        <v>102</v>
      </c>
      <c r="CV1319" t="s">
        <v>100</v>
      </c>
    </row>
    <row r="1320" spans="1:100">
      <c r="A1320" s="3" t="s">
        <v>14459</v>
      </c>
      <c r="B1320" s="4" t="s">
        <v>14460</v>
      </c>
      <c r="C1320">
        <v>54.8991983346247</v>
      </c>
      <c r="D1320">
        <v>26.494609513733</v>
      </c>
      <c r="E1320">
        <v>1.0562064594004901</v>
      </c>
      <c r="F1320">
        <v>0.12098494295002001</v>
      </c>
      <c r="G1320" t="s">
        <v>4</v>
      </c>
      <c r="H1320">
        <v>54.8991983346247</v>
      </c>
      <c r="I1320">
        <v>5.2368617280455201</v>
      </c>
      <c r="J1320">
        <v>3.3639714537287899</v>
      </c>
      <c r="K1320" s="5">
        <v>8.3615744721241406E-6</v>
      </c>
      <c r="L1320" t="s">
        <v>4</v>
      </c>
      <c r="M1320">
        <v>26.494609513733</v>
      </c>
      <c r="N1320">
        <v>5.2368617280455201</v>
      </c>
      <c r="O1320">
        <v>2.3077649943282998</v>
      </c>
      <c r="P1320">
        <v>2.8798550858365698E-3</v>
      </c>
      <c r="Q1320" t="s">
        <v>4</v>
      </c>
      <c r="R1320" s="4" t="s">
        <v>87</v>
      </c>
      <c r="S1320" t="s">
        <v>4</v>
      </c>
      <c r="T1320" t="s">
        <v>14461</v>
      </c>
      <c r="U1320" t="s">
        <v>14462</v>
      </c>
      <c r="V1320" t="s">
        <v>14463</v>
      </c>
      <c r="W1320" t="s">
        <v>328</v>
      </c>
      <c r="X1320" t="s">
        <v>4</v>
      </c>
      <c r="Y1320" t="s">
        <v>14464</v>
      </c>
      <c r="Z1320" t="s">
        <v>14465</v>
      </c>
      <c r="AA1320" t="s">
        <v>14466</v>
      </c>
      <c r="AB1320" t="s">
        <v>4</v>
      </c>
      <c r="AC1320" s="3" t="s">
        <v>1751</v>
      </c>
      <c r="AD1320" t="s">
        <v>4</v>
      </c>
      <c r="AE1320" t="s">
        <v>14467</v>
      </c>
      <c r="AF1320" t="s">
        <v>14468</v>
      </c>
      <c r="AG1320" t="s">
        <v>14469</v>
      </c>
      <c r="AH1320" t="s">
        <v>638</v>
      </c>
      <c r="AU1320" t="s">
        <v>112</v>
      </c>
      <c r="AV1320" t="s">
        <v>14470</v>
      </c>
      <c r="AW1320" t="s">
        <v>114</v>
      </c>
      <c r="AX1320" t="s">
        <v>1756</v>
      </c>
      <c r="AY1320" t="s">
        <v>1757</v>
      </c>
      <c r="AZ1320" t="s">
        <v>4</v>
      </c>
      <c r="BA1320" s="3" t="s">
        <v>95</v>
      </c>
      <c r="BB1320" t="s">
        <v>96</v>
      </c>
      <c r="BC1320" s="3" t="s">
        <v>95</v>
      </c>
      <c r="BD1320" t="s">
        <v>4</v>
      </c>
      <c r="BE1320">
        <v>3406</v>
      </c>
      <c r="BF1320" t="s">
        <v>112</v>
      </c>
      <c r="BG1320" t="s">
        <v>14471</v>
      </c>
      <c r="BH1320">
        <v>39.920900000000003</v>
      </c>
      <c r="BI1320">
        <v>71.146199999999993</v>
      </c>
      <c r="BM1320">
        <v>34.585000000000001</v>
      </c>
      <c r="BP1320">
        <v>52.371499999999997</v>
      </c>
      <c r="BQ1320">
        <v>35.375500000000002</v>
      </c>
      <c r="BR1320">
        <v>48.8142</v>
      </c>
      <c r="BS1320" t="s">
        <v>14472</v>
      </c>
      <c r="BT1320" t="s">
        <v>14473</v>
      </c>
      <c r="BU1320" t="s">
        <v>14474</v>
      </c>
      <c r="BV1320" t="s">
        <v>14475</v>
      </c>
      <c r="BW1320">
        <v>51.976300000000002</v>
      </c>
      <c r="BX1320">
        <v>50.197600000000001</v>
      </c>
      <c r="BY1320">
        <v>11.857699999999999</v>
      </c>
      <c r="BZ1320">
        <v>40.909100000000002</v>
      </c>
      <c r="CA1320">
        <v>48.023699999999998</v>
      </c>
      <c r="CB1320" t="s">
        <v>14476</v>
      </c>
      <c r="CF1320" t="s">
        <v>14477</v>
      </c>
      <c r="CG1320" t="s">
        <v>14478</v>
      </c>
      <c r="CH1320" t="s">
        <v>14479</v>
      </c>
      <c r="CI1320" t="s">
        <v>14480</v>
      </c>
      <c r="CJ1320" t="s">
        <v>14481</v>
      </c>
      <c r="CK1320">
        <v>5</v>
      </c>
      <c r="CL1320" t="s">
        <v>4</v>
      </c>
      <c r="CM1320" t="s">
        <v>14482</v>
      </c>
      <c r="CN1320" t="s">
        <v>14483</v>
      </c>
      <c r="CO1320" t="s">
        <v>663</v>
      </c>
      <c r="CP1320" t="s">
        <v>100</v>
      </c>
      <c r="CQ1320" t="s">
        <v>100</v>
      </c>
      <c r="CR1320" t="s">
        <v>100</v>
      </c>
      <c r="CS1320" t="s">
        <v>101</v>
      </c>
      <c r="CT1320" t="s">
        <v>152</v>
      </c>
      <c r="CU1320" t="s">
        <v>102</v>
      </c>
      <c r="CV1320" t="s">
        <v>100</v>
      </c>
    </row>
    <row r="1321" spans="1:100">
      <c r="A1321" s="3" t="s">
        <v>14484</v>
      </c>
      <c r="B1321" s="4" t="s">
        <v>14485</v>
      </c>
      <c r="C1321">
        <v>30.927930234331399</v>
      </c>
      <c r="D1321">
        <v>20.9863388639593</v>
      </c>
      <c r="E1321">
        <v>0.55079732917290503</v>
      </c>
      <c r="F1321">
        <v>0.44862774241529602</v>
      </c>
      <c r="G1321" t="s">
        <v>4</v>
      </c>
      <c r="H1321">
        <v>30.927930234331399</v>
      </c>
      <c r="I1321">
        <v>4.5254804645210696</v>
      </c>
      <c r="J1321">
        <v>2.8584428307401102</v>
      </c>
      <c r="K1321">
        <v>4.0448844775408402E-4</v>
      </c>
      <c r="L1321" t="s">
        <v>4</v>
      </c>
      <c r="M1321">
        <v>20.9863388639593</v>
      </c>
      <c r="N1321">
        <v>4.5254804645210696</v>
      </c>
      <c r="O1321">
        <v>2.3076455015672099</v>
      </c>
      <c r="P1321">
        <v>4.8595218035724702E-3</v>
      </c>
      <c r="Q1321" t="s">
        <v>4</v>
      </c>
      <c r="R1321" s="4" t="s">
        <v>87</v>
      </c>
      <c r="S1321" t="s">
        <v>4</v>
      </c>
      <c r="T1321" t="s">
        <v>92</v>
      </c>
      <c r="U1321" t="s">
        <v>92</v>
      </c>
      <c r="V1321" t="s">
        <v>92</v>
      </c>
      <c r="W1321" t="s">
        <v>92</v>
      </c>
      <c r="X1321" t="s">
        <v>4</v>
      </c>
      <c r="Y1321" t="s">
        <v>92</v>
      </c>
      <c r="Z1321" t="s">
        <v>92</v>
      </c>
      <c r="AA1321" t="s">
        <v>92</v>
      </c>
      <c r="AB1321" t="s">
        <v>4</v>
      </c>
      <c r="AC1321" s="3" t="s">
        <v>93</v>
      </c>
      <c r="AD1321" t="s">
        <v>4</v>
      </c>
      <c r="AE1321" s="4" t="s">
        <v>94</v>
      </c>
      <c r="AZ1321" t="s">
        <v>4</v>
      </c>
      <c r="BA1321" s="3" t="s">
        <v>95</v>
      </c>
      <c r="BB1321" s="6" t="s">
        <v>95</v>
      </c>
      <c r="BC1321" s="3" t="s">
        <v>197</v>
      </c>
      <c r="BD1321" t="s">
        <v>4</v>
      </c>
      <c r="BE1321">
        <v>1248</v>
      </c>
      <c r="BF1321" t="s">
        <v>151</v>
      </c>
      <c r="BG1321">
        <v>62.441299999999998</v>
      </c>
      <c r="BJ1321" t="s">
        <v>14486</v>
      </c>
      <c r="BO1321">
        <v>23.2394</v>
      </c>
      <c r="CK1321">
        <v>2</v>
      </c>
      <c r="CL1321" t="s">
        <v>4</v>
      </c>
      <c r="CM1321" t="s">
        <v>98</v>
      </c>
      <c r="CN1321" t="s">
        <v>98</v>
      </c>
      <c r="CO1321" t="s">
        <v>99</v>
      </c>
      <c r="CP1321" t="s">
        <v>100</v>
      </c>
      <c r="CQ1321" t="s">
        <v>100</v>
      </c>
      <c r="CR1321" t="s">
        <v>100</v>
      </c>
      <c r="CS1321" t="s">
        <v>101</v>
      </c>
      <c r="CT1321" t="s">
        <v>152</v>
      </c>
      <c r="CU1321" t="s">
        <v>102</v>
      </c>
      <c r="CV1321" t="s">
        <v>100</v>
      </c>
    </row>
    <row r="1322" spans="1:100">
      <c r="A1322" s="3" t="s">
        <v>14487</v>
      </c>
      <c r="B1322" s="4" t="s">
        <v>14488</v>
      </c>
      <c r="C1322">
        <v>3624.5353104395099</v>
      </c>
      <c r="D1322">
        <v>4926.1730045612003</v>
      </c>
      <c r="E1322">
        <f>0.442670166825585</f>
        <v>0.44267016682558502</v>
      </c>
      <c r="F1322">
        <v>0.13747530645379699</v>
      </c>
      <c r="G1322" t="s">
        <v>4</v>
      </c>
      <c r="H1322">
        <v>3624.5353104395099</v>
      </c>
      <c r="I1322">
        <v>993.38718302868006</v>
      </c>
      <c r="J1322">
        <v>1.86428296585083</v>
      </c>
      <c r="K1322" s="5">
        <v>4.1536293253673501E-12</v>
      </c>
      <c r="L1322" t="s">
        <v>4</v>
      </c>
      <c r="M1322">
        <v>4926.1730045612003</v>
      </c>
      <c r="N1322">
        <v>993.38718302868006</v>
      </c>
      <c r="O1322">
        <v>2.3069531326764099</v>
      </c>
      <c r="P1322" s="5">
        <v>3.6364779970317797E-18</v>
      </c>
      <c r="Q1322" t="s">
        <v>4</v>
      </c>
      <c r="R1322" s="4" t="s">
        <v>87</v>
      </c>
      <c r="S1322" t="s">
        <v>4</v>
      </c>
      <c r="T1322" t="s">
        <v>92</v>
      </c>
      <c r="U1322" t="s">
        <v>92</v>
      </c>
      <c r="V1322" t="s">
        <v>92</v>
      </c>
      <c r="W1322" t="s">
        <v>92</v>
      </c>
      <c r="X1322" t="s">
        <v>4</v>
      </c>
      <c r="Y1322" t="s">
        <v>92</v>
      </c>
      <c r="Z1322" t="s">
        <v>92</v>
      </c>
      <c r="AA1322" t="s">
        <v>92</v>
      </c>
      <c r="AB1322" t="s">
        <v>4</v>
      </c>
      <c r="AC1322" s="3" t="s">
        <v>14489</v>
      </c>
      <c r="AD1322" t="s">
        <v>4</v>
      </c>
      <c r="AE1322" s="4" t="s">
        <v>94</v>
      </c>
      <c r="AZ1322" t="s">
        <v>4</v>
      </c>
      <c r="BA1322" s="3" t="s">
        <v>115</v>
      </c>
      <c r="BB1322" s="6" t="s">
        <v>95</v>
      </c>
      <c r="BC1322" s="3" t="s">
        <v>95</v>
      </c>
      <c r="BD1322" t="s">
        <v>4</v>
      </c>
      <c r="BE1322">
        <v>1917</v>
      </c>
      <c r="BF1322" t="s">
        <v>148</v>
      </c>
      <c r="BH1322">
        <v>59.716999999999999</v>
      </c>
      <c r="BI1322">
        <v>86.981099999999998</v>
      </c>
      <c r="BJ1322">
        <v>68.396199999999993</v>
      </c>
      <c r="BK1322">
        <v>61.509399999999999</v>
      </c>
      <c r="BL1322">
        <v>32.735799999999998</v>
      </c>
      <c r="BM1322">
        <v>40</v>
      </c>
      <c r="CK1322">
        <v>3</v>
      </c>
      <c r="CL1322" t="s">
        <v>4</v>
      </c>
      <c r="CM1322" t="s">
        <v>98</v>
      </c>
      <c r="CN1322" t="s">
        <v>98</v>
      </c>
      <c r="CO1322" t="s">
        <v>99</v>
      </c>
      <c r="CP1322" t="s">
        <v>100</v>
      </c>
      <c r="CQ1322" t="s">
        <v>100</v>
      </c>
      <c r="CR1322" t="s">
        <v>100</v>
      </c>
      <c r="CS1322" s="7" t="s">
        <v>101</v>
      </c>
      <c r="CT1322" t="s">
        <v>152</v>
      </c>
      <c r="CU1322" t="s">
        <v>102</v>
      </c>
      <c r="CV1322" t="s">
        <v>100</v>
      </c>
    </row>
    <row r="1323" spans="1:100">
      <c r="A1323" s="3" t="s">
        <v>14490</v>
      </c>
      <c r="B1323" s="4" t="s">
        <v>14491</v>
      </c>
      <c r="C1323">
        <v>124.132443263299</v>
      </c>
      <c r="D1323">
        <v>65.133237816739395</v>
      </c>
      <c r="E1323">
        <v>0.93219292783644103</v>
      </c>
      <c r="F1323">
        <v>0.14931608912182801</v>
      </c>
      <c r="G1323" t="s">
        <v>4</v>
      </c>
      <c r="H1323">
        <v>124.132443263299</v>
      </c>
      <c r="I1323">
        <v>13.1804874142275</v>
      </c>
      <c r="J1323">
        <v>3.2309806345380401</v>
      </c>
      <c r="K1323" s="5">
        <v>5.8752119327311497E-7</v>
      </c>
      <c r="L1323" t="s">
        <v>4</v>
      </c>
      <c r="M1323">
        <v>65.133237816739395</v>
      </c>
      <c r="N1323">
        <v>13.1804874142275</v>
      </c>
      <c r="O1323">
        <v>2.2987877067015998</v>
      </c>
      <c r="P1323">
        <v>4.6652086983949698E-4</v>
      </c>
      <c r="Q1323" t="s">
        <v>4</v>
      </c>
      <c r="R1323" s="4" t="s">
        <v>87</v>
      </c>
      <c r="S1323" t="s">
        <v>4</v>
      </c>
      <c r="T1323" t="s">
        <v>2358</v>
      </c>
      <c r="U1323" t="s">
        <v>2359</v>
      </c>
      <c r="V1323" t="s">
        <v>2360</v>
      </c>
      <c r="W1323" t="s">
        <v>507</v>
      </c>
      <c r="X1323" t="s">
        <v>4</v>
      </c>
      <c r="Y1323" t="s">
        <v>14492</v>
      </c>
      <c r="Z1323" t="s">
        <v>14493</v>
      </c>
      <c r="AA1323" t="s">
        <v>14494</v>
      </c>
      <c r="AB1323" t="s">
        <v>4</v>
      </c>
      <c r="AC1323" s="3" t="s">
        <v>14495</v>
      </c>
      <c r="AD1323" t="s">
        <v>4</v>
      </c>
      <c r="AE1323" t="s">
        <v>14496</v>
      </c>
      <c r="AF1323" t="s">
        <v>14497</v>
      </c>
      <c r="AG1323" t="s">
        <v>2681</v>
      </c>
      <c r="AH1323" t="s">
        <v>112</v>
      </c>
      <c r="AJ1323" t="s">
        <v>14498</v>
      </c>
      <c r="AL1323" t="s">
        <v>14499</v>
      </c>
      <c r="AQ1323" t="s">
        <v>1003</v>
      </c>
      <c r="AU1323" t="s">
        <v>112</v>
      </c>
      <c r="AV1323" t="s">
        <v>14500</v>
      </c>
      <c r="AW1323" t="s">
        <v>114</v>
      </c>
      <c r="AX1323" t="s">
        <v>371</v>
      </c>
      <c r="AY1323" t="s">
        <v>14501</v>
      </c>
      <c r="AZ1323" t="s">
        <v>4</v>
      </c>
      <c r="BA1323" s="3" t="s">
        <v>115</v>
      </c>
      <c r="BB1323" s="6" t="s">
        <v>95</v>
      </c>
      <c r="BC1323" s="3" t="s">
        <v>95</v>
      </c>
      <c r="BD1323" t="s">
        <v>4</v>
      </c>
      <c r="BE1323">
        <v>7310</v>
      </c>
      <c r="BF1323" t="s">
        <v>213</v>
      </c>
      <c r="BG1323">
        <v>46.732700000000001</v>
      </c>
      <c r="BH1323">
        <v>36.435600000000001</v>
      </c>
      <c r="BI1323">
        <v>89.703000000000003</v>
      </c>
      <c r="BJ1323">
        <v>72.871300000000005</v>
      </c>
      <c r="BK1323">
        <v>68.712900000000005</v>
      </c>
      <c r="BL1323">
        <v>38.019799999999996</v>
      </c>
      <c r="BM1323">
        <v>46.336599999999997</v>
      </c>
      <c r="BN1323">
        <v>77.623800000000003</v>
      </c>
      <c r="BO1323">
        <v>18.2178</v>
      </c>
      <c r="BP1323">
        <v>17.425699999999999</v>
      </c>
      <c r="BQ1323">
        <v>36.2376</v>
      </c>
      <c r="BR1323" t="s">
        <v>14502</v>
      </c>
      <c r="BS1323">
        <v>28.910900000000002</v>
      </c>
      <c r="BT1323" t="s">
        <v>14503</v>
      </c>
      <c r="BV1323" t="s">
        <v>14504</v>
      </c>
      <c r="BW1323">
        <v>35.049500000000002</v>
      </c>
      <c r="BX1323">
        <v>36.435600000000001</v>
      </c>
      <c r="BZ1323">
        <v>14.0594</v>
      </c>
      <c r="CA1323">
        <v>35.247500000000002</v>
      </c>
      <c r="CB1323">
        <v>27.9208</v>
      </c>
      <c r="CE1323">
        <v>27.326699999999999</v>
      </c>
      <c r="CF1323">
        <v>30.099</v>
      </c>
      <c r="CG1323" t="s">
        <v>14505</v>
      </c>
      <c r="CH1323" t="s">
        <v>14506</v>
      </c>
      <c r="CI1323" t="s">
        <v>14507</v>
      </c>
      <c r="CK1323">
        <v>8</v>
      </c>
      <c r="CL1323" t="s">
        <v>4</v>
      </c>
      <c r="CM1323" t="s">
        <v>14508</v>
      </c>
      <c r="CN1323" t="s">
        <v>14509</v>
      </c>
      <c r="CO1323" t="s">
        <v>663</v>
      </c>
      <c r="CP1323" t="s">
        <v>100</v>
      </c>
      <c r="CQ1323" t="s">
        <v>100</v>
      </c>
      <c r="CR1323" t="s">
        <v>100</v>
      </c>
      <c r="CS1323" t="s">
        <v>101</v>
      </c>
      <c r="CT1323" t="s">
        <v>152</v>
      </c>
      <c r="CU1323" t="s">
        <v>102</v>
      </c>
      <c r="CV1323" t="s">
        <v>100</v>
      </c>
    </row>
    <row r="1324" spans="1:100">
      <c r="A1324" s="3" t="s">
        <v>14510</v>
      </c>
      <c r="B1324" s="4" t="s">
        <v>14511</v>
      </c>
      <c r="C1324">
        <v>94.304539066580602</v>
      </c>
      <c r="D1324">
        <v>162.77338855879</v>
      </c>
      <c r="E1324">
        <f>0.784023563597448</f>
        <v>0.78402356359744796</v>
      </c>
      <c r="F1324">
        <v>4.93701795158994E-2</v>
      </c>
      <c r="G1324" t="s">
        <v>4</v>
      </c>
      <c r="H1324">
        <v>94.304539066580602</v>
      </c>
      <c r="I1324">
        <v>33.427174998174202</v>
      </c>
      <c r="J1324">
        <v>1.5141734970363701</v>
      </c>
      <c r="K1324">
        <v>2.4551952240605399E-4</v>
      </c>
      <c r="L1324" t="s">
        <v>4</v>
      </c>
      <c r="M1324">
        <v>162.77338855879</v>
      </c>
      <c r="N1324">
        <v>33.427174998174202</v>
      </c>
      <c r="O1324">
        <v>2.29819706063381</v>
      </c>
      <c r="P1324" s="5">
        <v>7.0460199761151098E-9</v>
      </c>
      <c r="Q1324" t="s">
        <v>4</v>
      </c>
      <c r="R1324" s="4" t="s">
        <v>87</v>
      </c>
      <c r="S1324" t="s">
        <v>4</v>
      </c>
      <c r="T1324" t="s">
        <v>92</v>
      </c>
      <c r="U1324" t="s">
        <v>92</v>
      </c>
      <c r="V1324" t="s">
        <v>92</v>
      </c>
      <c r="W1324" t="s">
        <v>92</v>
      </c>
      <c r="X1324" t="s">
        <v>4</v>
      </c>
      <c r="Y1324" t="s">
        <v>92</v>
      </c>
      <c r="Z1324" t="s">
        <v>92</v>
      </c>
      <c r="AA1324" t="s">
        <v>92</v>
      </c>
      <c r="AB1324" t="s">
        <v>4</v>
      </c>
      <c r="AC1324" s="3" t="s">
        <v>93</v>
      </c>
      <c r="AD1324" t="s">
        <v>4</v>
      </c>
      <c r="AE1324" s="4" t="s">
        <v>94</v>
      </c>
      <c r="AZ1324" t="s">
        <v>4</v>
      </c>
      <c r="BA1324" s="3" t="s">
        <v>95</v>
      </c>
      <c r="BB1324" s="6" t="s">
        <v>95</v>
      </c>
      <c r="BC1324" s="3" t="s">
        <v>95</v>
      </c>
      <c r="BD1324" t="s">
        <v>4</v>
      </c>
      <c r="BE1324">
        <v>1591</v>
      </c>
      <c r="BF1324" t="s">
        <v>151</v>
      </c>
      <c r="BG1324">
        <v>40.460500000000003</v>
      </c>
      <c r="BI1324">
        <v>66.776300000000006</v>
      </c>
      <c r="CK1324">
        <v>2</v>
      </c>
      <c r="CL1324" t="s">
        <v>4</v>
      </c>
      <c r="CM1324" t="s">
        <v>98</v>
      </c>
      <c r="CN1324" t="s">
        <v>98</v>
      </c>
      <c r="CO1324" t="s">
        <v>99</v>
      </c>
      <c r="CP1324" t="s">
        <v>100</v>
      </c>
      <c r="CQ1324" t="s">
        <v>100</v>
      </c>
      <c r="CR1324" t="s">
        <v>100</v>
      </c>
      <c r="CS1324" s="7" t="s">
        <v>101</v>
      </c>
      <c r="CT1324" t="s">
        <v>152</v>
      </c>
      <c r="CU1324" t="s">
        <v>102</v>
      </c>
      <c r="CV1324" t="s">
        <v>100</v>
      </c>
    </row>
    <row r="1325" spans="1:100">
      <c r="A1325" s="3" t="s">
        <v>14512</v>
      </c>
      <c r="B1325" s="4" t="s">
        <v>14513</v>
      </c>
      <c r="C1325">
        <v>64.158713607742797</v>
      </c>
      <c r="D1325">
        <v>127.34947731617</v>
      </c>
      <c r="E1325">
        <f>0.988335724458066</f>
        <v>0.98833572445806595</v>
      </c>
      <c r="F1325">
        <v>2.04172052886708E-2</v>
      </c>
      <c r="G1325" t="s">
        <v>4</v>
      </c>
      <c r="H1325">
        <v>64.158713607742797</v>
      </c>
      <c r="I1325">
        <v>26.029996361997899</v>
      </c>
      <c r="J1325">
        <v>1.30377908916837</v>
      </c>
      <c r="K1325">
        <v>4.0610659153550001E-3</v>
      </c>
      <c r="L1325" t="s">
        <v>4</v>
      </c>
      <c r="M1325">
        <v>127.34947731617</v>
      </c>
      <c r="N1325">
        <v>26.029996361997899</v>
      </c>
      <c r="O1325">
        <v>2.29211481362643</v>
      </c>
      <c r="P1325" s="5">
        <v>1.00122335354228E-7</v>
      </c>
      <c r="Q1325" t="s">
        <v>4</v>
      </c>
      <c r="R1325" s="4" t="s">
        <v>87</v>
      </c>
      <c r="S1325" t="s">
        <v>4</v>
      </c>
      <c r="T1325" t="s">
        <v>92</v>
      </c>
      <c r="U1325" t="s">
        <v>92</v>
      </c>
      <c r="V1325" t="s">
        <v>92</v>
      </c>
      <c r="W1325" t="s">
        <v>92</v>
      </c>
      <c r="X1325" t="s">
        <v>4</v>
      </c>
      <c r="Y1325" t="s">
        <v>92</v>
      </c>
      <c r="Z1325" t="s">
        <v>92</v>
      </c>
      <c r="AA1325" t="s">
        <v>92</v>
      </c>
      <c r="AB1325" t="s">
        <v>4</v>
      </c>
      <c r="AC1325" s="3" t="s">
        <v>93</v>
      </c>
      <c r="AD1325" t="s">
        <v>4</v>
      </c>
      <c r="AE1325" t="s">
        <v>3190</v>
      </c>
      <c r="AF1325" t="s">
        <v>14514</v>
      </c>
      <c r="AG1325" t="s">
        <v>14515</v>
      </c>
      <c r="AH1325" t="s">
        <v>112</v>
      </c>
      <c r="AJ1325" t="s">
        <v>3193</v>
      </c>
      <c r="AK1325" t="s">
        <v>3194</v>
      </c>
      <c r="AL1325" t="s">
        <v>3195</v>
      </c>
      <c r="AM1325" t="s">
        <v>3196</v>
      </c>
      <c r="AQ1325" t="s">
        <v>3197</v>
      </c>
      <c r="AU1325" t="s">
        <v>112</v>
      </c>
      <c r="AV1325" t="s">
        <v>3198</v>
      </c>
      <c r="AW1325" t="s">
        <v>114</v>
      </c>
      <c r="AX1325" t="s">
        <v>2157</v>
      </c>
      <c r="AY1325" t="s">
        <v>3199</v>
      </c>
      <c r="AZ1325" t="s">
        <v>4</v>
      </c>
      <c r="BA1325" s="3" t="s">
        <v>95</v>
      </c>
      <c r="BB1325" s="6" t="s">
        <v>95</v>
      </c>
      <c r="BC1325" s="3" t="s">
        <v>95</v>
      </c>
      <c r="BD1325" t="s">
        <v>4</v>
      </c>
      <c r="BE1325">
        <v>1604</v>
      </c>
      <c r="BF1325" t="s">
        <v>151</v>
      </c>
      <c r="BG1325">
        <v>42.622999999999998</v>
      </c>
      <c r="BI1325">
        <v>67.540999999999997</v>
      </c>
      <c r="CK1325">
        <v>2</v>
      </c>
      <c r="CL1325" t="s">
        <v>4</v>
      </c>
      <c r="CM1325" t="s">
        <v>98</v>
      </c>
      <c r="CN1325" t="s">
        <v>98</v>
      </c>
      <c r="CO1325" t="s">
        <v>99</v>
      </c>
      <c r="CP1325" t="s">
        <v>100</v>
      </c>
      <c r="CQ1325" t="s">
        <v>100</v>
      </c>
      <c r="CR1325" t="s">
        <v>100</v>
      </c>
      <c r="CS1325" s="7" t="s">
        <v>101</v>
      </c>
      <c r="CT1325" t="s">
        <v>152</v>
      </c>
      <c r="CU1325" t="s">
        <v>102</v>
      </c>
      <c r="CV1325" t="s">
        <v>100</v>
      </c>
    </row>
    <row r="1326" spans="1:100">
      <c r="A1326" s="3" t="s">
        <v>14516</v>
      </c>
      <c r="B1326" s="4" t="s">
        <v>14517</v>
      </c>
      <c r="C1326">
        <v>1757.5605150512399</v>
      </c>
      <c r="D1326">
        <v>1741.1055539628301</v>
      </c>
      <c r="E1326">
        <v>1.37556403971031E-2</v>
      </c>
      <c r="F1326">
        <v>0.96876740104752801</v>
      </c>
      <c r="G1326" t="s">
        <v>4</v>
      </c>
      <c r="H1326">
        <v>1757.5605150512399</v>
      </c>
      <c r="I1326">
        <v>353.50283738543402</v>
      </c>
      <c r="J1326">
        <v>2.3058423518761502</v>
      </c>
      <c r="K1326" s="5">
        <v>1.6824097758090901E-18</v>
      </c>
      <c r="L1326" t="s">
        <v>4</v>
      </c>
      <c r="M1326">
        <v>1741.1055539628301</v>
      </c>
      <c r="N1326">
        <v>353.50283738543402</v>
      </c>
      <c r="O1326">
        <v>2.2920867114790502</v>
      </c>
      <c r="P1326" s="5">
        <v>2.0665698033396501E-18</v>
      </c>
      <c r="Q1326" t="s">
        <v>4</v>
      </c>
      <c r="R1326" s="4" t="s">
        <v>87</v>
      </c>
      <c r="S1326" t="s">
        <v>4</v>
      </c>
      <c r="T1326" t="s">
        <v>14518</v>
      </c>
      <c r="U1326" t="s">
        <v>14519</v>
      </c>
      <c r="V1326" t="s">
        <v>14520</v>
      </c>
      <c r="W1326" t="s">
        <v>4916</v>
      </c>
      <c r="X1326" t="s">
        <v>4</v>
      </c>
      <c r="Y1326" t="s">
        <v>14521</v>
      </c>
      <c r="Z1326" t="s">
        <v>14522</v>
      </c>
      <c r="AA1326" t="s">
        <v>14523</v>
      </c>
      <c r="AB1326" t="s">
        <v>4</v>
      </c>
      <c r="AC1326" s="3" t="s">
        <v>14524</v>
      </c>
      <c r="AD1326" t="s">
        <v>4</v>
      </c>
      <c r="AE1326" t="s">
        <v>14525</v>
      </c>
      <c r="AF1326" t="s">
        <v>14526</v>
      </c>
      <c r="AG1326" t="s">
        <v>14527</v>
      </c>
      <c r="AH1326" t="s">
        <v>112</v>
      </c>
      <c r="AI1326" t="s">
        <v>14528</v>
      </c>
      <c r="AJ1326" t="s">
        <v>14529</v>
      </c>
      <c r="AL1326" t="s">
        <v>14530</v>
      </c>
      <c r="AM1326" t="s">
        <v>12566</v>
      </c>
      <c r="AQ1326" t="s">
        <v>879</v>
      </c>
      <c r="AU1326" t="s">
        <v>112</v>
      </c>
      <c r="AV1326" t="s">
        <v>14531</v>
      </c>
      <c r="AW1326" t="s">
        <v>114</v>
      </c>
      <c r="AX1326" t="s">
        <v>371</v>
      </c>
      <c r="AY1326" t="s">
        <v>14532</v>
      </c>
      <c r="AZ1326" t="s">
        <v>4</v>
      </c>
      <c r="BA1326" s="3" t="s">
        <v>95</v>
      </c>
      <c r="BB1326" s="6" t="s">
        <v>95</v>
      </c>
      <c r="BC1326" s="3" t="s">
        <v>95</v>
      </c>
      <c r="BD1326" t="s">
        <v>4</v>
      </c>
      <c r="BE1326">
        <v>6855</v>
      </c>
      <c r="BF1326" t="s">
        <v>213</v>
      </c>
      <c r="BG1326">
        <v>94.669499999999999</v>
      </c>
      <c r="BH1326">
        <v>47.334800000000001</v>
      </c>
      <c r="BI1326">
        <v>87.846500000000006</v>
      </c>
      <c r="BJ1326">
        <v>81.876300000000001</v>
      </c>
      <c r="BK1326">
        <v>75.906199999999998</v>
      </c>
      <c r="BM1326">
        <v>72.707899999999995</v>
      </c>
      <c r="BN1326">
        <v>74.840100000000007</v>
      </c>
      <c r="BO1326">
        <v>57.142899999999997</v>
      </c>
      <c r="BP1326">
        <v>22.601299999999998</v>
      </c>
      <c r="BQ1326">
        <v>26.4392</v>
      </c>
      <c r="BR1326" t="s">
        <v>14533</v>
      </c>
      <c r="BS1326">
        <v>29.211099999999998</v>
      </c>
      <c r="BT1326">
        <v>30.916799999999999</v>
      </c>
      <c r="BU1326">
        <v>30.064</v>
      </c>
      <c r="BV1326" t="s">
        <v>14534</v>
      </c>
      <c r="BW1326">
        <v>30.916799999999999</v>
      </c>
      <c r="BX1326">
        <v>31.7697</v>
      </c>
      <c r="BZ1326">
        <v>17.270800000000001</v>
      </c>
      <c r="CA1326">
        <v>30.703600000000002</v>
      </c>
      <c r="CB1326">
        <v>23.2409</v>
      </c>
      <c r="CC1326" t="s">
        <v>14535</v>
      </c>
      <c r="CD1326">
        <v>24.520299999999999</v>
      </c>
      <c r="CE1326">
        <v>23.2409</v>
      </c>
      <c r="CF1326">
        <v>24.093800000000002</v>
      </c>
      <c r="CG1326">
        <v>20.0426</v>
      </c>
      <c r="CH1326">
        <v>18.763300000000001</v>
      </c>
      <c r="CI1326">
        <v>23.027699999999999</v>
      </c>
      <c r="CK1326">
        <v>8</v>
      </c>
      <c r="CL1326" t="s">
        <v>4</v>
      </c>
      <c r="CM1326" t="s">
        <v>14536</v>
      </c>
      <c r="CN1326" t="s">
        <v>14537</v>
      </c>
      <c r="CO1326" t="s">
        <v>1218</v>
      </c>
      <c r="CP1326" t="s">
        <v>100</v>
      </c>
      <c r="CQ1326" t="s">
        <v>100</v>
      </c>
      <c r="CR1326" t="s">
        <v>100</v>
      </c>
      <c r="CS1326" t="s">
        <v>101</v>
      </c>
      <c r="CT1326" t="s">
        <v>152</v>
      </c>
      <c r="CU1326" t="s">
        <v>102</v>
      </c>
      <c r="CV1326" t="s">
        <v>100</v>
      </c>
    </row>
    <row r="1327" spans="1:100">
      <c r="A1327" s="3" t="s">
        <v>14538</v>
      </c>
      <c r="B1327" s="4" t="s">
        <v>14539</v>
      </c>
      <c r="C1327">
        <v>39.3307758426416</v>
      </c>
      <c r="D1327">
        <v>59.695811854007303</v>
      </c>
      <c r="E1327">
        <f>0.601517645057045</f>
        <v>0.60151764505704497</v>
      </c>
      <c r="F1327">
        <v>0.31833412127101801</v>
      </c>
      <c r="G1327" t="s">
        <v>4</v>
      </c>
      <c r="H1327">
        <v>39.3307758426416</v>
      </c>
      <c r="I1327">
        <v>11.5413503710875</v>
      </c>
      <c r="J1327">
        <v>1.68698668082535</v>
      </c>
      <c r="K1327">
        <v>7.0257513699893996E-3</v>
      </c>
      <c r="L1327" t="s">
        <v>4</v>
      </c>
      <c r="M1327">
        <v>59.695811854007303</v>
      </c>
      <c r="N1327">
        <v>11.5413503710875</v>
      </c>
      <c r="O1327">
        <v>2.2885043258823998</v>
      </c>
      <c r="P1327">
        <v>1.5532675405139E-4</v>
      </c>
      <c r="Q1327" t="s">
        <v>4</v>
      </c>
      <c r="R1327" s="4" t="s">
        <v>87</v>
      </c>
      <c r="S1327" t="s">
        <v>4</v>
      </c>
      <c r="T1327" t="s">
        <v>92</v>
      </c>
      <c r="U1327" t="s">
        <v>92</v>
      </c>
      <c r="V1327" t="s">
        <v>92</v>
      </c>
      <c r="W1327" t="s">
        <v>92</v>
      </c>
      <c r="X1327" t="s">
        <v>4</v>
      </c>
      <c r="Y1327" t="s">
        <v>92</v>
      </c>
      <c r="Z1327" t="s">
        <v>92</v>
      </c>
      <c r="AA1327" t="s">
        <v>92</v>
      </c>
      <c r="AB1327" t="s">
        <v>4</v>
      </c>
      <c r="AC1327" s="3" t="s">
        <v>93</v>
      </c>
      <c r="AD1327" t="s">
        <v>4</v>
      </c>
      <c r="AE1327" s="4" t="s">
        <v>94</v>
      </c>
      <c r="AZ1327" t="s">
        <v>4</v>
      </c>
      <c r="BA1327" s="3" t="s">
        <v>95</v>
      </c>
      <c r="BB1327" s="6" t="s">
        <v>95</v>
      </c>
      <c r="BC1327" s="3" t="s">
        <v>95</v>
      </c>
      <c r="BD1327" t="s">
        <v>4</v>
      </c>
      <c r="BE1327">
        <v>349</v>
      </c>
      <c r="BF1327" t="s">
        <v>322</v>
      </c>
      <c r="CK1327">
        <v>1</v>
      </c>
      <c r="CL1327" t="s">
        <v>4</v>
      </c>
      <c r="CM1327" t="s">
        <v>98</v>
      </c>
      <c r="CN1327" t="s">
        <v>98</v>
      </c>
      <c r="CO1327" t="s">
        <v>99</v>
      </c>
      <c r="CP1327" t="s">
        <v>100</v>
      </c>
      <c r="CQ1327" t="s">
        <v>100</v>
      </c>
      <c r="CR1327" t="s">
        <v>100</v>
      </c>
      <c r="CS1327" s="7" t="s">
        <v>101</v>
      </c>
      <c r="CT1327" t="s">
        <v>152</v>
      </c>
      <c r="CU1327" t="s">
        <v>102</v>
      </c>
      <c r="CV1327" t="s">
        <v>100</v>
      </c>
    </row>
    <row r="1328" spans="1:100">
      <c r="A1328" s="3" t="s">
        <v>14540</v>
      </c>
      <c r="B1328" s="4" t="s">
        <v>14541</v>
      </c>
      <c r="C1328">
        <v>971.21105171644797</v>
      </c>
      <c r="D1328">
        <v>1441.9821515614001</v>
      </c>
      <c r="E1328">
        <f>0.569981953891337</f>
        <v>0.56998195389133699</v>
      </c>
      <c r="F1328">
        <v>7.3260118981934005E-2</v>
      </c>
      <c r="G1328" t="s">
        <v>4</v>
      </c>
      <c r="H1328">
        <v>971.21105171644797</v>
      </c>
      <c r="I1328">
        <v>294.194987440847</v>
      </c>
      <c r="J1328">
        <v>1.7163773438580101</v>
      </c>
      <c r="K1328" s="5">
        <v>6.2199950070315097E-9</v>
      </c>
      <c r="L1328" t="s">
        <v>4</v>
      </c>
      <c r="M1328">
        <v>1441.9821515614001</v>
      </c>
      <c r="N1328">
        <v>294.194987440847</v>
      </c>
      <c r="O1328">
        <v>2.2863592977493501</v>
      </c>
      <c r="P1328" s="5">
        <v>3.0840974886849399E-15</v>
      </c>
      <c r="Q1328" t="s">
        <v>4</v>
      </c>
      <c r="R1328" s="4" t="s">
        <v>87</v>
      </c>
      <c r="S1328" t="s">
        <v>4</v>
      </c>
      <c r="T1328" t="s">
        <v>92</v>
      </c>
      <c r="U1328" t="s">
        <v>92</v>
      </c>
      <c r="V1328" t="s">
        <v>92</v>
      </c>
      <c r="W1328" t="s">
        <v>92</v>
      </c>
      <c r="X1328" t="s">
        <v>4</v>
      </c>
      <c r="Y1328" t="s">
        <v>14542</v>
      </c>
      <c r="Z1328" t="s">
        <v>14543</v>
      </c>
      <c r="AA1328" t="s">
        <v>14543</v>
      </c>
      <c r="AB1328" t="s">
        <v>4</v>
      </c>
      <c r="AC1328" s="3" t="s">
        <v>14544</v>
      </c>
      <c r="AD1328" t="s">
        <v>4</v>
      </c>
      <c r="AE1328" t="s">
        <v>14545</v>
      </c>
      <c r="AF1328" t="s">
        <v>14546</v>
      </c>
      <c r="AG1328" t="s">
        <v>14547</v>
      </c>
      <c r="AH1328" t="s">
        <v>112</v>
      </c>
      <c r="AL1328" t="s">
        <v>14548</v>
      </c>
      <c r="AQ1328" t="s">
        <v>14549</v>
      </c>
      <c r="AU1328" t="s">
        <v>112</v>
      </c>
      <c r="AV1328" t="s">
        <v>14550</v>
      </c>
      <c r="AW1328" t="s">
        <v>114</v>
      </c>
      <c r="AX1328" t="s">
        <v>371</v>
      </c>
      <c r="AY1328" t="s">
        <v>14551</v>
      </c>
      <c r="AZ1328" t="s">
        <v>4</v>
      </c>
      <c r="BA1328" s="3" t="s">
        <v>115</v>
      </c>
      <c r="BB1328" s="6" t="s">
        <v>95</v>
      </c>
      <c r="BC1328" s="3" t="s">
        <v>95</v>
      </c>
      <c r="BD1328" t="s">
        <v>4</v>
      </c>
      <c r="BE1328">
        <v>10105</v>
      </c>
      <c r="BF1328" t="s">
        <v>169</v>
      </c>
      <c r="BG1328">
        <v>28.6935</v>
      </c>
      <c r="BI1328">
        <v>30.0366</v>
      </c>
      <c r="BJ1328">
        <v>29.670300000000001</v>
      </c>
      <c r="BL1328">
        <v>28.8156</v>
      </c>
      <c r="BO1328">
        <v>27.838799999999999</v>
      </c>
      <c r="BR1328">
        <v>15.872999999999999</v>
      </c>
      <c r="BS1328">
        <v>13.6752</v>
      </c>
      <c r="BT1328">
        <v>13.1868</v>
      </c>
      <c r="BU1328">
        <v>13.3089</v>
      </c>
      <c r="BV1328" t="s">
        <v>14552</v>
      </c>
      <c r="BW1328">
        <v>14.651999999999999</v>
      </c>
      <c r="BX1328">
        <v>14.2857</v>
      </c>
      <c r="BY1328">
        <v>10.378500000000001</v>
      </c>
      <c r="BZ1328">
        <v>11.477399999999999</v>
      </c>
      <c r="CA1328">
        <v>12.332100000000001</v>
      </c>
      <c r="CB1328">
        <v>6.5934100000000004</v>
      </c>
      <c r="CE1328">
        <v>5.3724100000000004</v>
      </c>
      <c r="CF1328">
        <v>8.4249100000000006</v>
      </c>
      <c r="CG1328">
        <v>7.5702100000000003</v>
      </c>
      <c r="CH1328">
        <v>7.5702100000000003</v>
      </c>
      <c r="CI1328">
        <v>8.0586099999999998</v>
      </c>
      <c r="CJ1328">
        <v>5.49451</v>
      </c>
      <c r="CK1328">
        <v>9</v>
      </c>
      <c r="CL1328" t="s">
        <v>4</v>
      </c>
      <c r="CM1328" t="s">
        <v>14553</v>
      </c>
      <c r="CN1328" t="s">
        <v>14554</v>
      </c>
      <c r="CO1328" t="s">
        <v>219</v>
      </c>
      <c r="CP1328" t="s">
        <v>100</v>
      </c>
      <c r="CQ1328" t="s">
        <v>100</v>
      </c>
      <c r="CR1328" t="s">
        <v>100</v>
      </c>
      <c r="CS1328" s="7" t="s">
        <v>101</v>
      </c>
      <c r="CT1328" t="s">
        <v>152</v>
      </c>
      <c r="CU1328" t="s">
        <v>102</v>
      </c>
      <c r="CV1328" t="s">
        <v>100</v>
      </c>
    </row>
    <row r="1329" spans="1:100">
      <c r="A1329" s="3" t="s">
        <v>14555</v>
      </c>
      <c r="B1329" s="4" t="s">
        <v>14556</v>
      </c>
      <c r="C1329">
        <v>699.68991604506596</v>
      </c>
      <c r="D1329">
        <v>935.14642749206996</v>
      </c>
      <c r="E1329">
        <f>0.418218061291051</f>
        <v>0.41821806129105099</v>
      </c>
      <c r="F1329">
        <v>0.201894626553701</v>
      </c>
      <c r="G1329" t="s">
        <v>4</v>
      </c>
      <c r="H1329">
        <v>699.68991604506596</v>
      </c>
      <c r="I1329">
        <v>192.179313208498</v>
      </c>
      <c r="J1329">
        <v>1.8619531911128</v>
      </c>
      <c r="K1329" s="5">
        <v>6.4635782719832704E-10</v>
      </c>
      <c r="L1329" t="s">
        <v>4</v>
      </c>
      <c r="M1329">
        <v>935.14642749206996</v>
      </c>
      <c r="N1329">
        <v>192.179313208498</v>
      </c>
      <c r="O1329">
        <v>2.28017125240385</v>
      </c>
      <c r="P1329" s="5">
        <v>1.5738404348389499E-14</v>
      </c>
      <c r="Q1329" t="s">
        <v>4</v>
      </c>
      <c r="R1329" s="4" t="s">
        <v>87</v>
      </c>
      <c r="S1329" t="s">
        <v>4</v>
      </c>
      <c r="T1329" t="s">
        <v>14557</v>
      </c>
      <c r="U1329" t="s">
        <v>14558</v>
      </c>
      <c r="V1329" t="s">
        <v>14559</v>
      </c>
      <c r="W1329" t="s">
        <v>123</v>
      </c>
      <c r="X1329" t="s">
        <v>4</v>
      </c>
      <c r="Y1329" t="s">
        <v>14560</v>
      </c>
      <c r="Z1329" t="s">
        <v>14561</v>
      </c>
      <c r="AA1329" t="s">
        <v>14562</v>
      </c>
      <c r="AB1329" t="s">
        <v>4</v>
      </c>
      <c r="AC1329" s="3" t="s">
        <v>14563</v>
      </c>
      <c r="AD1329" t="s">
        <v>4</v>
      </c>
      <c r="AE1329" t="s">
        <v>14564</v>
      </c>
      <c r="AF1329" t="s">
        <v>14565</v>
      </c>
      <c r="AG1329" t="s">
        <v>14566</v>
      </c>
      <c r="AH1329" t="s">
        <v>112</v>
      </c>
      <c r="AJ1329" t="s">
        <v>14567</v>
      </c>
      <c r="AL1329" t="s">
        <v>14568</v>
      </c>
      <c r="AQ1329" t="s">
        <v>14569</v>
      </c>
      <c r="AU1329" t="s">
        <v>112</v>
      </c>
      <c r="AV1329" t="s">
        <v>14570</v>
      </c>
      <c r="AW1329" t="s">
        <v>114</v>
      </c>
      <c r="AX1329" t="s">
        <v>3312</v>
      </c>
      <c r="AY1329" t="s">
        <v>14571</v>
      </c>
      <c r="AZ1329" t="s">
        <v>4</v>
      </c>
      <c r="BA1329" s="3" t="s">
        <v>95</v>
      </c>
      <c r="BB1329" s="6" t="s">
        <v>95</v>
      </c>
      <c r="BC1329" s="3" t="s">
        <v>95</v>
      </c>
      <c r="BD1329" t="s">
        <v>4</v>
      </c>
      <c r="BE1329">
        <v>4296</v>
      </c>
      <c r="BF1329" t="s">
        <v>112</v>
      </c>
      <c r="BG1329">
        <v>99.441299999999998</v>
      </c>
      <c r="BH1329">
        <v>100</v>
      </c>
      <c r="BI1329">
        <v>97.7654</v>
      </c>
      <c r="BJ1329">
        <v>91.061499999999995</v>
      </c>
      <c r="BK1329">
        <v>84.916200000000003</v>
      </c>
      <c r="BM1329">
        <v>78.212299999999999</v>
      </c>
      <c r="BN1329">
        <v>78.771000000000001</v>
      </c>
      <c r="BO1329">
        <v>80.446899999999999</v>
      </c>
      <c r="BP1329">
        <v>61.452500000000001</v>
      </c>
      <c r="BQ1329">
        <v>43.016800000000003</v>
      </c>
      <c r="BR1329" t="s">
        <v>14572</v>
      </c>
      <c r="BS1329" t="s">
        <v>14573</v>
      </c>
      <c r="BV1329">
        <v>32.402200000000001</v>
      </c>
      <c r="BW1329">
        <v>38.547499999999999</v>
      </c>
      <c r="BX1329">
        <v>45.810099999999998</v>
      </c>
      <c r="BY1329">
        <v>30.726299999999998</v>
      </c>
      <c r="BZ1329">
        <v>37.430199999999999</v>
      </c>
      <c r="CA1329">
        <v>41.340800000000002</v>
      </c>
      <c r="CK1329">
        <v>5</v>
      </c>
      <c r="CL1329" t="s">
        <v>4</v>
      </c>
      <c r="CM1329" t="s">
        <v>14574</v>
      </c>
      <c r="CN1329" t="s">
        <v>14575</v>
      </c>
      <c r="CO1329" t="s">
        <v>219</v>
      </c>
      <c r="CP1329" t="s">
        <v>100</v>
      </c>
      <c r="CQ1329" t="s">
        <v>100</v>
      </c>
      <c r="CR1329" t="s">
        <v>100</v>
      </c>
      <c r="CS1329" s="7" t="s">
        <v>101</v>
      </c>
      <c r="CT1329" t="s">
        <v>152</v>
      </c>
      <c r="CU1329" t="s">
        <v>102</v>
      </c>
      <c r="CV1329" t="s">
        <v>100</v>
      </c>
    </row>
    <row r="1330" spans="1:100">
      <c r="A1330" s="3" t="s">
        <v>14576</v>
      </c>
      <c r="B1330" s="4" t="s">
        <v>14577</v>
      </c>
      <c r="C1330">
        <v>88.536437800926805</v>
      </c>
      <c r="D1330">
        <v>108.13501194794399</v>
      </c>
      <c r="E1330">
        <f>0.289465004958725</f>
        <v>0.28946500495872501</v>
      </c>
      <c r="F1330">
        <v>0.68267388799470996</v>
      </c>
      <c r="G1330" t="s">
        <v>4</v>
      </c>
      <c r="H1330">
        <v>88.536437800926805</v>
      </c>
      <c r="I1330">
        <v>21.478342779919402</v>
      </c>
      <c r="J1330">
        <v>1.98973960273091</v>
      </c>
      <c r="K1330">
        <v>2.0513882138469201E-3</v>
      </c>
      <c r="L1330" t="s">
        <v>4</v>
      </c>
      <c r="M1330">
        <v>108.13501194794399</v>
      </c>
      <c r="N1330">
        <v>21.478342779919402</v>
      </c>
      <c r="O1330">
        <v>2.2792046076896399</v>
      </c>
      <c r="P1330">
        <v>3.1367186499470598E-4</v>
      </c>
      <c r="Q1330" t="s">
        <v>4</v>
      </c>
      <c r="R1330" s="4" t="s">
        <v>87</v>
      </c>
      <c r="S1330" t="s">
        <v>4</v>
      </c>
      <c r="T1330" t="s">
        <v>92</v>
      </c>
      <c r="U1330" t="s">
        <v>92</v>
      </c>
      <c r="V1330" t="s">
        <v>92</v>
      </c>
      <c r="W1330" t="s">
        <v>92</v>
      </c>
      <c r="X1330" t="s">
        <v>4</v>
      </c>
      <c r="Y1330" t="s">
        <v>1801</v>
      </c>
      <c r="Z1330" t="s">
        <v>1802</v>
      </c>
      <c r="AA1330" t="s">
        <v>1803</v>
      </c>
      <c r="AB1330" t="s">
        <v>4</v>
      </c>
      <c r="AC1330" s="3" t="s">
        <v>3839</v>
      </c>
      <c r="AD1330" t="s">
        <v>4</v>
      </c>
      <c r="AE1330" t="s">
        <v>14578</v>
      </c>
      <c r="AF1330" t="s">
        <v>14579</v>
      </c>
      <c r="AG1330" t="s">
        <v>14580</v>
      </c>
      <c r="AH1330" t="s">
        <v>112</v>
      </c>
      <c r="AU1330" t="s">
        <v>112</v>
      </c>
      <c r="AV1330" t="s">
        <v>14581</v>
      </c>
      <c r="AW1330" t="s">
        <v>114</v>
      </c>
      <c r="AX1330" t="s">
        <v>144</v>
      </c>
      <c r="AY1330" t="s">
        <v>3750</v>
      </c>
      <c r="AZ1330" t="s">
        <v>4</v>
      </c>
      <c r="BA1330" s="3" t="s">
        <v>95</v>
      </c>
      <c r="BB1330" t="s">
        <v>96</v>
      </c>
      <c r="BC1330" s="3" t="s">
        <v>95</v>
      </c>
      <c r="BD1330" t="s">
        <v>4</v>
      </c>
      <c r="BE1330">
        <v>281</v>
      </c>
      <c r="BF1330" t="s">
        <v>322</v>
      </c>
      <c r="CK1330">
        <v>1</v>
      </c>
      <c r="CL1330" t="s">
        <v>4</v>
      </c>
      <c r="CM1330" t="s">
        <v>98</v>
      </c>
      <c r="CN1330" t="s">
        <v>98</v>
      </c>
      <c r="CO1330" t="s">
        <v>99</v>
      </c>
      <c r="CP1330" t="s">
        <v>100</v>
      </c>
      <c r="CQ1330" t="s">
        <v>100</v>
      </c>
      <c r="CR1330" t="s">
        <v>100</v>
      </c>
      <c r="CS1330" s="7" t="s">
        <v>101</v>
      </c>
      <c r="CT1330" t="s">
        <v>152</v>
      </c>
      <c r="CU1330" t="s">
        <v>102</v>
      </c>
      <c r="CV1330" t="s">
        <v>100</v>
      </c>
    </row>
    <row r="1331" spans="1:100">
      <c r="A1331" s="3" t="s">
        <v>14582</v>
      </c>
      <c r="B1331" s="4" t="s">
        <v>14583</v>
      </c>
      <c r="C1331">
        <v>3021.9192010093202</v>
      </c>
      <c r="D1331">
        <v>4365.9362147640404</v>
      </c>
      <c r="E1331">
        <f>0.530967247381751</f>
        <v>0.53096724738175105</v>
      </c>
      <c r="F1331">
        <v>2.8639533145970401E-2</v>
      </c>
      <c r="G1331" t="s">
        <v>4</v>
      </c>
      <c r="H1331">
        <v>3021.9192010093202</v>
      </c>
      <c r="I1331">
        <v>901.78960967687999</v>
      </c>
      <c r="J1331">
        <v>1.7439646086281499</v>
      </c>
      <c r="K1331" s="5">
        <v>4.6960035484849302E-15</v>
      </c>
      <c r="L1331" t="s">
        <v>4</v>
      </c>
      <c r="M1331">
        <v>4365.9362147640404</v>
      </c>
      <c r="N1331">
        <v>901.78960967687999</v>
      </c>
      <c r="O1331">
        <v>2.2749318560098999</v>
      </c>
      <c r="P1331" s="5">
        <v>4.2805248471396997E-25</v>
      </c>
      <c r="Q1331" t="s">
        <v>4</v>
      </c>
      <c r="R1331" s="4" t="s">
        <v>87</v>
      </c>
      <c r="S1331" t="s">
        <v>4</v>
      </c>
      <c r="T1331" t="s">
        <v>1201</v>
      </c>
      <c r="U1331" t="s">
        <v>1202</v>
      </c>
      <c r="V1331" t="s">
        <v>1203</v>
      </c>
      <c r="W1331" t="s">
        <v>123</v>
      </c>
      <c r="X1331" t="s">
        <v>4</v>
      </c>
      <c r="Y1331" t="s">
        <v>1204</v>
      </c>
      <c r="Z1331" t="s">
        <v>1205</v>
      </c>
      <c r="AA1331" t="s">
        <v>1206</v>
      </c>
      <c r="AB1331" t="s">
        <v>4</v>
      </c>
      <c r="AC1331" s="3" t="s">
        <v>14584</v>
      </c>
      <c r="AD1331" t="s">
        <v>4</v>
      </c>
      <c r="AE1331" t="s">
        <v>14585</v>
      </c>
      <c r="AF1331" t="s">
        <v>834</v>
      </c>
      <c r="AG1331" t="s">
        <v>14586</v>
      </c>
      <c r="AH1331" t="s">
        <v>112</v>
      </c>
      <c r="AJ1331" t="s">
        <v>876</v>
      </c>
      <c r="AU1331" t="s">
        <v>112</v>
      </c>
      <c r="AV1331" t="s">
        <v>14587</v>
      </c>
      <c r="AW1331" t="s">
        <v>114</v>
      </c>
      <c r="AX1331" t="s">
        <v>144</v>
      </c>
      <c r="AY1331" t="s">
        <v>2523</v>
      </c>
      <c r="AZ1331" t="s">
        <v>4</v>
      </c>
      <c r="BA1331" s="3" t="s">
        <v>115</v>
      </c>
      <c r="BB1331" s="6" t="s">
        <v>95</v>
      </c>
      <c r="BC1331" s="3" t="s">
        <v>95</v>
      </c>
      <c r="BD1331" t="s">
        <v>4</v>
      </c>
      <c r="BE1331">
        <v>3658</v>
      </c>
      <c r="BF1331" t="s">
        <v>112</v>
      </c>
      <c r="BG1331">
        <v>96.674099999999996</v>
      </c>
      <c r="BI1331">
        <v>71.507800000000003</v>
      </c>
      <c r="BJ1331">
        <v>82.594200000000001</v>
      </c>
      <c r="BK1331">
        <v>74.168499999999995</v>
      </c>
      <c r="BM1331">
        <v>75.831500000000005</v>
      </c>
      <c r="BN1331">
        <v>76.829300000000003</v>
      </c>
      <c r="BO1331">
        <v>76.607500000000002</v>
      </c>
      <c r="BW1331">
        <v>15.299300000000001</v>
      </c>
      <c r="BX1331">
        <v>15.8537</v>
      </c>
      <c r="BY1331">
        <v>17.5166</v>
      </c>
      <c r="CA1331">
        <v>17.5166</v>
      </c>
      <c r="CK1331">
        <v>5</v>
      </c>
      <c r="CL1331" t="s">
        <v>4</v>
      </c>
      <c r="CM1331" t="s">
        <v>14588</v>
      </c>
      <c r="CN1331" t="s">
        <v>14589</v>
      </c>
      <c r="CO1331" t="s">
        <v>99</v>
      </c>
      <c r="CP1331" t="s">
        <v>100</v>
      </c>
      <c r="CQ1331" t="s">
        <v>100</v>
      </c>
      <c r="CR1331" t="s">
        <v>100</v>
      </c>
      <c r="CS1331" s="7" t="s">
        <v>101</v>
      </c>
      <c r="CT1331" t="s">
        <v>152</v>
      </c>
      <c r="CU1331" t="s">
        <v>102</v>
      </c>
      <c r="CV1331" t="s">
        <v>100</v>
      </c>
    </row>
    <row r="1332" spans="1:100">
      <c r="A1332" s="3" t="s">
        <v>14590</v>
      </c>
      <c r="B1332" s="4" t="s">
        <v>14591</v>
      </c>
      <c r="C1332">
        <v>1137.8314825146999</v>
      </c>
      <c r="D1332">
        <v>2151.3407223648101</v>
      </c>
      <c r="E1332">
        <f>0.919291126151242</f>
        <v>0.91929112615124198</v>
      </c>
      <c r="F1332" s="5">
        <v>7.9694551957515702E-8</v>
      </c>
      <c r="G1332" t="s">
        <v>4</v>
      </c>
      <c r="H1332">
        <v>1137.8314825146999</v>
      </c>
      <c r="I1332">
        <v>447.27143987734098</v>
      </c>
      <c r="J1332">
        <v>1.3501400621911701</v>
      </c>
      <c r="K1332" s="5">
        <v>3.20427828737281E-15</v>
      </c>
      <c r="L1332" t="s">
        <v>4</v>
      </c>
      <c r="M1332">
        <v>2151.3407223648101</v>
      </c>
      <c r="N1332">
        <v>447.27143987734098</v>
      </c>
      <c r="O1332">
        <v>2.2694311883424101</v>
      </c>
      <c r="P1332" s="5">
        <v>1.2124767646746999E-41</v>
      </c>
      <c r="Q1332" t="s">
        <v>4</v>
      </c>
      <c r="R1332" s="4" t="s">
        <v>87</v>
      </c>
      <c r="S1332" t="s">
        <v>4</v>
      </c>
      <c r="T1332" t="s">
        <v>14592</v>
      </c>
      <c r="U1332" t="s">
        <v>14593</v>
      </c>
      <c r="V1332" t="s">
        <v>14594</v>
      </c>
      <c r="W1332" t="s">
        <v>7033</v>
      </c>
      <c r="X1332" t="s">
        <v>4</v>
      </c>
      <c r="Y1332" t="s">
        <v>14595</v>
      </c>
      <c r="Z1332" t="s">
        <v>14596</v>
      </c>
      <c r="AA1332" t="s">
        <v>14597</v>
      </c>
      <c r="AB1332" t="s">
        <v>4</v>
      </c>
      <c r="AC1332" s="3" t="s">
        <v>14598</v>
      </c>
      <c r="AD1332" t="s">
        <v>4</v>
      </c>
      <c r="AE1332" t="s">
        <v>14599</v>
      </c>
      <c r="AF1332" t="s">
        <v>14600</v>
      </c>
      <c r="AG1332" t="s">
        <v>14601</v>
      </c>
      <c r="AH1332" t="s">
        <v>112</v>
      </c>
      <c r="AL1332" t="s">
        <v>14602</v>
      </c>
      <c r="AQ1332" t="s">
        <v>1028</v>
      </c>
      <c r="AU1332" t="s">
        <v>112</v>
      </c>
      <c r="AV1332" t="s">
        <v>14603</v>
      </c>
      <c r="AW1332" t="s">
        <v>114</v>
      </c>
      <c r="AX1332" t="s">
        <v>132</v>
      </c>
      <c r="AY1332" t="s">
        <v>14604</v>
      </c>
      <c r="AZ1332" t="s">
        <v>4</v>
      </c>
      <c r="BA1332" s="3" t="s">
        <v>95</v>
      </c>
      <c r="BB1332" s="6" t="s">
        <v>95</v>
      </c>
      <c r="BC1332" s="3" t="s">
        <v>95</v>
      </c>
      <c r="BD1332" t="s">
        <v>4</v>
      </c>
      <c r="BE1332">
        <v>5303</v>
      </c>
      <c r="BF1332" t="s">
        <v>386</v>
      </c>
      <c r="BG1332">
        <v>24.188300000000002</v>
      </c>
      <c r="BH1332">
        <v>42.207799999999999</v>
      </c>
      <c r="BI1332">
        <v>80.519499999999994</v>
      </c>
      <c r="BJ1332">
        <v>66.883099999999999</v>
      </c>
      <c r="BK1332">
        <v>46.915599999999998</v>
      </c>
      <c r="BL1332">
        <v>45.779200000000003</v>
      </c>
      <c r="BM1332">
        <v>30.844200000000001</v>
      </c>
      <c r="BN1332">
        <v>45.941600000000001</v>
      </c>
      <c r="BO1332">
        <v>45.941600000000001</v>
      </c>
      <c r="BP1332">
        <v>44.318199999999997</v>
      </c>
      <c r="BQ1332">
        <v>27.5974</v>
      </c>
      <c r="BR1332">
        <v>32.629899999999999</v>
      </c>
      <c r="BS1332">
        <v>33.116900000000001</v>
      </c>
      <c r="BT1332">
        <v>34.415599999999998</v>
      </c>
      <c r="BU1332">
        <v>30.194800000000001</v>
      </c>
      <c r="BV1332" t="s">
        <v>14605</v>
      </c>
      <c r="BW1332">
        <v>31.818200000000001</v>
      </c>
      <c r="BX1332">
        <v>38.149299999999997</v>
      </c>
      <c r="BY1332" t="s">
        <v>14606</v>
      </c>
      <c r="BZ1332">
        <v>32.792200000000001</v>
      </c>
      <c r="CA1332">
        <v>33.928600000000003</v>
      </c>
      <c r="CB1332">
        <v>19.805199999999999</v>
      </c>
      <c r="CC1332">
        <v>29.220800000000001</v>
      </c>
      <c r="CD1332">
        <v>31.980499999999999</v>
      </c>
      <c r="CE1332">
        <v>17.532499999999999</v>
      </c>
      <c r="CF1332">
        <v>25</v>
      </c>
      <c r="CG1332">
        <v>13.7987</v>
      </c>
      <c r="CH1332" t="s">
        <v>14607</v>
      </c>
      <c r="CI1332" t="s">
        <v>14608</v>
      </c>
      <c r="CK1332">
        <v>7</v>
      </c>
      <c r="CL1332" t="s">
        <v>4</v>
      </c>
      <c r="CM1332" t="s">
        <v>14609</v>
      </c>
      <c r="CN1332" t="s">
        <v>14610</v>
      </c>
      <c r="CO1332" t="s">
        <v>1218</v>
      </c>
      <c r="CP1332" t="s">
        <v>100</v>
      </c>
      <c r="CQ1332" t="s">
        <v>100</v>
      </c>
      <c r="CR1332" t="s">
        <v>100</v>
      </c>
      <c r="CS1332" s="7" t="s">
        <v>101</v>
      </c>
      <c r="CT1332" t="s">
        <v>152</v>
      </c>
      <c r="CU1332" t="s">
        <v>102</v>
      </c>
      <c r="CV1332" t="s">
        <v>100</v>
      </c>
    </row>
    <row r="1333" spans="1:100">
      <c r="A1333" s="3" t="s">
        <v>14611</v>
      </c>
      <c r="B1333" s="4" t="s">
        <v>14612</v>
      </c>
      <c r="C1333">
        <v>1696.7781104968301</v>
      </c>
      <c r="D1333">
        <v>1833.3494534009601</v>
      </c>
      <c r="E1333">
        <f>0.111563024632474</f>
        <v>0.111563024632474</v>
      </c>
      <c r="F1333">
        <v>0.70306091856410502</v>
      </c>
      <c r="G1333" t="s">
        <v>4</v>
      </c>
      <c r="H1333">
        <v>1696.7781104968301</v>
      </c>
      <c r="I1333">
        <v>380.52877192685401</v>
      </c>
      <c r="J1333">
        <v>2.1552693471670801</v>
      </c>
      <c r="K1333" s="5">
        <v>6.6243159493110703E-19</v>
      </c>
      <c r="L1333" t="s">
        <v>4</v>
      </c>
      <c r="M1333">
        <v>1833.3494534009601</v>
      </c>
      <c r="N1333">
        <v>380.52877192685401</v>
      </c>
      <c r="O1333">
        <v>2.2668323717995502</v>
      </c>
      <c r="P1333" s="5">
        <v>6.1594677470842103E-21</v>
      </c>
      <c r="Q1333" t="s">
        <v>4</v>
      </c>
      <c r="R1333" s="4" t="s">
        <v>87</v>
      </c>
      <c r="S1333" t="s">
        <v>4</v>
      </c>
      <c r="T1333" t="s">
        <v>14613</v>
      </c>
      <c r="U1333" t="s">
        <v>14614</v>
      </c>
      <c r="V1333" t="s">
        <v>14615</v>
      </c>
      <c r="W1333" t="s">
        <v>203</v>
      </c>
      <c r="X1333" t="s">
        <v>4</v>
      </c>
      <c r="Y1333" t="s">
        <v>14616</v>
      </c>
      <c r="Z1333" t="s">
        <v>14617</v>
      </c>
      <c r="AA1333" t="s">
        <v>14618</v>
      </c>
      <c r="AB1333" t="s">
        <v>4</v>
      </c>
      <c r="AC1333" s="3" t="s">
        <v>14619</v>
      </c>
      <c r="AD1333" t="s">
        <v>4</v>
      </c>
      <c r="AE1333" t="s">
        <v>14620</v>
      </c>
      <c r="AF1333" t="s">
        <v>14621</v>
      </c>
      <c r="AG1333" t="s">
        <v>14622</v>
      </c>
      <c r="AH1333" t="s">
        <v>112</v>
      </c>
      <c r="AK1333" t="s">
        <v>3114</v>
      </c>
      <c r="AL1333" t="s">
        <v>14623</v>
      </c>
      <c r="AQ1333" t="s">
        <v>3116</v>
      </c>
      <c r="AU1333" t="s">
        <v>112</v>
      </c>
      <c r="AV1333" t="s">
        <v>14624</v>
      </c>
      <c r="AW1333" t="s">
        <v>114</v>
      </c>
      <c r="AX1333" t="s">
        <v>144</v>
      </c>
      <c r="AY1333" t="s">
        <v>14625</v>
      </c>
      <c r="AZ1333" t="s">
        <v>4</v>
      </c>
      <c r="BA1333" s="3" t="s">
        <v>95</v>
      </c>
      <c r="BB1333" s="6" t="s">
        <v>95</v>
      </c>
      <c r="BC1333" s="3" t="s">
        <v>95</v>
      </c>
      <c r="BD1333" t="s">
        <v>4</v>
      </c>
      <c r="BE1333">
        <v>9615</v>
      </c>
      <c r="BF1333" t="s">
        <v>169</v>
      </c>
      <c r="BG1333">
        <v>87.594899999999996</v>
      </c>
      <c r="BI1333" t="s">
        <v>14626</v>
      </c>
      <c r="BJ1333">
        <v>83.797499999999999</v>
      </c>
      <c r="BK1333">
        <v>77.468400000000003</v>
      </c>
      <c r="BM1333">
        <v>75.442999999999998</v>
      </c>
      <c r="BN1333">
        <v>75.442999999999998</v>
      </c>
      <c r="BO1333">
        <v>77.468400000000003</v>
      </c>
      <c r="BP1333">
        <v>38.987299999999998</v>
      </c>
      <c r="BQ1333">
        <v>26.8354</v>
      </c>
      <c r="BR1333">
        <v>28.860800000000001</v>
      </c>
      <c r="BS1333">
        <v>31.645600000000002</v>
      </c>
      <c r="BV1333" t="s">
        <v>14627</v>
      </c>
      <c r="BX1333">
        <v>31.898700000000002</v>
      </c>
      <c r="BY1333">
        <v>18.227799999999998</v>
      </c>
      <c r="BZ1333">
        <v>29.367100000000001</v>
      </c>
      <c r="CA1333">
        <v>31.645600000000002</v>
      </c>
      <c r="CB1333">
        <v>27.341799999999999</v>
      </c>
      <c r="CC1333" t="s">
        <v>14628</v>
      </c>
      <c r="CE1333">
        <v>27.594899999999999</v>
      </c>
      <c r="CF1333">
        <v>29.8734</v>
      </c>
      <c r="CG1333" t="s">
        <v>14629</v>
      </c>
      <c r="CH1333">
        <v>32.658200000000001</v>
      </c>
      <c r="CI1333" t="s">
        <v>14630</v>
      </c>
      <c r="CK1333">
        <v>9</v>
      </c>
      <c r="CL1333" t="s">
        <v>4</v>
      </c>
      <c r="CM1333" t="s">
        <v>14631</v>
      </c>
      <c r="CN1333" t="s">
        <v>14632</v>
      </c>
      <c r="CO1333" t="s">
        <v>219</v>
      </c>
      <c r="CP1333" t="s">
        <v>100</v>
      </c>
      <c r="CQ1333" t="s">
        <v>100</v>
      </c>
      <c r="CR1333" t="s">
        <v>100</v>
      </c>
      <c r="CS1333" t="s">
        <v>101</v>
      </c>
      <c r="CT1333" t="s">
        <v>152</v>
      </c>
      <c r="CU1333" t="s">
        <v>102</v>
      </c>
      <c r="CV1333" t="s">
        <v>100</v>
      </c>
    </row>
    <row r="1334" spans="1:100">
      <c r="A1334" s="3" t="s">
        <v>14633</v>
      </c>
      <c r="B1334" s="4" t="s">
        <v>14634</v>
      </c>
      <c r="C1334">
        <v>1032.9179572564401</v>
      </c>
      <c r="D1334">
        <v>1984.6959876465801</v>
      </c>
      <c r="E1334">
        <f>0.94239210172251</f>
        <v>0.94239210172250998</v>
      </c>
      <c r="F1334">
        <v>2.1703169443399999E-2</v>
      </c>
      <c r="G1334" t="s">
        <v>4</v>
      </c>
      <c r="H1334">
        <v>1032.9179572564401</v>
      </c>
      <c r="I1334">
        <v>412.47472863131401</v>
      </c>
      <c r="J1334">
        <v>1.3234203323884199</v>
      </c>
      <c r="K1334">
        <v>7.6822706261068803E-4</v>
      </c>
      <c r="L1334" t="s">
        <v>4</v>
      </c>
      <c r="M1334">
        <v>1984.6959876465801</v>
      </c>
      <c r="N1334">
        <v>412.47472863131401</v>
      </c>
      <c r="O1334">
        <v>2.2658124341109298</v>
      </c>
      <c r="P1334" s="5">
        <v>1.9709032831756899E-9</v>
      </c>
      <c r="Q1334" t="s">
        <v>4</v>
      </c>
      <c r="R1334" s="4" t="s">
        <v>87</v>
      </c>
      <c r="S1334" t="s">
        <v>4</v>
      </c>
      <c r="T1334" t="s">
        <v>14635</v>
      </c>
      <c r="U1334" t="s">
        <v>14636</v>
      </c>
      <c r="V1334" t="s">
        <v>14637</v>
      </c>
      <c r="W1334" t="s">
        <v>976</v>
      </c>
      <c r="X1334" t="s">
        <v>4</v>
      </c>
      <c r="Y1334" t="s">
        <v>14638</v>
      </c>
      <c r="Z1334" t="s">
        <v>14639</v>
      </c>
      <c r="AA1334" t="s">
        <v>14640</v>
      </c>
      <c r="AB1334" t="s">
        <v>4</v>
      </c>
      <c r="AC1334" s="3" t="s">
        <v>14641</v>
      </c>
      <c r="AD1334" t="s">
        <v>4</v>
      </c>
      <c r="AE1334" t="s">
        <v>14642</v>
      </c>
      <c r="AF1334" t="s">
        <v>14643</v>
      </c>
      <c r="AG1334" t="s">
        <v>14644</v>
      </c>
      <c r="AH1334" t="s">
        <v>112</v>
      </c>
      <c r="AJ1334" t="s">
        <v>14645</v>
      </c>
      <c r="AU1334" t="s">
        <v>112</v>
      </c>
      <c r="AV1334" t="s">
        <v>14646</v>
      </c>
      <c r="AW1334" t="s">
        <v>114</v>
      </c>
      <c r="AX1334" t="s">
        <v>144</v>
      </c>
      <c r="AY1334" t="s">
        <v>14647</v>
      </c>
      <c r="AZ1334" t="s">
        <v>4</v>
      </c>
      <c r="BA1334" s="3" t="s">
        <v>115</v>
      </c>
      <c r="BB1334" s="6" t="s">
        <v>95</v>
      </c>
      <c r="BC1334" s="3" t="s">
        <v>95</v>
      </c>
      <c r="BD1334" t="s">
        <v>4</v>
      </c>
      <c r="BE1334">
        <v>3609</v>
      </c>
      <c r="BF1334" t="s">
        <v>112</v>
      </c>
      <c r="BG1334">
        <v>41.379300000000001</v>
      </c>
      <c r="BH1334">
        <v>43.390799999999999</v>
      </c>
      <c r="BI1334" t="s">
        <v>14648</v>
      </c>
      <c r="BJ1334">
        <v>80.172399999999996</v>
      </c>
      <c r="BK1334">
        <v>75.862099999999998</v>
      </c>
      <c r="BL1334">
        <v>46.264400000000002</v>
      </c>
      <c r="BM1334" t="s">
        <v>14649</v>
      </c>
      <c r="BN1334">
        <v>81.034499999999994</v>
      </c>
      <c r="BO1334">
        <v>76.724100000000007</v>
      </c>
      <c r="BP1334">
        <v>34.482799999999997</v>
      </c>
      <c r="CK1334">
        <v>5</v>
      </c>
      <c r="CL1334" t="s">
        <v>4</v>
      </c>
      <c r="CM1334" t="s">
        <v>98</v>
      </c>
      <c r="CN1334" t="s">
        <v>98</v>
      </c>
      <c r="CO1334" t="s">
        <v>99</v>
      </c>
      <c r="CP1334" t="s">
        <v>100</v>
      </c>
      <c r="CQ1334" t="s">
        <v>100</v>
      </c>
      <c r="CR1334" t="s">
        <v>100</v>
      </c>
      <c r="CS1334" s="7" t="s">
        <v>101</v>
      </c>
      <c r="CT1334" t="s">
        <v>152</v>
      </c>
      <c r="CU1334" t="s">
        <v>102</v>
      </c>
      <c r="CV1334" t="s">
        <v>100</v>
      </c>
    </row>
    <row r="1335" spans="1:100">
      <c r="A1335" s="3" t="s">
        <v>14650</v>
      </c>
      <c r="B1335" s="4" t="s">
        <v>14651</v>
      </c>
      <c r="C1335">
        <v>474.30375721358598</v>
      </c>
      <c r="D1335">
        <v>859.55771978781797</v>
      </c>
      <c r="E1335">
        <f>0.85835023749933</f>
        <v>0.85835023749933004</v>
      </c>
      <c r="F1335">
        <v>3.1583624498853498E-2</v>
      </c>
      <c r="G1335" t="s">
        <v>4</v>
      </c>
      <c r="H1335">
        <v>474.30375721358598</v>
      </c>
      <c r="I1335">
        <v>177.51128323173299</v>
      </c>
      <c r="J1335">
        <v>1.40701513769548</v>
      </c>
      <c r="K1335">
        <v>2.5082656626073698E-4</v>
      </c>
      <c r="L1335" t="s">
        <v>4</v>
      </c>
      <c r="M1335">
        <v>859.55771978781797</v>
      </c>
      <c r="N1335">
        <v>177.51128323173299</v>
      </c>
      <c r="O1335">
        <v>2.26536537519481</v>
      </c>
      <c r="P1335" s="5">
        <v>9.18312612620343E-10</v>
      </c>
      <c r="Q1335" t="s">
        <v>4</v>
      </c>
      <c r="R1335" s="4" t="s">
        <v>87</v>
      </c>
      <c r="S1335" t="s">
        <v>4</v>
      </c>
      <c r="T1335" t="s">
        <v>14652</v>
      </c>
      <c r="U1335" t="s">
        <v>14653</v>
      </c>
      <c r="V1335" t="s">
        <v>14654</v>
      </c>
      <c r="W1335" t="s">
        <v>123</v>
      </c>
      <c r="X1335" t="s">
        <v>4</v>
      </c>
      <c r="Y1335" t="s">
        <v>14655</v>
      </c>
      <c r="Z1335" t="s">
        <v>14656</v>
      </c>
      <c r="AA1335" t="s">
        <v>14657</v>
      </c>
      <c r="AB1335" t="s">
        <v>4</v>
      </c>
      <c r="AC1335" s="3" t="s">
        <v>14658</v>
      </c>
      <c r="AD1335" t="s">
        <v>4</v>
      </c>
      <c r="AE1335" t="s">
        <v>14659</v>
      </c>
      <c r="AF1335" t="s">
        <v>14660</v>
      </c>
      <c r="AG1335" t="s">
        <v>14661</v>
      </c>
      <c r="AH1335" t="s">
        <v>112</v>
      </c>
      <c r="AU1335" t="s">
        <v>112</v>
      </c>
      <c r="AV1335" t="s">
        <v>14662</v>
      </c>
      <c r="AW1335" t="s">
        <v>114</v>
      </c>
      <c r="AX1335" t="s">
        <v>345</v>
      </c>
      <c r="AY1335" t="s">
        <v>14663</v>
      </c>
      <c r="AZ1335" t="s">
        <v>4</v>
      </c>
      <c r="BA1335" s="3" t="s">
        <v>95</v>
      </c>
      <c r="BB1335" s="6" t="s">
        <v>95</v>
      </c>
      <c r="BC1335" s="3" t="s">
        <v>95</v>
      </c>
      <c r="BD1335" t="s">
        <v>4</v>
      </c>
      <c r="BE1335">
        <v>9930</v>
      </c>
      <c r="BF1335" t="s">
        <v>169</v>
      </c>
      <c r="BG1335">
        <v>98.461500000000001</v>
      </c>
      <c r="BH1335">
        <v>99.487200000000001</v>
      </c>
      <c r="BI1335">
        <v>88.205100000000002</v>
      </c>
      <c r="BJ1335">
        <v>79.487200000000001</v>
      </c>
      <c r="BK1335">
        <v>67.179500000000004</v>
      </c>
      <c r="BL1335">
        <v>73.846199999999996</v>
      </c>
      <c r="BM1335">
        <v>76.410300000000007</v>
      </c>
      <c r="BN1335">
        <v>76.410300000000007</v>
      </c>
      <c r="BO1335">
        <v>68.7179</v>
      </c>
      <c r="BP1335">
        <v>48.7179</v>
      </c>
      <c r="BQ1335">
        <v>28.7179</v>
      </c>
      <c r="BS1335">
        <v>37.435899999999997</v>
      </c>
      <c r="BT1335" t="s">
        <v>14664</v>
      </c>
      <c r="BV1335" t="s">
        <v>14665</v>
      </c>
      <c r="BW1335">
        <v>39.487200000000001</v>
      </c>
      <c r="BZ1335">
        <v>44.102600000000002</v>
      </c>
      <c r="CA1335">
        <v>45.1282</v>
      </c>
      <c r="CB1335">
        <v>38.461500000000001</v>
      </c>
      <c r="CE1335">
        <v>34.8718</v>
      </c>
      <c r="CF1335">
        <v>45.1282</v>
      </c>
      <c r="CG1335">
        <v>43.589700000000001</v>
      </c>
      <c r="CH1335">
        <v>40</v>
      </c>
      <c r="CI1335">
        <v>41.025599999999997</v>
      </c>
      <c r="CK1335">
        <v>9</v>
      </c>
      <c r="CL1335" t="s">
        <v>4</v>
      </c>
      <c r="CM1335" t="s">
        <v>14666</v>
      </c>
      <c r="CN1335" t="s">
        <v>14667</v>
      </c>
      <c r="CO1335" t="s">
        <v>219</v>
      </c>
      <c r="CP1335" t="s">
        <v>100</v>
      </c>
      <c r="CQ1335" t="s">
        <v>100</v>
      </c>
      <c r="CR1335" t="s">
        <v>100</v>
      </c>
      <c r="CS1335" s="7" t="s">
        <v>101</v>
      </c>
      <c r="CT1335" t="s">
        <v>152</v>
      </c>
      <c r="CU1335" t="s">
        <v>102</v>
      </c>
      <c r="CV1335" t="s">
        <v>100</v>
      </c>
    </row>
    <row r="1336" spans="1:100">
      <c r="A1336" s="3" t="s">
        <v>14668</v>
      </c>
      <c r="B1336" s="4" t="s">
        <v>14669</v>
      </c>
      <c r="C1336">
        <v>380.45491864493198</v>
      </c>
      <c r="D1336">
        <v>295.83147730071198</v>
      </c>
      <c r="E1336">
        <v>0.36309949275450898</v>
      </c>
      <c r="F1336">
        <v>0.220353005491606</v>
      </c>
      <c r="G1336" t="s">
        <v>4</v>
      </c>
      <c r="H1336">
        <v>380.45491864493198</v>
      </c>
      <c r="I1336">
        <v>60.736030807916002</v>
      </c>
      <c r="J1336">
        <v>2.6277459274185802</v>
      </c>
      <c r="K1336" s="5">
        <v>5.3304967700517897E-20</v>
      </c>
      <c r="L1336" t="s">
        <v>4</v>
      </c>
      <c r="M1336">
        <v>295.83147730071198</v>
      </c>
      <c r="N1336">
        <v>60.736030807916002</v>
      </c>
      <c r="O1336">
        <v>2.26464643466407</v>
      </c>
      <c r="P1336" s="5">
        <v>4.2884398552362898E-15</v>
      </c>
      <c r="Q1336" t="s">
        <v>4</v>
      </c>
      <c r="R1336" s="4" t="s">
        <v>87</v>
      </c>
      <c r="S1336" t="s">
        <v>4</v>
      </c>
      <c r="T1336" t="s">
        <v>14670</v>
      </c>
      <c r="U1336" t="s">
        <v>14671</v>
      </c>
      <c r="V1336" t="s">
        <v>14672</v>
      </c>
      <c r="W1336" t="s">
        <v>203</v>
      </c>
      <c r="X1336" t="s">
        <v>4</v>
      </c>
      <c r="Y1336" t="s">
        <v>14673</v>
      </c>
      <c r="Z1336" t="s">
        <v>14674</v>
      </c>
      <c r="AA1336" t="s">
        <v>14675</v>
      </c>
      <c r="AB1336" t="s">
        <v>4</v>
      </c>
      <c r="AC1336" s="3" t="s">
        <v>14676</v>
      </c>
      <c r="AD1336" t="s">
        <v>4</v>
      </c>
      <c r="AE1336" t="s">
        <v>14677</v>
      </c>
      <c r="AF1336" t="s">
        <v>14678</v>
      </c>
      <c r="AG1336" t="s">
        <v>14679</v>
      </c>
      <c r="AH1336" t="s">
        <v>112</v>
      </c>
      <c r="AJ1336" t="s">
        <v>876</v>
      </c>
      <c r="AL1336" t="s">
        <v>14680</v>
      </c>
      <c r="AM1336" t="s">
        <v>10254</v>
      </c>
      <c r="AO1336" t="s">
        <v>14681</v>
      </c>
      <c r="AP1336" t="s">
        <v>3665</v>
      </c>
      <c r="AQ1336" t="s">
        <v>2941</v>
      </c>
      <c r="AU1336" t="s">
        <v>112</v>
      </c>
      <c r="AV1336" t="s">
        <v>14682</v>
      </c>
      <c r="AW1336" t="s">
        <v>114</v>
      </c>
      <c r="AX1336" t="s">
        <v>132</v>
      </c>
      <c r="AY1336" t="s">
        <v>14683</v>
      </c>
      <c r="AZ1336" t="s">
        <v>4</v>
      </c>
      <c r="BA1336" s="3" t="s">
        <v>95</v>
      </c>
      <c r="BB1336" s="6" t="s">
        <v>95</v>
      </c>
      <c r="BC1336" s="3" t="s">
        <v>95</v>
      </c>
      <c r="BD1336" t="s">
        <v>4</v>
      </c>
      <c r="BE1336">
        <v>6139</v>
      </c>
      <c r="BF1336" t="s">
        <v>213</v>
      </c>
      <c r="BG1336">
        <v>70.547899999999998</v>
      </c>
      <c r="BH1336">
        <v>88.356200000000001</v>
      </c>
      <c r="BI1336">
        <v>96.575299999999999</v>
      </c>
      <c r="BJ1336">
        <v>95.8904</v>
      </c>
      <c r="BK1336">
        <v>95.205500000000001</v>
      </c>
      <c r="BL1336">
        <v>87.671199999999999</v>
      </c>
      <c r="BM1336">
        <v>90.411000000000001</v>
      </c>
      <c r="BN1336">
        <v>90.411000000000001</v>
      </c>
      <c r="BO1336">
        <v>95.8904</v>
      </c>
      <c r="BP1336">
        <v>69.863</v>
      </c>
      <c r="BQ1336">
        <v>71.9178</v>
      </c>
      <c r="BR1336">
        <v>74.657499999999999</v>
      </c>
      <c r="BS1336">
        <v>71.232900000000001</v>
      </c>
      <c r="BT1336">
        <v>70.547899999999998</v>
      </c>
      <c r="BU1336">
        <v>69.863</v>
      </c>
      <c r="BV1336" t="s">
        <v>14684</v>
      </c>
      <c r="BX1336">
        <v>77.397300000000001</v>
      </c>
      <c r="BZ1336">
        <v>72.602699999999999</v>
      </c>
      <c r="CA1336">
        <v>72.602699999999999</v>
      </c>
      <c r="CB1336">
        <v>57.534199999999998</v>
      </c>
      <c r="CC1336">
        <v>62.328800000000001</v>
      </c>
      <c r="CD1336">
        <v>69.178100000000001</v>
      </c>
      <c r="CF1336">
        <v>54.794499999999999</v>
      </c>
      <c r="CG1336">
        <v>71.9178</v>
      </c>
      <c r="CH1336">
        <v>72.602699999999999</v>
      </c>
      <c r="CI1336">
        <v>73.287700000000001</v>
      </c>
      <c r="CK1336">
        <v>8</v>
      </c>
      <c r="CL1336" t="s">
        <v>4</v>
      </c>
      <c r="CM1336" t="s">
        <v>14685</v>
      </c>
      <c r="CN1336" t="s">
        <v>14686</v>
      </c>
      <c r="CO1336" t="s">
        <v>99</v>
      </c>
      <c r="CP1336" t="s">
        <v>100</v>
      </c>
      <c r="CQ1336" t="s">
        <v>100</v>
      </c>
      <c r="CR1336" t="s">
        <v>100</v>
      </c>
      <c r="CS1336" t="s">
        <v>101</v>
      </c>
      <c r="CT1336" t="s">
        <v>152</v>
      </c>
      <c r="CU1336" t="s">
        <v>102</v>
      </c>
      <c r="CV1336" t="s">
        <v>100</v>
      </c>
    </row>
    <row r="1337" spans="1:100">
      <c r="A1337" s="3" t="s">
        <v>14687</v>
      </c>
      <c r="B1337" s="4" t="s">
        <v>14688</v>
      </c>
      <c r="C1337">
        <v>32.231910710847302</v>
      </c>
      <c r="D1337">
        <v>44.013316450279298</v>
      </c>
      <c r="E1337">
        <f>0.448932147044623</f>
        <v>0.44893214704462298</v>
      </c>
      <c r="F1337">
        <v>0.61099402240955003</v>
      </c>
      <c r="G1337" t="s">
        <v>4</v>
      </c>
      <c r="H1337">
        <v>32.231910710847302</v>
      </c>
      <c r="I1337">
        <v>9.0894167262742993</v>
      </c>
      <c r="J1337">
        <v>1.8112514173532099</v>
      </c>
      <c r="K1337">
        <v>3.4782725440282797E-2</v>
      </c>
      <c r="L1337" t="s">
        <v>4</v>
      </c>
      <c r="M1337">
        <v>44.013316450279298</v>
      </c>
      <c r="N1337">
        <v>9.0894167262742993</v>
      </c>
      <c r="O1337">
        <v>2.2601835643978401</v>
      </c>
      <c r="P1337">
        <v>6.8603524468111403E-3</v>
      </c>
      <c r="Q1337" t="s">
        <v>4</v>
      </c>
      <c r="R1337" s="4" t="s">
        <v>87</v>
      </c>
      <c r="S1337" t="s">
        <v>4</v>
      </c>
      <c r="T1337" t="s">
        <v>88</v>
      </c>
      <c r="U1337" t="s">
        <v>89</v>
      </c>
      <c r="V1337" t="s">
        <v>90</v>
      </c>
      <c r="W1337" t="s">
        <v>91</v>
      </c>
      <c r="X1337" t="s">
        <v>4</v>
      </c>
      <c r="Y1337" t="s">
        <v>423</v>
      </c>
      <c r="Z1337" t="s">
        <v>424</v>
      </c>
      <c r="AA1337" t="s">
        <v>425</v>
      </c>
      <c r="AB1337" t="s">
        <v>4</v>
      </c>
      <c r="AC1337" s="3" t="s">
        <v>426</v>
      </c>
      <c r="AD1337" t="s">
        <v>4</v>
      </c>
      <c r="AE1337" t="s">
        <v>11344</v>
      </c>
      <c r="AF1337" t="s">
        <v>14689</v>
      </c>
      <c r="AG1337" t="s">
        <v>14690</v>
      </c>
      <c r="AH1337" t="s">
        <v>112</v>
      </c>
      <c r="AU1337" t="s">
        <v>112</v>
      </c>
      <c r="AV1337" t="s">
        <v>430</v>
      </c>
      <c r="AW1337" t="s">
        <v>114</v>
      </c>
      <c r="AX1337" t="s">
        <v>144</v>
      </c>
      <c r="AY1337" t="s">
        <v>431</v>
      </c>
      <c r="AZ1337" t="s">
        <v>4</v>
      </c>
      <c r="BA1337" s="3" t="s">
        <v>115</v>
      </c>
      <c r="BB1337" t="s">
        <v>96</v>
      </c>
      <c r="BC1337" s="3" t="s">
        <v>95</v>
      </c>
      <c r="BD1337" t="s">
        <v>4</v>
      </c>
      <c r="BE1337">
        <v>3301</v>
      </c>
      <c r="BF1337" t="s">
        <v>112</v>
      </c>
      <c r="BJ1337">
        <v>75.728200000000001</v>
      </c>
      <c r="BN1337" t="s">
        <v>14691</v>
      </c>
      <c r="BP1337">
        <v>22.653700000000001</v>
      </c>
      <c r="BQ1337" t="s">
        <v>14692</v>
      </c>
      <c r="BW1337" t="s">
        <v>14693</v>
      </c>
      <c r="CK1337">
        <v>5</v>
      </c>
      <c r="CL1337" t="s">
        <v>4</v>
      </c>
      <c r="CM1337" t="s">
        <v>98</v>
      </c>
      <c r="CN1337" t="s">
        <v>98</v>
      </c>
      <c r="CO1337" t="s">
        <v>99</v>
      </c>
      <c r="CP1337" t="s">
        <v>100</v>
      </c>
      <c r="CQ1337" t="s">
        <v>100</v>
      </c>
      <c r="CR1337" t="s">
        <v>100</v>
      </c>
      <c r="CS1337" s="7" t="s">
        <v>101</v>
      </c>
      <c r="CT1337" t="s">
        <v>152</v>
      </c>
      <c r="CU1337" t="s">
        <v>102</v>
      </c>
      <c r="CV1337" t="s">
        <v>100</v>
      </c>
    </row>
    <row r="1338" spans="1:100">
      <c r="A1338" s="3" t="s">
        <v>14694</v>
      </c>
      <c r="B1338" s="4" t="s">
        <v>14695</v>
      </c>
      <c r="C1338">
        <v>65.339181081534804</v>
      </c>
      <c r="D1338">
        <v>85.008326580185297</v>
      </c>
      <c r="E1338">
        <f>0.372699843700007</f>
        <v>0.37269984370000703</v>
      </c>
      <c r="F1338">
        <v>0.49643299103683702</v>
      </c>
      <c r="G1338" t="s">
        <v>4</v>
      </c>
      <c r="H1338">
        <v>65.339181081534804</v>
      </c>
      <c r="I1338">
        <v>17.639882326450401</v>
      </c>
      <c r="J1338">
        <v>1.8767457319155501</v>
      </c>
      <c r="K1338">
        <v>5.2305539991169602E-4</v>
      </c>
      <c r="L1338" t="s">
        <v>4</v>
      </c>
      <c r="M1338">
        <v>85.008326580185297</v>
      </c>
      <c r="N1338">
        <v>17.639882326450401</v>
      </c>
      <c r="O1338">
        <v>2.2494455756155598</v>
      </c>
      <c r="P1338" s="5">
        <v>2.0306055870163302E-5</v>
      </c>
      <c r="Q1338" t="s">
        <v>4</v>
      </c>
      <c r="R1338" s="4" t="s">
        <v>87</v>
      </c>
      <c r="S1338" t="s">
        <v>4</v>
      </c>
      <c r="T1338" t="s">
        <v>5973</v>
      </c>
      <c r="U1338" t="s">
        <v>5974</v>
      </c>
      <c r="V1338" t="s">
        <v>5975</v>
      </c>
      <c r="W1338" t="s">
        <v>91</v>
      </c>
      <c r="X1338" t="s">
        <v>4</v>
      </c>
      <c r="Y1338" t="s">
        <v>870</v>
      </c>
      <c r="Z1338" t="s">
        <v>871</v>
      </c>
      <c r="AA1338" t="s">
        <v>872</v>
      </c>
      <c r="AB1338" t="s">
        <v>4</v>
      </c>
      <c r="AC1338" s="3" t="s">
        <v>5976</v>
      </c>
      <c r="AD1338" t="s">
        <v>4</v>
      </c>
      <c r="AE1338" t="s">
        <v>873</v>
      </c>
      <c r="AF1338" t="s">
        <v>14696</v>
      </c>
      <c r="AG1338" t="s">
        <v>9643</v>
      </c>
      <c r="AH1338" t="s">
        <v>112</v>
      </c>
      <c r="AJ1338" t="s">
        <v>876</v>
      </c>
      <c r="AL1338" t="s">
        <v>877</v>
      </c>
      <c r="AM1338" t="s">
        <v>878</v>
      </c>
      <c r="AQ1338" t="s">
        <v>879</v>
      </c>
      <c r="AU1338" t="s">
        <v>112</v>
      </c>
      <c r="AV1338" t="s">
        <v>880</v>
      </c>
      <c r="AW1338" t="s">
        <v>114</v>
      </c>
      <c r="AX1338" t="s">
        <v>881</v>
      </c>
      <c r="AY1338" t="s">
        <v>882</v>
      </c>
      <c r="AZ1338" t="s">
        <v>4</v>
      </c>
      <c r="BA1338" s="3" t="s">
        <v>95</v>
      </c>
      <c r="BB1338" s="6" t="s">
        <v>95</v>
      </c>
      <c r="BC1338" s="3" t="s">
        <v>197</v>
      </c>
      <c r="BD1338" t="s">
        <v>4</v>
      </c>
      <c r="BE1338">
        <v>7871</v>
      </c>
      <c r="BF1338" t="s">
        <v>213</v>
      </c>
      <c r="BJ1338" t="s">
        <v>14697</v>
      </c>
      <c r="BM1338">
        <v>52.4422</v>
      </c>
      <c r="BN1338">
        <v>52.699199999999998</v>
      </c>
      <c r="BO1338" t="s">
        <v>14698</v>
      </c>
      <c r="CC1338" t="s">
        <v>14699</v>
      </c>
      <c r="CD1338" t="s">
        <v>14700</v>
      </c>
      <c r="CG1338" t="s">
        <v>14701</v>
      </c>
      <c r="CH1338" t="s">
        <v>14702</v>
      </c>
      <c r="CI1338" t="s">
        <v>14703</v>
      </c>
      <c r="CK1338">
        <v>8</v>
      </c>
      <c r="CL1338" t="s">
        <v>4</v>
      </c>
      <c r="CM1338" t="s">
        <v>98</v>
      </c>
      <c r="CN1338" t="s">
        <v>98</v>
      </c>
      <c r="CO1338" t="s">
        <v>99</v>
      </c>
      <c r="CP1338" t="s">
        <v>100</v>
      </c>
      <c r="CQ1338" t="s">
        <v>100</v>
      </c>
      <c r="CR1338" t="s">
        <v>100</v>
      </c>
      <c r="CS1338" s="7" t="s">
        <v>101</v>
      </c>
      <c r="CT1338" t="s">
        <v>152</v>
      </c>
      <c r="CU1338" t="s">
        <v>102</v>
      </c>
      <c r="CV1338" t="s">
        <v>100</v>
      </c>
    </row>
    <row r="1339" spans="1:100">
      <c r="A1339" s="3" t="s">
        <v>14704</v>
      </c>
      <c r="B1339" s="4" t="s">
        <v>14705</v>
      </c>
      <c r="C1339">
        <v>878.931691109643</v>
      </c>
      <c r="D1339">
        <v>1668.76167518789</v>
      </c>
      <c r="E1339">
        <f>0.925573883611948</f>
        <v>0.92557388361194803</v>
      </c>
      <c r="F1339">
        <v>3.77402694697755E-3</v>
      </c>
      <c r="G1339" t="s">
        <v>4</v>
      </c>
      <c r="H1339">
        <v>878.931691109643</v>
      </c>
      <c r="I1339">
        <v>350.74054819462299</v>
      </c>
      <c r="J1339">
        <v>1.3210581856874699</v>
      </c>
      <c r="K1339" s="5">
        <v>1.84902777922202E-5</v>
      </c>
      <c r="L1339" t="s">
        <v>4</v>
      </c>
      <c r="M1339">
        <v>1668.76167518789</v>
      </c>
      <c r="N1339">
        <v>350.74054819462299</v>
      </c>
      <c r="O1339">
        <v>2.2466320692994199</v>
      </c>
      <c r="P1339" s="5">
        <v>4.4564121121140098E-14</v>
      </c>
      <c r="Q1339" t="s">
        <v>4</v>
      </c>
      <c r="R1339" s="4" t="s">
        <v>87</v>
      </c>
      <c r="S1339" t="s">
        <v>4</v>
      </c>
      <c r="T1339" t="s">
        <v>92</v>
      </c>
      <c r="U1339" t="s">
        <v>92</v>
      </c>
      <c r="V1339" t="s">
        <v>92</v>
      </c>
      <c r="W1339" t="s">
        <v>92</v>
      </c>
      <c r="X1339" t="s">
        <v>4</v>
      </c>
      <c r="Y1339" t="s">
        <v>14706</v>
      </c>
      <c r="Z1339" t="s">
        <v>14707</v>
      </c>
      <c r="AA1339" t="s">
        <v>14708</v>
      </c>
      <c r="AB1339" t="s">
        <v>4</v>
      </c>
      <c r="AC1339" s="3" t="s">
        <v>14709</v>
      </c>
      <c r="AD1339" t="s">
        <v>4</v>
      </c>
      <c r="AE1339" t="s">
        <v>14710</v>
      </c>
      <c r="AF1339" t="s">
        <v>834</v>
      </c>
      <c r="AG1339" t="s">
        <v>14711</v>
      </c>
      <c r="AH1339" t="s">
        <v>112</v>
      </c>
      <c r="AU1339" t="s">
        <v>112</v>
      </c>
      <c r="AV1339" t="s">
        <v>14712</v>
      </c>
      <c r="AW1339" t="s">
        <v>114</v>
      </c>
      <c r="AX1339" t="s">
        <v>144</v>
      </c>
      <c r="AY1339" t="s">
        <v>14713</v>
      </c>
      <c r="AZ1339" t="s">
        <v>4</v>
      </c>
      <c r="BA1339" s="3" t="s">
        <v>95</v>
      </c>
      <c r="BB1339" s="6" t="s">
        <v>95</v>
      </c>
      <c r="BC1339" s="3" t="s">
        <v>95</v>
      </c>
      <c r="BD1339" t="s">
        <v>4</v>
      </c>
      <c r="BE1339">
        <v>6558</v>
      </c>
      <c r="BF1339" t="s">
        <v>213</v>
      </c>
      <c r="BG1339">
        <v>99.498699999999999</v>
      </c>
      <c r="BI1339">
        <v>97.869699999999995</v>
      </c>
      <c r="BJ1339">
        <v>93.233099999999993</v>
      </c>
      <c r="BK1339">
        <v>90.601500000000001</v>
      </c>
      <c r="BL1339">
        <v>76.1905</v>
      </c>
      <c r="BM1339">
        <v>89.599000000000004</v>
      </c>
      <c r="BN1339">
        <v>89.724299999999999</v>
      </c>
      <c r="BO1339">
        <v>89.348399999999998</v>
      </c>
      <c r="BP1339">
        <v>75.188000000000002</v>
      </c>
      <c r="BQ1339">
        <v>56.015000000000001</v>
      </c>
      <c r="BR1339">
        <v>61.904800000000002</v>
      </c>
      <c r="BS1339">
        <v>61.528799999999997</v>
      </c>
      <c r="BU1339">
        <v>59.899700000000003</v>
      </c>
      <c r="BV1339" t="s">
        <v>14714</v>
      </c>
      <c r="BX1339">
        <v>66.415999999999997</v>
      </c>
      <c r="BZ1339">
        <v>50.501300000000001</v>
      </c>
      <c r="CA1339">
        <v>63.909799999999997</v>
      </c>
      <c r="CC1339">
        <v>36.340899999999998</v>
      </c>
      <c r="CD1339">
        <v>34.586500000000001</v>
      </c>
      <c r="CK1339">
        <v>8</v>
      </c>
      <c r="CL1339" t="s">
        <v>4</v>
      </c>
      <c r="CM1339" t="s">
        <v>14715</v>
      </c>
      <c r="CN1339" t="s">
        <v>14716</v>
      </c>
      <c r="CO1339" t="s">
        <v>219</v>
      </c>
      <c r="CP1339" t="s">
        <v>100</v>
      </c>
      <c r="CQ1339" t="s">
        <v>100</v>
      </c>
      <c r="CR1339" t="s">
        <v>100</v>
      </c>
      <c r="CS1339" s="7" t="s">
        <v>101</v>
      </c>
      <c r="CT1339" t="s">
        <v>152</v>
      </c>
      <c r="CU1339" t="s">
        <v>102</v>
      </c>
      <c r="CV1339" t="s">
        <v>100</v>
      </c>
    </row>
    <row r="1340" spans="1:100">
      <c r="A1340" s="3" t="s">
        <v>14717</v>
      </c>
      <c r="B1340" s="4" t="s">
        <v>14718</v>
      </c>
      <c r="C1340">
        <v>1057.3617931240001</v>
      </c>
      <c r="D1340">
        <v>1428.04089403904</v>
      </c>
      <c r="E1340">
        <f>0.433583095416364</f>
        <v>0.43358309541636397</v>
      </c>
      <c r="F1340">
        <v>2.5195140571788E-2</v>
      </c>
      <c r="G1340" t="s">
        <v>4</v>
      </c>
      <c r="H1340">
        <v>1057.3617931240001</v>
      </c>
      <c r="I1340">
        <v>302.63413485222497</v>
      </c>
      <c r="J1340">
        <v>1.81242792184684</v>
      </c>
      <c r="K1340" s="5">
        <v>4.1045549614797602E-23</v>
      </c>
      <c r="L1340" t="s">
        <v>4</v>
      </c>
      <c r="M1340">
        <v>1428.04089403904</v>
      </c>
      <c r="N1340">
        <v>302.63413485222497</v>
      </c>
      <c r="O1340">
        <v>2.2460110172632102</v>
      </c>
      <c r="P1340" s="5">
        <v>3.6762281648297998E-35</v>
      </c>
      <c r="Q1340" t="s">
        <v>4</v>
      </c>
      <c r="R1340" s="4" t="s">
        <v>87</v>
      </c>
      <c r="S1340" t="s">
        <v>4</v>
      </c>
      <c r="T1340" t="s">
        <v>14719</v>
      </c>
      <c r="U1340" t="s">
        <v>14720</v>
      </c>
      <c r="V1340" t="s">
        <v>14721</v>
      </c>
      <c r="W1340" t="s">
        <v>328</v>
      </c>
      <c r="X1340" t="s">
        <v>4</v>
      </c>
      <c r="Y1340" t="s">
        <v>14722</v>
      </c>
      <c r="Z1340" t="s">
        <v>14723</v>
      </c>
      <c r="AA1340" t="s">
        <v>14724</v>
      </c>
      <c r="AB1340" t="s">
        <v>4</v>
      </c>
      <c r="AC1340" s="3" t="s">
        <v>14725</v>
      </c>
      <c r="AD1340" t="s">
        <v>4</v>
      </c>
      <c r="AE1340" t="s">
        <v>14726</v>
      </c>
      <c r="AF1340" t="s">
        <v>14727</v>
      </c>
      <c r="AG1340" t="s">
        <v>14728</v>
      </c>
      <c r="AH1340" t="s">
        <v>112</v>
      </c>
      <c r="AJ1340" t="s">
        <v>14729</v>
      </c>
      <c r="AK1340" t="s">
        <v>14730</v>
      </c>
      <c r="AL1340" t="s">
        <v>14731</v>
      </c>
      <c r="AM1340" t="s">
        <v>14732</v>
      </c>
      <c r="AO1340" t="s">
        <v>14733</v>
      </c>
      <c r="AP1340" t="s">
        <v>14734</v>
      </c>
      <c r="AQ1340" t="s">
        <v>14735</v>
      </c>
      <c r="AU1340" t="s">
        <v>112</v>
      </c>
      <c r="AV1340" t="s">
        <v>14736</v>
      </c>
      <c r="AW1340" t="s">
        <v>114</v>
      </c>
      <c r="AX1340" t="s">
        <v>1879</v>
      </c>
      <c r="AY1340" t="s">
        <v>14737</v>
      </c>
      <c r="AZ1340" t="s">
        <v>4</v>
      </c>
      <c r="BA1340" s="3" t="s">
        <v>95</v>
      </c>
      <c r="BB1340" s="6" t="s">
        <v>95</v>
      </c>
      <c r="BC1340" s="3" t="s">
        <v>95</v>
      </c>
      <c r="BD1340" t="s">
        <v>4</v>
      </c>
      <c r="BE1340">
        <v>10391</v>
      </c>
      <c r="BF1340" t="s">
        <v>169</v>
      </c>
      <c r="BG1340">
        <v>99.090900000000005</v>
      </c>
      <c r="BH1340">
        <v>83.409099999999995</v>
      </c>
      <c r="BI1340">
        <v>91.136399999999995</v>
      </c>
      <c r="BJ1340">
        <v>82.954499999999996</v>
      </c>
      <c r="BK1340">
        <v>74.090900000000005</v>
      </c>
      <c r="BL1340">
        <v>22.045500000000001</v>
      </c>
      <c r="BM1340">
        <v>79.7727</v>
      </c>
      <c r="BN1340">
        <v>75.454499999999996</v>
      </c>
      <c r="BO1340">
        <v>65.681799999999996</v>
      </c>
      <c r="BP1340">
        <v>49.090899999999998</v>
      </c>
      <c r="BQ1340">
        <v>37.2727</v>
      </c>
      <c r="BR1340">
        <v>41.590899999999998</v>
      </c>
      <c r="BS1340">
        <v>38.409100000000002</v>
      </c>
      <c r="BU1340">
        <v>38.636400000000002</v>
      </c>
      <c r="BV1340" t="s">
        <v>14738</v>
      </c>
      <c r="BX1340">
        <v>38.863599999999998</v>
      </c>
      <c r="BY1340">
        <v>38.636400000000002</v>
      </c>
      <c r="BZ1340">
        <v>10.2273</v>
      </c>
      <c r="CA1340">
        <v>40.2273</v>
      </c>
      <c r="CB1340">
        <v>15.454499999999999</v>
      </c>
      <c r="CD1340">
        <v>27.045500000000001</v>
      </c>
      <c r="CE1340">
        <v>28.636399999999998</v>
      </c>
      <c r="CF1340">
        <v>27.954499999999999</v>
      </c>
      <c r="CG1340">
        <v>29.318200000000001</v>
      </c>
      <c r="CH1340">
        <v>30</v>
      </c>
      <c r="CI1340">
        <v>31.136399999999998</v>
      </c>
      <c r="CJ1340">
        <v>28.409099999999999</v>
      </c>
      <c r="CK1340">
        <v>9</v>
      </c>
      <c r="CL1340" t="s">
        <v>4</v>
      </c>
      <c r="CM1340" t="s">
        <v>14739</v>
      </c>
      <c r="CN1340" t="s">
        <v>14740</v>
      </c>
      <c r="CO1340" t="s">
        <v>219</v>
      </c>
      <c r="CP1340" t="s">
        <v>100</v>
      </c>
      <c r="CQ1340" t="s">
        <v>100</v>
      </c>
      <c r="CR1340" t="s">
        <v>100</v>
      </c>
      <c r="CS1340" s="7" t="s">
        <v>101</v>
      </c>
      <c r="CT1340" t="s">
        <v>152</v>
      </c>
      <c r="CU1340" t="s">
        <v>102</v>
      </c>
      <c r="CV1340" t="s">
        <v>100</v>
      </c>
    </row>
    <row r="1341" spans="1:100">
      <c r="A1341" s="3" t="s">
        <v>14741</v>
      </c>
      <c r="B1341" s="4" t="s">
        <v>14742</v>
      </c>
      <c r="C1341">
        <v>64.224957214587207</v>
      </c>
      <c r="D1341">
        <v>35.566576443950296</v>
      </c>
      <c r="E1341">
        <v>0.851139710244605</v>
      </c>
      <c r="F1341">
        <v>0.20530799299511801</v>
      </c>
      <c r="G1341" t="s">
        <v>4</v>
      </c>
      <c r="H1341">
        <v>64.224957214587207</v>
      </c>
      <c r="I1341">
        <v>8.1988025975942893</v>
      </c>
      <c r="J1341">
        <v>3.0955788802656601</v>
      </c>
      <c r="K1341" s="5">
        <v>1.2437594203844199E-5</v>
      </c>
      <c r="L1341" t="s">
        <v>4</v>
      </c>
      <c r="M1341">
        <v>35.566576443950296</v>
      </c>
      <c r="N1341">
        <v>8.1988025975942893</v>
      </c>
      <c r="O1341">
        <v>2.2444391700210602</v>
      </c>
      <c r="P1341">
        <v>1.86399165286676E-3</v>
      </c>
      <c r="Q1341" t="s">
        <v>4</v>
      </c>
      <c r="R1341" s="4" t="s">
        <v>87</v>
      </c>
      <c r="S1341" t="s">
        <v>4</v>
      </c>
      <c r="T1341" t="s">
        <v>14743</v>
      </c>
      <c r="U1341" t="s">
        <v>14744</v>
      </c>
      <c r="V1341" t="s">
        <v>14745</v>
      </c>
      <c r="W1341" t="s">
        <v>328</v>
      </c>
      <c r="X1341" t="s">
        <v>4</v>
      </c>
      <c r="Y1341" t="s">
        <v>13430</v>
      </c>
      <c r="Z1341" t="s">
        <v>13431</v>
      </c>
      <c r="AA1341" t="s">
        <v>13432</v>
      </c>
      <c r="AB1341" t="s">
        <v>4</v>
      </c>
      <c r="AC1341" s="3" t="s">
        <v>14746</v>
      </c>
      <c r="AD1341" t="s">
        <v>4</v>
      </c>
      <c r="AE1341" t="s">
        <v>14747</v>
      </c>
      <c r="AF1341" t="s">
        <v>14748</v>
      </c>
      <c r="AG1341" t="s">
        <v>14749</v>
      </c>
      <c r="AH1341" t="s">
        <v>112</v>
      </c>
      <c r="AJ1341" t="s">
        <v>14750</v>
      </c>
      <c r="AL1341" t="s">
        <v>14751</v>
      </c>
      <c r="AQ1341" t="s">
        <v>12257</v>
      </c>
      <c r="AU1341" t="s">
        <v>112</v>
      </c>
      <c r="AV1341" t="s">
        <v>14752</v>
      </c>
      <c r="AW1341" t="s">
        <v>114</v>
      </c>
      <c r="AX1341" t="s">
        <v>1938</v>
      </c>
      <c r="AY1341" t="s">
        <v>11312</v>
      </c>
      <c r="AZ1341" t="s">
        <v>4</v>
      </c>
      <c r="BA1341" s="3" t="s">
        <v>115</v>
      </c>
      <c r="BB1341" s="6" t="s">
        <v>95</v>
      </c>
      <c r="BC1341" s="3" t="s">
        <v>95</v>
      </c>
      <c r="BD1341" t="s">
        <v>4</v>
      </c>
      <c r="BE1341">
        <v>8205</v>
      </c>
      <c r="BF1341" t="s">
        <v>213</v>
      </c>
      <c r="BG1341">
        <v>99.858000000000004</v>
      </c>
      <c r="BH1341">
        <v>30.3977</v>
      </c>
      <c r="BK1341">
        <v>89.630700000000004</v>
      </c>
      <c r="BL1341">
        <v>69.886399999999995</v>
      </c>
      <c r="BM1341">
        <v>86.079499999999996</v>
      </c>
      <c r="BN1341">
        <v>91.051100000000005</v>
      </c>
      <c r="BO1341">
        <v>90.909099999999995</v>
      </c>
      <c r="BW1341">
        <v>62.073900000000002</v>
      </c>
      <c r="BX1341">
        <v>20.028400000000001</v>
      </c>
      <c r="BY1341">
        <v>16.3352</v>
      </c>
      <c r="CB1341">
        <v>27.698899999999998</v>
      </c>
      <c r="CC1341">
        <v>18.181799999999999</v>
      </c>
      <c r="CG1341" t="s">
        <v>14753</v>
      </c>
      <c r="CH1341" t="s">
        <v>14754</v>
      </c>
      <c r="CI1341" t="s">
        <v>14755</v>
      </c>
      <c r="CK1341">
        <v>8</v>
      </c>
      <c r="CL1341" t="s">
        <v>4</v>
      </c>
      <c r="CM1341" t="s">
        <v>98</v>
      </c>
      <c r="CN1341" t="s">
        <v>98</v>
      </c>
      <c r="CO1341" t="s">
        <v>99</v>
      </c>
      <c r="CP1341" t="s">
        <v>100</v>
      </c>
      <c r="CQ1341" t="s">
        <v>100</v>
      </c>
      <c r="CR1341" t="s">
        <v>100</v>
      </c>
      <c r="CS1341" t="s">
        <v>101</v>
      </c>
      <c r="CT1341" t="s">
        <v>152</v>
      </c>
      <c r="CU1341" t="s">
        <v>102</v>
      </c>
      <c r="CV1341" t="s">
        <v>100</v>
      </c>
    </row>
    <row r="1342" spans="1:100">
      <c r="A1342" s="3" t="s">
        <v>14756</v>
      </c>
      <c r="B1342" s="4" t="s">
        <v>14757</v>
      </c>
      <c r="C1342">
        <v>1368.18740213656</v>
      </c>
      <c r="D1342">
        <v>2553.0665039464102</v>
      </c>
      <c r="E1342">
        <f>0.900054652453245</f>
        <v>0.90005465245324501</v>
      </c>
      <c r="F1342" s="5">
        <v>1.7719365961765901E-5</v>
      </c>
      <c r="G1342" t="s">
        <v>4</v>
      </c>
      <c r="H1342">
        <v>1368.18740213656</v>
      </c>
      <c r="I1342">
        <v>537.60088248069599</v>
      </c>
      <c r="J1342">
        <v>1.3435597368351999</v>
      </c>
      <c r="K1342" s="5">
        <v>5.3887032582918902E-11</v>
      </c>
      <c r="L1342" t="s">
        <v>4</v>
      </c>
      <c r="M1342">
        <v>2553.0665039464102</v>
      </c>
      <c r="N1342">
        <v>537.60088248069599</v>
      </c>
      <c r="O1342">
        <v>2.2436143892884499</v>
      </c>
      <c r="P1342" s="5">
        <v>3.7388012770737201E-29</v>
      </c>
      <c r="Q1342" t="s">
        <v>4</v>
      </c>
      <c r="R1342" s="4" t="s">
        <v>87</v>
      </c>
      <c r="S1342" t="s">
        <v>4</v>
      </c>
      <c r="T1342" t="s">
        <v>92</v>
      </c>
      <c r="U1342" t="s">
        <v>92</v>
      </c>
      <c r="V1342" t="s">
        <v>92</v>
      </c>
      <c r="W1342" t="s">
        <v>92</v>
      </c>
      <c r="X1342" t="s">
        <v>4</v>
      </c>
      <c r="Y1342" t="s">
        <v>14758</v>
      </c>
      <c r="Z1342" t="s">
        <v>14759</v>
      </c>
      <c r="AA1342" t="s">
        <v>14760</v>
      </c>
      <c r="AB1342" t="s">
        <v>4</v>
      </c>
      <c r="AC1342" s="3" t="s">
        <v>14761</v>
      </c>
      <c r="AD1342" t="s">
        <v>4</v>
      </c>
      <c r="AE1342" t="s">
        <v>14762</v>
      </c>
      <c r="AF1342" t="s">
        <v>11038</v>
      </c>
      <c r="AG1342" t="s">
        <v>3043</v>
      </c>
      <c r="AH1342" t="s">
        <v>112</v>
      </c>
      <c r="AL1342" t="s">
        <v>14763</v>
      </c>
      <c r="AQ1342" t="s">
        <v>861</v>
      </c>
      <c r="AU1342" t="s">
        <v>112</v>
      </c>
      <c r="AV1342" t="s">
        <v>14764</v>
      </c>
      <c r="AW1342" t="s">
        <v>114</v>
      </c>
      <c r="AX1342" t="s">
        <v>733</v>
      </c>
      <c r="AY1342" t="s">
        <v>14765</v>
      </c>
      <c r="AZ1342" t="s">
        <v>4</v>
      </c>
      <c r="BA1342" s="3" t="s">
        <v>95</v>
      </c>
      <c r="BB1342" s="6" t="s">
        <v>95</v>
      </c>
      <c r="BC1342" s="3" t="s">
        <v>95</v>
      </c>
      <c r="BD1342" t="s">
        <v>4</v>
      </c>
      <c r="BE1342">
        <v>2523</v>
      </c>
      <c r="BF1342" t="s">
        <v>97</v>
      </c>
      <c r="BH1342">
        <v>99.841300000000004</v>
      </c>
      <c r="BI1342">
        <v>84.761899999999997</v>
      </c>
      <c r="BJ1342">
        <v>73.015900000000002</v>
      </c>
      <c r="BK1342">
        <v>59.047600000000003</v>
      </c>
      <c r="BL1342" t="s">
        <v>14766</v>
      </c>
      <c r="BM1342">
        <v>66.507900000000006</v>
      </c>
      <c r="BN1342">
        <v>66.825400000000002</v>
      </c>
      <c r="BO1342">
        <v>65.873000000000005</v>
      </c>
      <c r="BP1342">
        <v>9.3650800000000007</v>
      </c>
      <c r="CK1342">
        <v>4</v>
      </c>
      <c r="CL1342" t="s">
        <v>4</v>
      </c>
      <c r="CM1342" t="s">
        <v>98</v>
      </c>
      <c r="CN1342" t="s">
        <v>98</v>
      </c>
      <c r="CO1342" t="s">
        <v>99</v>
      </c>
      <c r="CP1342" t="s">
        <v>100</v>
      </c>
      <c r="CQ1342" t="s">
        <v>100</v>
      </c>
      <c r="CR1342" t="s">
        <v>100</v>
      </c>
      <c r="CS1342" s="7" t="s">
        <v>101</v>
      </c>
      <c r="CT1342" t="s">
        <v>152</v>
      </c>
      <c r="CU1342" t="s">
        <v>102</v>
      </c>
      <c r="CV1342" t="s">
        <v>100</v>
      </c>
    </row>
    <row r="1343" spans="1:100">
      <c r="A1343" s="3" t="s">
        <v>14767</v>
      </c>
      <c r="B1343" s="4" t="s">
        <v>14768</v>
      </c>
      <c r="C1343">
        <v>605.893542675292</v>
      </c>
      <c r="D1343">
        <v>1192.5845388417299</v>
      </c>
      <c r="E1343">
        <f>0.977136830642457</f>
        <v>0.97713683064245704</v>
      </c>
      <c r="F1343">
        <v>5.5686527906308597E-3</v>
      </c>
      <c r="G1343" t="s">
        <v>4</v>
      </c>
      <c r="H1343">
        <v>605.893542675292</v>
      </c>
      <c r="I1343">
        <v>250.96903042483601</v>
      </c>
      <c r="J1343">
        <v>1.2655423243119599</v>
      </c>
      <c r="K1343">
        <v>2.25852672663694E-4</v>
      </c>
      <c r="L1343" t="s">
        <v>4</v>
      </c>
      <c r="M1343">
        <v>1192.5845388417299</v>
      </c>
      <c r="N1343">
        <v>250.96903042483601</v>
      </c>
      <c r="O1343">
        <v>2.2426791549544198</v>
      </c>
      <c r="P1343" s="5">
        <v>9.4962290098371102E-12</v>
      </c>
      <c r="Q1343" t="s">
        <v>4</v>
      </c>
      <c r="R1343" s="4" t="s">
        <v>87</v>
      </c>
      <c r="S1343" t="s">
        <v>4</v>
      </c>
      <c r="T1343" t="s">
        <v>14769</v>
      </c>
      <c r="U1343" t="s">
        <v>14770</v>
      </c>
      <c r="V1343" t="s">
        <v>14771</v>
      </c>
      <c r="W1343" t="s">
        <v>328</v>
      </c>
      <c r="X1343" t="s">
        <v>4</v>
      </c>
      <c r="Y1343" t="s">
        <v>14772</v>
      </c>
      <c r="Z1343" t="s">
        <v>14773</v>
      </c>
      <c r="AA1343" t="s">
        <v>14774</v>
      </c>
      <c r="AB1343" t="s">
        <v>4</v>
      </c>
      <c r="AC1343" s="3" t="s">
        <v>14775</v>
      </c>
      <c r="AD1343" t="s">
        <v>4</v>
      </c>
      <c r="AE1343" s="4" t="s">
        <v>94</v>
      </c>
      <c r="AZ1343" t="s">
        <v>4</v>
      </c>
      <c r="BA1343" s="3" t="s">
        <v>95</v>
      </c>
      <c r="BB1343" s="6" t="s">
        <v>95</v>
      </c>
      <c r="BC1343" s="3" t="s">
        <v>95</v>
      </c>
      <c r="BD1343" t="s">
        <v>4</v>
      </c>
      <c r="BE1343">
        <v>3037</v>
      </c>
      <c r="BF1343" t="s">
        <v>97</v>
      </c>
      <c r="BH1343">
        <v>100</v>
      </c>
      <c r="BI1343">
        <v>84.076400000000007</v>
      </c>
      <c r="BJ1343">
        <v>56.051000000000002</v>
      </c>
      <c r="BK1343">
        <v>52.229300000000002</v>
      </c>
      <c r="BL1343">
        <v>63.694299999999998</v>
      </c>
      <c r="BO1343">
        <v>57.324800000000003</v>
      </c>
      <c r="CK1343">
        <v>4</v>
      </c>
      <c r="CL1343" t="s">
        <v>4</v>
      </c>
      <c r="CM1343" t="s">
        <v>98</v>
      </c>
      <c r="CN1343" t="s">
        <v>98</v>
      </c>
      <c r="CO1343" t="s">
        <v>99</v>
      </c>
      <c r="CP1343" t="s">
        <v>100</v>
      </c>
      <c r="CQ1343" t="s">
        <v>100</v>
      </c>
      <c r="CR1343" t="s">
        <v>100</v>
      </c>
      <c r="CS1343" s="7" t="s">
        <v>101</v>
      </c>
      <c r="CT1343" t="s">
        <v>152</v>
      </c>
      <c r="CU1343" t="s">
        <v>102</v>
      </c>
      <c r="CV1343" t="s">
        <v>100</v>
      </c>
    </row>
    <row r="1344" spans="1:100">
      <c r="A1344" s="3" t="s">
        <v>14776</v>
      </c>
      <c r="B1344" s="4" t="s">
        <v>14777</v>
      </c>
      <c r="C1344">
        <v>27.399068019978799</v>
      </c>
      <c r="D1344">
        <v>31.644817114385301</v>
      </c>
      <c r="E1344">
        <f>0.208006555344506</f>
        <v>0.20800655534450599</v>
      </c>
      <c r="F1344">
        <v>0.783934678737919</v>
      </c>
      <c r="G1344" t="s">
        <v>4</v>
      </c>
      <c r="H1344">
        <v>27.399068019978799</v>
      </c>
      <c r="I1344">
        <v>7.0914673547341298</v>
      </c>
      <c r="J1344">
        <v>2.0164357864504199</v>
      </c>
      <c r="K1344">
        <v>7.4622347702998602E-3</v>
      </c>
      <c r="L1344" t="s">
        <v>4</v>
      </c>
      <c r="M1344">
        <v>31.644817114385301</v>
      </c>
      <c r="N1344">
        <v>7.0914673547341298</v>
      </c>
      <c r="O1344">
        <v>2.2244423417949202</v>
      </c>
      <c r="P1344">
        <v>2.7158881666504001E-3</v>
      </c>
      <c r="Q1344" t="s">
        <v>4</v>
      </c>
      <c r="R1344" s="4" t="s">
        <v>87</v>
      </c>
      <c r="S1344" t="s">
        <v>4</v>
      </c>
      <c r="T1344" t="s">
        <v>92</v>
      </c>
      <c r="U1344" t="s">
        <v>92</v>
      </c>
      <c r="V1344" t="s">
        <v>92</v>
      </c>
      <c r="W1344" t="s">
        <v>92</v>
      </c>
      <c r="X1344" t="s">
        <v>4</v>
      </c>
      <c r="Y1344" t="s">
        <v>92</v>
      </c>
      <c r="Z1344" t="s">
        <v>92</v>
      </c>
      <c r="AA1344" t="s">
        <v>92</v>
      </c>
      <c r="AB1344" t="s">
        <v>4</v>
      </c>
      <c r="AC1344" s="3" t="s">
        <v>93</v>
      </c>
      <c r="AD1344" t="s">
        <v>4</v>
      </c>
      <c r="AE1344" s="4" t="s">
        <v>94</v>
      </c>
      <c r="AZ1344" t="s">
        <v>4</v>
      </c>
      <c r="BA1344" s="3" t="s">
        <v>115</v>
      </c>
      <c r="BB1344" s="6" t="s">
        <v>95</v>
      </c>
      <c r="BC1344" s="3" t="s">
        <v>95</v>
      </c>
      <c r="BD1344" t="s">
        <v>4</v>
      </c>
      <c r="BE1344">
        <v>1367</v>
      </c>
      <c r="BF1344" t="s">
        <v>151</v>
      </c>
      <c r="BG1344">
        <v>96.703299999999999</v>
      </c>
      <c r="BH1344">
        <v>75.457899999999995</v>
      </c>
      <c r="CK1344">
        <v>2</v>
      </c>
      <c r="CL1344" t="s">
        <v>4</v>
      </c>
      <c r="CM1344" t="s">
        <v>98</v>
      </c>
      <c r="CN1344" t="s">
        <v>98</v>
      </c>
      <c r="CO1344" t="s">
        <v>99</v>
      </c>
      <c r="CP1344" t="s">
        <v>100</v>
      </c>
      <c r="CQ1344" t="s">
        <v>100</v>
      </c>
      <c r="CR1344" t="s">
        <v>100</v>
      </c>
      <c r="CS1344" t="s">
        <v>101</v>
      </c>
      <c r="CT1344" t="s">
        <v>152</v>
      </c>
      <c r="CU1344" t="s">
        <v>102</v>
      </c>
      <c r="CV1344" t="s">
        <v>100</v>
      </c>
    </row>
    <row r="1345" spans="1:100">
      <c r="A1345" s="3" t="s">
        <v>14778</v>
      </c>
      <c r="B1345" s="4" t="s">
        <v>14779</v>
      </c>
      <c r="C1345">
        <v>458.90460728018002</v>
      </c>
      <c r="D1345">
        <v>637.965283291677</v>
      </c>
      <c r="E1345">
        <f>0.47497073002926</f>
        <v>0.47497073002925999</v>
      </c>
      <c r="F1345">
        <v>7.9716379653917105E-2</v>
      </c>
      <c r="G1345" t="s">
        <v>4</v>
      </c>
      <c r="H1345">
        <v>458.90460728018002</v>
      </c>
      <c r="I1345">
        <v>135.10236749768401</v>
      </c>
      <c r="J1345">
        <v>1.7481704978133701</v>
      </c>
      <c r="K1345" s="5">
        <v>1.37573616322629E-11</v>
      </c>
      <c r="L1345" t="s">
        <v>4</v>
      </c>
      <c r="M1345">
        <v>637.965283291677</v>
      </c>
      <c r="N1345">
        <v>135.10236749768401</v>
      </c>
      <c r="O1345">
        <v>2.2231412278426301</v>
      </c>
      <c r="P1345" s="5">
        <v>2.63046754925677E-18</v>
      </c>
      <c r="Q1345" t="s">
        <v>4</v>
      </c>
      <c r="R1345" s="4" t="s">
        <v>87</v>
      </c>
      <c r="S1345" t="s">
        <v>4</v>
      </c>
      <c r="T1345" t="s">
        <v>14780</v>
      </c>
      <c r="U1345" t="s">
        <v>14781</v>
      </c>
      <c r="V1345" t="s">
        <v>14782</v>
      </c>
      <c r="W1345" t="s">
        <v>203</v>
      </c>
      <c r="X1345" t="s">
        <v>4</v>
      </c>
      <c r="Y1345" t="s">
        <v>14783</v>
      </c>
      <c r="Z1345" t="s">
        <v>14784</v>
      </c>
      <c r="AA1345" t="s">
        <v>14785</v>
      </c>
      <c r="AB1345" t="s">
        <v>4</v>
      </c>
      <c r="AC1345" s="3" t="s">
        <v>14786</v>
      </c>
      <c r="AD1345" t="s">
        <v>4</v>
      </c>
      <c r="AE1345" t="s">
        <v>14787</v>
      </c>
      <c r="AF1345" t="s">
        <v>14788</v>
      </c>
      <c r="AG1345" t="s">
        <v>14789</v>
      </c>
      <c r="AH1345" t="s">
        <v>112</v>
      </c>
      <c r="AJ1345" t="s">
        <v>14790</v>
      </c>
      <c r="AL1345" t="s">
        <v>14791</v>
      </c>
      <c r="AM1345" t="s">
        <v>14792</v>
      </c>
      <c r="AQ1345" t="s">
        <v>879</v>
      </c>
      <c r="AU1345" t="s">
        <v>112</v>
      </c>
      <c r="AV1345" t="s">
        <v>14793</v>
      </c>
      <c r="AW1345" t="s">
        <v>114</v>
      </c>
      <c r="AX1345" t="s">
        <v>596</v>
      </c>
      <c r="AY1345" t="s">
        <v>8247</v>
      </c>
      <c r="AZ1345" t="s">
        <v>4</v>
      </c>
      <c r="BA1345" s="3" t="s">
        <v>95</v>
      </c>
      <c r="BB1345" s="6" t="s">
        <v>95</v>
      </c>
      <c r="BC1345" s="3" t="s">
        <v>95</v>
      </c>
      <c r="BD1345" t="s">
        <v>4</v>
      </c>
      <c r="BE1345">
        <v>9633</v>
      </c>
      <c r="BF1345" t="s">
        <v>169</v>
      </c>
      <c r="BG1345">
        <v>99.346400000000003</v>
      </c>
      <c r="BH1345">
        <v>94.771199999999993</v>
      </c>
      <c r="BI1345">
        <v>98.039199999999994</v>
      </c>
      <c r="BJ1345">
        <v>97.712400000000002</v>
      </c>
      <c r="BL1345" t="s">
        <v>14794</v>
      </c>
      <c r="BM1345">
        <v>90.196100000000001</v>
      </c>
      <c r="BN1345">
        <v>96.731999999999999</v>
      </c>
      <c r="BO1345">
        <v>96.731999999999999</v>
      </c>
      <c r="BP1345">
        <v>90.849699999999999</v>
      </c>
      <c r="BQ1345">
        <v>58.496699999999997</v>
      </c>
      <c r="BR1345">
        <v>66.993499999999997</v>
      </c>
      <c r="BS1345">
        <v>72.222200000000001</v>
      </c>
      <c r="BT1345" t="s">
        <v>14795</v>
      </c>
      <c r="BU1345">
        <v>58.496699999999997</v>
      </c>
      <c r="BV1345" t="s">
        <v>14796</v>
      </c>
      <c r="BW1345">
        <v>71.895399999999995</v>
      </c>
      <c r="BX1345">
        <v>76.797399999999996</v>
      </c>
      <c r="BY1345">
        <v>34.313699999999997</v>
      </c>
      <c r="BZ1345">
        <v>77.124200000000002</v>
      </c>
      <c r="CA1345">
        <v>71.241799999999998</v>
      </c>
      <c r="CB1345">
        <v>60.130699999999997</v>
      </c>
      <c r="CC1345" t="s">
        <v>14797</v>
      </c>
      <c r="CD1345" t="s">
        <v>14798</v>
      </c>
      <c r="CF1345">
        <v>66.3399</v>
      </c>
      <c r="CG1345" t="s">
        <v>14799</v>
      </c>
      <c r="CH1345" t="s">
        <v>14799</v>
      </c>
      <c r="CI1345">
        <v>56.209200000000003</v>
      </c>
      <c r="CJ1345">
        <v>46.078400000000002</v>
      </c>
      <c r="CK1345">
        <v>9</v>
      </c>
      <c r="CL1345" t="s">
        <v>4</v>
      </c>
      <c r="CM1345" t="s">
        <v>14800</v>
      </c>
      <c r="CN1345" t="s">
        <v>14801</v>
      </c>
      <c r="CO1345" t="s">
        <v>219</v>
      </c>
      <c r="CP1345" t="s">
        <v>100</v>
      </c>
      <c r="CQ1345" t="s">
        <v>100</v>
      </c>
      <c r="CR1345" t="s">
        <v>100</v>
      </c>
      <c r="CS1345" s="7" t="s">
        <v>101</v>
      </c>
      <c r="CT1345" t="s">
        <v>152</v>
      </c>
      <c r="CU1345" t="s">
        <v>102</v>
      </c>
      <c r="CV1345" t="s">
        <v>100</v>
      </c>
    </row>
    <row r="1346" spans="1:100">
      <c r="A1346" s="3" t="s">
        <v>14802</v>
      </c>
      <c r="B1346" s="4" t="s">
        <v>14803</v>
      </c>
      <c r="C1346">
        <v>919.93401583378898</v>
      </c>
      <c r="D1346">
        <v>1209.0175144529001</v>
      </c>
      <c r="E1346">
        <f>0.394691560813527</f>
        <v>0.39469156081352702</v>
      </c>
      <c r="F1346">
        <v>0.190603097455295</v>
      </c>
      <c r="G1346" t="s">
        <v>4</v>
      </c>
      <c r="H1346">
        <v>919.93401583378898</v>
      </c>
      <c r="I1346">
        <v>257.57853715314201</v>
      </c>
      <c r="J1346">
        <v>1.8274732545014101</v>
      </c>
      <c r="K1346" s="5">
        <v>3.4609572038502203E-11</v>
      </c>
      <c r="L1346" t="s">
        <v>4</v>
      </c>
      <c r="M1346">
        <v>1209.0175144529001</v>
      </c>
      <c r="N1346">
        <v>257.57853715314201</v>
      </c>
      <c r="O1346">
        <v>2.2221648153149398</v>
      </c>
      <c r="P1346" s="5">
        <v>3.2061162669862298E-16</v>
      </c>
      <c r="Q1346" t="s">
        <v>4</v>
      </c>
      <c r="R1346" s="4" t="s">
        <v>87</v>
      </c>
      <c r="S1346" t="s">
        <v>4</v>
      </c>
      <c r="T1346" t="s">
        <v>14804</v>
      </c>
      <c r="U1346" t="s">
        <v>14805</v>
      </c>
      <c r="V1346" t="s">
        <v>14806</v>
      </c>
      <c r="W1346" t="s">
        <v>507</v>
      </c>
      <c r="X1346" t="s">
        <v>4</v>
      </c>
      <c r="Y1346" t="s">
        <v>14807</v>
      </c>
      <c r="Z1346" t="s">
        <v>14808</v>
      </c>
      <c r="AA1346" t="s">
        <v>14809</v>
      </c>
      <c r="AB1346" t="s">
        <v>4</v>
      </c>
      <c r="AC1346" s="3" t="s">
        <v>14810</v>
      </c>
      <c r="AD1346" t="s">
        <v>4</v>
      </c>
      <c r="AE1346" t="s">
        <v>14811</v>
      </c>
      <c r="AF1346" t="s">
        <v>834</v>
      </c>
      <c r="AG1346" t="s">
        <v>14812</v>
      </c>
      <c r="AH1346" t="s">
        <v>112</v>
      </c>
      <c r="AI1346" t="s">
        <v>14813</v>
      </c>
      <c r="AU1346" t="s">
        <v>112</v>
      </c>
      <c r="AV1346" t="s">
        <v>14814</v>
      </c>
      <c r="AW1346" t="s">
        <v>114</v>
      </c>
      <c r="AX1346" t="s">
        <v>132</v>
      </c>
      <c r="AY1346" t="s">
        <v>14815</v>
      </c>
      <c r="AZ1346" t="s">
        <v>4</v>
      </c>
      <c r="BA1346" s="3" t="s">
        <v>115</v>
      </c>
      <c r="BB1346" t="s">
        <v>96</v>
      </c>
      <c r="BC1346" s="3" t="s">
        <v>95</v>
      </c>
      <c r="BD1346" t="s">
        <v>4</v>
      </c>
      <c r="BE1346">
        <v>6452</v>
      </c>
      <c r="BF1346" t="s">
        <v>213</v>
      </c>
      <c r="BG1346">
        <v>97.563100000000006</v>
      </c>
      <c r="BH1346">
        <v>19.176100000000002</v>
      </c>
      <c r="BI1346">
        <v>85.233500000000006</v>
      </c>
      <c r="BJ1346">
        <v>66.695700000000002</v>
      </c>
      <c r="BK1346">
        <v>49.724400000000003</v>
      </c>
      <c r="BM1346">
        <v>56.860999999999997</v>
      </c>
      <c r="BN1346">
        <v>57.441299999999998</v>
      </c>
      <c r="BO1346">
        <v>59.472000000000001</v>
      </c>
      <c r="BP1346">
        <v>31.7087</v>
      </c>
      <c r="BX1346">
        <v>4.4966600000000003</v>
      </c>
      <c r="CC1346">
        <v>9.6315600000000003</v>
      </c>
      <c r="CD1346">
        <v>9.3124500000000001</v>
      </c>
      <c r="CF1346">
        <v>4.3806200000000004</v>
      </c>
      <c r="CG1346" t="s">
        <v>14816</v>
      </c>
      <c r="CH1346" t="s">
        <v>14817</v>
      </c>
      <c r="CI1346" t="s">
        <v>14818</v>
      </c>
      <c r="CK1346">
        <v>8</v>
      </c>
      <c r="CL1346" t="s">
        <v>4</v>
      </c>
      <c r="CM1346" t="s">
        <v>98</v>
      </c>
      <c r="CN1346" t="s">
        <v>98</v>
      </c>
      <c r="CO1346" t="s">
        <v>99</v>
      </c>
      <c r="CP1346" t="s">
        <v>100</v>
      </c>
      <c r="CQ1346" t="s">
        <v>100</v>
      </c>
      <c r="CR1346" t="s">
        <v>100</v>
      </c>
      <c r="CS1346" s="7" t="s">
        <v>101</v>
      </c>
      <c r="CT1346" t="s">
        <v>152</v>
      </c>
      <c r="CU1346" t="s">
        <v>102</v>
      </c>
      <c r="CV1346" t="s">
        <v>100</v>
      </c>
    </row>
    <row r="1347" spans="1:100">
      <c r="A1347" s="3" t="s">
        <v>14819</v>
      </c>
      <c r="B1347" s="4" t="s">
        <v>14820</v>
      </c>
      <c r="C1347">
        <v>100.142176507069</v>
      </c>
      <c r="D1347">
        <v>57.998986607910297</v>
      </c>
      <c r="E1347">
        <v>0.79047061381657102</v>
      </c>
      <c r="F1347">
        <v>0.37197408055699199</v>
      </c>
      <c r="G1347" t="s">
        <v>4</v>
      </c>
      <c r="H1347">
        <v>100.142176507069</v>
      </c>
      <c r="I1347">
        <v>12.226007812088399</v>
      </c>
      <c r="J1347">
        <v>3.01089393107415</v>
      </c>
      <c r="K1347">
        <v>3.8830631301392098E-4</v>
      </c>
      <c r="L1347" t="s">
        <v>4</v>
      </c>
      <c r="M1347">
        <v>57.998986607910297</v>
      </c>
      <c r="N1347">
        <v>12.226007812088399</v>
      </c>
      <c r="O1347">
        <v>2.22042331725758</v>
      </c>
      <c r="P1347">
        <v>9.7482110188094502E-3</v>
      </c>
      <c r="Q1347" t="s">
        <v>4</v>
      </c>
      <c r="R1347" s="4" t="s">
        <v>87</v>
      </c>
      <c r="S1347" t="s">
        <v>4</v>
      </c>
      <c r="T1347" t="s">
        <v>1995</v>
      </c>
      <c r="U1347" t="s">
        <v>1996</v>
      </c>
      <c r="V1347" t="s">
        <v>1997</v>
      </c>
      <c r="W1347" t="s">
        <v>203</v>
      </c>
      <c r="X1347" t="s">
        <v>4</v>
      </c>
      <c r="Y1347" t="s">
        <v>1998</v>
      </c>
      <c r="Z1347" t="s">
        <v>1999</v>
      </c>
      <c r="AA1347" t="s">
        <v>2000</v>
      </c>
      <c r="AB1347" t="s">
        <v>4</v>
      </c>
      <c r="AC1347" s="3" t="s">
        <v>2001</v>
      </c>
      <c r="AD1347" t="s">
        <v>4</v>
      </c>
      <c r="AE1347" t="s">
        <v>3175</v>
      </c>
      <c r="AF1347" t="s">
        <v>14821</v>
      </c>
      <c r="AG1347" t="s">
        <v>14822</v>
      </c>
      <c r="AH1347" t="s">
        <v>112</v>
      </c>
      <c r="AI1347" t="s">
        <v>3178</v>
      </c>
      <c r="AK1347" t="s">
        <v>2005</v>
      </c>
      <c r="AL1347" t="s">
        <v>2006</v>
      </c>
      <c r="AM1347" t="s">
        <v>2007</v>
      </c>
      <c r="AO1347" t="s">
        <v>2008</v>
      </c>
      <c r="AP1347" t="s">
        <v>2009</v>
      </c>
      <c r="AQ1347" t="s">
        <v>2010</v>
      </c>
      <c r="AS1347" t="s">
        <v>2011</v>
      </c>
      <c r="AU1347" t="s">
        <v>112</v>
      </c>
      <c r="AV1347" t="s">
        <v>2012</v>
      </c>
      <c r="AW1347" t="s">
        <v>114</v>
      </c>
      <c r="AX1347" t="s">
        <v>345</v>
      </c>
      <c r="AY1347" t="s">
        <v>2013</v>
      </c>
      <c r="AZ1347" t="s">
        <v>4</v>
      </c>
      <c r="BA1347" s="3" t="s">
        <v>95</v>
      </c>
      <c r="BB1347" s="6" t="s">
        <v>95</v>
      </c>
      <c r="BC1347" s="3" t="s">
        <v>95</v>
      </c>
      <c r="BD1347" t="s">
        <v>4</v>
      </c>
      <c r="BE1347">
        <v>9673</v>
      </c>
      <c r="BF1347" t="s">
        <v>169</v>
      </c>
      <c r="BG1347">
        <v>83.3613</v>
      </c>
      <c r="BI1347" t="s">
        <v>14823</v>
      </c>
      <c r="BJ1347" t="s">
        <v>14824</v>
      </c>
      <c r="BK1347">
        <v>70.924400000000006</v>
      </c>
      <c r="BM1347">
        <v>41.848700000000001</v>
      </c>
      <c r="BN1347" t="s">
        <v>14825</v>
      </c>
      <c r="BO1347">
        <v>70.420199999999994</v>
      </c>
      <c r="BP1347" t="s">
        <v>14826</v>
      </c>
      <c r="BQ1347" t="s">
        <v>14827</v>
      </c>
      <c r="BR1347" t="s">
        <v>14828</v>
      </c>
      <c r="BW1347">
        <v>46.554600000000001</v>
      </c>
      <c r="BX1347">
        <v>42.857100000000003</v>
      </c>
      <c r="CA1347">
        <v>45.882399999999997</v>
      </c>
      <c r="CB1347" t="s">
        <v>14829</v>
      </c>
      <c r="CF1347" t="s">
        <v>14830</v>
      </c>
      <c r="CG1347">
        <v>35.462200000000003</v>
      </c>
      <c r="CH1347">
        <v>35.462200000000003</v>
      </c>
      <c r="CI1347">
        <v>27.058800000000002</v>
      </c>
      <c r="CJ1347" t="s">
        <v>14831</v>
      </c>
      <c r="CK1347">
        <v>9</v>
      </c>
      <c r="CL1347" t="s">
        <v>4</v>
      </c>
      <c r="CM1347" t="s">
        <v>3185</v>
      </c>
      <c r="CN1347" t="s">
        <v>14832</v>
      </c>
      <c r="CO1347" t="s">
        <v>663</v>
      </c>
      <c r="CP1347" t="s">
        <v>100</v>
      </c>
      <c r="CQ1347" t="s">
        <v>100</v>
      </c>
      <c r="CR1347" t="s">
        <v>100</v>
      </c>
      <c r="CS1347" t="s">
        <v>101</v>
      </c>
      <c r="CT1347" t="s">
        <v>152</v>
      </c>
      <c r="CU1347" t="s">
        <v>102</v>
      </c>
      <c r="CV1347" t="s">
        <v>100</v>
      </c>
    </row>
    <row r="1348" spans="1:100">
      <c r="A1348" s="3" t="s">
        <v>14833</v>
      </c>
      <c r="B1348" s="4" t="s">
        <v>14834</v>
      </c>
      <c r="C1348">
        <v>2754.3903500121301</v>
      </c>
      <c r="D1348">
        <v>4478.74559076694</v>
      </c>
      <c r="E1348">
        <f>0.70140357288854</f>
        <v>0.70140357288854005</v>
      </c>
      <c r="F1348" s="5">
        <v>1.9660876583894401E-5</v>
      </c>
      <c r="G1348" t="s">
        <v>4</v>
      </c>
      <c r="H1348">
        <v>2754.3903500121301</v>
      </c>
      <c r="I1348">
        <v>961.421643989681</v>
      </c>
      <c r="J1348">
        <v>1.51773088173292</v>
      </c>
      <c r="K1348" s="5">
        <v>6.7057530162375496E-22</v>
      </c>
      <c r="L1348" t="s">
        <v>4</v>
      </c>
      <c r="M1348">
        <v>4478.74559076694</v>
      </c>
      <c r="N1348">
        <v>961.421643989681</v>
      </c>
      <c r="O1348">
        <v>2.21913445462146</v>
      </c>
      <c r="P1348" s="5">
        <v>5.8274617355683201E-46</v>
      </c>
      <c r="Q1348" t="s">
        <v>4</v>
      </c>
      <c r="R1348" s="4" t="s">
        <v>87</v>
      </c>
      <c r="S1348" t="s">
        <v>4</v>
      </c>
      <c r="T1348" t="s">
        <v>2325</v>
      </c>
      <c r="U1348" t="s">
        <v>2326</v>
      </c>
      <c r="V1348" t="s">
        <v>2327</v>
      </c>
      <c r="W1348" t="s">
        <v>203</v>
      </c>
      <c r="X1348" t="s">
        <v>4</v>
      </c>
      <c r="Y1348" t="s">
        <v>14835</v>
      </c>
      <c r="Z1348" t="s">
        <v>14836</v>
      </c>
      <c r="AA1348" t="s">
        <v>14837</v>
      </c>
      <c r="AB1348" t="s">
        <v>4</v>
      </c>
      <c r="AC1348" s="3" t="s">
        <v>1962</v>
      </c>
      <c r="AD1348" t="s">
        <v>4</v>
      </c>
      <c r="AE1348" t="s">
        <v>14838</v>
      </c>
      <c r="AF1348" t="s">
        <v>834</v>
      </c>
      <c r="AG1348" t="s">
        <v>14839</v>
      </c>
      <c r="AH1348" t="s">
        <v>112</v>
      </c>
      <c r="AU1348" t="s">
        <v>112</v>
      </c>
      <c r="AV1348" t="s">
        <v>14840</v>
      </c>
      <c r="AW1348" t="s">
        <v>114</v>
      </c>
      <c r="AX1348" t="s">
        <v>132</v>
      </c>
      <c r="AY1348" t="s">
        <v>14841</v>
      </c>
      <c r="AZ1348" t="s">
        <v>4</v>
      </c>
      <c r="BA1348" s="3" t="s">
        <v>95</v>
      </c>
      <c r="BB1348" s="6" t="s">
        <v>95</v>
      </c>
      <c r="BC1348" s="3" t="s">
        <v>95</v>
      </c>
      <c r="BD1348" t="s">
        <v>4</v>
      </c>
      <c r="BE1348">
        <v>8072</v>
      </c>
      <c r="BF1348" t="s">
        <v>213</v>
      </c>
      <c r="BG1348">
        <v>97.569900000000004</v>
      </c>
      <c r="BH1348">
        <v>44.228400000000001</v>
      </c>
      <c r="BI1348">
        <v>93.195599999999999</v>
      </c>
      <c r="BJ1348">
        <v>76.549199999999999</v>
      </c>
      <c r="BK1348">
        <v>72.661000000000001</v>
      </c>
      <c r="BL1348">
        <v>37.0595</v>
      </c>
      <c r="BM1348">
        <v>68.651300000000006</v>
      </c>
      <c r="BN1348">
        <v>68.408299999999997</v>
      </c>
      <c r="BO1348">
        <v>72.418000000000006</v>
      </c>
      <c r="BP1348">
        <v>37.5456</v>
      </c>
      <c r="BR1348">
        <v>22.357199999999999</v>
      </c>
      <c r="BS1348">
        <v>25.3949</v>
      </c>
      <c r="BT1348">
        <v>17.010899999999999</v>
      </c>
      <c r="BW1348">
        <v>23.3293</v>
      </c>
      <c r="BX1348">
        <v>27.4605</v>
      </c>
      <c r="BY1348">
        <v>23.6938</v>
      </c>
      <c r="BZ1348">
        <v>18.225999999999999</v>
      </c>
      <c r="CC1348">
        <v>20.656099999999999</v>
      </c>
      <c r="CE1348">
        <v>10.2066</v>
      </c>
      <c r="CF1348">
        <v>19.319600000000001</v>
      </c>
      <c r="CG1348">
        <v>7.1688900000000002</v>
      </c>
      <c r="CH1348">
        <v>6.5613599999999996</v>
      </c>
      <c r="CI1348">
        <v>13.851800000000001</v>
      </c>
      <c r="CK1348">
        <v>8</v>
      </c>
      <c r="CL1348" t="s">
        <v>4</v>
      </c>
      <c r="CM1348" t="s">
        <v>98</v>
      </c>
      <c r="CN1348" t="s">
        <v>98</v>
      </c>
      <c r="CO1348" t="s">
        <v>99</v>
      </c>
      <c r="CP1348" t="s">
        <v>100</v>
      </c>
      <c r="CQ1348" t="s">
        <v>100</v>
      </c>
      <c r="CR1348" t="s">
        <v>100</v>
      </c>
      <c r="CS1348" s="7" t="s">
        <v>101</v>
      </c>
      <c r="CT1348" t="s">
        <v>152</v>
      </c>
      <c r="CU1348" t="s">
        <v>102</v>
      </c>
      <c r="CV1348" t="s">
        <v>100</v>
      </c>
    </row>
    <row r="1349" spans="1:100">
      <c r="A1349" s="3" t="s">
        <v>14842</v>
      </c>
      <c r="B1349" s="4" t="s">
        <v>14843</v>
      </c>
      <c r="C1349">
        <v>977.41606922114204</v>
      </c>
      <c r="D1349">
        <v>1886.8853509709299</v>
      </c>
      <c r="E1349">
        <f>0.948761742930454</f>
        <v>0.94876174293045401</v>
      </c>
      <c r="F1349" s="5">
        <v>3.6163929489064302E-5</v>
      </c>
      <c r="G1349" t="s">
        <v>4</v>
      </c>
      <c r="H1349">
        <v>977.41606922114204</v>
      </c>
      <c r="I1349">
        <v>406.18787738765502</v>
      </c>
      <c r="J1349">
        <v>1.2661979924311999</v>
      </c>
      <c r="K1349" s="5">
        <v>2.0899529425562899E-8</v>
      </c>
      <c r="L1349" t="s">
        <v>4</v>
      </c>
      <c r="M1349">
        <v>1886.8853509709299</v>
      </c>
      <c r="N1349">
        <v>406.18787738765502</v>
      </c>
      <c r="O1349">
        <v>2.2149597353616501</v>
      </c>
      <c r="P1349" s="5">
        <v>6.2395380858390202E-24</v>
      </c>
      <c r="Q1349" t="s">
        <v>4</v>
      </c>
      <c r="R1349" s="4" t="s">
        <v>87</v>
      </c>
      <c r="S1349" t="s">
        <v>4</v>
      </c>
      <c r="T1349" t="s">
        <v>2243</v>
      </c>
      <c r="U1349" t="s">
        <v>2244</v>
      </c>
      <c r="V1349" t="s">
        <v>2245</v>
      </c>
      <c r="W1349" t="s">
        <v>123</v>
      </c>
      <c r="X1349" t="s">
        <v>4</v>
      </c>
      <c r="Y1349" t="s">
        <v>6225</v>
      </c>
      <c r="Z1349" t="s">
        <v>6226</v>
      </c>
      <c r="AA1349" t="s">
        <v>6227</v>
      </c>
      <c r="AB1349" t="s">
        <v>4</v>
      </c>
      <c r="AC1349" s="3" t="s">
        <v>14844</v>
      </c>
      <c r="AD1349" t="s">
        <v>4</v>
      </c>
      <c r="AE1349" t="s">
        <v>14845</v>
      </c>
      <c r="AF1349" t="s">
        <v>14846</v>
      </c>
      <c r="AG1349" t="s">
        <v>1894</v>
      </c>
      <c r="AH1349" t="s">
        <v>112</v>
      </c>
      <c r="AJ1349" t="s">
        <v>14847</v>
      </c>
      <c r="AL1349" t="s">
        <v>14848</v>
      </c>
      <c r="AQ1349" t="s">
        <v>2177</v>
      </c>
      <c r="AU1349" t="s">
        <v>112</v>
      </c>
      <c r="AV1349" t="s">
        <v>14849</v>
      </c>
      <c r="AW1349" t="s">
        <v>114</v>
      </c>
      <c r="AX1349" t="s">
        <v>144</v>
      </c>
      <c r="AY1349" t="s">
        <v>14850</v>
      </c>
      <c r="AZ1349" t="s">
        <v>4</v>
      </c>
      <c r="BA1349" s="3" t="s">
        <v>95</v>
      </c>
      <c r="BB1349" s="6" t="s">
        <v>95</v>
      </c>
      <c r="BC1349" s="3" t="s">
        <v>95</v>
      </c>
      <c r="BD1349" t="s">
        <v>4</v>
      </c>
      <c r="BE1349">
        <v>4641</v>
      </c>
      <c r="BF1349" t="s">
        <v>112</v>
      </c>
      <c r="BG1349">
        <v>99.275400000000005</v>
      </c>
      <c r="BH1349">
        <v>100</v>
      </c>
      <c r="BI1349" t="s">
        <v>14851</v>
      </c>
      <c r="BJ1349">
        <v>82.608699999999999</v>
      </c>
      <c r="BK1349">
        <v>55.072499999999998</v>
      </c>
      <c r="BL1349">
        <v>50.4831</v>
      </c>
      <c r="BM1349">
        <v>72.463800000000006</v>
      </c>
      <c r="BN1349">
        <v>71.980699999999999</v>
      </c>
      <c r="BO1349">
        <v>68.840599999999995</v>
      </c>
      <c r="BR1349">
        <v>22.946899999999999</v>
      </c>
      <c r="BX1349">
        <v>25.845400000000001</v>
      </c>
      <c r="CA1349">
        <v>21.739100000000001</v>
      </c>
      <c r="CK1349">
        <v>5</v>
      </c>
      <c r="CL1349" t="s">
        <v>4</v>
      </c>
      <c r="CM1349" t="s">
        <v>14852</v>
      </c>
      <c r="CN1349" t="s">
        <v>14853</v>
      </c>
      <c r="CO1349" t="s">
        <v>99</v>
      </c>
      <c r="CP1349" t="s">
        <v>100</v>
      </c>
      <c r="CQ1349" t="s">
        <v>100</v>
      </c>
      <c r="CR1349" t="s">
        <v>100</v>
      </c>
      <c r="CS1349" s="7" t="s">
        <v>101</v>
      </c>
      <c r="CT1349" t="s">
        <v>152</v>
      </c>
      <c r="CU1349" t="s">
        <v>102</v>
      </c>
      <c r="CV1349" t="s">
        <v>100</v>
      </c>
    </row>
    <row r="1350" spans="1:100">
      <c r="A1350" s="3" t="s">
        <v>14854</v>
      </c>
      <c r="B1350" s="4" t="s">
        <v>14855</v>
      </c>
      <c r="C1350">
        <v>36.802443913164801</v>
      </c>
      <c r="D1350">
        <v>40.909186842409603</v>
      </c>
      <c r="E1350">
        <f>0.148964744679984</f>
        <v>0.148964744679984</v>
      </c>
      <c r="F1350">
        <v>0.85235944735859104</v>
      </c>
      <c r="G1350" t="s">
        <v>4</v>
      </c>
      <c r="H1350">
        <v>36.802443913164801</v>
      </c>
      <c r="I1350">
        <v>8.5021513089853507</v>
      </c>
      <c r="J1350">
        <v>2.06491244325098</v>
      </c>
      <c r="K1350">
        <v>5.4367626622820802E-3</v>
      </c>
      <c r="L1350" t="s">
        <v>4</v>
      </c>
      <c r="M1350">
        <v>40.909186842409603</v>
      </c>
      <c r="N1350">
        <v>8.5021513089853507</v>
      </c>
      <c r="O1350">
        <v>2.21387718793097</v>
      </c>
      <c r="P1350">
        <v>2.5115998974404399E-3</v>
      </c>
      <c r="Q1350" t="s">
        <v>4</v>
      </c>
      <c r="R1350" s="4" t="s">
        <v>87</v>
      </c>
      <c r="S1350" t="s">
        <v>4</v>
      </c>
      <c r="T1350" t="s">
        <v>14856</v>
      </c>
      <c r="U1350" t="s">
        <v>14857</v>
      </c>
      <c r="V1350" t="s">
        <v>14858</v>
      </c>
      <c r="W1350" t="s">
        <v>203</v>
      </c>
      <c r="X1350" t="s">
        <v>4</v>
      </c>
      <c r="Y1350" t="s">
        <v>14859</v>
      </c>
      <c r="Z1350" t="s">
        <v>14860</v>
      </c>
      <c r="AA1350" t="s">
        <v>14861</v>
      </c>
      <c r="AB1350" t="s">
        <v>4</v>
      </c>
      <c r="AC1350" s="3" t="s">
        <v>14862</v>
      </c>
      <c r="AD1350" t="s">
        <v>4</v>
      </c>
      <c r="AE1350" t="s">
        <v>14863</v>
      </c>
      <c r="AF1350" t="s">
        <v>14864</v>
      </c>
      <c r="AG1350" t="s">
        <v>14865</v>
      </c>
      <c r="AH1350" t="s">
        <v>112</v>
      </c>
      <c r="AI1350" t="s">
        <v>14866</v>
      </c>
      <c r="AJ1350" t="s">
        <v>14867</v>
      </c>
      <c r="AL1350" t="s">
        <v>14868</v>
      </c>
      <c r="AQ1350" t="s">
        <v>1003</v>
      </c>
      <c r="AU1350" t="s">
        <v>112</v>
      </c>
      <c r="AV1350" t="s">
        <v>14869</v>
      </c>
      <c r="AW1350" t="s">
        <v>114</v>
      </c>
      <c r="AX1350" t="s">
        <v>371</v>
      </c>
      <c r="AY1350" t="s">
        <v>14870</v>
      </c>
      <c r="AZ1350" t="s">
        <v>4</v>
      </c>
      <c r="BA1350" s="3" t="s">
        <v>95</v>
      </c>
      <c r="BB1350" s="6" t="s">
        <v>95</v>
      </c>
      <c r="BC1350" s="3" t="s">
        <v>95</v>
      </c>
      <c r="BD1350" t="s">
        <v>4</v>
      </c>
      <c r="BE1350">
        <v>3877</v>
      </c>
      <c r="BF1350" t="s">
        <v>112</v>
      </c>
      <c r="BG1350">
        <v>78.235299999999995</v>
      </c>
      <c r="BH1350">
        <v>100</v>
      </c>
      <c r="BI1350">
        <v>98.235299999999995</v>
      </c>
      <c r="BJ1350">
        <v>70</v>
      </c>
      <c r="BL1350">
        <v>70.588200000000001</v>
      </c>
      <c r="BM1350">
        <v>90.588200000000001</v>
      </c>
      <c r="BO1350">
        <v>91.764700000000005</v>
      </c>
      <c r="BP1350">
        <v>65.2941</v>
      </c>
      <c r="BS1350">
        <v>39.411799999999999</v>
      </c>
      <c r="BX1350">
        <v>38.823500000000003</v>
      </c>
      <c r="BZ1350">
        <v>41.764699999999998</v>
      </c>
      <c r="CA1350">
        <v>37.647100000000002</v>
      </c>
      <c r="CC1350">
        <v>32.941200000000002</v>
      </c>
      <c r="CD1350">
        <v>35.2941</v>
      </c>
      <c r="CG1350" t="s">
        <v>14871</v>
      </c>
      <c r="CH1350" t="s">
        <v>14872</v>
      </c>
      <c r="CI1350">
        <v>23.529399999999999</v>
      </c>
      <c r="CK1350">
        <v>5</v>
      </c>
      <c r="CL1350" t="s">
        <v>4</v>
      </c>
      <c r="CM1350" t="s">
        <v>14873</v>
      </c>
      <c r="CN1350" t="s">
        <v>14874</v>
      </c>
      <c r="CO1350" t="s">
        <v>99</v>
      </c>
      <c r="CP1350" t="s">
        <v>100</v>
      </c>
      <c r="CQ1350" t="s">
        <v>100</v>
      </c>
      <c r="CR1350" t="s">
        <v>100</v>
      </c>
      <c r="CS1350" t="s">
        <v>101</v>
      </c>
      <c r="CT1350" t="s">
        <v>152</v>
      </c>
      <c r="CU1350" t="s">
        <v>102</v>
      </c>
      <c r="CV1350" t="s">
        <v>100</v>
      </c>
    </row>
    <row r="1351" spans="1:100">
      <c r="A1351" s="3" t="s">
        <v>14875</v>
      </c>
      <c r="B1351" s="4" t="s">
        <v>14876</v>
      </c>
      <c r="C1351">
        <v>545.17738604198496</v>
      </c>
      <c r="D1351">
        <v>496.01326256521997</v>
      </c>
      <c r="E1351">
        <v>0.13610615083730199</v>
      </c>
      <c r="F1351">
        <v>0.63206632726090495</v>
      </c>
      <c r="G1351" t="s">
        <v>4</v>
      </c>
      <c r="H1351">
        <v>545.17738604198496</v>
      </c>
      <c r="I1351">
        <v>106.27370373527</v>
      </c>
      <c r="J1351">
        <v>2.3484179916243102</v>
      </c>
      <c r="K1351" s="5">
        <v>9.5494431896795406E-21</v>
      </c>
      <c r="L1351" t="s">
        <v>4</v>
      </c>
      <c r="M1351">
        <v>496.01326256521997</v>
      </c>
      <c r="N1351">
        <v>106.27370373527</v>
      </c>
      <c r="O1351">
        <v>2.2123118407870002</v>
      </c>
      <c r="P1351" s="5">
        <v>1.51340918769707E-18</v>
      </c>
      <c r="Q1351" t="s">
        <v>4</v>
      </c>
      <c r="R1351" s="4" t="s">
        <v>87</v>
      </c>
      <c r="S1351" t="s">
        <v>4</v>
      </c>
      <c r="T1351" t="s">
        <v>14877</v>
      </c>
      <c r="U1351" t="s">
        <v>14878</v>
      </c>
      <c r="V1351" t="s">
        <v>14879</v>
      </c>
      <c r="W1351" t="s">
        <v>328</v>
      </c>
      <c r="X1351" t="s">
        <v>4</v>
      </c>
      <c r="Y1351" t="s">
        <v>14880</v>
      </c>
      <c r="Z1351" t="s">
        <v>14881</v>
      </c>
      <c r="AA1351" t="s">
        <v>14882</v>
      </c>
      <c r="AB1351" t="s">
        <v>4</v>
      </c>
      <c r="AC1351" s="3" t="s">
        <v>14883</v>
      </c>
      <c r="AD1351" t="s">
        <v>4</v>
      </c>
      <c r="AE1351" t="s">
        <v>14884</v>
      </c>
      <c r="AF1351" t="s">
        <v>14885</v>
      </c>
      <c r="AG1351" t="s">
        <v>14886</v>
      </c>
      <c r="AH1351" t="s">
        <v>112</v>
      </c>
      <c r="AL1351" t="s">
        <v>14887</v>
      </c>
      <c r="AQ1351" t="s">
        <v>13082</v>
      </c>
      <c r="AU1351" t="s">
        <v>112</v>
      </c>
      <c r="AV1351" t="s">
        <v>14888</v>
      </c>
      <c r="AW1351" t="s">
        <v>114</v>
      </c>
      <c r="AX1351" t="s">
        <v>733</v>
      </c>
      <c r="AY1351" t="s">
        <v>14889</v>
      </c>
      <c r="AZ1351" t="s">
        <v>4</v>
      </c>
      <c r="BA1351" s="3" t="s">
        <v>95</v>
      </c>
      <c r="BB1351" s="6" t="s">
        <v>95</v>
      </c>
      <c r="BC1351" s="3" t="s">
        <v>95</v>
      </c>
      <c r="BD1351" t="s">
        <v>4</v>
      </c>
      <c r="BE1351">
        <v>8168</v>
      </c>
      <c r="BF1351" t="s">
        <v>213</v>
      </c>
      <c r="BG1351">
        <v>77.704899999999995</v>
      </c>
      <c r="BH1351">
        <v>87.868899999999996</v>
      </c>
      <c r="BI1351">
        <v>91.803299999999993</v>
      </c>
      <c r="BJ1351">
        <v>66.229500000000002</v>
      </c>
      <c r="BK1351">
        <v>83.6066</v>
      </c>
      <c r="BM1351">
        <v>84.262299999999996</v>
      </c>
      <c r="BN1351">
        <v>84.262299999999996</v>
      </c>
      <c r="BO1351">
        <v>80.655699999999996</v>
      </c>
      <c r="BP1351">
        <v>46.557400000000001</v>
      </c>
      <c r="BR1351">
        <v>32.131100000000004</v>
      </c>
      <c r="BS1351">
        <v>30.819700000000001</v>
      </c>
      <c r="BY1351">
        <v>27.541</v>
      </c>
      <c r="CA1351">
        <v>25.901599999999998</v>
      </c>
      <c r="CB1351">
        <v>11.147500000000001</v>
      </c>
      <c r="CC1351">
        <v>21.639299999999999</v>
      </c>
      <c r="CD1351">
        <v>24.2623</v>
      </c>
      <c r="CE1351">
        <v>20.6557</v>
      </c>
      <c r="CG1351">
        <v>22.950800000000001</v>
      </c>
      <c r="CH1351">
        <v>22.950800000000001</v>
      </c>
      <c r="CI1351">
        <v>23.6066</v>
      </c>
      <c r="CK1351">
        <v>8</v>
      </c>
      <c r="CL1351" t="s">
        <v>4</v>
      </c>
      <c r="CM1351" t="s">
        <v>14890</v>
      </c>
      <c r="CN1351" t="s">
        <v>14891</v>
      </c>
      <c r="CO1351" t="s">
        <v>219</v>
      </c>
      <c r="CP1351" t="s">
        <v>100</v>
      </c>
      <c r="CQ1351" t="s">
        <v>100</v>
      </c>
      <c r="CR1351" t="s">
        <v>100</v>
      </c>
      <c r="CS1351" t="s">
        <v>101</v>
      </c>
      <c r="CT1351" t="s">
        <v>152</v>
      </c>
      <c r="CU1351" t="s">
        <v>102</v>
      </c>
      <c r="CV1351" t="s">
        <v>100</v>
      </c>
    </row>
    <row r="1352" spans="1:100">
      <c r="A1352" s="3" t="s">
        <v>14892</v>
      </c>
      <c r="B1352" s="4" t="s">
        <v>14893</v>
      </c>
      <c r="C1352">
        <v>83.1358918232837</v>
      </c>
      <c r="D1352">
        <v>129.29682335476099</v>
      </c>
      <c r="E1352">
        <f>0.632665793774651</f>
        <v>0.63266579377465104</v>
      </c>
      <c r="F1352">
        <v>0.13289863166073301</v>
      </c>
      <c r="G1352" t="s">
        <v>4</v>
      </c>
      <c r="H1352">
        <v>83.1358918232837</v>
      </c>
      <c r="I1352">
        <v>28.239737600739002</v>
      </c>
      <c r="J1352">
        <v>1.5777301972422599</v>
      </c>
      <c r="K1352">
        <v>2.7025644142036599E-4</v>
      </c>
      <c r="L1352" t="s">
        <v>4</v>
      </c>
      <c r="M1352">
        <v>129.29682335476099</v>
      </c>
      <c r="N1352">
        <v>28.239737600739002</v>
      </c>
      <c r="O1352">
        <v>2.21039599101691</v>
      </c>
      <c r="P1352" s="5">
        <v>1.2552417742978E-7</v>
      </c>
      <c r="Q1352" t="s">
        <v>4</v>
      </c>
      <c r="R1352" s="4" t="s">
        <v>87</v>
      </c>
      <c r="S1352" t="s">
        <v>4</v>
      </c>
      <c r="T1352" t="s">
        <v>92</v>
      </c>
      <c r="U1352" t="s">
        <v>92</v>
      </c>
      <c r="V1352" t="s">
        <v>92</v>
      </c>
      <c r="W1352" t="s">
        <v>92</v>
      </c>
      <c r="X1352" t="s">
        <v>4</v>
      </c>
      <c r="Y1352" t="s">
        <v>92</v>
      </c>
      <c r="Z1352" t="s">
        <v>92</v>
      </c>
      <c r="AA1352" t="s">
        <v>92</v>
      </c>
      <c r="AB1352" t="s">
        <v>4</v>
      </c>
      <c r="AC1352" s="3" t="s">
        <v>93</v>
      </c>
      <c r="AD1352" t="s">
        <v>4</v>
      </c>
      <c r="AE1352" t="s">
        <v>3190</v>
      </c>
      <c r="AF1352" t="s">
        <v>14894</v>
      </c>
      <c r="AG1352" t="s">
        <v>14895</v>
      </c>
      <c r="AH1352" t="s">
        <v>112</v>
      </c>
      <c r="AJ1352" t="s">
        <v>3193</v>
      </c>
      <c r="AK1352" t="s">
        <v>3194</v>
      </c>
      <c r="AL1352" t="s">
        <v>3195</v>
      </c>
      <c r="AM1352" t="s">
        <v>3196</v>
      </c>
      <c r="AQ1352" t="s">
        <v>3197</v>
      </c>
      <c r="AU1352" t="s">
        <v>112</v>
      </c>
      <c r="AV1352" t="s">
        <v>3198</v>
      </c>
      <c r="AW1352" t="s">
        <v>114</v>
      </c>
      <c r="AX1352" t="s">
        <v>2157</v>
      </c>
      <c r="AY1352" t="s">
        <v>3199</v>
      </c>
      <c r="AZ1352" t="s">
        <v>4</v>
      </c>
      <c r="BA1352" s="3" t="s">
        <v>95</v>
      </c>
      <c r="BB1352" s="6" t="s">
        <v>95</v>
      </c>
      <c r="BC1352" s="3" t="s">
        <v>95</v>
      </c>
      <c r="BD1352" t="s">
        <v>4</v>
      </c>
      <c r="BE1352">
        <v>1586</v>
      </c>
      <c r="BF1352" t="s">
        <v>151</v>
      </c>
      <c r="BG1352">
        <v>40.983600000000003</v>
      </c>
      <c r="BI1352">
        <v>66.885199999999998</v>
      </c>
      <c r="CK1352">
        <v>2</v>
      </c>
      <c r="CL1352" t="s">
        <v>4</v>
      </c>
      <c r="CM1352" t="s">
        <v>98</v>
      </c>
      <c r="CN1352" t="s">
        <v>98</v>
      </c>
      <c r="CO1352" t="s">
        <v>99</v>
      </c>
      <c r="CP1352" t="s">
        <v>100</v>
      </c>
      <c r="CQ1352" t="s">
        <v>100</v>
      </c>
      <c r="CR1352" t="s">
        <v>100</v>
      </c>
      <c r="CS1352" s="7" t="s">
        <v>101</v>
      </c>
      <c r="CT1352" t="s">
        <v>152</v>
      </c>
      <c r="CU1352" t="s">
        <v>102</v>
      </c>
      <c r="CV1352" t="s">
        <v>100</v>
      </c>
    </row>
    <row r="1353" spans="1:100">
      <c r="A1353" s="3" t="s">
        <v>14896</v>
      </c>
      <c r="B1353" s="4" t="s">
        <v>14897</v>
      </c>
      <c r="C1353">
        <v>969.84655481625305</v>
      </c>
      <c r="D1353">
        <v>1593.52966520277</v>
      </c>
      <c r="E1353">
        <f>0.716187605424386</f>
        <v>0.71618760542438598</v>
      </c>
      <c r="F1353">
        <v>1.51902354849735E-3</v>
      </c>
      <c r="G1353" t="s">
        <v>4</v>
      </c>
      <c r="H1353">
        <v>969.84655481625305</v>
      </c>
      <c r="I1353">
        <v>343.28020591065302</v>
      </c>
      <c r="J1353">
        <v>1.4931715975572399</v>
      </c>
      <c r="K1353" s="5">
        <v>6.2184709190622003E-12</v>
      </c>
      <c r="L1353" t="s">
        <v>4</v>
      </c>
      <c r="M1353">
        <v>1593.52966520277</v>
      </c>
      <c r="N1353">
        <v>343.28020591065302</v>
      </c>
      <c r="O1353">
        <v>2.2093592029816298</v>
      </c>
      <c r="P1353" s="5">
        <v>3.45063067611286E-25</v>
      </c>
      <c r="Q1353" t="s">
        <v>4</v>
      </c>
      <c r="R1353" s="4" t="s">
        <v>87</v>
      </c>
      <c r="S1353" t="s">
        <v>4</v>
      </c>
      <c r="T1353" t="s">
        <v>14898</v>
      </c>
      <c r="U1353" t="s">
        <v>14899</v>
      </c>
      <c r="V1353" t="s">
        <v>14900</v>
      </c>
      <c r="W1353" t="s">
        <v>203</v>
      </c>
      <c r="X1353" t="s">
        <v>4</v>
      </c>
      <c r="Y1353" t="s">
        <v>14901</v>
      </c>
      <c r="Z1353" t="s">
        <v>14902</v>
      </c>
      <c r="AA1353" t="s">
        <v>14903</v>
      </c>
      <c r="AB1353" t="s">
        <v>4</v>
      </c>
      <c r="AC1353" s="3" t="s">
        <v>14904</v>
      </c>
      <c r="AD1353" t="s">
        <v>4</v>
      </c>
      <c r="AE1353" t="s">
        <v>14905</v>
      </c>
      <c r="AF1353" t="s">
        <v>14906</v>
      </c>
      <c r="AG1353" t="s">
        <v>14907</v>
      </c>
      <c r="AH1353" t="s">
        <v>112</v>
      </c>
      <c r="AJ1353" t="s">
        <v>14567</v>
      </c>
      <c r="AL1353" t="s">
        <v>14908</v>
      </c>
      <c r="AM1353" t="s">
        <v>7647</v>
      </c>
      <c r="AQ1353" t="s">
        <v>14909</v>
      </c>
      <c r="AU1353" t="s">
        <v>112</v>
      </c>
      <c r="AV1353" t="s">
        <v>14910</v>
      </c>
      <c r="AW1353" t="s">
        <v>114</v>
      </c>
      <c r="AX1353" t="s">
        <v>1879</v>
      </c>
      <c r="AY1353" t="s">
        <v>14911</v>
      </c>
      <c r="AZ1353" t="s">
        <v>4</v>
      </c>
      <c r="BA1353" s="3" t="s">
        <v>95</v>
      </c>
      <c r="BB1353" s="6" t="s">
        <v>95</v>
      </c>
      <c r="BC1353" s="3" t="s">
        <v>95</v>
      </c>
      <c r="BD1353" t="s">
        <v>4</v>
      </c>
      <c r="BE1353">
        <v>10376</v>
      </c>
      <c r="BF1353" t="s">
        <v>169</v>
      </c>
      <c r="BG1353">
        <v>99.025999999999996</v>
      </c>
      <c r="BH1353">
        <v>100</v>
      </c>
      <c r="BI1353">
        <v>96.428600000000003</v>
      </c>
      <c r="BJ1353">
        <v>92.857100000000003</v>
      </c>
      <c r="BK1353">
        <v>91.233800000000002</v>
      </c>
      <c r="BL1353">
        <v>87.337699999999998</v>
      </c>
      <c r="BM1353">
        <v>88.311700000000002</v>
      </c>
      <c r="BN1353">
        <v>87.662300000000002</v>
      </c>
      <c r="BO1353">
        <v>87.986999999999995</v>
      </c>
      <c r="BP1353">
        <v>64.610399999999998</v>
      </c>
      <c r="BQ1353">
        <v>55.844200000000001</v>
      </c>
      <c r="BR1353">
        <v>55.844200000000001</v>
      </c>
      <c r="BS1353">
        <v>57.142899999999997</v>
      </c>
      <c r="BW1353">
        <v>58.116900000000001</v>
      </c>
      <c r="BX1353">
        <v>61.688299999999998</v>
      </c>
      <c r="BZ1353">
        <v>62.987000000000002</v>
      </c>
      <c r="CA1353">
        <v>47.7273</v>
      </c>
      <c r="CB1353">
        <v>49.350700000000003</v>
      </c>
      <c r="CC1353">
        <v>49.026000000000003</v>
      </c>
      <c r="CD1353">
        <v>52.9221</v>
      </c>
      <c r="CE1353">
        <v>28.571400000000001</v>
      </c>
      <c r="CF1353">
        <v>48.376600000000003</v>
      </c>
      <c r="CG1353">
        <v>47.4026</v>
      </c>
      <c r="CH1353">
        <v>47.0779</v>
      </c>
      <c r="CI1353">
        <v>44.155799999999999</v>
      </c>
      <c r="CJ1353">
        <v>34.090899999999998</v>
      </c>
      <c r="CK1353">
        <v>9</v>
      </c>
      <c r="CL1353" t="s">
        <v>4</v>
      </c>
      <c r="CM1353" t="s">
        <v>14912</v>
      </c>
      <c r="CN1353" t="s">
        <v>14913</v>
      </c>
      <c r="CO1353" t="s">
        <v>219</v>
      </c>
      <c r="CP1353" t="s">
        <v>100</v>
      </c>
      <c r="CQ1353" t="s">
        <v>100</v>
      </c>
      <c r="CR1353" t="s">
        <v>100</v>
      </c>
      <c r="CS1353" s="7" t="s">
        <v>101</v>
      </c>
      <c r="CT1353" t="s">
        <v>152</v>
      </c>
      <c r="CU1353" t="s">
        <v>102</v>
      </c>
      <c r="CV1353" t="s">
        <v>100</v>
      </c>
    </row>
    <row r="1354" spans="1:100">
      <c r="A1354" s="3" t="s">
        <v>14914</v>
      </c>
      <c r="B1354" s="4" t="s">
        <v>14915</v>
      </c>
      <c r="C1354">
        <v>5188.9251227721097</v>
      </c>
      <c r="D1354">
        <v>7903.1431413744403</v>
      </c>
      <c r="E1354">
        <f>0.606966393678923</f>
        <v>0.60696639367892302</v>
      </c>
      <c r="F1354">
        <v>1.5557367217102E-2</v>
      </c>
      <c r="G1354" t="s">
        <v>4</v>
      </c>
      <c r="H1354">
        <v>5188.9251227721097</v>
      </c>
      <c r="I1354">
        <v>1712.3940025266199</v>
      </c>
      <c r="J1354">
        <v>1.59807166475576</v>
      </c>
      <c r="K1354" s="5">
        <v>4.7968714508235003E-12</v>
      </c>
      <c r="L1354" t="s">
        <v>4</v>
      </c>
      <c r="M1354">
        <v>7903.1431413744403</v>
      </c>
      <c r="N1354">
        <v>1712.3940025266199</v>
      </c>
      <c r="O1354">
        <v>2.20503805843469</v>
      </c>
      <c r="P1354" s="5">
        <v>3.2880900348727602E-22</v>
      </c>
      <c r="Q1354" t="s">
        <v>4</v>
      </c>
      <c r="R1354" s="4" t="s">
        <v>87</v>
      </c>
      <c r="S1354" t="s">
        <v>4</v>
      </c>
      <c r="T1354" t="s">
        <v>92</v>
      </c>
      <c r="U1354" t="s">
        <v>92</v>
      </c>
      <c r="V1354" t="s">
        <v>92</v>
      </c>
      <c r="W1354" t="s">
        <v>92</v>
      </c>
      <c r="X1354" t="s">
        <v>4</v>
      </c>
      <c r="Y1354" t="s">
        <v>14916</v>
      </c>
      <c r="Z1354" t="s">
        <v>14917</v>
      </c>
      <c r="AA1354" t="s">
        <v>14918</v>
      </c>
      <c r="AB1354" t="s">
        <v>4</v>
      </c>
      <c r="AC1354" s="3" t="s">
        <v>14919</v>
      </c>
      <c r="AD1354" t="s">
        <v>4</v>
      </c>
      <c r="AE1354" t="s">
        <v>14920</v>
      </c>
      <c r="AF1354" t="s">
        <v>834</v>
      </c>
      <c r="AG1354" t="s">
        <v>14921</v>
      </c>
      <c r="AH1354" t="s">
        <v>112</v>
      </c>
      <c r="AL1354" t="s">
        <v>14922</v>
      </c>
      <c r="AQ1354" t="s">
        <v>6129</v>
      </c>
      <c r="AU1354" t="s">
        <v>112</v>
      </c>
      <c r="AV1354" t="s">
        <v>14923</v>
      </c>
      <c r="AW1354" t="s">
        <v>114</v>
      </c>
      <c r="AX1354" t="s">
        <v>167</v>
      </c>
      <c r="AY1354" t="s">
        <v>14924</v>
      </c>
      <c r="AZ1354" t="s">
        <v>4</v>
      </c>
      <c r="BA1354" s="3" t="s">
        <v>95</v>
      </c>
      <c r="BB1354" s="6" t="s">
        <v>95</v>
      </c>
      <c r="BC1354" s="3" t="s">
        <v>95</v>
      </c>
      <c r="BD1354" t="s">
        <v>4</v>
      </c>
      <c r="BE1354">
        <v>10269</v>
      </c>
      <c r="BF1354" t="s">
        <v>169</v>
      </c>
      <c r="BG1354">
        <v>97.179500000000004</v>
      </c>
      <c r="BI1354">
        <v>95.128200000000007</v>
      </c>
      <c r="BJ1354">
        <v>85.641000000000005</v>
      </c>
      <c r="BK1354">
        <v>82.564099999999996</v>
      </c>
      <c r="BL1354">
        <v>20</v>
      </c>
      <c r="BM1354">
        <v>62.307699999999997</v>
      </c>
      <c r="BN1354">
        <v>79.615399999999994</v>
      </c>
      <c r="BO1354">
        <v>81.025599999999997</v>
      </c>
      <c r="BP1354">
        <v>18.8462</v>
      </c>
      <c r="BU1354">
        <v>15.256399999999999</v>
      </c>
      <c r="BW1354">
        <v>22.051300000000001</v>
      </c>
      <c r="BY1354">
        <v>19.8718</v>
      </c>
      <c r="CA1354">
        <v>18.8462</v>
      </c>
      <c r="CB1354">
        <v>16.666699999999999</v>
      </c>
      <c r="CF1354">
        <v>15.641</v>
      </c>
      <c r="CG1354" t="s">
        <v>14925</v>
      </c>
      <c r="CH1354" t="s">
        <v>14926</v>
      </c>
      <c r="CI1354" t="s">
        <v>14927</v>
      </c>
      <c r="CJ1354" t="s">
        <v>14928</v>
      </c>
      <c r="CK1354">
        <v>9</v>
      </c>
      <c r="CL1354" t="s">
        <v>4</v>
      </c>
      <c r="CM1354" t="s">
        <v>14929</v>
      </c>
      <c r="CN1354" t="s">
        <v>14930</v>
      </c>
      <c r="CO1354" t="s">
        <v>219</v>
      </c>
      <c r="CP1354" t="s">
        <v>100</v>
      </c>
      <c r="CQ1354" t="s">
        <v>100</v>
      </c>
      <c r="CR1354" t="s">
        <v>100</v>
      </c>
      <c r="CS1354" s="7" t="s">
        <v>101</v>
      </c>
      <c r="CT1354" t="s">
        <v>152</v>
      </c>
      <c r="CU1354" t="s">
        <v>102</v>
      </c>
      <c r="CV1354" t="s">
        <v>100</v>
      </c>
    </row>
    <row r="1355" spans="1:100">
      <c r="A1355" s="3" t="s">
        <v>14931</v>
      </c>
      <c r="B1355" s="4" t="s">
        <v>14932</v>
      </c>
      <c r="C1355">
        <v>1586.48033587944</v>
      </c>
      <c r="D1355">
        <v>1540.97942437401</v>
      </c>
      <c r="E1355">
        <v>4.1805554397327999E-2</v>
      </c>
      <c r="F1355">
        <v>0.89064451429663405</v>
      </c>
      <c r="G1355" t="s">
        <v>4</v>
      </c>
      <c r="H1355">
        <v>1586.48033587944</v>
      </c>
      <c r="I1355">
        <v>334.34677083648199</v>
      </c>
      <c r="J1355">
        <v>2.24306128119603</v>
      </c>
      <c r="K1355" s="5">
        <v>9.2099574066230799E-21</v>
      </c>
      <c r="L1355" t="s">
        <v>4</v>
      </c>
      <c r="M1355">
        <v>1540.97942437401</v>
      </c>
      <c r="N1355">
        <v>334.34677083648199</v>
      </c>
      <c r="O1355">
        <v>2.2012557267987001</v>
      </c>
      <c r="P1355" s="5">
        <v>3.9052331805865299E-20</v>
      </c>
      <c r="Q1355" t="s">
        <v>4</v>
      </c>
      <c r="R1355" s="4" t="s">
        <v>87</v>
      </c>
      <c r="S1355" t="s">
        <v>4</v>
      </c>
      <c r="T1355" t="s">
        <v>14933</v>
      </c>
      <c r="U1355" t="s">
        <v>14934</v>
      </c>
      <c r="V1355" t="s">
        <v>14935</v>
      </c>
      <c r="W1355" t="s">
        <v>7033</v>
      </c>
      <c r="X1355" t="s">
        <v>4</v>
      </c>
      <c r="Y1355" t="s">
        <v>14936</v>
      </c>
      <c r="Z1355" t="s">
        <v>14937</v>
      </c>
      <c r="AA1355" t="s">
        <v>14938</v>
      </c>
      <c r="AB1355" t="s">
        <v>4</v>
      </c>
      <c r="AC1355" s="3" t="s">
        <v>93</v>
      </c>
      <c r="AD1355" t="s">
        <v>4</v>
      </c>
      <c r="AE1355" t="s">
        <v>14939</v>
      </c>
      <c r="AF1355" t="s">
        <v>14940</v>
      </c>
      <c r="AG1355" t="s">
        <v>564</v>
      </c>
      <c r="AH1355" t="s">
        <v>14941</v>
      </c>
      <c r="AU1355" t="s">
        <v>112</v>
      </c>
      <c r="AV1355" t="s">
        <v>14942</v>
      </c>
      <c r="AW1355" t="s">
        <v>114</v>
      </c>
      <c r="AX1355" t="s">
        <v>144</v>
      </c>
      <c r="AY1355" t="s">
        <v>14943</v>
      </c>
      <c r="AZ1355" t="s">
        <v>4</v>
      </c>
      <c r="BA1355" s="3" t="s">
        <v>95</v>
      </c>
      <c r="BB1355" s="6" t="s">
        <v>95</v>
      </c>
      <c r="BC1355" s="3" t="s">
        <v>95</v>
      </c>
      <c r="BD1355" t="s">
        <v>4</v>
      </c>
      <c r="BE1355">
        <v>2780</v>
      </c>
      <c r="BF1355" t="s">
        <v>97</v>
      </c>
      <c r="BG1355">
        <v>98.509699999999995</v>
      </c>
      <c r="BH1355">
        <v>92.995500000000007</v>
      </c>
      <c r="BI1355" t="s">
        <v>14944</v>
      </c>
      <c r="BJ1355">
        <v>90.014899999999997</v>
      </c>
      <c r="BK1355">
        <v>86.587199999999996</v>
      </c>
      <c r="BL1355" t="s">
        <v>14945</v>
      </c>
      <c r="BM1355">
        <v>85.245900000000006</v>
      </c>
      <c r="BN1355">
        <v>85.096900000000005</v>
      </c>
      <c r="BO1355">
        <v>86.587199999999996</v>
      </c>
      <c r="CK1355">
        <v>4</v>
      </c>
      <c r="CL1355" t="s">
        <v>4</v>
      </c>
      <c r="CM1355" t="s">
        <v>98</v>
      </c>
      <c r="CN1355" t="s">
        <v>98</v>
      </c>
      <c r="CO1355" t="s">
        <v>99</v>
      </c>
      <c r="CP1355" t="s">
        <v>100</v>
      </c>
      <c r="CQ1355" t="s">
        <v>100</v>
      </c>
      <c r="CR1355" t="s">
        <v>100</v>
      </c>
      <c r="CS1355" t="s">
        <v>101</v>
      </c>
      <c r="CT1355" t="s">
        <v>152</v>
      </c>
      <c r="CU1355" t="s">
        <v>102</v>
      </c>
      <c r="CV1355" t="s">
        <v>100</v>
      </c>
    </row>
    <row r="1356" spans="1:100">
      <c r="A1356" s="3" t="s">
        <v>14946</v>
      </c>
      <c r="B1356" s="4" t="s">
        <v>14947</v>
      </c>
      <c r="C1356">
        <v>31.859073708072401</v>
      </c>
      <c r="D1356">
        <v>56.068935338066197</v>
      </c>
      <c r="E1356">
        <f>0.812073087147525</f>
        <v>0.81207308714752502</v>
      </c>
      <c r="F1356">
        <v>8.9234770500789304E-2</v>
      </c>
      <c r="G1356" t="s">
        <v>4</v>
      </c>
      <c r="H1356">
        <v>31.859073708072401</v>
      </c>
      <c r="I1356">
        <v>12.0599635591501</v>
      </c>
      <c r="J1356">
        <v>1.3874245712931299</v>
      </c>
      <c r="K1356">
        <v>9.73730115033823E-3</v>
      </c>
      <c r="L1356" t="s">
        <v>4</v>
      </c>
      <c r="M1356">
        <v>56.068935338066197</v>
      </c>
      <c r="N1356">
        <v>12.0599635591501</v>
      </c>
      <c r="O1356">
        <v>2.1994976584406598</v>
      </c>
      <c r="P1356" s="5">
        <v>1.65484809647414E-5</v>
      </c>
      <c r="Q1356" t="s">
        <v>4</v>
      </c>
      <c r="R1356" s="4" t="s">
        <v>87</v>
      </c>
      <c r="S1356" t="s">
        <v>4</v>
      </c>
      <c r="T1356" t="s">
        <v>92</v>
      </c>
      <c r="U1356" t="s">
        <v>92</v>
      </c>
      <c r="V1356" t="s">
        <v>92</v>
      </c>
      <c r="W1356" t="s">
        <v>92</v>
      </c>
      <c r="X1356" t="s">
        <v>4</v>
      </c>
      <c r="Y1356" t="s">
        <v>92</v>
      </c>
      <c r="Z1356" t="s">
        <v>92</v>
      </c>
      <c r="AA1356" t="s">
        <v>92</v>
      </c>
      <c r="AB1356" t="s">
        <v>4</v>
      </c>
      <c r="AC1356" s="3" t="s">
        <v>93</v>
      </c>
      <c r="AD1356" t="s">
        <v>4</v>
      </c>
      <c r="AE1356" t="s">
        <v>3190</v>
      </c>
      <c r="AF1356" t="s">
        <v>14948</v>
      </c>
      <c r="AG1356" t="s">
        <v>11227</v>
      </c>
      <c r="AH1356" t="s">
        <v>112</v>
      </c>
      <c r="AJ1356" t="s">
        <v>3193</v>
      </c>
      <c r="AK1356" t="s">
        <v>3194</v>
      </c>
      <c r="AL1356" t="s">
        <v>3195</v>
      </c>
      <c r="AM1356" t="s">
        <v>3196</v>
      </c>
      <c r="AQ1356" t="s">
        <v>3197</v>
      </c>
      <c r="AU1356" t="s">
        <v>112</v>
      </c>
      <c r="AV1356" t="s">
        <v>3198</v>
      </c>
      <c r="AW1356" t="s">
        <v>114</v>
      </c>
      <c r="AX1356" t="s">
        <v>2157</v>
      </c>
      <c r="AY1356" t="s">
        <v>3199</v>
      </c>
      <c r="AZ1356" t="s">
        <v>4</v>
      </c>
      <c r="BA1356" s="3" t="s">
        <v>95</v>
      </c>
      <c r="BB1356" s="6" t="s">
        <v>95</v>
      </c>
      <c r="BC1356" s="3" t="s">
        <v>95</v>
      </c>
      <c r="BD1356" t="s">
        <v>4</v>
      </c>
      <c r="BE1356">
        <v>1580</v>
      </c>
      <c r="BF1356" t="s">
        <v>151</v>
      </c>
      <c r="BG1356">
        <v>41.639299999999999</v>
      </c>
      <c r="BI1356">
        <v>67.213099999999997</v>
      </c>
      <c r="CK1356">
        <v>2</v>
      </c>
      <c r="CL1356" t="s">
        <v>4</v>
      </c>
      <c r="CM1356" t="s">
        <v>98</v>
      </c>
      <c r="CN1356" t="s">
        <v>98</v>
      </c>
      <c r="CO1356" t="s">
        <v>99</v>
      </c>
      <c r="CP1356" t="s">
        <v>100</v>
      </c>
      <c r="CQ1356" t="s">
        <v>100</v>
      </c>
      <c r="CR1356" t="s">
        <v>100</v>
      </c>
      <c r="CS1356" s="7" t="s">
        <v>101</v>
      </c>
      <c r="CT1356" t="s">
        <v>152</v>
      </c>
      <c r="CU1356" t="s">
        <v>102</v>
      </c>
      <c r="CV1356" t="s">
        <v>100</v>
      </c>
    </row>
    <row r="1357" spans="1:100">
      <c r="A1357" s="3" t="s">
        <v>14949</v>
      </c>
      <c r="B1357" s="4" t="s">
        <v>14950</v>
      </c>
      <c r="C1357">
        <v>30.733681459065799</v>
      </c>
      <c r="D1357">
        <v>14.970560352266601</v>
      </c>
      <c r="E1357">
        <v>1.0399423614491601</v>
      </c>
      <c r="F1357">
        <v>0.119709547828942</v>
      </c>
      <c r="G1357" t="s">
        <v>4</v>
      </c>
      <c r="H1357">
        <v>30.733681459065799</v>
      </c>
      <c r="I1357">
        <v>3.3989173230448202</v>
      </c>
      <c r="J1357">
        <v>3.2379713897351299</v>
      </c>
      <c r="K1357" s="5">
        <v>7.8025548148091397E-5</v>
      </c>
      <c r="L1357" t="s">
        <v>4</v>
      </c>
      <c r="M1357">
        <v>14.970560352266601</v>
      </c>
      <c r="N1357">
        <v>3.3989173230448202</v>
      </c>
      <c r="O1357">
        <v>2.19802902828597</v>
      </c>
      <c r="P1357">
        <v>9.6789743837026598E-3</v>
      </c>
      <c r="Q1357" t="s">
        <v>4</v>
      </c>
      <c r="R1357" s="4" t="s">
        <v>87</v>
      </c>
      <c r="S1357" t="s">
        <v>4</v>
      </c>
      <c r="T1357" t="s">
        <v>460</v>
      </c>
      <c r="U1357" t="s">
        <v>461</v>
      </c>
      <c r="V1357" t="s">
        <v>462</v>
      </c>
      <c r="W1357" t="s">
        <v>123</v>
      </c>
      <c r="X1357" t="s">
        <v>4</v>
      </c>
      <c r="Y1357" t="s">
        <v>463</v>
      </c>
      <c r="Z1357" t="s">
        <v>464</v>
      </c>
      <c r="AA1357" t="s">
        <v>465</v>
      </c>
      <c r="AB1357" t="s">
        <v>4</v>
      </c>
      <c r="AC1357" s="3" t="s">
        <v>93</v>
      </c>
      <c r="AD1357" t="s">
        <v>4</v>
      </c>
      <c r="AE1357" s="4" t="s">
        <v>94</v>
      </c>
      <c r="AZ1357" t="s">
        <v>4</v>
      </c>
      <c r="BA1357" s="3" t="s">
        <v>95</v>
      </c>
      <c r="BB1357" s="6" t="s">
        <v>95</v>
      </c>
      <c r="BC1357" s="3" t="s">
        <v>197</v>
      </c>
      <c r="BD1357" t="s">
        <v>4</v>
      </c>
      <c r="BE1357">
        <v>8413</v>
      </c>
      <c r="BF1357" t="s">
        <v>213</v>
      </c>
      <c r="BP1357">
        <v>9.2369500000000002</v>
      </c>
      <c r="BQ1357">
        <v>6.8273099999999998</v>
      </c>
      <c r="BR1357">
        <v>9.2369500000000002</v>
      </c>
      <c r="BS1357">
        <v>9.8393599999999992</v>
      </c>
      <c r="BW1357">
        <v>12.8514</v>
      </c>
      <c r="BX1357">
        <v>11.0442</v>
      </c>
      <c r="BZ1357">
        <v>12.650600000000001</v>
      </c>
      <c r="CB1357">
        <v>10.843400000000001</v>
      </c>
      <c r="CE1357">
        <v>10.441800000000001</v>
      </c>
      <c r="CF1357" t="s">
        <v>14951</v>
      </c>
      <c r="CG1357" t="s">
        <v>14952</v>
      </c>
      <c r="CH1357" t="s">
        <v>14953</v>
      </c>
      <c r="CI1357">
        <v>11.0442</v>
      </c>
      <c r="CK1357">
        <v>8</v>
      </c>
      <c r="CL1357" t="s">
        <v>4</v>
      </c>
      <c r="CM1357" t="s">
        <v>98</v>
      </c>
      <c r="CN1357" t="s">
        <v>98</v>
      </c>
      <c r="CO1357" t="s">
        <v>99</v>
      </c>
      <c r="CP1357" t="s">
        <v>100</v>
      </c>
      <c r="CQ1357" t="s">
        <v>100</v>
      </c>
      <c r="CR1357" t="s">
        <v>100</v>
      </c>
      <c r="CS1357" t="s">
        <v>101</v>
      </c>
      <c r="CT1357" t="s">
        <v>152</v>
      </c>
      <c r="CU1357" t="s">
        <v>102</v>
      </c>
      <c r="CV1357" t="s">
        <v>100</v>
      </c>
    </row>
    <row r="1358" spans="1:100">
      <c r="A1358" s="3" t="s">
        <v>14954</v>
      </c>
      <c r="B1358" s="4" t="s">
        <v>14955</v>
      </c>
      <c r="C1358">
        <v>116.078040343124</v>
      </c>
      <c r="D1358">
        <v>69.833950916942001</v>
      </c>
      <c r="E1358">
        <v>0.73499572004090896</v>
      </c>
      <c r="F1358">
        <v>0.25166464601064797</v>
      </c>
      <c r="G1358" t="s">
        <v>4</v>
      </c>
      <c r="H1358">
        <v>116.078040343124</v>
      </c>
      <c r="I1358">
        <v>14.9942746736328</v>
      </c>
      <c r="J1358">
        <v>2.9304953968246701</v>
      </c>
      <c r="K1358" s="5">
        <v>3.35469206874618E-6</v>
      </c>
      <c r="L1358" t="s">
        <v>4</v>
      </c>
      <c r="M1358">
        <v>69.833950916942001</v>
      </c>
      <c r="N1358">
        <v>14.9942746736328</v>
      </c>
      <c r="O1358">
        <v>2.19549967678376</v>
      </c>
      <c r="P1358">
        <v>5.7608737279302505E-4</v>
      </c>
      <c r="Q1358" t="s">
        <v>4</v>
      </c>
      <c r="R1358" s="4" t="s">
        <v>87</v>
      </c>
      <c r="S1358" t="s">
        <v>4</v>
      </c>
      <c r="T1358" t="s">
        <v>460</v>
      </c>
      <c r="U1358" t="s">
        <v>461</v>
      </c>
      <c r="V1358" t="s">
        <v>462</v>
      </c>
      <c r="W1358" t="s">
        <v>123</v>
      </c>
      <c r="X1358" t="s">
        <v>4</v>
      </c>
      <c r="Y1358" t="s">
        <v>463</v>
      </c>
      <c r="Z1358" t="s">
        <v>464</v>
      </c>
      <c r="AA1358" t="s">
        <v>465</v>
      </c>
      <c r="AB1358" t="s">
        <v>4</v>
      </c>
      <c r="AC1358" s="3" t="s">
        <v>93</v>
      </c>
      <c r="AD1358" t="s">
        <v>4</v>
      </c>
      <c r="AE1358" t="s">
        <v>6411</v>
      </c>
      <c r="AF1358" t="s">
        <v>14956</v>
      </c>
      <c r="AG1358" t="s">
        <v>12983</v>
      </c>
      <c r="AH1358" t="s">
        <v>169</v>
      </c>
      <c r="AU1358" t="s">
        <v>112</v>
      </c>
      <c r="AV1358" t="s">
        <v>470</v>
      </c>
      <c r="AW1358" t="s">
        <v>114</v>
      </c>
      <c r="AX1358" t="s">
        <v>144</v>
      </c>
      <c r="AY1358" t="s">
        <v>471</v>
      </c>
      <c r="AZ1358" t="s">
        <v>4</v>
      </c>
      <c r="BA1358" s="3" t="s">
        <v>95</v>
      </c>
      <c r="BB1358" s="6" t="s">
        <v>95</v>
      </c>
      <c r="BC1358" s="3" t="s">
        <v>95</v>
      </c>
      <c r="BD1358" t="s">
        <v>4</v>
      </c>
      <c r="BE1358">
        <v>1661</v>
      </c>
      <c r="BF1358" t="s">
        <v>151</v>
      </c>
      <c r="CK1358">
        <v>2</v>
      </c>
      <c r="CL1358" t="s">
        <v>4</v>
      </c>
      <c r="CM1358" t="s">
        <v>98</v>
      </c>
      <c r="CN1358" t="s">
        <v>98</v>
      </c>
      <c r="CO1358" t="s">
        <v>99</v>
      </c>
      <c r="CP1358" t="s">
        <v>100</v>
      </c>
      <c r="CQ1358" t="s">
        <v>100</v>
      </c>
      <c r="CR1358" t="s">
        <v>100</v>
      </c>
      <c r="CS1358" t="s">
        <v>101</v>
      </c>
      <c r="CT1358" t="s">
        <v>152</v>
      </c>
      <c r="CU1358" t="s">
        <v>102</v>
      </c>
      <c r="CV1358" t="s">
        <v>100</v>
      </c>
    </row>
    <row r="1359" spans="1:100">
      <c r="A1359" s="3" t="s">
        <v>14957</v>
      </c>
      <c r="B1359" s="4" t="s">
        <v>14958</v>
      </c>
      <c r="C1359">
        <v>2103.8539804263801</v>
      </c>
      <c r="D1359">
        <v>2145.20439797258</v>
      </c>
      <c r="E1359">
        <f>0.0282880904107573</f>
        <v>2.8288090410757302E-2</v>
      </c>
      <c r="F1359">
        <v>0.94453192716776702</v>
      </c>
      <c r="G1359" t="s">
        <v>4</v>
      </c>
      <c r="H1359">
        <v>2103.8539804263801</v>
      </c>
      <c r="I1359">
        <v>467.02995053929999</v>
      </c>
      <c r="J1359">
        <v>2.16720882749591</v>
      </c>
      <c r="K1359" s="5">
        <v>6.8804983884265298E-12</v>
      </c>
      <c r="L1359" t="s">
        <v>4</v>
      </c>
      <c r="M1359">
        <v>2145.20439797258</v>
      </c>
      <c r="N1359">
        <v>467.02995053929999</v>
      </c>
      <c r="O1359">
        <v>2.1954969179066701</v>
      </c>
      <c r="P1359" s="5">
        <v>2.6015430473194299E-12</v>
      </c>
      <c r="Q1359" t="s">
        <v>4</v>
      </c>
      <c r="R1359" s="4" t="s">
        <v>87</v>
      </c>
      <c r="S1359" t="s">
        <v>4</v>
      </c>
      <c r="T1359" t="s">
        <v>14959</v>
      </c>
      <c r="U1359" t="s">
        <v>14960</v>
      </c>
      <c r="V1359" t="s">
        <v>14961</v>
      </c>
      <c r="W1359" t="s">
        <v>203</v>
      </c>
      <c r="X1359" t="s">
        <v>4</v>
      </c>
      <c r="Y1359" t="s">
        <v>14962</v>
      </c>
      <c r="Z1359" t="s">
        <v>14963</v>
      </c>
      <c r="AA1359" t="s">
        <v>14964</v>
      </c>
      <c r="AB1359" t="s">
        <v>4</v>
      </c>
      <c r="AC1359" s="3" t="s">
        <v>14965</v>
      </c>
      <c r="AD1359" t="s">
        <v>4</v>
      </c>
      <c r="AE1359" t="s">
        <v>14966</v>
      </c>
      <c r="AF1359" t="s">
        <v>14967</v>
      </c>
      <c r="AG1359" t="s">
        <v>14968</v>
      </c>
      <c r="AH1359" t="s">
        <v>112</v>
      </c>
      <c r="AJ1359" t="s">
        <v>14969</v>
      </c>
      <c r="AK1359" t="s">
        <v>14970</v>
      </c>
      <c r="AL1359" t="s">
        <v>14971</v>
      </c>
      <c r="AM1359" t="s">
        <v>14972</v>
      </c>
      <c r="AN1359" t="s">
        <v>14973</v>
      </c>
      <c r="AO1359" t="s">
        <v>14974</v>
      </c>
      <c r="AP1359" t="s">
        <v>14975</v>
      </c>
      <c r="AQ1359" t="s">
        <v>10191</v>
      </c>
      <c r="AU1359" t="s">
        <v>112</v>
      </c>
      <c r="AV1359" t="s">
        <v>14976</v>
      </c>
      <c r="AW1359" t="s">
        <v>114</v>
      </c>
      <c r="AX1359" t="s">
        <v>1756</v>
      </c>
      <c r="AY1359" t="s">
        <v>14977</v>
      </c>
      <c r="AZ1359" t="s">
        <v>4</v>
      </c>
      <c r="BA1359" s="3" t="s">
        <v>95</v>
      </c>
      <c r="BB1359" s="6" t="s">
        <v>95</v>
      </c>
      <c r="BC1359" s="3" t="s">
        <v>95</v>
      </c>
      <c r="BD1359" t="s">
        <v>4</v>
      </c>
      <c r="BE1359">
        <v>10696</v>
      </c>
      <c r="BF1359" t="s">
        <v>169</v>
      </c>
      <c r="BG1359">
        <v>97.933899999999994</v>
      </c>
      <c r="BH1359">
        <v>98.966899999999995</v>
      </c>
      <c r="BI1359">
        <v>87.190100000000001</v>
      </c>
      <c r="BJ1359">
        <v>87.396699999999996</v>
      </c>
      <c r="BK1359">
        <v>84.917400000000001</v>
      </c>
      <c r="BL1359">
        <v>64.462800000000001</v>
      </c>
      <c r="BM1359">
        <v>72.107399999999998</v>
      </c>
      <c r="BN1359">
        <v>88.016499999999994</v>
      </c>
      <c r="BO1359">
        <v>86.776899999999998</v>
      </c>
      <c r="BP1359">
        <v>73.966899999999995</v>
      </c>
      <c r="BQ1359">
        <v>68.594999999999999</v>
      </c>
      <c r="BR1359">
        <v>64.049599999999998</v>
      </c>
      <c r="BS1359">
        <v>64.669399999999996</v>
      </c>
      <c r="BT1359" t="s">
        <v>14978</v>
      </c>
      <c r="BU1359">
        <v>62.396700000000003</v>
      </c>
      <c r="BV1359" t="s">
        <v>14979</v>
      </c>
      <c r="BW1359">
        <v>68.594999999999999</v>
      </c>
      <c r="BX1359">
        <v>21.9008</v>
      </c>
      <c r="BY1359">
        <v>29.9587</v>
      </c>
      <c r="BZ1359">
        <v>64.049599999999998</v>
      </c>
      <c r="CA1359">
        <v>66.528899999999993</v>
      </c>
      <c r="CB1359">
        <v>16.322299999999998</v>
      </c>
      <c r="CC1359">
        <v>49.586799999999997</v>
      </c>
      <c r="CD1359" t="s">
        <v>14980</v>
      </c>
      <c r="CF1359">
        <v>53.719000000000001</v>
      </c>
      <c r="CG1359" t="s">
        <v>14981</v>
      </c>
      <c r="CH1359" t="s">
        <v>14982</v>
      </c>
      <c r="CI1359" t="s">
        <v>14983</v>
      </c>
      <c r="CJ1359" t="s">
        <v>14984</v>
      </c>
      <c r="CK1359">
        <v>9</v>
      </c>
      <c r="CL1359" t="s">
        <v>4</v>
      </c>
      <c r="CM1359" t="s">
        <v>14985</v>
      </c>
      <c r="CN1359" t="s">
        <v>14986</v>
      </c>
      <c r="CO1359" t="s">
        <v>219</v>
      </c>
      <c r="CP1359" t="s">
        <v>100</v>
      </c>
      <c r="CQ1359" t="s">
        <v>100</v>
      </c>
      <c r="CR1359" t="s">
        <v>100</v>
      </c>
      <c r="CS1359" t="s">
        <v>101</v>
      </c>
      <c r="CT1359" t="s">
        <v>152</v>
      </c>
      <c r="CU1359" t="s">
        <v>102</v>
      </c>
      <c r="CV1359" t="s">
        <v>100</v>
      </c>
    </row>
    <row r="1360" spans="1:100">
      <c r="A1360" s="3" t="s">
        <v>14987</v>
      </c>
      <c r="B1360" s="4" t="s">
        <v>14988</v>
      </c>
      <c r="C1360">
        <v>646.86699328837904</v>
      </c>
      <c r="D1360">
        <v>436.33962518131199</v>
      </c>
      <c r="E1360">
        <v>0.56696403839337495</v>
      </c>
      <c r="F1360">
        <v>1.8954610737208701E-2</v>
      </c>
      <c r="G1360" t="s">
        <v>4</v>
      </c>
      <c r="H1360">
        <v>646.86699328837904</v>
      </c>
      <c r="I1360">
        <v>95.102134225960995</v>
      </c>
      <c r="J1360">
        <v>2.7527755542157202</v>
      </c>
      <c r="K1360" s="5">
        <v>4.6196092859945399E-31</v>
      </c>
      <c r="L1360" t="s">
        <v>4</v>
      </c>
      <c r="M1360">
        <v>436.33962518131199</v>
      </c>
      <c r="N1360">
        <v>95.102134225960995</v>
      </c>
      <c r="O1360">
        <v>2.1858115158223401</v>
      </c>
      <c r="P1360" s="5">
        <v>7.8259310885021702E-20</v>
      </c>
      <c r="Q1360" t="s">
        <v>4</v>
      </c>
      <c r="R1360" s="4" t="s">
        <v>87</v>
      </c>
      <c r="S1360" t="s">
        <v>4</v>
      </c>
      <c r="T1360" t="s">
        <v>92</v>
      </c>
      <c r="U1360" t="s">
        <v>92</v>
      </c>
      <c r="V1360" t="s">
        <v>92</v>
      </c>
      <c r="W1360" t="s">
        <v>92</v>
      </c>
      <c r="X1360" t="s">
        <v>4</v>
      </c>
      <c r="Y1360" t="s">
        <v>3236</v>
      </c>
      <c r="Z1360" t="s">
        <v>3237</v>
      </c>
      <c r="AA1360" t="s">
        <v>3238</v>
      </c>
      <c r="AB1360" t="s">
        <v>4</v>
      </c>
      <c r="AC1360" s="3" t="s">
        <v>14989</v>
      </c>
      <c r="AD1360" t="s">
        <v>4</v>
      </c>
      <c r="AE1360" s="4" t="s">
        <v>94</v>
      </c>
      <c r="AZ1360" t="s">
        <v>4</v>
      </c>
      <c r="BA1360" s="3" t="s">
        <v>115</v>
      </c>
      <c r="BB1360" s="6" t="s">
        <v>95</v>
      </c>
      <c r="BC1360" s="3" t="s">
        <v>95</v>
      </c>
      <c r="BD1360" t="s">
        <v>4</v>
      </c>
      <c r="BE1360">
        <v>1368</v>
      </c>
      <c r="BF1360" t="s">
        <v>151</v>
      </c>
      <c r="BG1360">
        <v>99.363100000000003</v>
      </c>
      <c r="BI1360">
        <v>97.452200000000005</v>
      </c>
      <c r="BJ1360">
        <v>33.758000000000003</v>
      </c>
      <c r="BK1360">
        <v>43.948999999999998</v>
      </c>
      <c r="BO1360">
        <v>42.675199999999997</v>
      </c>
      <c r="CK1360">
        <v>2</v>
      </c>
      <c r="CL1360" t="s">
        <v>4</v>
      </c>
      <c r="CM1360" t="s">
        <v>98</v>
      </c>
      <c r="CN1360" t="s">
        <v>98</v>
      </c>
      <c r="CO1360" t="s">
        <v>99</v>
      </c>
      <c r="CP1360" t="s">
        <v>100</v>
      </c>
      <c r="CQ1360" t="s">
        <v>100</v>
      </c>
      <c r="CR1360" t="s">
        <v>100</v>
      </c>
      <c r="CS1360" t="s">
        <v>101</v>
      </c>
      <c r="CT1360" t="s">
        <v>152</v>
      </c>
      <c r="CU1360" t="s">
        <v>102</v>
      </c>
      <c r="CV1360" t="s">
        <v>100</v>
      </c>
    </row>
    <row r="1361" spans="1:100">
      <c r="A1361" s="3" t="s">
        <v>14990</v>
      </c>
      <c r="B1361" s="4" t="s">
        <v>14991</v>
      </c>
      <c r="C1361">
        <v>1494.52717845706</v>
      </c>
      <c r="D1361">
        <v>2967.6160365044698</v>
      </c>
      <c r="E1361">
        <f>0.989301775420273</f>
        <v>0.98930177542027298</v>
      </c>
      <c r="F1361" s="5">
        <v>1.23515379416561E-8</v>
      </c>
      <c r="G1361" t="s">
        <v>4</v>
      </c>
      <c r="H1361">
        <v>1494.52717845706</v>
      </c>
      <c r="I1361">
        <v>652.00155758677397</v>
      </c>
      <c r="J1361">
        <v>1.1964493594319201</v>
      </c>
      <c r="K1361" s="5">
        <v>4.9396384978192402E-12</v>
      </c>
      <c r="L1361" t="s">
        <v>4</v>
      </c>
      <c r="M1361">
        <v>2967.6160365044698</v>
      </c>
      <c r="N1361">
        <v>652.00155758677397</v>
      </c>
      <c r="O1361">
        <v>2.1857511348521999</v>
      </c>
      <c r="P1361" s="5">
        <v>3.07397523028785E-38</v>
      </c>
      <c r="Q1361" t="s">
        <v>4</v>
      </c>
      <c r="R1361" s="4" t="s">
        <v>87</v>
      </c>
      <c r="S1361" t="s">
        <v>4</v>
      </c>
      <c r="T1361" t="s">
        <v>92</v>
      </c>
      <c r="U1361" t="s">
        <v>92</v>
      </c>
      <c r="V1361" t="s">
        <v>92</v>
      </c>
      <c r="W1361" t="s">
        <v>92</v>
      </c>
      <c r="X1361" t="s">
        <v>4</v>
      </c>
      <c r="Y1361" t="s">
        <v>92</v>
      </c>
      <c r="Z1361" t="s">
        <v>92</v>
      </c>
      <c r="AA1361" t="s">
        <v>92</v>
      </c>
      <c r="AB1361" t="s">
        <v>4</v>
      </c>
      <c r="AC1361" s="3" t="s">
        <v>93</v>
      </c>
      <c r="AD1361" t="s">
        <v>4</v>
      </c>
      <c r="AE1361" s="4" t="s">
        <v>94</v>
      </c>
      <c r="AZ1361" t="s">
        <v>4</v>
      </c>
      <c r="BA1361" s="3" t="s">
        <v>95</v>
      </c>
      <c r="BB1361" s="6" t="s">
        <v>95</v>
      </c>
      <c r="BC1361" s="3" t="s">
        <v>95</v>
      </c>
      <c r="BD1361" t="s">
        <v>4</v>
      </c>
      <c r="BE1361">
        <v>2893</v>
      </c>
      <c r="BF1361" t="s">
        <v>97</v>
      </c>
      <c r="BG1361">
        <v>96.846800000000002</v>
      </c>
      <c r="BH1361">
        <v>100</v>
      </c>
      <c r="BI1361">
        <v>94.5946</v>
      </c>
      <c r="BJ1361">
        <v>86.936899999999994</v>
      </c>
      <c r="BK1361">
        <v>81.981999999999999</v>
      </c>
      <c r="BL1361">
        <v>56.756799999999998</v>
      </c>
      <c r="BM1361">
        <v>58.1081</v>
      </c>
      <c r="BN1361">
        <v>80.630600000000001</v>
      </c>
      <c r="BO1361">
        <v>78.378399999999999</v>
      </c>
      <c r="BP1361">
        <v>31.981999999999999</v>
      </c>
      <c r="CK1361">
        <v>4</v>
      </c>
      <c r="CL1361" t="s">
        <v>4</v>
      </c>
      <c r="CM1361" t="s">
        <v>98</v>
      </c>
      <c r="CN1361" t="s">
        <v>98</v>
      </c>
      <c r="CO1361" t="s">
        <v>99</v>
      </c>
      <c r="CP1361" t="s">
        <v>100</v>
      </c>
      <c r="CQ1361" t="s">
        <v>100</v>
      </c>
      <c r="CR1361" t="s">
        <v>100</v>
      </c>
      <c r="CS1361" s="7" t="s">
        <v>101</v>
      </c>
      <c r="CT1361" t="s">
        <v>152</v>
      </c>
      <c r="CU1361" t="s">
        <v>102</v>
      </c>
      <c r="CV1361" t="s">
        <v>100</v>
      </c>
    </row>
    <row r="1362" spans="1:100">
      <c r="A1362" s="3" t="s">
        <v>14992</v>
      </c>
      <c r="B1362" s="4" t="s">
        <v>14993</v>
      </c>
      <c r="C1362">
        <v>817.80512314038003</v>
      </c>
      <c r="D1362">
        <v>1466.15431596902</v>
      </c>
      <c r="E1362">
        <f>0.842186691961259</f>
        <v>0.84218669196125895</v>
      </c>
      <c r="F1362">
        <v>9.8962712746931102E-3</v>
      </c>
      <c r="G1362" t="s">
        <v>4</v>
      </c>
      <c r="H1362">
        <v>817.80512314038003</v>
      </c>
      <c r="I1362">
        <v>321.057212410011</v>
      </c>
      <c r="J1362">
        <v>1.34122132075295</v>
      </c>
      <c r="K1362" s="5">
        <v>1.8389995498773201E-5</v>
      </c>
      <c r="L1362" t="s">
        <v>4</v>
      </c>
      <c r="M1362">
        <v>1466.15431596902</v>
      </c>
      <c r="N1362">
        <v>321.057212410011</v>
      </c>
      <c r="O1362">
        <v>2.1834080127142101</v>
      </c>
      <c r="P1362" s="5">
        <v>5.3968900709467896E-13</v>
      </c>
      <c r="Q1362" t="s">
        <v>4</v>
      </c>
      <c r="R1362" s="4" t="s">
        <v>87</v>
      </c>
      <c r="S1362" t="s">
        <v>4</v>
      </c>
      <c r="T1362" t="s">
        <v>14994</v>
      </c>
      <c r="U1362" t="s">
        <v>14995</v>
      </c>
      <c r="V1362" t="s">
        <v>14996</v>
      </c>
      <c r="W1362" t="s">
        <v>507</v>
      </c>
      <c r="X1362" t="s">
        <v>4</v>
      </c>
      <c r="Y1362" t="s">
        <v>14997</v>
      </c>
      <c r="Z1362" t="s">
        <v>14998</v>
      </c>
      <c r="AA1362" t="s">
        <v>14999</v>
      </c>
      <c r="AB1362" t="s">
        <v>4</v>
      </c>
      <c r="AC1362" s="3" t="s">
        <v>15000</v>
      </c>
      <c r="AD1362" t="s">
        <v>4</v>
      </c>
      <c r="AE1362" t="s">
        <v>15001</v>
      </c>
      <c r="AF1362" t="s">
        <v>15002</v>
      </c>
      <c r="AG1362" t="s">
        <v>15003</v>
      </c>
      <c r="AH1362" t="s">
        <v>112</v>
      </c>
      <c r="AJ1362" t="s">
        <v>876</v>
      </c>
      <c r="AK1362" t="s">
        <v>12544</v>
      </c>
      <c r="AL1362" t="s">
        <v>15004</v>
      </c>
      <c r="AM1362" t="s">
        <v>13336</v>
      </c>
      <c r="AN1362" t="s">
        <v>13337</v>
      </c>
      <c r="AO1362" t="s">
        <v>12548</v>
      </c>
      <c r="AP1362" t="s">
        <v>7603</v>
      </c>
      <c r="AQ1362" t="s">
        <v>15005</v>
      </c>
      <c r="AU1362" t="s">
        <v>112</v>
      </c>
      <c r="AV1362" t="s">
        <v>15006</v>
      </c>
      <c r="AW1362" t="s">
        <v>114</v>
      </c>
      <c r="AX1362" t="s">
        <v>371</v>
      </c>
      <c r="AY1362" t="s">
        <v>15007</v>
      </c>
      <c r="AZ1362" t="s">
        <v>4</v>
      </c>
      <c r="BA1362" s="3" t="s">
        <v>95</v>
      </c>
      <c r="BB1362" s="6" t="s">
        <v>95</v>
      </c>
      <c r="BC1362" s="3" t="s">
        <v>95</v>
      </c>
      <c r="BD1362" t="s">
        <v>4</v>
      </c>
      <c r="BE1362">
        <v>5709</v>
      </c>
      <c r="BF1362" t="s">
        <v>386</v>
      </c>
      <c r="BG1362">
        <v>96.341499999999996</v>
      </c>
      <c r="BH1362">
        <v>100</v>
      </c>
      <c r="BI1362">
        <v>90.243899999999996</v>
      </c>
      <c r="BJ1362">
        <v>87.195099999999996</v>
      </c>
      <c r="BK1362">
        <v>76.219499999999996</v>
      </c>
      <c r="BL1362">
        <v>82.317099999999996</v>
      </c>
      <c r="BM1362">
        <v>81.707300000000004</v>
      </c>
      <c r="BN1362">
        <v>81.707300000000004</v>
      </c>
      <c r="BO1362">
        <v>80.487799999999993</v>
      </c>
      <c r="BP1362">
        <v>51.219499999999996</v>
      </c>
      <c r="BT1362" t="s">
        <v>15008</v>
      </c>
      <c r="BV1362">
        <v>31.0976</v>
      </c>
      <c r="BW1362">
        <v>35.365900000000003</v>
      </c>
      <c r="BX1362">
        <v>32.317100000000003</v>
      </c>
      <c r="BY1362">
        <v>45.122</v>
      </c>
      <c r="CB1362">
        <v>30.4878</v>
      </c>
      <c r="CK1362">
        <v>7</v>
      </c>
      <c r="CL1362" t="s">
        <v>4</v>
      </c>
      <c r="CM1362" t="s">
        <v>98</v>
      </c>
      <c r="CN1362" t="s">
        <v>98</v>
      </c>
      <c r="CO1362" t="s">
        <v>99</v>
      </c>
      <c r="CP1362" t="s">
        <v>100</v>
      </c>
      <c r="CQ1362" t="s">
        <v>100</v>
      </c>
      <c r="CR1362" t="s">
        <v>100</v>
      </c>
      <c r="CS1362" s="7" t="s">
        <v>101</v>
      </c>
      <c r="CT1362" t="s">
        <v>152</v>
      </c>
      <c r="CU1362" t="s">
        <v>102</v>
      </c>
      <c r="CV1362" t="s">
        <v>100</v>
      </c>
    </row>
    <row r="1363" spans="1:100">
      <c r="A1363" s="3" t="s">
        <v>15009</v>
      </c>
      <c r="B1363" s="4" t="s">
        <v>15010</v>
      </c>
      <c r="C1363">
        <v>559.66455363826401</v>
      </c>
      <c r="D1363">
        <v>1112.8127788316001</v>
      </c>
      <c r="E1363">
        <f>0.991341220865776</f>
        <v>0.99134122086577603</v>
      </c>
      <c r="F1363">
        <v>1.6944142441276499E-4</v>
      </c>
      <c r="G1363" t="s">
        <v>4</v>
      </c>
      <c r="H1363">
        <v>559.66455363826401</v>
      </c>
      <c r="I1363">
        <v>247.558549506757</v>
      </c>
      <c r="J1363">
        <v>1.18702711040866</v>
      </c>
      <c r="K1363" s="5">
        <v>6.0435684286640902E-6</v>
      </c>
      <c r="L1363" t="s">
        <v>4</v>
      </c>
      <c r="M1363">
        <v>1112.8127788316001</v>
      </c>
      <c r="N1363">
        <v>247.558549506757</v>
      </c>
      <c r="O1363">
        <v>2.1783683312744402</v>
      </c>
      <c r="P1363" s="5">
        <v>6.5119024186135296E-18</v>
      </c>
      <c r="Q1363" t="s">
        <v>4</v>
      </c>
      <c r="R1363" s="4" t="s">
        <v>87</v>
      </c>
      <c r="S1363" t="s">
        <v>4</v>
      </c>
      <c r="T1363" t="s">
        <v>92</v>
      </c>
      <c r="U1363" t="s">
        <v>92</v>
      </c>
      <c r="V1363" t="s">
        <v>92</v>
      </c>
      <c r="W1363" t="s">
        <v>92</v>
      </c>
      <c r="X1363" t="s">
        <v>4</v>
      </c>
      <c r="Y1363" t="s">
        <v>92</v>
      </c>
      <c r="Z1363" t="s">
        <v>92</v>
      </c>
      <c r="AA1363" t="s">
        <v>92</v>
      </c>
      <c r="AB1363" t="s">
        <v>4</v>
      </c>
      <c r="AC1363" s="3" t="s">
        <v>93</v>
      </c>
      <c r="AD1363" t="s">
        <v>4</v>
      </c>
      <c r="AE1363" s="4" t="s">
        <v>94</v>
      </c>
      <c r="AZ1363" t="s">
        <v>4</v>
      </c>
      <c r="BA1363" s="3" t="s">
        <v>95</v>
      </c>
      <c r="BB1363" s="6" t="s">
        <v>95</v>
      </c>
      <c r="BC1363" s="3" t="s">
        <v>95</v>
      </c>
      <c r="BD1363" t="s">
        <v>4</v>
      </c>
      <c r="BE1363">
        <v>2906</v>
      </c>
      <c r="BF1363" t="s">
        <v>97</v>
      </c>
      <c r="BG1363">
        <v>99.596800000000002</v>
      </c>
      <c r="BH1363">
        <v>99.193600000000004</v>
      </c>
      <c r="BI1363" t="s">
        <v>15011</v>
      </c>
      <c r="BJ1363">
        <v>82.258099999999999</v>
      </c>
      <c r="BL1363" t="s">
        <v>15012</v>
      </c>
      <c r="BM1363">
        <v>83.870999999999995</v>
      </c>
      <c r="BN1363">
        <v>83.870999999999995</v>
      </c>
      <c r="BO1363">
        <v>77.419399999999996</v>
      </c>
      <c r="BP1363">
        <v>18.951599999999999</v>
      </c>
      <c r="CK1363">
        <v>4</v>
      </c>
      <c r="CL1363" t="s">
        <v>4</v>
      </c>
      <c r="CM1363" t="s">
        <v>98</v>
      </c>
      <c r="CN1363" t="s">
        <v>98</v>
      </c>
      <c r="CO1363" t="s">
        <v>99</v>
      </c>
      <c r="CP1363" t="s">
        <v>100</v>
      </c>
      <c r="CQ1363" t="s">
        <v>100</v>
      </c>
      <c r="CR1363" t="s">
        <v>100</v>
      </c>
      <c r="CS1363" s="7" t="s">
        <v>101</v>
      </c>
      <c r="CT1363" t="s">
        <v>152</v>
      </c>
      <c r="CU1363" t="s">
        <v>102</v>
      </c>
      <c r="CV1363" t="s">
        <v>100</v>
      </c>
    </row>
    <row r="1364" spans="1:100">
      <c r="A1364" s="3" t="s">
        <v>15013</v>
      </c>
      <c r="B1364" s="4" t="s">
        <v>15014</v>
      </c>
      <c r="C1364">
        <v>270.30603185745503</v>
      </c>
      <c r="D1364">
        <v>332.78138779432101</v>
      </c>
      <c r="E1364">
        <f>0.298433183323887</f>
        <v>0.29843318332388702</v>
      </c>
      <c r="F1364">
        <v>0.40872093637337997</v>
      </c>
      <c r="G1364" t="s">
        <v>4</v>
      </c>
      <c r="H1364">
        <v>270.30603185745503</v>
      </c>
      <c r="I1364">
        <v>73.253104651720705</v>
      </c>
      <c r="J1364">
        <v>1.8789971653711699</v>
      </c>
      <c r="K1364" s="5">
        <v>2.2724612660188999E-8</v>
      </c>
      <c r="L1364" t="s">
        <v>4</v>
      </c>
      <c r="M1364">
        <v>332.78138779432101</v>
      </c>
      <c r="N1364">
        <v>73.253104651720705</v>
      </c>
      <c r="O1364">
        <v>2.1774303486950601</v>
      </c>
      <c r="P1364" s="5">
        <v>4.9535767636971798E-11</v>
      </c>
      <c r="Q1364" t="s">
        <v>4</v>
      </c>
      <c r="R1364" s="4" t="s">
        <v>87</v>
      </c>
      <c r="S1364" t="s">
        <v>4</v>
      </c>
      <c r="T1364" t="s">
        <v>15015</v>
      </c>
      <c r="U1364" t="s">
        <v>15016</v>
      </c>
      <c r="V1364" t="s">
        <v>15017</v>
      </c>
      <c r="W1364" t="s">
        <v>7033</v>
      </c>
      <c r="X1364" t="s">
        <v>4</v>
      </c>
      <c r="Y1364" t="s">
        <v>15018</v>
      </c>
      <c r="Z1364" t="s">
        <v>15019</v>
      </c>
      <c r="AA1364" t="s">
        <v>15020</v>
      </c>
      <c r="AB1364" t="s">
        <v>4</v>
      </c>
      <c r="AC1364" s="3" t="s">
        <v>15021</v>
      </c>
      <c r="AD1364" t="s">
        <v>4</v>
      </c>
      <c r="AE1364" t="s">
        <v>15022</v>
      </c>
      <c r="AF1364" t="s">
        <v>15023</v>
      </c>
      <c r="AG1364" t="s">
        <v>9310</v>
      </c>
      <c r="AH1364" t="s">
        <v>112</v>
      </c>
      <c r="AJ1364" t="s">
        <v>14567</v>
      </c>
      <c r="AU1364" t="s">
        <v>112</v>
      </c>
      <c r="AV1364" t="s">
        <v>15024</v>
      </c>
      <c r="AW1364" t="s">
        <v>114</v>
      </c>
      <c r="AX1364" t="s">
        <v>144</v>
      </c>
      <c r="AY1364" t="s">
        <v>15025</v>
      </c>
      <c r="AZ1364" t="s">
        <v>4</v>
      </c>
      <c r="BA1364" s="3" t="s">
        <v>95</v>
      </c>
      <c r="BB1364" s="6" t="s">
        <v>95</v>
      </c>
      <c r="BC1364" s="3" t="s">
        <v>95</v>
      </c>
      <c r="BD1364" t="s">
        <v>4</v>
      </c>
      <c r="BE1364">
        <v>9609</v>
      </c>
      <c r="BF1364" t="s">
        <v>169</v>
      </c>
      <c r="BG1364">
        <v>100</v>
      </c>
      <c r="BH1364">
        <v>100</v>
      </c>
      <c r="BI1364">
        <v>99.019599999999997</v>
      </c>
      <c r="BJ1364">
        <v>95.097999999999999</v>
      </c>
      <c r="BK1364">
        <v>96.078400000000002</v>
      </c>
      <c r="BM1364">
        <v>99.019599999999997</v>
      </c>
      <c r="BN1364">
        <v>98.039199999999994</v>
      </c>
      <c r="BO1364">
        <v>99.019599999999997</v>
      </c>
      <c r="BP1364">
        <v>56.862699999999997</v>
      </c>
      <c r="BR1364">
        <v>52.941200000000002</v>
      </c>
      <c r="BT1364" t="s">
        <v>15026</v>
      </c>
      <c r="BU1364">
        <v>62.745100000000001</v>
      </c>
      <c r="BV1364" t="s">
        <v>15027</v>
      </c>
      <c r="BW1364">
        <v>64.7059</v>
      </c>
      <c r="BX1364">
        <v>65.686300000000003</v>
      </c>
      <c r="CA1364" t="s">
        <v>15028</v>
      </c>
      <c r="CB1364">
        <v>52.941200000000002</v>
      </c>
      <c r="CE1364">
        <v>55.882399999999997</v>
      </c>
      <c r="CF1364">
        <v>55.882399999999997</v>
      </c>
      <c r="CG1364">
        <v>63.725499999999997</v>
      </c>
      <c r="CH1364" t="s">
        <v>15029</v>
      </c>
      <c r="CI1364">
        <v>62.745100000000001</v>
      </c>
      <c r="CK1364">
        <v>9</v>
      </c>
      <c r="CL1364" t="s">
        <v>4</v>
      </c>
      <c r="CM1364" t="s">
        <v>15030</v>
      </c>
      <c r="CN1364" t="s">
        <v>15031</v>
      </c>
      <c r="CO1364" t="s">
        <v>1745</v>
      </c>
      <c r="CP1364" t="s">
        <v>100</v>
      </c>
      <c r="CQ1364" t="s">
        <v>100</v>
      </c>
      <c r="CR1364" t="s">
        <v>100</v>
      </c>
      <c r="CS1364" s="7" t="s">
        <v>101</v>
      </c>
      <c r="CT1364" t="s">
        <v>152</v>
      </c>
      <c r="CU1364" t="s">
        <v>102</v>
      </c>
      <c r="CV1364" t="s">
        <v>100</v>
      </c>
    </row>
    <row r="1365" spans="1:100">
      <c r="A1365" s="3" t="s">
        <v>15032</v>
      </c>
      <c r="B1365" s="4" t="s">
        <v>15033</v>
      </c>
      <c r="C1365">
        <v>3351.8144505761602</v>
      </c>
      <c r="D1365">
        <v>5462.97445713671</v>
      </c>
      <c r="E1365">
        <f>0.704756948495287</f>
        <v>0.70475694849528703</v>
      </c>
      <c r="F1365">
        <v>2.5735979410802901E-2</v>
      </c>
      <c r="G1365" t="s">
        <v>4</v>
      </c>
      <c r="H1365">
        <v>3351.8144505761602</v>
      </c>
      <c r="I1365">
        <v>1206.1703181461601</v>
      </c>
      <c r="J1365">
        <v>1.47231158213262</v>
      </c>
      <c r="K1365" s="5">
        <v>5.9247585498722105E-7</v>
      </c>
      <c r="L1365" t="s">
        <v>4</v>
      </c>
      <c r="M1365">
        <v>5462.97445713671</v>
      </c>
      <c r="N1365">
        <v>1206.1703181461601</v>
      </c>
      <c r="O1365">
        <v>2.1770685306279098</v>
      </c>
      <c r="P1365" s="5">
        <v>3.5183485309196599E-14</v>
      </c>
      <c r="Q1365" t="s">
        <v>4</v>
      </c>
      <c r="R1365" s="4" t="s">
        <v>87</v>
      </c>
      <c r="S1365" t="s">
        <v>4</v>
      </c>
      <c r="T1365" t="s">
        <v>92</v>
      </c>
      <c r="U1365" t="s">
        <v>92</v>
      </c>
      <c r="V1365" t="s">
        <v>92</v>
      </c>
      <c r="W1365" t="s">
        <v>92</v>
      </c>
      <c r="X1365" t="s">
        <v>4</v>
      </c>
      <c r="Y1365" t="s">
        <v>92</v>
      </c>
      <c r="Z1365" t="s">
        <v>92</v>
      </c>
      <c r="AA1365" t="s">
        <v>92</v>
      </c>
      <c r="AB1365" t="s">
        <v>4</v>
      </c>
      <c r="AC1365" s="3" t="s">
        <v>93</v>
      </c>
      <c r="AD1365" t="s">
        <v>4</v>
      </c>
      <c r="AE1365" s="4" t="s">
        <v>94</v>
      </c>
      <c r="AZ1365" t="s">
        <v>4</v>
      </c>
      <c r="BA1365" s="3" t="s">
        <v>115</v>
      </c>
      <c r="BB1365" s="6" t="s">
        <v>95</v>
      </c>
      <c r="BC1365" s="3" t="s">
        <v>95</v>
      </c>
      <c r="BD1365" t="s">
        <v>4</v>
      </c>
      <c r="BE1365">
        <v>2052</v>
      </c>
      <c r="BF1365" t="s">
        <v>148</v>
      </c>
      <c r="BG1365">
        <v>97.889200000000002</v>
      </c>
      <c r="BH1365">
        <v>100</v>
      </c>
      <c r="BI1365">
        <v>87.5989</v>
      </c>
      <c r="BJ1365">
        <v>79.947199999999995</v>
      </c>
      <c r="BK1365">
        <v>73.087100000000007</v>
      </c>
      <c r="BL1365">
        <v>78.628</v>
      </c>
      <c r="BM1365">
        <v>63.852200000000003</v>
      </c>
      <c r="BN1365">
        <v>77.572599999999994</v>
      </c>
      <c r="BO1365" t="s">
        <v>15034</v>
      </c>
      <c r="CK1365">
        <v>3</v>
      </c>
      <c r="CL1365" t="s">
        <v>4</v>
      </c>
      <c r="CM1365" t="s">
        <v>98</v>
      </c>
      <c r="CN1365" t="s">
        <v>98</v>
      </c>
      <c r="CO1365" t="s">
        <v>99</v>
      </c>
      <c r="CP1365" t="s">
        <v>100</v>
      </c>
      <c r="CQ1365" t="s">
        <v>100</v>
      </c>
      <c r="CR1365" t="s">
        <v>100</v>
      </c>
      <c r="CS1365" s="7" t="s">
        <v>101</v>
      </c>
      <c r="CT1365" t="s">
        <v>152</v>
      </c>
      <c r="CU1365" t="s">
        <v>102</v>
      </c>
      <c r="CV1365" t="s">
        <v>100</v>
      </c>
    </row>
    <row r="1366" spans="1:100">
      <c r="A1366" s="3" t="s">
        <v>15035</v>
      </c>
      <c r="B1366" s="4" t="s">
        <v>15036</v>
      </c>
      <c r="C1366">
        <v>138.212111656563</v>
      </c>
      <c r="D1366">
        <v>251.478706749243</v>
      </c>
      <c r="E1366">
        <f>0.86490436232181</f>
        <v>0.86490436232181001</v>
      </c>
      <c r="F1366">
        <v>4.5164074101709799E-2</v>
      </c>
      <c r="G1366" t="s">
        <v>4</v>
      </c>
      <c r="H1366">
        <v>138.212111656563</v>
      </c>
      <c r="I1366">
        <v>54.860116761920096</v>
      </c>
      <c r="J1366">
        <v>1.3056634379543499</v>
      </c>
      <c r="K1366">
        <v>2.4905679058644702E-3</v>
      </c>
      <c r="L1366" t="s">
        <v>4</v>
      </c>
      <c r="M1366">
        <v>251.478706749243</v>
      </c>
      <c r="N1366">
        <v>54.860116761920096</v>
      </c>
      <c r="O1366">
        <v>2.1705678002761601</v>
      </c>
      <c r="P1366" s="5">
        <v>1.4625076744790899E-7</v>
      </c>
      <c r="Q1366" t="s">
        <v>4</v>
      </c>
      <c r="R1366" s="4" t="s">
        <v>87</v>
      </c>
      <c r="S1366" t="s">
        <v>4</v>
      </c>
      <c r="T1366" t="s">
        <v>1765</v>
      </c>
      <c r="U1366" t="s">
        <v>1766</v>
      </c>
      <c r="V1366" t="s">
        <v>1767</v>
      </c>
      <c r="W1366" t="s">
        <v>123</v>
      </c>
      <c r="X1366" t="s">
        <v>4</v>
      </c>
      <c r="Y1366" t="s">
        <v>1768</v>
      </c>
      <c r="Z1366" t="s">
        <v>1769</v>
      </c>
      <c r="AA1366" t="s">
        <v>1770</v>
      </c>
      <c r="AB1366" t="s">
        <v>4</v>
      </c>
      <c r="AC1366" s="3" t="s">
        <v>1771</v>
      </c>
      <c r="AD1366" t="s">
        <v>4</v>
      </c>
      <c r="AE1366" s="4" t="s">
        <v>94</v>
      </c>
      <c r="AZ1366" t="s">
        <v>4</v>
      </c>
      <c r="BA1366" s="3" t="s">
        <v>95</v>
      </c>
      <c r="BB1366" s="6" t="s">
        <v>95</v>
      </c>
      <c r="BC1366" s="3" t="s">
        <v>95</v>
      </c>
      <c r="BD1366" t="s">
        <v>4</v>
      </c>
      <c r="BE1366">
        <v>2238</v>
      </c>
      <c r="BF1366" t="s">
        <v>148</v>
      </c>
      <c r="BG1366" t="s">
        <v>15037</v>
      </c>
      <c r="BI1366">
        <v>61.904800000000002</v>
      </c>
      <c r="BJ1366">
        <v>63.095199999999998</v>
      </c>
      <c r="BK1366">
        <v>59.523800000000001</v>
      </c>
      <c r="BL1366">
        <v>22.619</v>
      </c>
      <c r="BM1366">
        <v>53.968299999999999</v>
      </c>
      <c r="BN1366">
        <v>58.730200000000004</v>
      </c>
      <c r="BO1366">
        <v>59.9206</v>
      </c>
      <c r="CK1366">
        <v>3</v>
      </c>
      <c r="CL1366" t="s">
        <v>4</v>
      </c>
      <c r="CM1366" t="s">
        <v>98</v>
      </c>
      <c r="CN1366" t="s">
        <v>98</v>
      </c>
      <c r="CO1366" t="s">
        <v>99</v>
      </c>
      <c r="CP1366" t="s">
        <v>100</v>
      </c>
      <c r="CQ1366" t="s">
        <v>100</v>
      </c>
      <c r="CR1366" t="s">
        <v>100</v>
      </c>
      <c r="CS1366" s="7" t="s">
        <v>101</v>
      </c>
      <c r="CT1366" t="s">
        <v>152</v>
      </c>
      <c r="CU1366" t="s">
        <v>102</v>
      </c>
      <c r="CV1366" t="s">
        <v>100</v>
      </c>
    </row>
    <row r="1367" spans="1:100">
      <c r="A1367" s="3" t="s">
        <v>15038</v>
      </c>
      <c r="B1367" s="4" t="s">
        <v>15039</v>
      </c>
      <c r="C1367">
        <v>4995.5050047988398</v>
      </c>
      <c r="D1367">
        <v>4772.4163651133504</v>
      </c>
      <c r="E1367">
        <v>6.5822387350637501E-2</v>
      </c>
      <c r="F1367">
        <v>0.81348565772193804</v>
      </c>
      <c r="G1367" t="s">
        <v>4</v>
      </c>
      <c r="H1367">
        <v>4995.5050047988398</v>
      </c>
      <c r="I1367">
        <v>1060.4148592562599</v>
      </c>
      <c r="J1367">
        <v>2.2353694410964202</v>
      </c>
      <c r="K1367" s="5">
        <v>1.34447153236102E-23</v>
      </c>
      <c r="L1367" t="s">
        <v>4</v>
      </c>
      <c r="M1367">
        <v>4772.4163651133504</v>
      </c>
      <c r="N1367">
        <v>1060.4148592562599</v>
      </c>
      <c r="O1367">
        <v>2.1695470537457799</v>
      </c>
      <c r="P1367" s="5">
        <v>2.1054352999528399E-22</v>
      </c>
      <c r="Q1367" t="s">
        <v>4</v>
      </c>
      <c r="R1367" s="4" t="s">
        <v>87</v>
      </c>
      <c r="S1367" t="s">
        <v>4</v>
      </c>
      <c r="T1367" t="s">
        <v>2243</v>
      </c>
      <c r="U1367" t="s">
        <v>2244</v>
      </c>
      <c r="V1367" t="s">
        <v>2245</v>
      </c>
      <c r="W1367" t="s">
        <v>123</v>
      </c>
      <c r="X1367" t="s">
        <v>4</v>
      </c>
      <c r="Y1367" t="s">
        <v>15040</v>
      </c>
      <c r="Z1367" t="s">
        <v>15041</v>
      </c>
      <c r="AA1367" t="s">
        <v>15042</v>
      </c>
      <c r="AB1367" t="s">
        <v>4</v>
      </c>
      <c r="AC1367" s="3" t="s">
        <v>15043</v>
      </c>
      <c r="AD1367" t="s">
        <v>4</v>
      </c>
      <c r="AE1367" t="s">
        <v>15044</v>
      </c>
      <c r="AF1367" t="s">
        <v>834</v>
      </c>
      <c r="AG1367" t="s">
        <v>15045</v>
      </c>
      <c r="AH1367" t="s">
        <v>112</v>
      </c>
      <c r="AJ1367" t="s">
        <v>15046</v>
      </c>
      <c r="AL1367" t="s">
        <v>15047</v>
      </c>
      <c r="AQ1367" t="s">
        <v>861</v>
      </c>
      <c r="AU1367" t="s">
        <v>112</v>
      </c>
      <c r="AV1367" t="s">
        <v>15048</v>
      </c>
      <c r="AW1367" t="s">
        <v>114</v>
      </c>
      <c r="AX1367" t="s">
        <v>167</v>
      </c>
      <c r="AY1367" t="s">
        <v>15049</v>
      </c>
      <c r="AZ1367" t="s">
        <v>4</v>
      </c>
      <c r="BA1367" s="3" t="s">
        <v>115</v>
      </c>
      <c r="BB1367" s="6" t="s">
        <v>95</v>
      </c>
      <c r="BC1367" s="3" t="s">
        <v>95</v>
      </c>
      <c r="BD1367" t="s">
        <v>4</v>
      </c>
      <c r="BE1367">
        <v>8049</v>
      </c>
      <c r="BF1367" t="s">
        <v>213</v>
      </c>
      <c r="BG1367">
        <v>93.515500000000003</v>
      </c>
      <c r="BH1367">
        <v>96.942999999999998</v>
      </c>
      <c r="BI1367">
        <v>91.153300000000002</v>
      </c>
      <c r="BJ1367">
        <v>78.508600000000001</v>
      </c>
      <c r="BK1367">
        <v>74.432599999999994</v>
      </c>
      <c r="BL1367" t="s">
        <v>15050</v>
      </c>
      <c r="BM1367">
        <v>75.9148</v>
      </c>
      <c r="BN1367">
        <v>76.748500000000007</v>
      </c>
      <c r="BO1367" t="s">
        <v>15051</v>
      </c>
      <c r="BR1367">
        <v>2.5474800000000002</v>
      </c>
      <c r="BU1367">
        <v>18.4345</v>
      </c>
      <c r="BV1367" t="s">
        <v>15052</v>
      </c>
      <c r="BW1367">
        <v>17.508099999999999</v>
      </c>
      <c r="BX1367">
        <v>24.2242</v>
      </c>
      <c r="BY1367">
        <v>4.8170400000000004</v>
      </c>
      <c r="BZ1367">
        <v>4.9560000000000004</v>
      </c>
      <c r="CA1367">
        <v>16.164899999999999</v>
      </c>
      <c r="CF1367">
        <v>13.154199999999999</v>
      </c>
      <c r="CG1367">
        <v>14.682700000000001</v>
      </c>
      <c r="CH1367">
        <v>15.0533</v>
      </c>
      <c r="CI1367">
        <v>14.682700000000001</v>
      </c>
      <c r="CK1367">
        <v>8</v>
      </c>
      <c r="CL1367" t="s">
        <v>4</v>
      </c>
      <c r="CM1367" t="s">
        <v>15053</v>
      </c>
      <c r="CN1367" t="s">
        <v>15054</v>
      </c>
      <c r="CO1367" t="s">
        <v>219</v>
      </c>
      <c r="CP1367" t="s">
        <v>100</v>
      </c>
      <c r="CQ1367" t="s">
        <v>100</v>
      </c>
      <c r="CR1367" t="s">
        <v>100</v>
      </c>
      <c r="CS1367" t="s">
        <v>101</v>
      </c>
      <c r="CT1367" t="s">
        <v>152</v>
      </c>
      <c r="CU1367" t="s">
        <v>102</v>
      </c>
      <c r="CV1367" t="s">
        <v>100</v>
      </c>
    </row>
    <row r="1368" spans="1:100">
      <c r="A1368" s="3" t="s">
        <v>15055</v>
      </c>
      <c r="B1368" s="4" t="s">
        <v>15056</v>
      </c>
      <c r="C1368">
        <v>9744.1165722094702</v>
      </c>
      <c r="D1368">
        <v>10564.2257234916</v>
      </c>
      <c r="E1368">
        <f>0.116598344955154</f>
        <v>0.116598344955154</v>
      </c>
      <c r="F1368">
        <v>0.67029774680098397</v>
      </c>
      <c r="G1368" t="s">
        <v>4</v>
      </c>
      <c r="H1368">
        <v>9744.1165722094702</v>
      </c>
      <c r="I1368">
        <v>2355.76765105607</v>
      </c>
      <c r="J1368">
        <v>2.0493168134481898</v>
      </c>
      <c r="K1368" s="5">
        <v>7.6465268207629104E-20</v>
      </c>
      <c r="L1368" t="s">
        <v>4</v>
      </c>
      <c r="M1368">
        <v>10564.2257234916</v>
      </c>
      <c r="N1368">
        <v>2355.76765105607</v>
      </c>
      <c r="O1368">
        <v>2.16591515840335</v>
      </c>
      <c r="P1368" s="5">
        <v>3.4331400269679202E-22</v>
      </c>
      <c r="Q1368" t="s">
        <v>4</v>
      </c>
      <c r="R1368" s="4" t="s">
        <v>87</v>
      </c>
      <c r="S1368" t="s">
        <v>4</v>
      </c>
      <c r="T1368" t="s">
        <v>15057</v>
      </c>
      <c r="U1368" t="s">
        <v>15058</v>
      </c>
      <c r="V1368" t="s">
        <v>15059</v>
      </c>
      <c r="W1368" t="s">
        <v>203</v>
      </c>
      <c r="X1368" t="s">
        <v>4</v>
      </c>
      <c r="Y1368" t="s">
        <v>15060</v>
      </c>
      <c r="Z1368" t="s">
        <v>15061</v>
      </c>
      <c r="AA1368" t="s">
        <v>15062</v>
      </c>
      <c r="AB1368" t="s">
        <v>4</v>
      </c>
      <c r="AC1368" s="3" t="s">
        <v>15063</v>
      </c>
      <c r="AD1368" t="s">
        <v>4</v>
      </c>
      <c r="AE1368" t="s">
        <v>15064</v>
      </c>
      <c r="AF1368" t="s">
        <v>834</v>
      </c>
      <c r="AG1368" t="s">
        <v>15065</v>
      </c>
      <c r="AH1368" t="s">
        <v>112</v>
      </c>
      <c r="AJ1368" t="s">
        <v>15066</v>
      </c>
      <c r="AK1368" t="s">
        <v>15067</v>
      </c>
      <c r="AL1368" t="s">
        <v>15068</v>
      </c>
      <c r="AM1368" t="s">
        <v>15069</v>
      </c>
      <c r="AQ1368" t="s">
        <v>15070</v>
      </c>
      <c r="AU1368" t="s">
        <v>112</v>
      </c>
      <c r="AV1368" t="s">
        <v>15071</v>
      </c>
      <c r="AW1368" t="s">
        <v>114</v>
      </c>
      <c r="AX1368" t="s">
        <v>2139</v>
      </c>
      <c r="AY1368" t="s">
        <v>15072</v>
      </c>
      <c r="AZ1368" t="s">
        <v>4</v>
      </c>
      <c r="BA1368" s="3" t="s">
        <v>115</v>
      </c>
      <c r="BB1368" s="6" t="s">
        <v>95</v>
      </c>
      <c r="BC1368" s="3" t="s">
        <v>95</v>
      </c>
      <c r="BD1368" t="s">
        <v>4</v>
      </c>
      <c r="BE1368">
        <v>10130</v>
      </c>
      <c r="BF1368" t="s">
        <v>169</v>
      </c>
      <c r="BG1368">
        <v>98.036699999999996</v>
      </c>
      <c r="BH1368">
        <v>54.581200000000003</v>
      </c>
      <c r="BI1368">
        <v>37.892699999999998</v>
      </c>
      <c r="BK1368">
        <v>86.4529</v>
      </c>
      <c r="BL1368" t="s">
        <v>15073</v>
      </c>
      <c r="BM1368">
        <v>89.725099999999998</v>
      </c>
      <c r="BN1368">
        <v>90.117800000000003</v>
      </c>
      <c r="BO1368">
        <v>88.481700000000004</v>
      </c>
      <c r="BQ1368" t="s">
        <v>15074</v>
      </c>
      <c r="BT1368">
        <v>51.177999999999997</v>
      </c>
      <c r="BU1368">
        <v>53.664900000000003</v>
      </c>
      <c r="BV1368" t="s">
        <v>15075</v>
      </c>
      <c r="BX1368">
        <v>58.6387</v>
      </c>
      <c r="CA1368">
        <v>59.096899999999998</v>
      </c>
      <c r="CB1368">
        <v>20.353400000000001</v>
      </c>
      <c r="CC1368">
        <v>51.243499999999997</v>
      </c>
      <c r="CE1368">
        <v>46.924100000000003</v>
      </c>
      <c r="CF1368">
        <v>48.691099999999999</v>
      </c>
      <c r="CJ1368">
        <v>38.743499999999997</v>
      </c>
      <c r="CK1368">
        <v>9</v>
      </c>
      <c r="CL1368" t="s">
        <v>4</v>
      </c>
      <c r="CM1368" t="s">
        <v>15076</v>
      </c>
      <c r="CN1368" t="s">
        <v>15077</v>
      </c>
      <c r="CO1368" t="s">
        <v>219</v>
      </c>
      <c r="CP1368" t="s">
        <v>100</v>
      </c>
      <c r="CQ1368" t="s">
        <v>100</v>
      </c>
      <c r="CR1368" t="s">
        <v>100</v>
      </c>
      <c r="CS1368" t="s">
        <v>101</v>
      </c>
      <c r="CT1368" t="s">
        <v>152</v>
      </c>
      <c r="CU1368" t="s">
        <v>102</v>
      </c>
      <c r="CV1368" t="s">
        <v>100</v>
      </c>
    </row>
    <row r="1369" spans="1:100">
      <c r="A1369" s="3" t="s">
        <v>15078</v>
      </c>
      <c r="B1369" s="4" t="s">
        <v>15079</v>
      </c>
      <c r="C1369">
        <v>1143.9612752646201</v>
      </c>
      <c r="D1369">
        <v>774.510497183903</v>
      </c>
      <c r="E1369">
        <v>0.56262959630633502</v>
      </c>
      <c r="F1369">
        <v>3.6085890650846698E-2</v>
      </c>
      <c r="G1369" t="s">
        <v>4</v>
      </c>
      <c r="H1369">
        <v>1143.9612752646201</v>
      </c>
      <c r="I1369">
        <v>171.673070171126</v>
      </c>
      <c r="J1369">
        <v>2.7204616619811501</v>
      </c>
      <c r="K1369" s="5">
        <v>2.3009170297206399E-27</v>
      </c>
      <c r="L1369" t="s">
        <v>4</v>
      </c>
      <c r="M1369">
        <v>774.510497183903</v>
      </c>
      <c r="N1369">
        <v>171.673070171126</v>
      </c>
      <c r="O1369">
        <v>2.1578320656748202</v>
      </c>
      <c r="P1369" s="5">
        <v>1.33993841255053E-17</v>
      </c>
      <c r="Q1369" t="s">
        <v>4</v>
      </c>
      <c r="R1369" s="4" t="s">
        <v>87</v>
      </c>
      <c r="S1369" t="s">
        <v>4</v>
      </c>
      <c r="T1369" t="s">
        <v>92</v>
      </c>
      <c r="U1369" t="s">
        <v>92</v>
      </c>
      <c r="V1369" t="s">
        <v>92</v>
      </c>
      <c r="W1369" t="s">
        <v>92</v>
      </c>
      <c r="X1369" t="s">
        <v>4</v>
      </c>
      <c r="Y1369" t="s">
        <v>92</v>
      </c>
      <c r="Z1369" t="s">
        <v>92</v>
      </c>
      <c r="AA1369" t="s">
        <v>92</v>
      </c>
      <c r="AB1369" t="s">
        <v>4</v>
      </c>
      <c r="AC1369" s="3" t="s">
        <v>93</v>
      </c>
      <c r="AD1369" t="s">
        <v>4</v>
      </c>
      <c r="AE1369" s="4" t="s">
        <v>94</v>
      </c>
      <c r="AZ1369" t="s">
        <v>4</v>
      </c>
      <c r="BA1369" s="3" t="s">
        <v>115</v>
      </c>
      <c r="BB1369" s="6" t="s">
        <v>95</v>
      </c>
      <c r="BC1369" s="3" t="s">
        <v>197</v>
      </c>
      <c r="BD1369" t="s">
        <v>4</v>
      </c>
      <c r="BE1369">
        <v>2610</v>
      </c>
      <c r="BF1369" t="s">
        <v>97</v>
      </c>
      <c r="BG1369">
        <v>89.596599999999995</v>
      </c>
      <c r="BH1369">
        <v>88.853499999999997</v>
      </c>
      <c r="BJ1369" t="s">
        <v>15080</v>
      </c>
      <c r="BK1369">
        <v>73.779200000000003</v>
      </c>
      <c r="BL1369" t="s">
        <v>15081</v>
      </c>
      <c r="BM1369">
        <v>70.382199999999997</v>
      </c>
      <c r="BN1369">
        <v>72.823800000000006</v>
      </c>
      <c r="BO1369">
        <v>73.460700000000003</v>
      </c>
      <c r="BP1369">
        <v>23.779199999999999</v>
      </c>
      <c r="CK1369">
        <v>4</v>
      </c>
      <c r="CL1369" t="s">
        <v>4</v>
      </c>
      <c r="CM1369" t="s">
        <v>98</v>
      </c>
      <c r="CN1369" t="s">
        <v>98</v>
      </c>
      <c r="CO1369" t="s">
        <v>99</v>
      </c>
      <c r="CP1369" t="s">
        <v>100</v>
      </c>
      <c r="CQ1369" t="s">
        <v>100</v>
      </c>
      <c r="CR1369" t="s">
        <v>100</v>
      </c>
      <c r="CS1369" t="s">
        <v>101</v>
      </c>
      <c r="CT1369" t="s">
        <v>152</v>
      </c>
      <c r="CU1369" t="s">
        <v>102</v>
      </c>
      <c r="CV1369" t="s">
        <v>100</v>
      </c>
    </row>
    <row r="1370" spans="1:100">
      <c r="A1370" s="3" t="s">
        <v>15082</v>
      </c>
      <c r="B1370" s="4" t="s">
        <v>15083</v>
      </c>
      <c r="C1370">
        <v>948.85765121369695</v>
      </c>
      <c r="D1370">
        <v>1785.63496509986</v>
      </c>
      <c r="E1370">
        <f>0.912226613114571</f>
        <v>0.91222661311457098</v>
      </c>
      <c r="F1370">
        <v>1.8004530900822002E-2</v>
      </c>
      <c r="G1370" t="s">
        <v>4</v>
      </c>
      <c r="H1370">
        <v>948.85765121369695</v>
      </c>
      <c r="I1370">
        <v>398.81218245613701</v>
      </c>
      <c r="J1370">
        <v>1.2447568382631899</v>
      </c>
      <c r="K1370">
        <v>7.78081581957639E-4</v>
      </c>
      <c r="L1370" t="s">
        <v>4</v>
      </c>
      <c r="M1370">
        <v>1785.63496509986</v>
      </c>
      <c r="N1370">
        <v>398.81218245613701</v>
      </c>
      <c r="O1370">
        <v>2.1569834513777599</v>
      </c>
      <c r="P1370" s="5">
        <v>1.27918567857716E-9</v>
      </c>
      <c r="Q1370" t="s">
        <v>4</v>
      </c>
      <c r="R1370" s="4" t="s">
        <v>87</v>
      </c>
      <c r="S1370" t="s">
        <v>4</v>
      </c>
      <c r="T1370" t="s">
        <v>15084</v>
      </c>
      <c r="U1370" t="s">
        <v>15085</v>
      </c>
      <c r="V1370" t="s">
        <v>15086</v>
      </c>
      <c r="W1370" t="s">
        <v>328</v>
      </c>
      <c r="X1370" t="s">
        <v>4</v>
      </c>
      <c r="Y1370" t="s">
        <v>15087</v>
      </c>
      <c r="Z1370" t="s">
        <v>15088</v>
      </c>
      <c r="AA1370" t="s">
        <v>15089</v>
      </c>
      <c r="AB1370" t="s">
        <v>4</v>
      </c>
      <c r="AC1370" s="3" t="s">
        <v>15090</v>
      </c>
      <c r="AD1370" t="s">
        <v>4</v>
      </c>
      <c r="AE1370" t="s">
        <v>15091</v>
      </c>
      <c r="AF1370" t="s">
        <v>15092</v>
      </c>
      <c r="AG1370" t="s">
        <v>10532</v>
      </c>
      <c r="AH1370" t="s">
        <v>112</v>
      </c>
      <c r="AJ1370" t="s">
        <v>8661</v>
      </c>
      <c r="AL1370" t="s">
        <v>15093</v>
      </c>
      <c r="AM1370" t="s">
        <v>8663</v>
      </c>
      <c r="AQ1370" t="s">
        <v>8664</v>
      </c>
      <c r="AU1370" t="s">
        <v>112</v>
      </c>
      <c r="AV1370" t="s">
        <v>15094</v>
      </c>
      <c r="AW1370" t="s">
        <v>114</v>
      </c>
      <c r="AX1370" t="s">
        <v>371</v>
      </c>
      <c r="AY1370" t="s">
        <v>15095</v>
      </c>
      <c r="AZ1370" t="s">
        <v>4</v>
      </c>
      <c r="BA1370" s="3" t="s">
        <v>95</v>
      </c>
      <c r="BB1370" s="6" t="s">
        <v>95</v>
      </c>
      <c r="BC1370" s="3" t="s">
        <v>95</v>
      </c>
      <c r="BD1370" t="s">
        <v>4</v>
      </c>
      <c r="BE1370">
        <v>9582</v>
      </c>
      <c r="BF1370" t="s">
        <v>169</v>
      </c>
      <c r="BG1370">
        <v>98.255799999999994</v>
      </c>
      <c r="BH1370">
        <v>99.418599999999998</v>
      </c>
      <c r="BI1370">
        <v>98.255799999999994</v>
      </c>
      <c r="BJ1370">
        <v>94.767399999999995</v>
      </c>
      <c r="BK1370">
        <v>93.023300000000006</v>
      </c>
      <c r="BL1370">
        <v>92.441900000000004</v>
      </c>
      <c r="BM1370">
        <v>90.697699999999998</v>
      </c>
      <c r="BN1370">
        <v>90.697699999999998</v>
      </c>
      <c r="BO1370">
        <v>93.604699999999994</v>
      </c>
      <c r="BP1370">
        <v>69.186000000000007</v>
      </c>
      <c r="BT1370">
        <v>37.209299999999999</v>
      </c>
      <c r="BW1370">
        <v>38.953499999999998</v>
      </c>
      <c r="BX1370">
        <v>41.2791</v>
      </c>
      <c r="BZ1370">
        <v>40.116300000000003</v>
      </c>
      <c r="CA1370">
        <v>36.627899999999997</v>
      </c>
      <c r="CE1370">
        <v>21.511600000000001</v>
      </c>
      <c r="CF1370">
        <v>31.976700000000001</v>
      </c>
      <c r="CG1370" t="s">
        <v>15096</v>
      </c>
      <c r="CH1370" t="s">
        <v>15097</v>
      </c>
      <c r="CI1370">
        <v>40.697699999999998</v>
      </c>
      <c r="CJ1370">
        <v>19.186</v>
      </c>
      <c r="CK1370">
        <v>9</v>
      </c>
      <c r="CL1370" t="s">
        <v>4</v>
      </c>
      <c r="CM1370" t="s">
        <v>15098</v>
      </c>
      <c r="CN1370" t="s">
        <v>15099</v>
      </c>
      <c r="CO1370" t="s">
        <v>219</v>
      </c>
      <c r="CP1370" t="s">
        <v>100</v>
      </c>
      <c r="CQ1370" t="s">
        <v>100</v>
      </c>
      <c r="CR1370" t="s">
        <v>100</v>
      </c>
      <c r="CS1370" s="7" t="s">
        <v>101</v>
      </c>
      <c r="CT1370" t="s">
        <v>152</v>
      </c>
      <c r="CU1370" t="s">
        <v>102</v>
      </c>
      <c r="CV1370" t="s">
        <v>100</v>
      </c>
    </row>
    <row r="1371" spans="1:100">
      <c r="A1371" s="3" t="s">
        <v>15100</v>
      </c>
      <c r="B1371" s="4" t="s">
        <v>15101</v>
      </c>
      <c r="C1371">
        <v>257.74288278279499</v>
      </c>
      <c r="D1371">
        <v>315.93121550418903</v>
      </c>
      <c r="E1371">
        <f>0.293366050589354</f>
        <v>0.293366050589354</v>
      </c>
      <c r="F1371">
        <v>0.26486706019703898</v>
      </c>
      <c r="G1371" t="s">
        <v>4</v>
      </c>
      <c r="H1371">
        <v>257.74288278279499</v>
      </c>
      <c r="I1371">
        <v>71.865121205556207</v>
      </c>
      <c r="J1371">
        <v>1.8542176528748699</v>
      </c>
      <c r="K1371" s="5">
        <v>6.1284842375416801E-13</v>
      </c>
      <c r="L1371" t="s">
        <v>4</v>
      </c>
      <c r="M1371">
        <v>315.93121550418903</v>
      </c>
      <c r="N1371">
        <v>71.865121205556207</v>
      </c>
      <c r="O1371">
        <v>2.14758370346423</v>
      </c>
      <c r="P1371" s="5">
        <v>3.73892092781413E-17</v>
      </c>
      <c r="Q1371" t="s">
        <v>4</v>
      </c>
      <c r="R1371" s="4" t="s">
        <v>87</v>
      </c>
      <c r="S1371" t="s">
        <v>4</v>
      </c>
      <c r="T1371" t="s">
        <v>4897</v>
      </c>
      <c r="U1371" t="s">
        <v>4898</v>
      </c>
      <c r="V1371" t="s">
        <v>4899</v>
      </c>
      <c r="W1371" t="s">
        <v>203</v>
      </c>
      <c r="X1371" t="s">
        <v>4</v>
      </c>
      <c r="Y1371" t="s">
        <v>4900</v>
      </c>
      <c r="Z1371" t="s">
        <v>4901</v>
      </c>
      <c r="AA1371" t="s">
        <v>4902</v>
      </c>
      <c r="AB1371" t="s">
        <v>4</v>
      </c>
      <c r="AC1371" s="3" t="s">
        <v>2294</v>
      </c>
      <c r="AD1371" t="s">
        <v>4</v>
      </c>
      <c r="AE1371" t="s">
        <v>15102</v>
      </c>
      <c r="AF1371" t="s">
        <v>15103</v>
      </c>
      <c r="AG1371" t="s">
        <v>2043</v>
      </c>
      <c r="AH1371" t="s">
        <v>112</v>
      </c>
      <c r="AU1371" t="s">
        <v>112</v>
      </c>
      <c r="AV1371" t="s">
        <v>15104</v>
      </c>
      <c r="AW1371" t="s">
        <v>114</v>
      </c>
      <c r="AX1371" t="s">
        <v>132</v>
      </c>
      <c r="AY1371" t="s">
        <v>8704</v>
      </c>
      <c r="AZ1371" t="s">
        <v>4</v>
      </c>
      <c r="BA1371" s="3" t="s">
        <v>95</v>
      </c>
      <c r="BB1371" s="6" t="s">
        <v>95</v>
      </c>
      <c r="BC1371" s="3" t="s">
        <v>95</v>
      </c>
      <c r="BD1371" t="s">
        <v>4</v>
      </c>
      <c r="BE1371">
        <v>3595</v>
      </c>
      <c r="BF1371" t="s">
        <v>112</v>
      </c>
      <c r="BH1371">
        <v>71.346699999999998</v>
      </c>
      <c r="BK1371">
        <v>52.435499999999998</v>
      </c>
      <c r="BL1371">
        <v>82.521500000000003</v>
      </c>
      <c r="BM1371">
        <v>85.386799999999994</v>
      </c>
      <c r="BP1371" t="s">
        <v>15105</v>
      </c>
      <c r="BW1371" t="s">
        <v>15106</v>
      </c>
      <c r="BY1371" t="s">
        <v>15107</v>
      </c>
      <c r="CK1371">
        <v>5</v>
      </c>
      <c r="CL1371" t="s">
        <v>4</v>
      </c>
      <c r="CM1371" t="s">
        <v>98</v>
      </c>
      <c r="CN1371" t="s">
        <v>98</v>
      </c>
      <c r="CO1371" t="s">
        <v>99</v>
      </c>
      <c r="CP1371" t="s">
        <v>100</v>
      </c>
      <c r="CQ1371" t="s">
        <v>100</v>
      </c>
      <c r="CR1371" t="s">
        <v>100</v>
      </c>
      <c r="CS1371" s="7" t="s">
        <v>101</v>
      </c>
      <c r="CT1371" t="s">
        <v>152</v>
      </c>
      <c r="CU1371" t="s">
        <v>102</v>
      </c>
      <c r="CV1371" t="s">
        <v>100</v>
      </c>
    </row>
    <row r="1372" spans="1:100">
      <c r="A1372" s="3" t="s">
        <v>15108</v>
      </c>
      <c r="B1372" s="4" t="s">
        <v>15109</v>
      </c>
      <c r="C1372">
        <v>122.758549547296</v>
      </c>
      <c r="D1372">
        <v>228.80873847855801</v>
      </c>
      <c r="E1372">
        <f>0.896402254880522</f>
        <v>0.89640225488052205</v>
      </c>
      <c r="F1372">
        <v>5.1013599734082399E-2</v>
      </c>
      <c r="G1372" t="s">
        <v>4</v>
      </c>
      <c r="H1372">
        <v>122.758549547296</v>
      </c>
      <c r="I1372">
        <v>50.829438937955402</v>
      </c>
      <c r="J1372">
        <v>1.24887813804841</v>
      </c>
      <c r="K1372">
        <v>6.6251637570274996E-3</v>
      </c>
      <c r="L1372" t="s">
        <v>4</v>
      </c>
      <c r="M1372">
        <v>228.80873847855801</v>
      </c>
      <c r="N1372">
        <v>50.829438937955402</v>
      </c>
      <c r="O1372">
        <v>2.1452803929289299</v>
      </c>
      <c r="P1372" s="5">
        <v>1.02252638280097E-6</v>
      </c>
      <c r="Q1372" t="s">
        <v>4</v>
      </c>
      <c r="R1372" s="4" t="s">
        <v>87</v>
      </c>
      <c r="S1372" t="s">
        <v>4</v>
      </c>
      <c r="T1372" t="s">
        <v>92</v>
      </c>
      <c r="U1372" t="s">
        <v>92</v>
      </c>
      <c r="V1372" t="s">
        <v>92</v>
      </c>
      <c r="W1372" t="s">
        <v>92</v>
      </c>
      <c r="X1372" t="s">
        <v>4</v>
      </c>
      <c r="Y1372" t="s">
        <v>92</v>
      </c>
      <c r="Z1372" t="s">
        <v>92</v>
      </c>
      <c r="AA1372" t="s">
        <v>92</v>
      </c>
      <c r="AB1372" t="s">
        <v>4</v>
      </c>
      <c r="AC1372" s="3" t="s">
        <v>93</v>
      </c>
      <c r="AD1372" t="s">
        <v>4</v>
      </c>
      <c r="AE1372" s="4" t="s">
        <v>94</v>
      </c>
      <c r="AZ1372" t="s">
        <v>4</v>
      </c>
      <c r="BA1372" s="3" t="s">
        <v>115</v>
      </c>
      <c r="BB1372" s="6" t="s">
        <v>95</v>
      </c>
      <c r="BC1372" s="3" t="s">
        <v>95</v>
      </c>
      <c r="BD1372" t="s">
        <v>4</v>
      </c>
      <c r="BE1372">
        <v>1467</v>
      </c>
      <c r="BF1372" t="s">
        <v>151</v>
      </c>
      <c r="BG1372">
        <v>85.526300000000006</v>
      </c>
      <c r="CK1372">
        <v>2</v>
      </c>
      <c r="CL1372" t="s">
        <v>4</v>
      </c>
      <c r="CM1372" t="s">
        <v>98</v>
      </c>
      <c r="CN1372" t="s">
        <v>98</v>
      </c>
      <c r="CO1372" t="s">
        <v>99</v>
      </c>
      <c r="CP1372" t="s">
        <v>100</v>
      </c>
      <c r="CQ1372" t="s">
        <v>100</v>
      </c>
      <c r="CR1372" t="s">
        <v>100</v>
      </c>
      <c r="CS1372" s="7" t="s">
        <v>101</v>
      </c>
      <c r="CT1372" t="s">
        <v>152</v>
      </c>
      <c r="CU1372" t="s">
        <v>102</v>
      </c>
      <c r="CV1372" t="s">
        <v>100</v>
      </c>
    </row>
    <row r="1373" spans="1:100">
      <c r="A1373" s="3" t="s">
        <v>15110</v>
      </c>
      <c r="B1373" s="4" t="s">
        <v>15111</v>
      </c>
      <c r="C1373">
        <v>154.516755864592</v>
      </c>
      <c r="D1373">
        <v>76.204577823338994</v>
      </c>
      <c r="E1373">
        <v>1.01956188250519</v>
      </c>
      <c r="F1373">
        <v>9.5098370722852404E-2</v>
      </c>
      <c r="G1373" t="s">
        <v>4</v>
      </c>
      <c r="H1373">
        <v>154.516755864592</v>
      </c>
      <c r="I1373">
        <v>17.0824667430666</v>
      </c>
      <c r="J1373">
        <v>3.1638580363748301</v>
      </c>
      <c r="K1373" s="5">
        <v>1.6497698763919199E-7</v>
      </c>
      <c r="L1373" t="s">
        <v>4</v>
      </c>
      <c r="M1373">
        <v>76.204577823338994</v>
      </c>
      <c r="N1373">
        <v>17.0824667430666</v>
      </c>
      <c r="O1373">
        <v>2.1442961538696399</v>
      </c>
      <c r="P1373">
        <v>4.9751967986314395E-4</v>
      </c>
      <c r="Q1373" t="s">
        <v>4</v>
      </c>
      <c r="R1373" s="4" t="s">
        <v>87</v>
      </c>
      <c r="S1373" t="s">
        <v>4</v>
      </c>
      <c r="T1373" t="s">
        <v>1242</v>
      </c>
      <c r="U1373" t="s">
        <v>1243</v>
      </c>
      <c r="V1373" t="s">
        <v>1244</v>
      </c>
      <c r="W1373" t="s">
        <v>203</v>
      </c>
      <c r="X1373" t="s">
        <v>4</v>
      </c>
      <c r="Y1373" t="s">
        <v>15112</v>
      </c>
      <c r="Z1373" t="s">
        <v>15113</v>
      </c>
      <c r="AA1373" t="s">
        <v>15114</v>
      </c>
      <c r="AB1373" t="s">
        <v>4</v>
      </c>
      <c r="AC1373" s="3" t="s">
        <v>15115</v>
      </c>
      <c r="AD1373" t="s">
        <v>4</v>
      </c>
      <c r="AE1373" t="s">
        <v>15116</v>
      </c>
      <c r="AF1373" t="s">
        <v>834</v>
      </c>
      <c r="AG1373" t="s">
        <v>15117</v>
      </c>
      <c r="AH1373" t="s">
        <v>112</v>
      </c>
      <c r="AU1373" t="s">
        <v>112</v>
      </c>
      <c r="AV1373" t="s">
        <v>15118</v>
      </c>
      <c r="AW1373" t="s">
        <v>114</v>
      </c>
      <c r="AX1373" t="s">
        <v>536</v>
      </c>
      <c r="AY1373" t="s">
        <v>15119</v>
      </c>
      <c r="AZ1373" t="s">
        <v>4</v>
      </c>
      <c r="BA1373" s="3" t="s">
        <v>95</v>
      </c>
      <c r="BB1373" s="6" t="s">
        <v>95</v>
      </c>
      <c r="BC1373" s="3" t="s">
        <v>95</v>
      </c>
      <c r="BD1373" t="s">
        <v>4</v>
      </c>
      <c r="BE1373">
        <v>4886</v>
      </c>
      <c r="BF1373" t="s">
        <v>282</v>
      </c>
      <c r="BH1373">
        <v>3.36435</v>
      </c>
      <c r="BP1373">
        <v>15.247</v>
      </c>
      <c r="BS1373">
        <v>11.309900000000001</v>
      </c>
      <c r="BV1373" t="s">
        <v>15120</v>
      </c>
      <c r="CC1373">
        <v>11.524699999999999</v>
      </c>
      <c r="CG1373" t="s">
        <v>15121</v>
      </c>
      <c r="CH1373" t="s">
        <v>15122</v>
      </c>
      <c r="CI1373" t="s">
        <v>15123</v>
      </c>
      <c r="CK1373">
        <v>6</v>
      </c>
      <c r="CL1373" t="s">
        <v>4</v>
      </c>
      <c r="CM1373" t="s">
        <v>98</v>
      </c>
      <c r="CN1373" t="s">
        <v>98</v>
      </c>
      <c r="CO1373" t="s">
        <v>99</v>
      </c>
      <c r="CP1373" t="s">
        <v>100</v>
      </c>
      <c r="CQ1373" t="s">
        <v>100</v>
      </c>
      <c r="CR1373" t="s">
        <v>100</v>
      </c>
      <c r="CS1373" t="s">
        <v>101</v>
      </c>
      <c r="CT1373" t="s">
        <v>152</v>
      </c>
      <c r="CU1373" t="s">
        <v>102</v>
      </c>
      <c r="CV1373" t="s">
        <v>100</v>
      </c>
    </row>
    <row r="1374" spans="1:100">
      <c r="A1374" s="3" t="s">
        <v>15124</v>
      </c>
      <c r="B1374" s="4" t="s">
        <v>15125</v>
      </c>
      <c r="C1374">
        <v>13.185677208634001</v>
      </c>
      <c r="D1374">
        <v>27.872321188394601</v>
      </c>
      <c r="E1374">
        <f>-1.07418674886384</f>
        <v>-1.0741867488638399</v>
      </c>
      <c r="F1374">
        <v>0.157553022243163</v>
      </c>
      <c r="G1374" t="s">
        <v>4</v>
      </c>
      <c r="H1374">
        <v>13.185677208634001</v>
      </c>
      <c r="I1374">
        <v>6.6076332475559596</v>
      </c>
      <c r="J1374">
        <v>1.0693106682635001</v>
      </c>
      <c r="K1374">
        <v>0.21072860794249501</v>
      </c>
      <c r="L1374" t="s">
        <v>4</v>
      </c>
      <c r="M1374">
        <v>27.872321188394601</v>
      </c>
      <c r="N1374">
        <v>6.6076332475559596</v>
      </c>
      <c r="O1374">
        <v>2.1434974171273402</v>
      </c>
      <c r="P1374">
        <v>7.2042741554959201E-3</v>
      </c>
      <c r="Q1374" t="s">
        <v>4</v>
      </c>
      <c r="R1374" s="4" t="s">
        <v>87</v>
      </c>
      <c r="S1374" t="s">
        <v>4</v>
      </c>
      <c r="T1374" t="s">
        <v>15126</v>
      </c>
      <c r="U1374" t="s">
        <v>15127</v>
      </c>
      <c r="V1374" t="s">
        <v>15128</v>
      </c>
      <c r="W1374" t="s">
        <v>328</v>
      </c>
      <c r="X1374" t="s">
        <v>4</v>
      </c>
      <c r="Y1374" t="s">
        <v>15129</v>
      </c>
      <c r="Z1374" t="s">
        <v>15130</v>
      </c>
      <c r="AA1374" t="s">
        <v>15131</v>
      </c>
      <c r="AB1374" t="s">
        <v>4</v>
      </c>
      <c r="AC1374" s="3" t="s">
        <v>15132</v>
      </c>
      <c r="AD1374" t="s">
        <v>4</v>
      </c>
      <c r="AE1374" t="s">
        <v>15133</v>
      </c>
      <c r="AF1374" t="s">
        <v>15134</v>
      </c>
      <c r="AG1374" t="s">
        <v>15135</v>
      </c>
      <c r="AH1374" t="s">
        <v>112</v>
      </c>
      <c r="AJ1374" t="s">
        <v>15136</v>
      </c>
      <c r="AL1374" t="s">
        <v>15137</v>
      </c>
      <c r="AQ1374" t="s">
        <v>861</v>
      </c>
      <c r="AU1374" t="s">
        <v>112</v>
      </c>
      <c r="AV1374" t="s">
        <v>15138</v>
      </c>
      <c r="AW1374" t="s">
        <v>114</v>
      </c>
      <c r="AX1374" t="s">
        <v>596</v>
      </c>
      <c r="AY1374" t="s">
        <v>15139</v>
      </c>
      <c r="AZ1374" t="s">
        <v>4</v>
      </c>
      <c r="BA1374" s="3" t="s">
        <v>95</v>
      </c>
      <c r="BB1374" s="6" t="s">
        <v>95</v>
      </c>
      <c r="BC1374" s="3" t="s">
        <v>95</v>
      </c>
      <c r="BD1374" t="s">
        <v>4</v>
      </c>
      <c r="BE1374">
        <v>7650</v>
      </c>
      <c r="BF1374" t="s">
        <v>213</v>
      </c>
      <c r="BG1374">
        <v>98.448300000000003</v>
      </c>
      <c r="BH1374">
        <v>50.172400000000003</v>
      </c>
      <c r="BI1374">
        <v>92.930999999999997</v>
      </c>
      <c r="BJ1374">
        <v>86.379300000000001</v>
      </c>
      <c r="BK1374">
        <v>83.965500000000006</v>
      </c>
      <c r="BL1374" t="s">
        <v>15140</v>
      </c>
      <c r="BM1374" t="s">
        <v>15141</v>
      </c>
      <c r="BN1374">
        <v>71.896600000000007</v>
      </c>
      <c r="BO1374">
        <v>83.275899999999993</v>
      </c>
      <c r="BP1374">
        <v>58.103400000000001</v>
      </c>
      <c r="BQ1374">
        <v>35.344799999999999</v>
      </c>
      <c r="BR1374" t="s">
        <v>15142</v>
      </c>
      <c r="BS1374">
        <v>34.827599999999997</v>
      </c>
      <c r="BT1374">
        <v>33.448300000000003</v>
      </c>
      <c r="BU1374">
        <v>31.5517</v>
      </c>
      <c r="BV1374" t="s">
        <v>15143</v>
      </c>
      <c r="BW1374">
        <v>39.137900000000002</v>
      </c>
      <c r="BX1374" t="s">
        <v>15144</v>
      </c>
      <c r="BY1374">
        <v>18.2759</v>
      </c>
      <c r="BZ1374" t="s">
        <v>15145</v>
      </c>
      <c r="CA1374">
        <v>36.206899999999997</v>
      </c>
      <c r="CB1374">
        <v>27.241399999999999</v>
      </c>
      <c r="CD1374">
        <v>24.310300000000002</v>
      </c>
      <c r="CF1374">
        <v>24.137899999999998</v>
      </c>
      <c r="CG1374" t="s">
        <v>15146</v>
      </c>
      <c r="CH1374">
        <v>31.206900000000001</v>
      </c>
      <c r="CI1374">
        <v>31.7241</v>
      </c>
      <c r="CK1374">
        <v>8</v>
      </c>
      <c r="CL1374" t="s">
        <v>4</v>
      </c>
      <c r="CM1374" t="s">
        <v>15147</v>
      </c>
      <c r="CN1374" t="s">
        <v>15148</v>
      </c>
      <c r="CO1374" t="s">
        <v>99</v>
      </c>
      <c r="CP1374" t="s">
        <v>100</v>
      </c>
      <c r="CQ1374" t="s">
        <v>100</v>
      </c>
      <c r="CR1374" t="s">
        <v>100</v>
      </c>
      <c r="CS1374" t="s">
        <v>100</v>
      </c>
      <c r="CT1374" t="s">
        <v>152</v>
      </c>
      <c r="CU1374" t="s">
        <v>102</v>
      </c>
      <c r="CV1374" t="s">
        <v>100</v>
      </c>
    </row>
    <row r="1375" spans="1:100">
      <c r="A1375" s="3" t="s">
        <v>15149</v>
      </c>
      <c r="B1375" s="4" t="s">
        <v>15150</v>
      </c>
      <c r="C1375">
        <v>1011.94684746672</v>
      </c>
      <c r="D1375">
        <v>1204.85372107184</v>
      </c>
      <c r="E1375">
        <f>0.251703658548926</f>
        <v>0.25170365854892601</v>
      </c>
      <c r="F1375">
        <v>0.180687867993646</v>
      </c>
      <c r="G1375" t="s">
        <v>4</v>
      </c>
      <c r="H1375">
        <v>1011.94684746672</v>
      </c>
      <c r="I1375">
        <v>272.53194047331402</v>
      </c>
      <c r="J1375">
        <v>1.8917160152619601</v>
      </c>
      <c r="K1375" s="5">
        <v>2.4331798023675299E-27</v>
      </c>
      <c r="L1375" t="s">
        <v>4</v>
      </c>
      <c r="M1375">
        <v>1204.85372107184</v>
      </c>
      <c r="N1375">
        <v>272.53194047331402</v>
      </c>
      <c r="O1375">
        <v>2.1434196738108802</v>
      </c>
      <c r="P1375" s="5">
        <v>5.9521397347617198E-35</v>
      </c>
      <c r="Q1375" t="s">
        <v>4</v>
      </c>
      <c r="R1375" s="4" t="s">
        <v>87</v>
      </c>
      <c r="S1375" t="s">
        <v>4</v>
      </c>
      <c r="T1375" t="s">
        <v>15151</v>
      </c>
      <c r="U1375" t="s">
        <v>15152</v>
      </c>
      <c r="V1375" t="s">
        <v>15153</v>
      </c>
      <c r="W1375" t="s">
        <v>203</v>
      </c>
      <c r="X1375" t="s">
        <v>4</v>
      </c>
      <c r="Y1375" t="s">
        <v>15154</v>
      </c>
      <c r="Z1375" t="s">
        <v>15155</v>
      </c>
      <c r="AA1375" t="s">
        <v>15156</v>
      </c>
      <c r="AB1375" t="s">
        <v>4</v>
      </c>
      <c r="AC1375" s="3" t="s">
        <v>15157</v>
      </c>
      <c r="AD1375" t="s">
        <v>4</v>
      </c>
      <c r="AE1375" t="s">
        <v>15158</v>
      </c>
      <c r="AF1375" t="s">
        <v>15159</v>
      </c>
      <c r="AG1375" t="s">
        <v>9040</v>
      </c>
      <c r="AH1375" t="s">
        <v>112</v>
      </c>
      <c r="AK1375" t="s">
        <v>15160</v>
      </c>
      <c r="AL1375" t="s">
        <v>15161</v>
      </c>
      <c r="AM1375" t="s">
        <v>15162</v>
      </c>
      <c r="AN1375" t="s">
        <v>15163</v>
      </c>
      <c r="AO1375" t="s">
        <v>15164</v>
      </c>
      <c r="AP1375" t="s">
        <v>15165</v>
      </c>
      <c r="AQ1375" t="s">
        <v>10191</v>
      </c>
      <c r="AU1375" t="s">
        <v>112</v>
      </c>
      <c r="AV1375" t="s">
        <v>15166</v>
      </c>
      <c r="AW1375" t="s">
        <v>114</v>
      </c>
      <c r="AX1375" t="s">
        <v>2669</v>
      </c>
      <c r="AY1375" t="s">
        <v>15167</v>
      </c>
      <c r="AZ1375" t="s">
        <v>4</v>
      </c>
      <c r="BA1375" s="3" t="s">
        <v>95</v>
      </c>
      <c r="BB1375" s="6" t="s">
        <v>95</v>
      </c>
      <c r="BC1375" s="3" t="s">
        <v>95</v>
      </c>
      <c r="BD1375" t="s">
        <v>4</v>
      </c>
      <c r="BE1375">
        <v>8783</v>
      </c>
      <c r="BF1375" t="s">
        <v>169</v>
      </c>
      <c r="BG1375">
        <v>90.270300000000006</v>
      </c>
      <c r="BI1375" t="s">
        <v>15168</v>
      </c>
      <c r="BJ1375">
        <v>83.243200000000002</v>
      </c>
      <c r="BK1375">
        <v>79.459500000000006</v>
      </c>
      <c r="BM1375">
        <v>75.675700000000006</v>
      </c>
      <c r="BN1375">
        <v>75.675700000000006</v>
      </c>
      <c r="BO1375">
        <v>71.351299999999995</v>
      </c>
      <c r="BQ1375">
        <v>34.5946</v>
      </c>
      <c r="BR1375">
        <v>38.378399999999999</v>
      </c>
      <c r="BS1375">
        <v>36.756799999999998</v>
      </c>
      <c r="BT1375">
        <v>34.054099999999998</v>
      </c>
      <c r="BU1375">
        <v>34.054099999999998</v>
      </c>
      <c r="BV1375" t="s">
        <v>15169</v>
      </c>
      <c r="BW1375" t="s">
        <v>15170</v>
      </c>
      <c r="BX1375">
        <v>28.1081</v>
      </c>
      <c r="BZ1375" t="s">
        <v>15171</v>
      </c>
      <c r="CA1375">
        <v>36.756799999999998</v>
      </c>
      <c r="CB1375">
        <v>38.378399999999999</v>
      </c>
      <c r="CE1375">
        <v>29.729700000000001</v>
      </c>
      <c r="CF1375">
        <v>31.8919</v>
      </c>
      <c r="CG1375" t="s">
        <v>15172</v>
      </c>
      <c r="CH1375">
        <v>40.540500000000002</v>
      </c>
      <c r="CI1375">
        <v>36.756799999999998</v>
      </c>
      <c r="CJ1375">
        <v>29.1892</v>
      </c>
      <c r="CK1375">
        <v>9</v>
      </c>
      <c r="CL1375" t="s">
        <v>4</v>
      </c>
      <c r="CM1375" t="s">
        <v>15173</v>
      </c>
      <c r="CN1375" t="s">
        <v>15174</v>
      </c>
      <c r="CO1375" t="s">
        <v>219</v>
      </c>
      <c r="CP1375" t="s">
        <v>100</v>
      </c>
      <c r="CQ1375" t="s">
        <v>100</v>
      </c>
      <c r="CR1375" t="s">
        <v>100</v>
      </c>
      <c r="CS1375" s="7" t="s">
        <v>101</v>
      </c>
      <c r="CT1375" t="s">
        <v>152</v>
      </c>
      <c r="CU1375" t="s">
        <v>102</v>
      </c>
      <c r="CV1375" t="s">
        <v>100</v>
      </c>
    </row>
    <row r="1376" spans="1:100">
      <c r="A1376" s="3" t="s">
        <v>15175</v>
      </c>
      <c r="B1376" s="4" t="s">
        <v>15176</v>
      </c>
      <c r="C1376">
        <v>644.96588387326995</v>
      </c>
      <c r="D1376">
        <v>1276.37128774946</v>
      </c>
      <c r="E1376">
        <f>0.984567179422602</f>
        <v>0.98456717942260197</v>
      </c>
      <c r="F1376">
        <v>1.9878812405337499E-2</v>
      </c>
      <c r="G1376" t="s">
        <v>4</v>
      </c>
      <c r="H1376">
        <v>644.96588387326995</v>
      </c>
      <c r="I1376">
        <v>290.55031638887903</v>
      </c>
      <c r="J1376">
        <v>1.1586027000603301</v>
      </c>
      <c r="K1376">
        <v>4.7196899376930803E-3</v>
      </c>
      <c r="L1376" t="s">
        <v>4</v>
      </c>
      <c r="M1376">
        <v>1276.37128774946</v>
      </c>
      <c r="N1376">
        <v>290.55031638887903</v>
      </c>
      <c r="O1376">
        <v>2.1431698794829299</v>
      </c>
      <c r="P1376" s="5">
        <v>4.3330066311803303E-8</v>
      </c>
      <c r="Q1376" t="s">
        <v>4</v>
      </c>
      <c r="R1376" s="4" t="s">
        <v>87</v>
      </c>
      <c r="S1376" t="s">
        <v>4</v>
      </c>
      <c r="T1376" t="s">
        <v>92</v>
      </c>
      <c r="U1376" t="s">
        <v>92</v>
      </c>
      <c r="V1376" t="s">
        <v>92</v>
      </c>
      <c r="W1376" t="s">
        <v>92</v>
      </c>
      <c r="X1376" t="s">
        <v>4</v>
      </c>
      <c r="Y1376" t="s">
        <v>92</v>
      </c>
      <c r="Z1376" t="s">
        <v>92</v>
      </c>
      <c r="AA1376" t="s">
        <v>92</v>
      </c>
      <c r="AB1376" t="s">
        <v>4</v>
      </c>
      <c r="AC1376" s="3" t="s">
        <v>93</v>
      </c>
      <c r="AD1376" t="s">
        <v>4</v>
      </c>
      <c r="AE1376" t="s">
        <v>15177</v>
      </c>
      <c r="AF1376" t="s">
        <v>834</v>
      </c>
      <c r="AG1376" t="s">
        <v>15178</v>
      </c>
      <c r="AH1376" t="s">
        <v>112</v>
      </c>
      <c r="AJ1376" t="s">
        <v>15179</v>
      </c>
      <c r="AU1376" t="s">
        <v>112</v>
      </c>
      <c r="AV1376" t="s">
        <v>15180</v>
      </c>
      <c r="AW1376" t="s">
        <v>114</v>
      </c>
      <c r="AZ1376" t="s">
        <v>4</v>
      </c>
      <c r="BA1376" s="3" t="s">
        <v>115</v>
      </c>
      <c r="BB1376" s="6" t="s">
        <v>95</v>
      </c>
      <c r="BC1376" s="3" t="s">
        <v>95</v>
      </c>
      <c r="BD1376" t="s">
        <v>4</v>
      </c>
      <c r="BE1376">
        <v>4015</v>
      </c>
      <c r="BF1376" t="s">
        <v>112</v>
      </c>
      <c r="BG1376">
        <v>65.346500000000006</v>
      </c>
      <c r="BH1376">
        <v>59.467799999999997</v>
      </c>
      <c r="BI1376">
        <v>54.5792</v>
      </c>
      <c r="BJ1376">
        <v>71.782200000000003</v>
      </c>
      <c r="BK1376">
        <v>29.764900000000001</v>
      </c>
      <c r="BM1376">
        <v>38.056899999999999</v>
      </c>
      <c r="BN1376">
        <v>68.131200000000007</v>
      </c>
      <c r="BO1376">
        <v>29.2698</v>
      </c>
      <c r="BP1376">
        <v>27.9084</v>
      </c>
      <c r="BQ1376">
        <v>25.804500000000001</v>
      </c>
      <c r="BR1376">
        <v>27.537099999999999</v>
      </c>
      <c r="BS1376">
        <v>18.688099999999999</v>
      </c>
      <c r="BT1376">
        <v>23.267299999999999</v>
      </c>
      <c r="CA1376">
        <v>24.257400000000001</v>
      </c>
      <c r="CK1376">
        <v>5</v>
      </c>
      <c r="CL1376" t="s">
        <v>4</v>
      </c>
      <c r="CM1376" t="s">
        <v>15181</v>
      </c>
      <c r="CN1376" t="s">
        <v>15182</v>
      </c>
      <c r="CO1376" t="s">
        <v>99</v>
      </c>
      <c r="CP1376" t="s">
        <v>100</v>
      </c>
      <c r="CQ1376" t="s">
        <v>100</v>
      </c>
      <c r="CR1376" t="s">
        <v>100</v>
      </c>
      <c r="CS1376" s="7" t="s">
        <v>101</v>
      </c>
      <c r="CT1376" t="s">
        <v>152</v>
      </c>
      <c r="CU1376" t="s">
        <v>102</v>
      </c>
      <c r="CV1376" t="s">
        <v>100</v>
      </c>
    </row>
    <row r="1377" spans="1:100">
      <c r="A1377" s="3" t="s">
        <v>15183</v>
      </c>
      <c r="B1377" s="4" t="s">
        <v>15184</v>
      </c>
      <c r="C1377">
        <v>1388.7557200337201</v>
      </c>
      <c r="D1377">
        <v>2214.3085629051702</v>
      </c>
      <c r="E1377">
        <f>0.673036289054267</f>
        <v>0.67303628905426705</v>
      </c>
      <c r="F1377">
        <v>9.29754800030307E-2</v>
      </c>
      <c r="G1377" t="s">
        <v>4</v>
      </c>
      <c r="H1377">
        <v>1388.7557200337201</v>
      </c>
      <c r="I1377">
        <v>504.12531310743702</v>
      </c>
      <c r="J1377">
        <v>1.4655203608907801</v>
      </c>
      <c r="K1377" s="5">
        <v>9.2878784200538302E-5</v>
      </c>
      <c r="L1377" t="s">
        <v>4</v>
      </c>
      <c r="M1377">
        <v>2214.3085629051702</v>
      </c>
      <c r="N1377">
        <v>504.12531310743702</v>
      </c>
      <c r="O1377">
        <v>2.1385566499450399</v>
      </c>
      <c r="P1377" s="5">
        <v>3.9398930412804103E-9</v>
      </c>
      <c r="Q1377" t="s">
        <v>4</v>
      </c>
      <c r="R1377" s="4" t="s">
        <v>87</v>
      </c>
      <c r="S1377" t="s">
        <v>4</v>
      </c>
      <c r="T1377" t="s">
        <v>15185</v>
      </c>
      <c r="U1377" t="s">
        <v>15186</v>
      </c>
      <c r="V1377" t="s">
        <v>15187</v>
      </c>
      <c r="W1377" t="s">
        <v>328</v>
      </c>
      <c r="X1377" t="s">
        <v>4</v>
      </c>
      <c r="Y1377" t="s">
        <v>15188</v>
      </c>
      <c r="Z1377" t="s">
        <v>15189</v>
      </c>
      <c r="AA1377" t="s">
        <v>15190</v>
      </c>
      <c r="AB1377" t="s">
        <v>4</v>
      </c>
      <c r="AC1377" s="3" t="s">
        <v>15191</v>
      </c>
      <c r="AD1377" t="s">
        <v>4</v>
      </c>
      <c r="AE1377" t="s">
        <v>15192</v>
      </c>
      <c r="AF1377" t="s">
        <v>15193</v>
      </c>
      <c r="AG1377" t="s">
        <v>15194</v>
      </c>
      <c r="AH1377" t="s">
        <v>112</v>
      </c>
      <c r="AU1377" t="s">
        <v>112</v>
      </c>
      <c r="AV1377" t="s">
        <v>15195</v>
      </c>
      <c r="AW1377" t="s">
        <v>114</v>
      </c>
      <c r="AX1377" t="s">
        <v>144</v>
      </c>
      <c r="AY1377" t="s">
        <v>15196</v>
      </c>
      <c r="AZ1377" t="s">
        <v>4</v>
      </c>
      <c r="BA1377" s="3" t="s">
        <v>95</v>
      </c>
      <c r="BB1377" s="6" t="s">
        <v>95</v>
      </c>
      <c r="BC1377" s="3" t="s">
        <v>95</v>
      </c>
      <c r="BD1377" t="s">
        <v>4</v>
      </c>
      <c r="BE1377">
        <v>3642</v>
      </c>
      <c r="BF1377" t="s">
        <v>112</v>
      </c>
      <c r="BG1377">
        <v>36.0045</v>
      </c>
      <c r="BH1377">
        <v>36.117400000000004</v>
      </c>
      <c r="BI1377">
        <v>31.715599999999998</v>
      </c>
      <c r="BJ1377">
        <v>30.8126</v>
      </c>
      <c r="BK1377">
        <v>29.909700000000001</v>
      </c>
      <c r="BM1377">
        <v>21.557600000000001</v>
      </c>
      <c r="BN1377">
        <v>75.733599999999996</v>
      </c>
      <c r="BO1377">
        <v>28.1038</v>
      </c>
      <c r="BP1377" t="s">
        <v>15197</v>
      </c>
      <c r="BS1377">
        <v>16.14</v>
      </c>
      <c r="BT1377">
        <v>11.2867</v>
      </c>
      <c r="BV1377" t="s">
        <v>15198</v>
      </c>
      <c r="BX1377">
        <v>26.410799999999998</v>
      </c>
      <c r="BY1377">
        <v>15.237</v>
      </c>
      <c r="BZ1377">
        <v>11.851000000000001</v>
      </c>
      <c r="CA1377">
        <v>24.492100000000001</v>
      </c>
      <c r="CB1377" t="s">
        <v>15199</v>
      </c>
      <c r="CC1377" t="s">
        <v>15200</v>
      </c>
      <c r="CD1377" t="s">
        <v>15201</v>
      </c>
      <c r="CE1377" t="s">
        <v>15202</v>
      </c>
      <c r="CF1377" t="s">
        <v>15203</v>
      </c>
      <c r="CG1377" t="s">
        <v>15204</v>
      </c>
      <c r="CH1377" t="s">
        <v>15205</v>
      </c>
      <c r="CI1377" t="s">
        <v>15206</v>
      </c>
      <c r="CK1377">
        <v>5</v>
      </c>
      <c r="CL1377" t="s">
        <v>4</v>
      </c>
      <c r="CM1377" t="s">
        <v>15207</v>
      </c>
      <c r="CN1377" t="s">
        <v>15208</v>
      </c>
      <c r="CO1377" t="s">
        <v>1218</v>
      </c>
      <c r="CP1377" t="s">
        <v>100</v>
      </c>
      <c r="CQ1377" t="s">
        <v>100</v>
      </c>
      <c r="CR1377" t="s">
        <v>100</v>
      </c>
      <c r="CS1377" s="7" t="s">
        <v>101</v>
      </c>
      <c r="CT1377" t="s">
        <v>152</v>
      </c>
      <c r="CU1377" t="s">
        <v>102</v>
      </c>
      <c r="CV1377" t="s">
        <v>100</v>
      </c>
    </row>
    <row r="1378" spans="1:100">
      <c r="A1378" s="3" t="s">
        <v>15209</v>
      </c>
      <c r="B1378" s="4" t="s">
        <v>15210</v>
      </c>
      <c r="C1378">
        <v>487.60912842860103</v>
      </c>
      <c r="D1378">
        <v>962.83558665443502</v>
      </c>
      <c r="E1378">
        <f>0.981515356576508</f>
        <v>0.98151535657650801</v>
      </c>
      <c r="F1378">
        <v>8.5431981175720893E-3</v>
      </c>
      <c r="G1378" t="s">
        <v>4</v>
      </c>
      <c r="H1378">
        <v>487.60912842860103</v>
      </c>
      <c r="I1378">
        <v>218.32667567518001</v>
      </c>
      <c r="J1378">
        <v>1.14903694253052</v>
      </c>
      <c r="K1378">
        <v>1.6438522363817899E-3</v>
      </c>
      <c r="L1378" t="s">
        <v>4</v>
      </c>
      <c r="M1378">
        <v>962.83558665443502</v>
      </c>
      <c r="N1378">
        <v>218.32667567518001</v>
      </c>
      <c r="O1378">
        <v>2.1305522991070198</v>
      </c>
      <c r="P1378" s="5">
        <v>9.95299916989224E-10</v>
      </c>
      <c r="Q1378" t="s">
        <v>4</v>
      </c>
      <c r="R1378" s="4" t="s">
        <v>87</v>
      </c>
      <c r="S1378" t="s">
        <v>4</v>
      </c>
      <c r="T1378" t="s">
        <v>15211</v>
      </c>
      <c r="U1378" t="s">
        <v>15212</v>
      </c>
      <c r="V1378" t="s">
        <v>15213</v>
      </c>
      <c r="W1378" t="s">
        <v>976</v>
      </c>
      <c r="X1378" t="s">
        <v>4</v>
      </c>
      <c r="Y1378" t="s">
        <v>15214</v>
      </c>
      <c r="Z1378" t="s">
        <v>15215</v>
      </c>
      <c r="AA1378" t="s">
        <v>15216</v>
      </c>
      <c r="AB1378" t="s">
        <v>4</v>
      </c>
      <c r="AC1378" s="3" t="s">
        <v>15217</v>
      </c>
      <c r="AD1378" t="s">
        <v>4</v>
      </c>
      <c r="AE1378" t="s">
        <v>15218</v>
      </c>
      <c r="AF1378" t="s">
        <v>15219</v>
      </c>
      <c r="AG1378" t="s">
        <v>15220</v>
      </c>
      <c r="AH1378" t="s">
        <v>112</v>
      </c>
      <c r="AJ1378" t="s">
        <v>15221</v>
      </c>
      <c r="AL1378" t="s">
        <v>15222</v>
      </c>
      <c r="AM1378" t="s">
        <v>5371</v>
      </c>
      <c r="AQ1378" t="s">
        <v>2941</v>
      </c>
      <c r="AU1378" t="s">
        <v>112</v>
      </c>
      <c r="AV1378" t="s">
        <v>15223</v>
      </c>
      <c r="AW1378" t="s">
        <v>114</v>
      </c>
      <c r="AX1378" t="s">
        <v>596</v>
      </c>
      <c r="AY1378" t="s">
        <v>15224</v>
      </c>
      <c r="AZ1378" t="s">
        <v>4</v>
      </c>
      <c r="BA1378" s="3" t="s">
        <v>95</v>
      </c>
      <c r="BB1378" s="6" t="s">
        <v>95</v>
      </c>
      <c r="BC1378" s="3" t="s">
        <v>95</v>
      </c>
      <c r="BD1378" t="s">
        <v>4</v>
      </c>
      <c r="BE1378">
        <v>10564</v>
      </c>
      <c r="BF1378" t="s">
        <v>169</v>
      </c>
      <c r="BG1378">
        <v>64.331199999999995</v>
      </c>
      <c r="BH1378">
        <v>100</v>
      </c>
      <c r="BI1378">
        <v>99.363100000000003</v>
      </c>
      <c r="BJ1378">
        <v>100</v>
      </c>
      <c r="BK1378">
        <v>98.726100000000002</v>
      </c>
      <c r="BM1378">
        <v>92.356700000000004</v>
      </c>
      <c r="BN1378">
        <v>92.356700000000004</v>
      </c>
      <c r="BO1378">
        <v>99.363100000000003</v>
      </c>
      <c r="BP1378">
        <v>98.089200000000005</v>
      </c>
      <c r="BQ1378">
        <v>76.433099999999996</v>
      </c>
      <c r="BR1378">
        <v>90.445899999999995</v>
      </c>
      <c r="BS1378" t="s">
        <v>15225</v>
      </c>
      <c r="BT1378" t="s">
        <v>15226</v>
      </c>
      <c r="BU1378">
        <v>85.350300000000004</v>
      </c>
      <c r="BV1378" t="s">
        <v>15227</v>
      </c>
      <c r="BW1378">
        <v>91.719700000000003</v>
      </c>
      <c r="BX1378">
        <v>94.267499999999998</v>
      </c>
      <c r="CA1378">
        <v>91.719700000000003</v>
      </c>
      <c r="CB1378">
        <v>86.624200000000002</v>
      </c>
      <c r="CD1378" t="s">
        <v>15228</v>
      </c>
      <c r="CE1378">
        <v>66.242000000000004</v>
      </c>
      <c r="CF1378">
        <v>84.713399999999993</v>
      </c>
      <c r="CG1378" t="s">
        <v>15229</v>
      </c>
      <c r="CH1378" t="s">
        <v>15230</v>
      </c>
      <c r="CI1378">
        <v>57.961799999999997</v>
      </c>
      <c r="CJ1378">
        <v>54.140099999999997</v>
      </c>
      <c r="CK1378">
        <v>9</v>
      </c>
      <c r="CL1378" t="s">
        <v>4</v>
      </c>
      <c r="CM1378" t="s">
        <v>15231</v>
      </c>
      <c r="CN1378" t="s">
        <v>15232</v>
      </c>
      <c r="CO1378" t="s">
        <v>219</v>
      </c>
      <c r="CP1378" t="s">
        <v>100</v>
      </c>
      <c r="CQ1378" t="s">
        <v>100</v>
      </c>
      <c r="CR1378" t="s">
        <v>100</v>
      </c>
      <c r="CS1378" s="7" t="s">
        <v>101</v>
      </c>
      <c r="CT1378" t="s">
        <v>152</v>
      </c>
      <c r="CU1378" t="s">
        <v>102</v>
      </c>
      <c r="CV1378" t="s">
        <v>100</v>
      </c>
    </row>
    <row r="1379" spans="1:100">
      <c r="A1379" s="3" t="s">
        <v>15233</v>
      </c>
      <c r="B1379" s="4" t="s">
        <v>15234</v>
      </c>
      <c r="C1379">
        <v>298.276232539695</v>
      </c>
      <c r="D1379">
        <v>281.46511412289198</v>
      </c>
      <c r="E1379">
        <v>8.4577137567946603E-2</v>
      </c>
      <c r="F1379">
        <v>0.83535407979954401</v>
      </c>
      <c r="G1379" t="s">
        <v>4</v>
      </c>
      <c r="H1379">
        <v>298.276232539695</v>
      </c>
      <c r="I1379">
        <v>63.2804272294619</v>
      </c>
      <c r="J1379">
        <v>2.2142503357903802</v>
      </c>
      <c r="K1379" s="5">
        <v>1.47965770921065E-10</v>
      </c>
      <c r="L1379" t="s">
        <v>4</v>
      </c>
      <c r="M1379">
        <v>281.46511412289198</v>
      </c>
      <c r="N1379">
        <v>63.2804272294619</v>
      </c>
      <c r="O1379">
        <v>2.12967319822243</v>
      </c>
      <c r="P1379" s="5">
        <v>6.3166135181550995E-10</v>
      </c>
      <c r="Q1379" t="s">
        <v>4</v>
      </c>
      <c r="R1379" s="4" t="s">
        <v>87</v>
      </c>
      <c r="S1379" t="s">
        <v>4</v>
      </c>
      <c r="T1379" t="s">
        <v>15235</v>
      </c>
      <c r="U1379" t="s">
        <v>15236</v>
      </c>
      <c r="V1379" t="s">
        <v>15237</v>
      </c>
      <c r="W1379" t="s">
        <v>976</v>
      </c>
      <c r="X1379" t="s">
        <v>4</v>
      </c>
      <c r="Y1379" t="s">
        <v>15238</v>
      </c>
      <c r="Z1379" t="s">
        <v>15239</v>
      </c>
      <c r="AA1379" t="s">
        <v>15240</v>
      </c>
      <c r="AB1379" t="s">
        <v>4</v>
      </c>
      <c r="AC1379" s="3" t="s">
        <v>15241</v>
      </c>
      <c r="AD1379" t="s">
        <v>4</v>
      </c>
      <c r="AE1379" t="s">
        <v>15242</v>
      </c>
      <c r="AF1379" t="s">
        <v>834</v>
      </c>
      <c r="AG1379" t="s">
        <v>15243</v>
      </c>
      <c r="AH1379" t="s">
        <v>112</v>
      </c>
      <c r="AJ1379" t="s">
        <v>15244</v>
      </c>
      <c r="AL1379" t="s">
        <v>15245</v>
      </c>
      <c r="AQ1379" t="s">
        <v>861</v>
      </c>
      <c r="AU1379" t="s">
        <v>112</v>
      </c>
      <c r="AV1379" t="s">
        <v>15246</v>
      </c>
      <c r="AW1379" t="s">
        <v>114</v>
      </c>
      <c r="AX1379" t="s">
        <v>1938</v>
      </c>
      <c r="AY1379" t="s">
        <v>15247</v>
      </c>
      <c r="AZ1379" t="s">
        <v>4</v>
      </c>
      <c r="BA1379" s="3" t="s">
        <v>115</v>
      </c>
      <c r="BB1379" s="6" t="s">
        <v>95</v>
      </c>
      <c r="BC1379" s="3" t="s">
        <v>95</v>
      </c>
      <c r="BD1379" t="s">
        <v>4</v>
      </c>
      <c r="BE1379">
        <v>6467</v>
      </c>
      <c r="BF1379" t="s">
        <v>213</v>
      </c>
      <c r="BG1379">
        <v>98.527199999999993</v>
      </c>
      <c r="BH1379">
        <v>86.597899999999996</v>
      </c>
      <c r="BI1379">
        <v>92.341700000000003</v>
      </c>
      <c r="BM1379">
        <v>21.6495</v>
      </c>
      <c r="BO1379">
        <v>18.114899999999999</v>
      </c>
      <c r="BP1379" t="s">
        <v>15248</v>
      </c>
      <c r="BQ1379">
        <v>30.486000000000001</v>
      </c>
      <c r="BR1379">
        <v>31.5169</v>
      </c>
      <c r="BS1379">
        <v>32.400599999999997</v>
      </c>
      <c r="BT1379">
        <v>31.2224</v>
      </c>
      <c r="BU1379">
        <v>12.813000000000001</v>
      </c>
      <c r="BV1379" t="s">
        <v>15249</v>
      </c>
      <c r="BW1379">
        <v>36.966099999999997</v>
      </c>
      <c r="BX1379">
        <v>37.113399999999999</v>
      </c>
      <c r="BY1379">
        <v>16.789400000000001</v>
      </c>
      <c r="BZ1379">
        <v>19.587599999999998</v>
      </c>
      <c r="CA1379">
        <v>36.524299999999997</v>
      </c>
      <c r="CB1379">
        <v>30.927800000000001</v>
      </c>
      <c r="CC1379">
        <v>20.618600000000001</v>
      </c>
      <c r="CD1379">
        <v>35.198799999999999</v>
      </c>
      <c r="CG1379">
        <v>41.678899999999999</v>
      </c>
      <c r="CH1379">
        <v>41.384399999999999</v>
      </c>
      <c r="CI1379">
        <v>39.9116</v>
      </c>
      <c r="CK1379">
        <v>8</v>
      </c>
      <c r="CL1379" t="s">
        <v>4</v>
      </c>
      <c r="CM1379" t="s">
        <v>15250</v>
      </c>
      <c r="CN1379" t="s">
        <v>15251</v>
      </c>
      <c r="CO1379" t="s">
        <v>99</v>
      </c>
      <c r="CP1379" t="s">
        <v>100</v>
      </c>
      <c r="CQ1379" t="s">
        <v>100</v>
      </c>
      <c r="CR1379" t="s">
        <v>100</v>
      </c>
      <c r="CS1379" t="s">
        <v>101</v>
      </c>
      <c r="CT1379" t="s">
        <v>152</v>
      </c>
      <c r="CU1379" t="s">
        <v>102</v>
      </c>
      <c r="CV1379" t="s">
        <v>100</v>
      </c>
    </row>
    <row r="1380" spans="1:100">
      <c r="A1380" s="3" t="s">
        <v>15252</v>
      </c>
      <c r="B1380" s="4" t="s">
        <v>15253</v>
      </c>
      <c r="C1380">
        <v>631.83325957173599</v>
      </c>
      <c r="D1380">
        <v>996.86501064969002</v>
      </c>
      <c r="E1380">
        <f>0.658131286424673</f>
        <v>0.658131286424673</v>
      </c>
      <c r="F1380">
        <v>5.58909752155251E-2</v>
      </c>
      <c r="G1380" t="s">
        <v>4</v>
      </c>
      <c r="H1380">
        <v>631.83325957173599</v>
      </c>
      <c r="I1380">
        <v>226.44822008022101</v>
      </c>
      <c r="J1380">
        <v>1.4711546495813801</v>
      </c>
      <c r="K1380" s="5">
        <v>6.3834300058911397E-6</v>
      </c>
      <c r="L1380" t="s">
        <v>4</v>
      </c>
      <c r="M1380">
        <v>996.86501064969002</v>
      </c>
      <c r="N1380">
        <v>226.44822008022101</v>
      </c>
      <c r="O1380">
        <v>2.1292859360060601</v>
      </c>
      <c r="P1380" s="5">
        <v>1.7727389199864599E-11</v>
      </c>
      <c r="Q1380" t="s">
        <v>4</v>
      </c>
      <c r="R1380" s="4" t="s">
        <v>87</v>
      </c>
      <c r="S1380" t="s">
        <v>4</v>
      </c>
      <c r="T1380" t="s">
        <v>92</v>
      </c>
      <c r="U1380" t="s">
        <v>92</v>
      </c>
      <c r="V1380" t="s">
        <v>92</v>
      </c>
      <c r="W1380" t="s">
        <v>92</v>
      </c>
      <c r="X1380" t="s">
        <v>4</v>
      </c>
      <c r="Y1380" t="s">
        <v>15254</v>
      </c>
      <c r="Z1380" t="s">
        <v>15255</v>
      </c>
      <c r="AA1380" t="s">
        <v>15256</v>
      </c>
      <c r="AB1380" t="s">
        <v>4</v>
      </c>
      <c r="AC1380" s="3" t="s">
        <v>93</v>
      </c>
      <c r="AD1380" t="s">
        <v>4</v>
      </c>
      <c r="AE1380" t="s">
        <v>15257</v>
      </c>
      <c r="AF1380" t="s">
        <v>15258</v>
      </c>
      <c r="AG1380" t="s">
        <v>15259</v>
      </c>
      <c r="AH1380" t="s">
        <v>314</v>
      </c>
      <c r="AU1380" t="s">
        <v>112</v>
      </c>
      <c r="AV1380" t="s">
        <v>15260</v>
      </c>
      <c r="AW1380" t="s">
        <v>114</v>
      </c>
      <c r="AX1380" t="s">
        <v>144</v>
      </c>
      <c r="AY1380" t="s">
        <v>15261</v>
      </c>
      <c r="AZ1380" t="s">
        <v>4</v>
      </c>
      <c r="BA1380" s="3" t="s">
        <v>95</v>
      </c>
      <c r="BB1380" s="6" t="s">
        <v>95</v>
      </c>
      <c r="BC1380" s="3" t="s">
        <v>95</v>
      </c>
      <c r="BD1380" t="s">
        <v>4</v>
      </c>
      <c r="BE1380">
        <v>2634</v>
      </c>
      <c r="BF1380" t="s">
        <v>97</v>
      </c>
      <c r="BG1380" t="s">
        <v>15262</v>
      </c>
      <c r="BH1380">
        <v>70.093500000000006</v>
      </c>
      <c r="BJ1380">
        <v>84.112200000000001</v>
      </c>
      <c r="BK1380">
        <v>74.143299999999996</v>
      </c>
      <c r="BL1380">
        <v>78.193100000000001</v>
      </c>
      <c r="BM1380">
        <v>79.439300000000003</v>
      </c>
      <c r="BN1380">
        <v>75.700900000000004</v>
      </c>
      <c r="BO1380">
        <v>69.158900000000003</v>
      </c>
      <c r="CK1380">
        <v>4</v>
      </c>
      <c r="CL1380" t="s">
        <v>4</v>
      </c>
      <c r="CM1380" t="s">
        <v>98</v>
      </c>
      <c r="CN1380" t="s">
        <v>98</v>
      </c>
      <c r="CO1380" t="s">
        <v>99</v>
      </c>
      <c r="CP1380" t="s">
        <v>100</v>
      </c>
      <c r="CQ1380" t="s">
        <v>100</v>
      </c>
      <c r="CR1380" t="s">
        <v>100</v>
      </c>
      <c r="CS1380" s="7" t="s">
        <v>101</v>
      </c>
      <c r="CT1380" t="s">
        <v>152</v>
      </c>
      <c r="CU1380" t="s">
        <v>102</v>
      </c>
      <c r="CV1380" t="s">
        <v>100</v>
      </c>
    </row>
    <row r="1381" spans="1:100">
      <c r="A1381" s="3" t="s">
        <v>15263</v>
      </c>
      <c r="B1381" s="4" t="s">
        <v>15264</v>
      </c>
      <c r="C1381">
        <v>63.241767963336898</v>
      </c>
      <c r="D1381">
        <v>31.854944020047299</v>
      </c>
      <c r="E1381">
        <v>0.98763286067954303</v>
      </c>
      <c r="F1381">
        <v>0.14702671888732299</v>
      </c>
      <c r="G1381" t="s">
        <v>4</v>
      </c>
      <c r="H1381">
        <v>63.241767963336898</v>
      </c>
      <c r="I1381">
        <v>7.3250537974792502</v>
      </c>
      <c r="J1381">
        <v>3.11556679734869</v>
      </c>
      <c r="K1381" s="5">
        <v>1.55454990357345E-5</v>
      </c>
      <c r="L1381" t="s">
        <v>4</v>
      </c>
      <c r="M1381">
        <v>31.854944020047299</v>
      </c>
      <c r="N1381">
        <v>7.3250537974792502</v>
      </c>
      <c r="O1381">
        <v>2.1279339366691401</v>
      </c>
      <c r="P1381">
        <v>3.9762981756881598E-3</v>
      </c>
      <c r="Q1381" t="s">
        <v>4</v>
      </c>
      <c r="R1381" s="4" t="s">
        <v>87</v>
      </c>
      <c r="S1381" t="s">
        <v>4</v>
      </c>
      <c r="T1381" t="s">
        <v>88</v>
      </c>
      <c r="U1381" t="s">
        <v>89</v>
      </c>
      <c r="V1381" t="s">
        <v>90</v>
      </c>
      <c r="W1381" t="s">
        <v>91</v>
      </c>
      <c r="X1381" t="s">
        <v>4</v>
      </c>
      <c r="Y1381" t="s">
        <v>15265</v>
      </c>
      <c r="Z1381" t="s">
        <v>15266</v>
      </c>
      <c r="AA1381" t="s">
        <v>15267</v>
      </c>
      <c r="AB1381" t="s">
        <v>4</v>
      </c>
      <c r="AC1381" s="3" t="s">
        <v>15268</v>
      </c>
      <c r="AD1381" t="s">
        <v>4</v>
      </c>
      <c r="AE1381" t="s">
        <v>15269</v>
      </c>
      <c r="AF1381" t="s">
        <v>15270</v>
      </c>
      <c r="AG1381" t="s">
        <v>15271</v>
      </c>
      <c r="AH1381" t="s">
        <v>112</v>
      </c>
      <c r="AU1381" t="s">
        <v>112</v>
      </c>
      <c r="AV1381" t="s">
        <v>15272</v>
      </c>
      <c r="AW1381" t="s">
        <v>114</v>
      </c>
      <c r="AX1381" t="s">
        <v>144</v>
      </c>
      <c r="AY1381" t="s">
        <v>15273</v>
      </c>
      <c r="AZ1381" t="s">
        <v>4</v>
      </c>
      <c r="BA1381" s="3" t="s">
        <v>95</v>
      </c>
      <c r="BB1381" t="s">
        <v>96</v>
      </c>
      <c r="BC1381" s="3" t="s">
        <v>95</v>
      </c>
      <c r="BD1381" t="s">
        <v>4</v>
      </c>
      <c r="BE1381">
        <v>3170</v>
      </c>
      <c r="BF1381" t="s">
        <v>112</v>
      </c>
      <c r="BH1381">
        <v>100</v>
      </c>
      <c r="BI1381">
        <v>68.441100000000006</v>
      </c>
      <c r="BP1381">
        <v>30.798500000000001</v>
      </c>
      <c r="BR1381" t="s">
        <v>15274</v>
      </c>
      <c r="CK1381">
        <v>5</v>
      </c>
      <c r="CL1381" t="s">
        <v>4</v>
      </c>
      <c r="CM1381" t="s">
        <v>98</v>
      </c>
      <c r="CN1381" t="s">
        <v>98</v>
      </c>
      <c r="CO1381" t="s">
        <v>99</v>
      </c>
      <c r="CP1381" t="s">
        <v>100</v>
      </c>
      <c r="CQ1381" t="s">
        <v>100</v>
      </c>
      <c r="CR1381" t="s">
        <v>100</v>
      </c>
      <c r="CS1381" t="s">
        <v>101</v>
      </c>
      <c r="CT1381" t="s">
        <v>152</v>
      </c>
      <c r="CU1381" t="s">
        <v>102</v>
      </c>
      <c r="CV1381" t="s">
        <v>100</v>
      </c>
    </row>
    <row r="1382" spans="1:100">
      <c r="A1382" s="3" t="s">
        <v>15275</v>
      </c>
      <c r="B1382" s="4" t="s">
        <v>15276</v>
      </c>
      <c r="C1382">
        <v>243.72312323798101</v>
      </c>
      <c r="D1382">
        <v>487.66296507176799</v>
      </c>
      <c r="E1382">
        <f>0.999657110218227</f>
        <v>0.99965711021822701</v>
      </c>
      <c r="F1382">
        <v>8.1658957980474609E-3</v>
      </c>
      <c r="G1382" t="s">
        <v>4</v>
      </c>
      <c r="H1382">
        <v>243.72312323798101</v>
      </c>
      <c r="I1382">
        <v>110.909756206233</v>
      </c>
      <c r="J1382">
        <v>1.1172272685771101</v>
      </c>
      <c r="K1382">
        <v>3.0165569937819501E-3</v>
      </c>
      <c r="L1382" t="s">
        <v>4</v>
      </c>
      <c r="M1382">
        <v>487.66296507176799</v>
      </c>
      <c r="N1382">
        <v>110.909756206233</v>
      </c>
      <c r="O1382">
        <v>2.11688437879533</v>
      </c>
      <c r="P1382" s="5">
        <v>3.5369053269317898E-9</v>
      </c>
      <c r="Q1382" t="s">
        <v>4</v>
      </c>
      <c r="R1382" s="4" t="s">
        <v>87</v>
      </c>
      <c r="S1382" t="s">
        <v>4</v>
      </c>
      <c r="T1382" t="s">
        <v>15277</v>
      </c>
      <c r="U1382" t="s">
        <v>15278</v>
      </c>
      <c r="V1382" t="s">
        <v>15279</v>
      </c>
      <c r="W1382" t="s">
        <v>976</v>
      </c>
      <c r="X1382" t="s">
        <v>4</v>
      </c>
      <c r="Y1382" t="s">
        <v>15280</v>
      </c>
      <c r="Z1382" t="s">
        <v>15281</v>
      </c>
      <c r="AA1382" t="s">
        <v>15282</v>
      </c>
      <c r="AB1382" t="s">
        <v>4</v>
      </c>
      <c r="AC1382" s="3" t="s">
        <v>15283</v>
      </c>
      <c r="AD1382" t="s">
        <v>4</v>
      </c>
      <c r="AE1382" t="s">
        <v>15284</v>
      </c>
      <c r="AF1382" t="s">
        <v>15285</v>
      </c>
      <c r="AG1382" t="s">
        <v>15286</v>
      </c>
      <c r="AH1382" t="s">
        <v>112</v>
      </c>
      <c r="AU1382" t="s">
        <v>112</v>
      </c>
      <c r="AV1382" t="s">
        <v>15287</v>
      </c>
      <c r="AW1382" t="s">
        <v>114</v>
      </c>
      <c r="AX1382" t="s">
        <v>144</v>
      </c>
      <c r="AY1382" t="s">
        <v>15288</v>
      </c>
      <c r="AZ1382" t="s">
        <v>4</v>
      </c>
      <c r="BA1382" s="3" t="s">
        <v>95</v>
      </c>
      <c r="BB1382" s="6" t="s">
        <v>95</v>
      </c>
      <c r="BC1382" s="3" t="s">
        <v>95</v>
      </c>
      <c r="BD1382" t="s">
        <v>4</v>
      </c>
      <c r="BE1382">
        <v>9021</v>
      </c>
      <c r="BF1382" t="s">
        <v>169</v>
      </c>
      <c r="BG1382">
        <v>98.484800000000007</v>
      </c>
      <c r="BH1382">
        <v>71.969700000000003</v>
      </c>
      <c r="BI1382">
        <v>86.363600000000005</v>
      </c>
      <c r="BJ1382">
        <v>76.515199999999993</v>
      </c>
      <c r="BM1382">
        <v>76.515199999999993</v>
      </c>
      <c r="BN1382">
        <v>76.515199999999993</v>
      </c>
      <c r="BO1382">
        <v>49.242400000000004</v>
      </c>
      <c r="BP1382">
        <v>55.302999999999997</v>
      </c>
      <c r="BQ1382">
        <v>49.242400000000004</v>
      </c>
      <c r="BR1382">
        <v>48.4848</v>
      </c>
      <c r="BS1382">
        <v>49.242400000000004</v>
      </c>
      <c r="BW1382">
        <v>46.2121</v>
      </c>
      <c r="BX1382">
        <v>48.4848</v>
      </c>
      <c r="BZ1382">
        <v>49.242400000000004</v>
      </c>
      <c r="CA1382">
        <v>40.909100000000002</v>
      </c>
      <c r="CB1382">
        <v>36.363599999999998</v>
      </c>
      <c r="CE1382">
        <v>31.818200000000001</v>
      </c>
      <c r="CF1382">
        <v>31.818200000000001</v>
      </c>
      <c r="CG1382">
        <v>25.7576</v>
      </c>
      <c r="CH1382">
        <v>27.2727</v>
      </c>
      <c r="CI1382">
        <v>28.0303</v>
      </c>
      <c r="CJ1382">
        <v>28.7879</v>
      </c>
      <c r="CK1382">
        <v>9</v>
      </c>
      <c r="CL1382" t="s">
        <v>4</v>
      </c>
      <c r="CM1382" t="s">
        <v>15289</v>
      </c>
      <c r="CN1382" t="s">
        <v>15290</v>
      </c>
      <c r="CO1382" t="s">
        <v>219</v>
      </c>
      <c r="CP1382" t="s">
        <v>100</v>
      </c>
      <c r="CQ1382" t="s">
        <v>100</v>
      </c>
      <c r="CR1382" t="s">
        <v>100</v>
      </c>
      <c r="CS1382" s="7" t="s">
        <v>101</v>
      </c>
      <c r="CT1382" t="s">
        <v>152</v>
      </c>
      <c r="CU1382" t="s">
        <v>102</v>
      </c>
      <c r="CV1382" t="s">
        <v>100</v>
      </c>
    </row>
    <row r="1383" spans="1:100">
      <c r="A1383" s="3" t="s">
        <v>15291</v>
      </c>
      <c r="B1383" s="4" t="s">
        <v>15292</v>
      </c>
      <c r="C1383">
        <v>40.672822034779898</v>
      </c>
      <c r="D1383">
        <v>41.847294214405103</v>
      </c>
      <c r="E1383">
        <f>0.0392752308429581</f>
        <v>3.92752308429581E-2</v>
      </c>
      <c r="F1383">
        <v>0.96637814451410098</v>
      </c>
      <c r="G1383" t="s">
        <v>4</v>
      </c>
      <c r="H1383">
        <v>40.672822034779898</v>
      </c>
      <c r="I1383">
        <v>9.5792901198513096</v>
      </c>
      <c r="J1383">
        <v>2.0755778385646102</v>
      </c>
      <c r="K1383">
        <v>9.4788036344800493E-3</v>
      </c>
      <c r="L1383" t="s">
        <v>4</v>
      </c>
      <c r="M1383">
        <v>41.847294214405103</v>
      </c>
      <c r="N1383">
        <v>9.5792901198513096</v>
      </c>
      <c r="O1383">
        <v>2.11485306940757</v>
      </c>
      <c r="P1383">
        <v>7.6738881460776702E-3</v>
      </c>
      <c r="Q1383" t="s">
        <v>4</v>
      </c>
      <c r="R1383" s="4" t="s">
        <v>87</v>
      </c>
      <c r="S1383" t="s">
        <v>4</v>
      </c>
      <c r="T1383" t="s">
        <v>15293</v>
      </c>
      <c r="U1383" t="s">
        <v>15294</v>
      </c>
      <c r="V1383" t="s">
        <v>15295</v>
      </c>
      <c r="W1383" t="s">
        <v>328</v>
      </c>
      <c r="X1383" t="s">
        <v>4</v>
      </c>
      <c r="Y1383" t="s">
        <v>3778</v>
      </c>
      <c r="Z1383" t="s">
        <v>3779</v>
      </c>
      <c r="AA1383" t="s">
        <v>3780</v>
      </c>
      <c r="AB1383" t="s">
        <v>4</v>
      </c>
      <c r="AC1383" s="3" t="s">
        <v>15296</v>
      </c>
      <c r="AD1383" t="s">
        <v>4</v>
      </c>
      <c r="AE1383" t="s">
        <v>15297</v>
      </c>
      <c r="AF1383" t="s">
        <v>15298</v>
      </c>
      <c r="AG1383" t="s">
        <v>1815</v>
      </c>
      <c r="AH1383" t="s">
        <v>112</v>
      </c>
      <c r="AU1383" t="s">
        <v>112</v>
      </c>
      <c r="AV1383" t="s">
        <v>15299</v>
      </c>
      <c r="AW1383" t="s">
        <v>114</v>
      </c>
      <c r="AX1383" t="s">
        <v>132</v>
      </c>
      <c r="AY1383" t="s">
        <v>15300</v>
      </c>
      <c r="AZ1383" t="s">
        <v>4</v>
      </c>
      <c r="BA1383" s="3" t="s">
        <v>95</v>
      </c>
      <c r="BB1383" t="s">
        <v>96</v>
      </c>
      <c r="BC1383" s="3" t="s">
        <v>95</v>
      </c>
      <c r="BD1383" t="s">
        <v>4</v>
      </c>
      <c r="BE1383">
        <v>4976</v>
      </c>
      <c r="BF1383" t="s">
        <v>282</v>
      </c>
      <c r="BG1383">
        <v>97.818200000000004</v>
      </c>
      <c r="BH1383">
        <v>82</v>
      </c>
      <c r="BI1383">
        <v>86.181799999999996</v>
      </c>
      <c r="BJ1383" t="s">
        <v>15301</v>
      </c>
      <c r="BK1383">
        <v>33.636400000000002</v>
      </c>
      <c r="BL1383">
        <v>12.545500000000001</v>
      </c>
      <c r="BM1383">
        <v>13.2727</v>
      </c>
      <c r="BO1383">
        <v>72.909099999999995</v>
      </c>
      <c r="BP1383">
        <v>43.2727</v>
      </c>
      <c r="BQ1383">
        <v>60.181800000000003</v>
      </c>
      <c r="BR1383">
        <v>55.454500000000003</v>
      </c>
      <c r="BS1383">
        <v>36.909100000000002</v>
      </c>
      <c r="BT1383">
        <v>50.545499999999997</v>
      </c>
      <c r="BV1383" t="s">
        <v>15302</v>
      </c>
      <c r="BW1383">
        <v>49.090899999999998</v>
      </c>
      <c r="BX1383">
        <v>15.454499999999999</v>
      </c>
      <c r="BY1383">
        <v>35.454500000000003</v>
      </c>
      <c r="BZ1383" t="s">
        <v>15303</v>
      </c>
      <c r="CA1383">
        <v>56.7273</v>
      </c>
      <c r="CC1383" t="s">
        <v>15304</v>
      </c>
      <c r="CD1383">
        <v>44.7273</v>
      </c>
      <c r="CK1383">
        <v>6</v>
      </c>
      <c r="CL1383" t="s">
        <v>4</v>
      </c>
      <c r="CM1383" t="s">
        <v>15305</v>
      </c>
      <c r="CN1383" t="s">
        <v>15306</v>
      </c>
      <c r="CO1383" t="s">
        <v>99</v>
      </c>
      <c r="CP1383" t="s">
        <v>100</v>
      </c>
      <c r="CQ1383" t="s">
        <v>100</v>
      </c>
      <c r="CR1383" t="s">
        <v>100</v>
      </c>
      <c r="CS1383" t="s">
        <v>101</v>
      </c>
      <c r="CT1383" t="s">
        <v>152</v>
      </c>
      <c r="CU1383" t="s">
        <v>102</v>
      </c>
      <c r="CV1383" t="s">
        <v>100</v>
      </c>
    </row>
    <row r="1384" spans="1:100">
      <c r="A1384" s="3" t="s">
        <v>15307</v>
      </c>
      <c r="B1384" s="4" t="s">
        <v>15308</v>
      </c>
      <c r="C1384">
        <v>4132.6847198088699</v>
      </c>
      <c r="D1384">
        <v>2943.2496558409298</v>
      </c>
      <c r="E1384">
        <v>0.48966678925733897</v>
      </c>
      <c r="F1384">
        <v>0.3164183115527</v>
      </c>
      <c r="G1384" t="s">
        <v>4</v>
      </c>
      <c r="H1384">
        <v>4132.6847198088699</v>
      </c>
      <c r="I1384">
        <v>678.40270315227895</v>
      </c>
      <c r="J1384">
        <v>2.6036646063662801</v>
      </c>
      <c r="K1384" s="5">
        <v>1.82632865849942E-9</v>
      </c>
      <c r="L1384" t="s">
        <v>4</v>
      </c>
      <c r="M1384">
        <v>2943.2496558409298</v>
      </c>
      <c r="N1384">
        <v>678.40270315227895</v>
      </c>
      <c r="O1384">
        <v>2.11399781710894</v>
      </c>
      <c r="P1384" s="5">
        <v>1.0688026277078499E-6</v>
      </c>
      <c r="Q1384" t="s">
        <v>4</v>
      </c>
      <c r="R1384" s="4" t="s">
        <v>87</v>
      </c>
      <c r="S1384" t="s">
        <v>4</v>
      </c>
      <c r="T1384" t="s">
        <v>15309</v>
      </c>
      <c r="U1384" t="s">
        <v>15310</v>
      </c>
      <c r="V1384" t="s">
        <v>15311</v>
      </c>
      <c r="W1384" t="s">
        <v>203</v>
      </c>
      <c r="X1384" t="s">
        <v>4</v>
      </c>
      <c r="Y1384" t="s">
        <v>15312</v>
      </c>
      <c r="Z1384" t="s">
        <v>15313</v>
      </c>
      <c r="AA1384" t="s">
        <v>15314</v>
      </c>
      <c r="AB1384" t="s">
        <v>4</v>
      </c>
      <c r="AC1384" s="3" t="s">
        <v>15315</v>
      </c>
      <c r="AD1384" t="s">
        <v>4</v>
      </c>
      <c r="AE1384" t="s">
        <v>15316</v>
      </c>
      <c r="AF1384" t="s">
        <v>834</v>
      </c>
      <c r="AG1384" t="s">
        <v>15317</v>
      </c>
      <c r="AH1384" t="s">
        <v>112</v>
      </c>
      <c r="AL1384" t="s">
        <v>15318</v>
      </c>
      <c r="AM1384" t="s">
        <v>7140</v>
      </c>
      <c r="AQ1384" t="s">
        <v>8795</v>
      </c>
      <c r="AU1384" t="s">
        <v>112</v>
      </c>
      <c r="AV1384" t="s">
        <v>15319</v>
      </c>
      <c r="AW1384" t="s">
        <v>114</v>
      </c>
      <c r="AX1384" t="s">
        <v>733</v>
      </c>
      <c r="AY1384" t="s">
        <v>15320</v>
      </c>
      <c r="AZ1384" t="s">
        <v>4</v>
      </c>
      <c r="BA1384" s="3" t="s">
        <v>95</v>
      </c>
      <c r="BB1384" s="6" t="s">
        <v>95</v>
      </c>
      <c r="BC1384" s="3" t="s">
        <v>95</v>
      </c>
      <c r="BD1384" t="s">
        <v>4</v>
      </c>
      <c r="BE1384">
        <v>10083</v>
      </c>
      <c r="BF1384" t="s">
        <v>169</v>
      </c>
      <c r="BG1384">
        <v>98.655900000000003</v>
      </c>
      <c r="BH1384">
        <v>64.650499999999994</v>
      </c>
      <c r="BI1384" t="s">
        <v>15321</v>
      </c>
      <c r="BJ1384">
        <v>87.365600000000001</v>
      </c>
      <c r="BK1384">
        <v>82.526899999999998</v>
      </c>
      <c r="BL1384">
        <v>27.957000000000001</v>
      </c>
      <c r="BM1384">
        <v>79.704300000000003</v>
      </c>
      <c r="BN1384">
        <v>84.677400000000006</v>
      </c>
      <c r="BO1384">
        <v>83.333299999999994</v>
      </c>
      <c r="BP1384">
        <v>52.2849</v>
      </c>
      <c r="BQ1384">
        <v>33.6021</v>
      </c>
      <c r="BR1384">
        <v>32.930100000000003</v>
      </c>
      <c r="BS1384" t="s">
        <v>15322</v>
      </c>
      <c r="BW1384">
        <v>31.720400000000001</v>
      </c>
      <c r="BX1384">
        <v>41.263399999999997</v>
      </c>
      <c r="BY1384">
        <v>27.016100000000002</v>
      </c>
      <c r="BZ1384">
        <v>8.1989300000000007</v>
      </c>
      <c r="CA1384">
        <v>36.559100000000001</v>
      </c>
      <c r="CB1384" t="s">
        <v>15323</v>
      </c>
      <c r="CC1384" t="s">
        <v>15324</v>
      </c>
      <c r="CD1384">
        <v>31.3172</v>
      </c>
      <c r="CE1384">
        <v>26.747299999999999</v>
      </c>
      <c r="CF1384">
        <v>32.795699999999997</v>
      </c>
      <c r="CG1384">
        <v>30.779599999999999</v>
      </c>
      <c r="CH1384">
        <v>30.779599999999999</v>
      </c>
      <c r="CI1384">
        <v>30.779599999999999</v>
      </c>
      <c r="CJ1384">
        <v>23.5215</v>
      </c>
      <c r="CK1384">
        <v>9</v>
      </c>
      <c r="CL1384" t="s">
        <v>4</v>
      </c>
      <c r="CM1384" t="s">
        <v>15325</v>
      </c>
      <c r="CN1384" t="s">
        <v>15326</v>
      </c>
      <c r="CO1384" t="s">
        <v>99</v>
      </c>
      <c r="CP1384" t="s">
        <v>100</v>
      </c>
      <c r="CQ1384" t="s">
        <v>100</v>
      </c>
      <c r="CR1384" t="s">
        <v>100</v>
      </c>
      <c r="CS1384" t="s">
        <v>101</v>
      </c>
      <c r="CT1384" t="s">
        <v>152</v>
      </c>
      <c r="CU1384" t="s">
        <v>102</v>
      </c>
      <c r="CV1384" t="s">
        <v>100</v>
      </c>
    </row>
    <row r="1385" spans="1:100">
      <c r="A1385" s="3" t="s">
        <v>15327</v>
      </c>
      <c r="B1385" s="4" t="s">
        <v>15328</v>
      </c>
      <c r="C1385">
        <v>745.82863110828396</v>
      </c>
      <c r="D1385">
        <v>578.97774941467503</v>
      </c>
      <c r="E1385">
        <v>0.36590055567956198</v>
      </c>
      <c r="F1385">
        <v>8.3590040303111304E-2</v>
      </c>
      <c r="G1385" t="s">
        <v>4</v>
      </c>
      <c r="H1385">
        <v>745.82863110828396</v>
      </c>
      <c r="I1385">
        <v>133.75298233996301</v>
      </c>
      <c r="J1385">
        <v>2.4751976645090998</v>
      </c>
      <c r="K1385" s="5">
        <v>7.8488094718784592E-34</v>
      </c>
      <c r="L1385" t="s">
        <v>4</v>
      </c>
      <c r="M1385">
        <v>578.97774941467503</v>
      </c>
      <c r="N1385">
        <v>133.75298233996301</v>
      </c>
      <c r="O1385">
        <v>2.1092971088295398</v>
      </c>
      <c r="P1385" s="5">
        <v>1.0254706449893199E-24</v>
      </c>
      <c r="Q1385" t="s">
        <v>4</v>
      </c>
      <c r="R1385" s="4" t="s">
        <v>87</v>
      </c>
      <c r="S1385" t="s">
        <v>4</v>
      </c>
      <c r="T1385" t="s">
        <v>15329</v>
      </c>
      <c r="U1385" t="s">
        <v>15330</v>
      </c>
      <c r="V1385" t="s">
        <v>15331</v>
      </c>
      <c r="W1385" t="s">
        <v>203</v>
      </c>
      <c r="X1385" t="s">
        <v>4</v>
      </c>
      <c r="Y1385" t="s">
        <v>15332</v>
      </c>
      <c r="Z1385" t="s">
        <v>15333</v>
      </c>
      <c r="AA1385" t="s">
        <v>15334</v>
      </c>
      <c r="AB1385" t="s">
        <v>4</v>
      </c>
      <c r="AC1385" s="3" t="s">
        <v>15335</v>
      </c>
      <c r="AD1385" t="s">
        <v>4</v>
      </c>
      <c r="AE1385" t="s">
        <v>15336</v>
      </c>
      <c r="AF1385" t="s">
        <v>15337</v>
      </c>
      <c r="AG1385" t="s">
        <v>15338</v>
      </c>
      <c r="AH1385" t="s">
        <v>112</v>
      </c>
      <c r="AJ1385" t="s">
        <v>15339</v>
      </c>
      <c r="AK1385" t="s">
        <v>15340</v>
      </c>
      <c r="AL1385" t="s">
        <v>15341</v>
      </c>
      <c r="AM1385" t="s">
        <v>15342</v>
      </c>
      <c r="AQ1385" t="s">
        <v>15343</v>
      </c>
      <c r="AU1385" t="s">
        <v>112</v>
      </c>
      <c r="AV1385" t="s">
        <v>15344</v>
      </c>
      <c r="AW1385" t="s">
        <v>114</v>
      </c>
      <c r="AX1385" t="s">
        <v>167</v>
      </c>
      <c r="AY1385" t="s">
        <v>15345</v>
      </c>
      <c r="AZ1385" t="s">
        <v>4</v>
      </c>
      <c r="BA1385" s="3" t="s">
        <v>95</v>
      </c>
      <c r="BB1385" s="6" t="s">
        <v>95</v>
      </c>
      <c r="BC1385" s="3" t="s">
        <v>95</v>
      </c>
      <c r="BD1385" t="s">
        <v>4</v>
      </c>
      <c r="BE1385">
        <v>6265</v>
      </c>
      <c r="BF1385" t="s">
        <v>213</v>
      </c>
      <c r="BG1385">
        <v>97.018299999999996</v>
      </c>
      <c r="BH1385">
        <v>69.724800000000002</v>
      </c>
      <c r="BI1385" t="s">
        <v>15346</v>
      </c>
      <c r="BJ1385">
        <v>89.4495</v>
      </c>
      <c r="BK1385">
        <v>82.339399999999998</v>
      </c>
      <c r="BL1385">
        <v>53.899099999999997</v>
      </c>
      <c r="BM1385">
        <v>85.779799999999994</v>
      </c>
      <c r="BN1385">
        <v>85.5505</v>
      </c>
      <c r="BO1385">
        <v>83.944999999999993</v>
      </c>
      <c r="BP1385">
        <v>42.889899999999997</v>
      </c>
      <c r="BQ1385">
        <v>38.5321</v>
      </c>
      <c r="BR1385">
        <v>30.5046</v>
      </c>
      <c r="BT1385">
        <v>22.0183</v>
      </c>
      <c r="BU1385">
        <v>24.311900000000001</v>
      </c>
      <c r="BV1385" t="s">
        <v>15347</v>
      </c>
      <c r="BW1385">
        <v>30.733899999999998</v>
      </c>
      <c r="BX1385">
        <v>33.027500000000003</v>
      </c>
      <c r="BZ1385">
        <v>28.210999999999999</v>
      </c>
      <c r="CG1385">
        <v>21.5596</v>
      </c>
      <c r="CH1385">
        <v>21.100899999999999</v>
      </c>
      <c r="CI1385">
        <v>24.082599999999999</v>
      </c>
      <c r="CK1385">
        <v>8</v>
      </c>
      <c r="CL1385" t="s">
        <v>4</v>
      </c>
      <c r="CM1385" t="s">
        <v>98</v>
      </c>
      <c r="CN1385" t="s">
        <v>98</v>
      </c>
      <c r="CO1385" t="s">
        <v>99</v>
      </c>
      <c r="CP1385" t="s">
        <v>100</v>
      </c>
      <c r="CQ1385" t="s">
        <v>100</v>
      </c>
      <c r="CR1385" t="s">
        <v>100</v>
      </c>
      <c r="CS1385" t="s">
        <v>101</v>
      </c>
      <c r="CT1385" t="s">
        <v>152</v>
      </c>
      <c r="CU1385" t="s">
        <v>102</v>
      </c>
      <c r="CV1385" t="s">
        <v>100</v>
      </c>
    </row>
    <row r="1386" spans="1:100">
      <c r="A1386" s="3" t="s">
        <v>15348</v>
      </c>
      <c r="B1386" s="4" t="s">
        <v>15349</v>
      </c>
      <c r="C1386">
        <v>537.47350622402405</v>
      </c>
      <c r="D1386">
        <v>867.313398679648</v>
      </c>
      <c r="E1386">
        <f>0.68992497996002</f>
        <v>0.68992497996002</v>
      </c>
      <c r="F1386">
        <v>3.12060849381284E-2</v>
      </c>
      <c r="G1386" t="s">
        <v>4</v>
      </c>
      <c r="H1386">
        <v>537.47350622402405</v>
      </c>
      <c r="I1386">
        <v>200.755666943808</v>
      </c>
      <c r="J1386">
        <v>1.4138288884464101</v>
      </c>
      <c r="K1386" s="5">
        <v>3.8336420795423102E-6</v>
      </c>
      <c r="L1386" t="s">
        <v>4</v>
      </c>
      <c r="M1386">
        <v>867.313398679648</v>
      </c>
      <c r="N1386">
        <v>200.755666943808</v>
      </c>
      <c r="O1386">
        <v>2.1037538684064301</v>
      </c>
      <c r="P1386" s="5">
        <v>1.4433046190379099E-12</v>
      </c>
      <c r="Q1386" t="s">
        <v>4</v>
      </c>
      <c r="R1386" s="4" t="s">
        <v>87</v>
      </c>
      <c r="S1386" t="s">
        <v>4</v>
      </c>
      <c r="T1386" t="s">
        <v>92</v>
      </c>
      <c r="U1386" t="s">
        <v>92</v>
      </c>
      <c r="V1386" t="s">
        <v>92</v>
      </c>
      <c r="W1386" t="s">
        <v>92</v>
      </c>
      <c r="X1386" t="s">
        <v>4</v>
      </c>
      <c r="Y1386" t="s">
        <v>92</v>
      </c>
      <c r="Z1386" t="s">
        <v>92</v>
      </c>
      <c r="AA1386" t="s">
        <v>92</v>
      </c>
      <c r="AB1386" t="s">
        <v>4</v>
      </c>
      <c r="AC1386" s="3" t="s">
        <v>15350</v>
      </c>
      <c r="AD1386" t="s">
        <v>4</v>
      </c>
      <c r="AE1386" s="4" t="s">
        <v>94</v>
      </c>
      <c r="AZ1386" t="s">
        <v>4</v>
      </c>
      <c r="BA1386" s="3" t="s">
        <v>95</v>
      </c>
      <c r="BB1386" s="6" t="s">
        <v>95</v>
      </c>
      <c r="BC1386" s="3" t="s">
        <v>95</v>
      </c>
      <c r="BD1386" t="s">
        <v>4</v>
      </c>
      <c r="BE1386">
        <v>4421</v>
      </c>
      <c r="BF1386" t="s">
        <v>112</v>
      </c>
      <c r="BH1386">
        <v>45.493600000000001</v>
      </c>
      <c r="BJ1386">
        <v>87.768199999999993</v>
      </c>
      <c r="BK1386" t="s">
        <v>15351</v>
      </c>
      <c r="BL1386">
        <v>27.682400000000001</v>
      </c>
      <c r="BM1386">
        <v>86.266099999999994</v>
      </c>
      <c r="BN1386">
        <v>86.051500000000004</v>
      </c>
      <c r="BO1386">
        <v>76.823999999999998</v>
      </c>
      <c r="BP1386">
        <v>17.382000000000001</v>
      </c>
      <c r="CK1386">
        <v>5</v>
      </c>
      <c r="CL1386" t="s">
        <v>4</v>
      </c>
      <c r="CM1386" t="s">
        <v>98</v>
      </c>
      <c r="CN1386" t="s">
        <v>98</v>
      </c>
      <c r="CO1386" t="s">
        <v>99</v>
      </c>
      <c r="CP1386" t="s">
        <v>100</v>
      </c>
      <c r="CQ1386" t="s">
        <v>100</v>
      </c>
      <c r="CR1386" t="s">
        <v>100</v>
      </c>
      <c r="CS1386" s="7" t="s">
        <v>101</v>
      </c>
      <c r="CT1386" t="s">
        <v>152</v>
      </c>
      <c r="CU1386" t="s">
        <v>102</v>
      </c>
      <c r="CV1386" t="s">
        <v>100</v>
      </c>
    </row>
    <row r="1387" spans="1:100">
      <c r="A1387" s="3" t="s">
        <v>15352</v>
      </c>
      <c r="B1387" s="4" t="s">
        <v>15353</v>
      </c>
      <c r="C1387">
        <v>46.655896757696198</v>
      </c>
      <c r="D1387">
        <v>26.960058441884499</v>
      </c>
      <c r="E1387">
        <v>0.79850592173309698</v>
      </c>
      <c r="F1387">
        <v>0.29550798660478</v>
      </c>
      <c r="G1387" t="s">
        <v>4</v>
      </c>
      <c r="H1387">
        <v>46.655896757696198</v>
      </c>
      <c r="I1387">
        <v>5.7893480644500501</v>
      </c>
      <c r="J1387">
        <v>2.9000378547143399</v>
      </c>
      <c r="K1387">
        <v>2.7739815858694202E-4</v>
      </c>
      <c r="L1387" t="s">
        <v>4</v>
      </c>
      <c r="M1387">
        <v>26.960058441884499</v>
      </c>
      <c r="N1387">
        <v>5.7893480644500501</v>
      </c>
      <c r="O1387">
        <v>2.1015319329812399</v>
      </c>
      <c r="P1387">
        <v>9.86372626067142E-3</v>
      </c>
      <c r="Q1387" t="s">
        <v>4</v>
      </c>
      <c r="R1387" s="4" t="s">
        <v>87</v>
      </c>
      <c r="S1387" t="s">
        <v>4</v>
      </c>
      <c r="T1387" t="s">
        <v>92</v>
      </c>
      <c r="U1387" t="s">
        <v>92</v>
      </c>
      <c r="V1387" t="s">
        <v>92</v>
      </c>
      <c r="W1387" t="s">
        <v>92</v>
      </c>
      <c r="X1387" t="s">
        <v>4</v>
      </c>
      <c r="Y1387" t="s">
        <v>92</v>
      </c>
      <c r="Z1387" t="s">
        <v>92</v>
      </c>
      <c r="AA1387" t="s">
        <v>92</v>
      </c>
      <c r="AB1387" t="s">
        <v>4</v>
      </c>
      <c r="AC1387" s="3" t="s">
        <v>93</v>
      </c>
      <c r="AD1387" t="s">
        <v>4</v>
      </c>
      <c r="AE1387" s="4" t="s">
        <v>94</v>
      </c>
      <c r="AZ1387" t="s">
        <v>4</v>
      </c>
      <c r="BA1387" s="3" t="s">
        <v>95</v>
      </c>
      <c r="BB1387" s="6" t="s">
        <v>95</v>
      </c>
      <c r="BC1387" s="3" t="s">
        <v>95</v>
      </c>
      <c r="BD1387" t="s">
        <v>4</v>
      </c>
      <c r="BE1387">
        <v>653</v>
      </c>
      <c r="BF1387" t="s">
        <v>322</v>
      </c>
      <c r="CK1387">
        <v>1</v>
      </c>
      <c r="CL1387" t="s">
        <v>4</v>
      </c>
      <c r="CM1387" t="s">
        <v>98</v>
      </c>
      <c r="CN1387" t="s">
        <v>98</v>
      </c>
      <c r="CO1387" t="s">
        <v>99</v>
      </c>
      <c r="CP1387" t="s">
        <v>100</v>
      </c>
      <c r="CQ1387" t="s">
        <v>100</v>
      </c>
      <c r="CR1387" t="s">
        <v>100</v>
      </c>
      <c r="CS1387" t="s">
        <v>101</v>
      </c>
      <c r="CT1387" t="s">
        <v>152</v>
      </c>
      <c r="CU1387" t="s">
        <v>102</v>
      </c>
      <c r="CV1387" t="s">
        <v>100</v>
      </c>
    </row>
    <row r="1388" spans="1:100">
      <c r="A1388" s="3" t="s">
        <v>15354</v>
      </c>
      <c r="B1388" s="4" t="s">
        <v>15355</v>
      </c>
      <c r="C1388">
        <v>653.62922167676595</v>
      </c>
      <c r="D1388">
        <v>1249.4807734614801</v>
      </c>
      <c r="E1388">
        <f>0.934676567044683</f>
        <v>0.93467656704468305</v>
      </c>
      <c r="F1388">
        <v>1.08188907114346E-4</v>
      </c>
      <c r="G1388" t="s">
        <v>4</v>
      </c>
      <c r="H1388">
        <v>653.62922167676595</v>
      </c>
      <c r="I1388">
        <v>292.02475905258001</v>
      </c>
      <c r="J1388">
        <v>1.1606467068308399</v>
      </c>
      <c r="K1388" s="5">
        <v>1.27944554784101E-6</v>
      </c>
      <c r="L1388" t="s">
        <v>4</v>
      </c>
      <c r="M1388">
        <v>1249.4807734614801</v>
      </c>
      <c r="N1388">
        <v>292.02475905258001</v>
      </c>
      <c r="O1388">
        <v>2.0953232738755201</v>
      </c>
      <c r="P1388" s="5">
        <v>1.38236543920613E-19</v>
      </c>
      <c r="Q1388" t="s">
        <v>4</v>
      </c>
      <c r="R1388" s="4" t="s">
        <v>87</v>
      </c>
      <c r="S1388" t="s">
        <v>4</v>
      </c>
      <c r="T1388" t="s">
        <v>92</v>
      </c>
      <c r="U1388" t="s">
        <v>92</v>
      </c>
      <c r="V1388" t="s">
        <v>92</v>
      </c>
      <c r="W1388" t="s">
        <v>92</v>
      </c>
      <c r="X1388" t="s">
        <v>4</v>
      </c>
      <c r="Y1388" t="s">
        <v>92</v>
      </c>
      <c r="Z1388" t="s">
        <v>92</v>
      </c>
      <c r="AA1388" t="s">
        <v>92</v>
      </c>
      <c r="AB1388" t="s">
        <v>4</v>
      </c>
      <c r="AC1388" s="3" t="s">
        <v>93</v>
      </c>
      <c r="AD1388" t="s">
        <v>4</v>
      </c>
      <c r="AE1388" s="4" t="s">
        <v>94</v>
      </c>
      <c r="AZ1388" t="s">
        <v>4</v>
      </c>
      <c r="BA1388" s="3" t="s">
        <v>95</v>
      </c>
      <c r="BB1388" s="6" t="s">
        <v>95</v>
      </c>
      <c r="BC1388" s="3" t="s">
        <v>95</v>
      </c>
      <c r="BD1388" t="s">
        <v>4</v>
      </c>
      <c r="BE1388">
        <v>3023</v>
      </c>
      <c r="BF1388" t="s">
        <v>97</v>
      </c>
      <c r="BG1388">
        <v>96.2791</v>
      </c>
      <c r="BI1388">
        <v>91.162800000000004</v>
      </c>
      <c r="BJ1388">
        <v>70.232600000000005</v>
      </c>
      <c r="BK1388">
        <v>31.162800000000001</v>
      </c>
      <c r="BL1388">
        <v>25.581399999999999</v>
      </c>
      <c r="BM1388">
        <v>64.186000000000007</v>
      </c>
      <c r="BN1388">
        <v>67.441900000000004</v>
      </c>
      <c r="BO1388">
        <v>66.046499999999995</v>
      </c>
      <c r="BP1388">
        <v>27.4419</v>
      </c>
      <c r="CK1388">
        <v>4</v>
      </c>
      <c r="CL1388" t="s">
        <v>4</v>
      </c>
      <c r="CM1388" t="s">
        <v>98</v>
      </c>
      <c r="CN1388" t="s">
        <v>98</v>
      </c>
      <c r="CO1388" t="s">
        <v>99</v>
      </c>
      <c r="CP1388" t="s">
        <v>100</v>
      </c>
      <c r="CQ1388" t="s">
        <v>100</v>
      </c>
      <c r="CR1388" t="s">
        <v>100</v>
      </c>
      <c r="CS1388" s="7" t="s">
        <v>101</v>
      </c>
      <c r="CT1388" t="s">
        <v>152</v>
      </c>
      <c r="CU1388" t="s">
        <v>102</v>
      </c>
      <c r="CV1388" t="s">
        <v>100</v>
      </c>
    </row>
    <row r="1389" spans="1:100">
      <c r="A1389" s="3" t="s">
        <v>15356</v>
      </c>
      <c r="B1389" s="4" t="s">
        <v>15357</v>
      </c>
      <c r="C1389">
        <v>1722.7481640358301</v>
      </c>
      <c r="D1389">
        <v>2159.2537089811899</v>
      </c>
      <c r="E1389">
        <f>0.325659923612804</f>
        <v>0.32565992361280399</v>
      </c>
      <c r="F1389">
        <v>0.29586507064600898</v>
      </c>
      <c r="G1389" t="s">
        <v>4</v>
      </c>
      <c r="H1389">
        <v>1722.7481640358301</v>
      </c>
      <c r="I1389">
        <v>504.45740282256799</v>
      </c>
      <c r="J1389">
        <v>1.76790776427975</v>
      </c>
      <c r="K1389" s="5">
        <v>2.1133319153429901E-10</v>
      </c>
      <c r="L1389" t="s">
        <v>4</v>
      </c>
      <c r="M1389">
        <v>2159.2537089811899</v>
      </c>
      <c r="N1389">
        <v>504.45740282256799</v>
      </c>
      <c r="O1389">
        <v>2.0935676878925502</v>
      </c>
      <c r="P1389" s="5">
        <v>2.4736956660640501E-14</v>
      </c>
      <c r="Q1389" t="s">
        <v>4</v>
      </c>
      <c r="R1389" s="4" t="s">
        <v>87</v>
      </c>
      <c r="S1389" t="s">
        <v>4</v>
      </c>
      <c r="T1389" t="s">
        <v>15358</v>
      </c>
      <c r="U1389" t="s">
        <v>15359</v>
      </c>
      <c r="V1389" t="s">
        <v>15360</v>
      </c>
      <c r="W1389" t="s">
        <v>123</v>
      </c>
      <c r="X1389" t="s">
        <v>4</v>
      </c>
      <c r="Y1389" t="s">
        <v>15361</v>
      </c>
      <c r="Z1389" t="s">
        <v>15362</v>
      </c>
      <c r="AA1389" t="s">
        <v>15363</v>
      </c>
      <c r="AB1389" t="s">
        <v>4</v>
      </c>
      <c r="AC1389" s="3" t="s">
        <v>15364</v>
      </c>
      <c r="AD1389" t="s">
        <v>4</v>
      </c>
      <c r="AE1389" t="s">
        <v>15365</v>
      </c>
      <c r="AF1389" t="s">
        <v>15366</v>
      </c>
      <c r="AG1389" t="s">
        <v>15367</v>
      </c>
      <c r="AH1389" t="s">
        <v>112</v>
      </c>
      <c r="AJ1389" t="s">
        <v>14567</v>
      </c>
      <c r="AL1389" t="s">
        <v>15368</v>
      </c>
      <c r="AQ1389" t="s">
        <v>2177</v>
      </c>
      <c r="AU1389" t="s">
        <v>112</v>
      </c>
      <c r="AV1389" t="s">
        <v>15369</v>
      </c>
      <c r="AW1389" t="s">
        <v>114</v>
      </c>
      <c r="AX1389" t="s">
        <v>144</v>
      </c>
      <c r="AY1389" t="s">
        <v>15370</v>
      </c>
      <c r="AZ1389" t="s">
        <v>4</v>
      </c>
      <c r="BA1389" s="3" t="s">
        <v>95</v>
      </c>
      <c r="BB1389" s="6" t="s">
        <v>95</v>
      </c>
      <c r="BC1389" s="3" t="s">
        <v>95</v>
      </c>
      <c r="BD1389" t="s">
        <v>4</v>
      </c>
      <c r="BE1389">
        <v>9917</v>
      </c>
      <c r="BF1389" t="s">
        <v>169</v>
      </c>
      <c r="BG1389">
        <v>86.552999999999997</v>
      </c>
      <c r="BH1389">
        <v>77.840900000000005</v>
      </c>
      <c r="BI1389">
        <v>85.416700000000006</v>
      </c>
      <c r="BJ1389">
        <v>77.462100000000007</v>
      </c>
      <c r="BK1389">
        <v>75.947000000000003</v>
      </c>
      <c r="BL1389" t="s">
        <v>15371</v>
      </c>
      <c r="BM1389">
        <v>24.053000000000001</v>
      </c>
      <c r="BN1389">
        <v>76.515199999999993</v>
      </c>
      <c r="BO1389">
        <v>76.515199999999993</v>
      </c>
      <c r="BS1389">
        <v>28.7879</v>
      </c>
      <c r="BU1389">
        <v>25.378799999999998</v>
      </c>
      <c r="BV1389" t="s">
        <v>15372</v>
      </c>
      <c r="BW1389">
        <v>27.2727</v>
      </c>
      <c r="BX1389">
        <v>37.121200000000002</v>
      </c>
      <c r="BY1389" t="s">
        <v>15373</v>
      </c>
      <c r="BZ1389" t="s">
        <v>15374</v>
      </c>
      <c r="CA1389">
        <v>33.5227</v>
      </c>
      <c r="CB1389">
        <v>19.696999999999999</v>
      </c>
      <c r="CE1389">
        <v>21.0227</v>
      </c>
      <c r="CF1389">
        <v>22.916699999999999</v>
      </c>
      <c r="CG1389" t="s">
        <v>15375</v>
      </c>
      <c r="CH1389" t="s">
        <v>15376</v>
      </c>
      <c r="CI1389">
        <v>26.5152</v>
      </c>
      <c r="CK1389">
        <v>9</v>
      </c>
      <c r="CL1389" t="s">
        <v>4</v>
      </c>
      <c r="CM1389" t="s">
        <v>15377</v>
      </c>
      <c r="CN1389" t="s">
        <v>15378</v>
      </c>
      <c r="CO1389" t="s">
        <v>663</v>
      </c>
      <c r="CP1389" t="s">
        <v>100</v>
      </c>
      <c r="CQ1389" t="s">
        <v>100</v>
      </c>
      <c r="CR1389" t="s">
        <v>100</v>
      </c>
      <c r="CS1389" s="7" t="s">
        <v>101</v>
      </c>
      <c r="CT1389" t="s">
        <v>152</v>
      </c>
      <c r="CU1389" t="s">
        <v>102</v>
      </c>
      <c r="CV1389" t="s">
        <v>100</v>
      </c>
    </row>
    <row r="1390" spans="1:100">
      <c r="A1390" s="3" t="s">
        <v>15379</v>
      </c>
      <c r="B1390" s="4" t="s">
        <v>15380</v>
      </c>
      <c r="C1390">
        <v>561.76131364104197</v>
      </c>
      <c r="D1390">
        <v>407.37458493409599</v>
      </c>
      <c r="E1390">
        <v>0.46330169795216097</v>
      </c>
      <c r="F1390">
        <v>0.204250622210324</v>
      </c>
      <c r="G1390" t="s">
        <v>4</v>
      </c>
      <c r="H1390">
        <v>561.76131364104197</v>
      </c>
      <c r="I1390">
        <v>94.332367440922795</v>
      </c>
      <c r="J1390">
        <v>2.5521975515239599</v>
      </c>
      <c r="K1390" s="5">
        <v>4.0526862031865098E-14</v>
      </c>
      <c r="L1390" t="s">
        <v>4</v>
      </c>
      <c r="M1390">
        <v>407.37458493409599</v>
      </c>
      <c r="N1390">
        <v>94.332367440922795</v>
      </c>
      <c r="O1390">
        <v>2.0888958535717999</v>
      </c>
      <c r="P1390" s="5">
        <v>7.3615438973941402E-10</v>
      </c>
      <c r="Q1390" t="s">
        <v>4</v>
      </c>
      <c r="R1390" s="4" t="s">
        <v>87</v>
      </c>
      <c r="S1390" t="s">
        <v>4</v>
      </c>
      <c r="T1390" t="s">
        <v>92</v>
      </c>
      <c r="U1390" t="s">
        <v>92</v>
      </c>
      <c r="V1390" t="s">
        <v>92</v>
      </c>
      <c r="W1390" t="s">
        <v>92</v>
      </c>
      <c r="X1390" t="s">
        <v>4</v>
      </c>
      <c r="Y1390" t="s">
        <v>92</v>
      </c>
      <c r="Z1390" t="s">
        <v>92</v>
      </c>
      <c r="AA1390" t="s">
        <v>92</v>
      </c>
      <c r="AB1390" t="s">
        <v>4</v>
      </c>
      <c r="AC1390" s="3" t="s">
        <v>93</v>
      </c>
      <c r="AD1390" t="s">
        <v>4</v>
      </c>
      <c r="AE1390" s="4" t="s">
        <v>94</v>
      </c>
      <c r="AZ1390" t="s">
        <v>4</v>
      </c>
      <c r="BA1390" s="3" t="s">
        <v>95</v>
      </c>
      <c r="BB1390" s="6" t="s">
        <v>95</v>
      </c>
      <c r="BC1390" s="3" t="s">
        <v>95</v>
      </c>
      <c r="BD1390" t="s">
        <v>4</v>
      </c>
      <c r="BE1390">
        <v>2280</v>
      </c>
      <c r="BF1390" t="s">
        <v>148</v>
      </c>
      <c r="BG1390">
        <v>67.451800000000006</v>
      </c>
      <c r="BI1390">
        <v>89.0792</v>
      </c>
      <c r="BJ1390">
        <v>72.590999999999994</v>
      </c>
      <c r="BK1390">
        <v>62.098500000000001</v>
      </c>
      <c r="BL1390">
        <v>35.331899999999997</v>
      </c>
      <c r="BM1390">
        <v>70.0214</v>
      </c>
      <c r="BN1390">
        <v>70.0214</v>
      </c>
      <c r="BO1390">
        <v>67.665999999999997</v>
      </c>
      <c r="CK1390">
        <v>3</v>
      </c>
      <c r="CL1390" t="s">
        <v>4</v>
      </c>
      <c r="CM1390" t="s">
        <v>98</v>
      </c>
      <c r="CN1390" t="s">
        <v>98</v>
      </c>
      <c r="CO1390" t="s">
        <v>99</v>
      </c>
      <c r="CP1390" t="s">
        <v>100</v>
      </c>
      <c r="CQ1390" t="s">
        <v>100</v>
      </c>
      <c r="CR1390" t="s">
        <v>100</v>
      </c>
      <c r="CS1390" t="s">
        <v>101</v>
      </c>
      <c r="CT1390" t="s">
        <v>152</v>
      </c>
      <c r="CU1390" t="s">
        <v>102</v>
      </c>
      <c r="CV1390" t="s">
        <v>100</v>
      </c>
    </row>
    <row r="1391" spans="1:100">
      <c r="A1391" s="3" t="s">
        <v>15381</v>
      </c>
      <c r="B1391" s="4" t="s">
        <v>15382</v>
      </c>
      <c r="C1391">
        <v>141.859607709784</v>
      </c>
      <c r="D1391">
        <v>123.82864690333</v>
      </c>
      <c r="E1391">
        <v>0.19463493052376099</v>
      </c>
      <c r="F1391">
        <v>0.77845071009948796</v>
      </c>
      <c r="G1391" t="s">
        <v>4</v>
      </c>
      <c r="H1391">
        <v>141.859607709784</v>
      </c>
      <c r="I1391">
        <v>29.433496333933</v>
      </c>
      <c r="J1391">
        <v>2.2779263248689001</v>
      </c>
      <c r="K1391">
        <v>1.8671131889427299E-4</v>
      </c>
      <c r="L1391" t="s">
        <v>4</v>
      </c>
      <c r="M1391">
        <v>123.82864690333</v>
      </c>
      <c r="N1391">
        <v>29.433496333933</v>
      </c>
      <c r="O1391">
        <v>2.0832913943451401</v>
      </c>
      <c r="P1391">
        <v>5.8776837634457704E-4</v>
      </c>
      <c r="Q1391" t="s">
        <v>4</v>
      </c>
      <c r="R1391" s="4" t="s">
        <v>87</v>
      </c>
      <c r="S1391" t="s">
        <v>4</v>
      </c>
      <c r="T1391" t="s">
        <v>15383</v>
      </c>
      <c r="U1391" t="s">
        <v>15384</v>
      </c>
      <c r="V1391" t="s">
        <v>15385</v>
      </c>
      <c r="W1391" t="s">
        <v>328</v>
      </c>
      <c r="X1391" t="s">
        <v>4</v>
      </c>
      <c r="Y1391" t="s">
        <v>15386</v>
      </c>
      <c r="Z1391" t="s">
        <v>15387</v>
      </c>
      <c r="AA1391" t="s">
        <v>15388</v>
      </c>
      <c r="AB1391" t="s">
        <v>4</v>
      </c>
      <c r="AC1391" s="3" t="s">
        <v>15389</v>
      </c>
      <c r="AD1391" t="s">
        <v>4</v>
      </c>
      <c r="AE1391" t="s">
        <v>15390</v>
      </c>
      <c r="AF1391" t="s">
        <v>15391</v>
      </c>
      <c r="AG1391" t="s">
        <v>6675</v>
      </c>
      <c r="AH1391" t="s">
        <v>112</v>
      </c>
      <c r="AI1391" t="s">
        <v>15392</v>
      </c>
      <c r="AJ1391" t="s">
        <v>15393</v>
      </c>
      <c r="AL1391" t="s">
        <v>15394</v>
      </c>
      <c r="AQ1391" t="s">
        <v>861</v>
      </c>
      <c r="AU1391" t="s">
        <v>112</v>
      </c>
      <c r="AV1391" t="s">
        <v>15395</v>
      </c>
      <c r="AW1391" t="s">
        <v>114</v>
      </c>
      <c r="AX1391" t="s">
        <v>1938</v>
      </c>
      <c r="AY1391" t="s">
        <v>15396</v>
      </c>
      <c r="AZ1391" t="s">
        <v>4</v>
      </c>
      <c r="BA1391" s="3" t="s">
        <v>115</v>
      </c>
      <c r="BB1391" s="6" t="s">
        <v>95</v>
      </c>
      <c r="BC1391" s="3" t="s">
        <v>95</v>
      </c>
      <c r="BD1391" t="s">
        <v>4</v>
      </c>
      <c r="BE1391">
        <v>5977</v>
      </c>
      <c r="BF1391" t="s">
        <v>213</v>
      </c>
      <c r="BG1391">
        <v>94.936700000000002</v>
      </c>
      <c r="BH1391" t="s">
        <v>15397</v>
      </c>
      <c r="BI1391">
        <v>84.388199999999998</v>
      </c>
      <c r="BJ1391">
        <v>77.637100000000004</v>
      </c>
      <c r="BK1391">
        <v>69.198300000000003</v>
      </c>
      <c r="BL1391">
        <v>39.451500000000003</v>
      </c>
      <c r="BN1391">
        <v>66.244699999999995</v>
      </c>
      <c r="BO1391">
        <v>68.987300000000005</v>
      </c>
      <c r="BP1391">
        <v>43.670900000000003</v>
      </c>
      <c r="BR1391">
        <v>30.590699999999998</v>
      </c>
      <c r="BS1391">
        <v>27.004200000000001</v>
      </c>
      <c r="BU1391">
        <v>30.3797</v>
      </c>
      <c r="BV1391">
        <v>30.168800000000001</v>
      </c>
      <c r="BW1391">
        <v>31.8565</v>
      </c>
      <c r="BX1391">
        <v>29.7468</v>
      </c>
      <c r="BY1391">
        <v>19.831199999999999</v>
      </c>
      <c r="BZ1391">
        <v>11.814299999999999</v>
      </c>
      <c r="CA1391">
        <v>32.700400000000002</v>
      </c>
      <c r="CB1391">
        <v>12.658200000000001</v>
      </c>
      <c r="CD1391">
        <v>15.1899</v>
      </c>
      <c r="CF1391">
        <v>16.033799999999999</v>
      </c>
      <c r="CG1391">
        <v>25.105499999999999</v>
      </c>
      <c r="CH1391">
        <v>24.894500000000001</v>
      </c>
      <c r="CI1391">
        <v>25.316500000000001</v>
      </c>
      <c r="CK1391">
        <v>8</v>
      </c>
      <c r="CL1391" t="s">
        <v>4</v>
      </c>
      <c r="CM1391" t="s">
        <v>15398</v>
      </c>
      <c r="CN1391" t="s">
        <v>15399</v>
      </c>
      <c r="CO1391" t="s">
        <v>99</v>
      </c>
      <c r="CP1391" t="s">
        <v>100</v>
      </c>
      <c r="CQ1391" t="s">
        <v>100</v>
      </c>
      <c r="CR1391" t="s">
        <v>100</v>
      </c>
      <c r="CS1391" t="s">
        <v>101</v>
      </c>
      <c r="CT1391" t="s">
        <v>152</v>
      </c>
      <c r="CU1391" t="s">
        <v>102</v>
      </c>
      <c r="CV1391" t="s">
        <v>100</v>
      </c>
    </row>
    <row r="1392" spans="1:100">
      <c r="A1392" s="3" t="s">
        <v>15400</v>
      </c>
      <c r="B1392" s="4" t="s">
        <v>15401</v>
      </c>
      <c r="C1392">
        <v>1658.15232598126</v>
      </c>
      <c r="D1392">
        <v>2797.6058905449399</v>
      </c>
      <c r="E1392">
        <f>0.754805209558794</f>
        <v>0.75480520955879404</v>
      </c>
      <c r="F1392">
        <v>5.4211497645612495E-4</v>
      </c>
      <c r="G1392" t="s">
        <v>4</v>
      </c>
      <c r="H1392">
        <v>1658.15232598126</v>
      </c>
      <c r="I1392">
        <v>662.42966729032798</v>
      </c>
      <c r="J1392">
        <v>1.3223114719792599</v>
      </c>
      <c r="K1392" s="5">
        <v>2.5287152426107402E-10</v>
      </c>
      <c r="L1392" t="s">
        <v>4</v>
      </c>
      <c r="M1392">
        <v>2797.6058905449399</v>
      </c>
      <c r="N1392">
        <v>662.42966729032798</v>
      </c>
      <c r="O1392">
        <v>2.0771166815380502</v>
      </c>
      <c r="P1392" s="5">
        <v>3.1421650927644501E-24</v>
      </c>
      <c r="Q1392" t="s">
        <v>4</v>
      </c>
      <c r="R1392" s="4" t="s">
        <v>87</v>
      </c>
      <c r="S1392" t="s">
        <v>4</v>
      </c>
      <c r="T1392" t="s">
        <v>15402</v>
      </c>
      <c r="U1392" t="s">
        <v>15403</v>
      </c>
      <c r="V1392" t="s">
        <v>15404</v>
      </c>
      <c r="W1392" t="s">
        <v>328</v>
      </c>
      <c r="X1392" t="s">
        <v>4</v>
      </c>
      <c r="Y1392" t="s">
        <v>15405</v>
      </c>
      <c r="Z1392" t="s">
        <v>15406</v>
      </c>
      <c r="AA1392" t="s">
        <v>15407</v>
      </c>
      <c r="AB1392" t="s">
        <v>4</v>
      </c>
      <c r="AC1392" s="3" t="s">
        <v>15408</v>
      </c>
      <c r="AD1392" t="s">
        <v>4</v>
      </c>
      <c r="AE1392" t="s">
        <v>15409</v>
      </c>
      <c r="AF1392" t="s">
        <v>834</v>
      </c>
      <c r="AG1392" t="s">
        <v>15410</v>
      </c>
      <c r="AH1392" t="s">
        <v>112</v>
      </c>
      <c r="AL1392" t="s">
        <v>15411</v>
      </c>
      <c r="AQ1392" t="s">
        <v>9403</v>
      </c>
      <c r="AU1392" t="s">
        <v>112</v>
      </c>
      <c r="AV1392" t="s">
        <v>15412</v>
      </c>
      <c r="AW1392" t="s">
        <v>114</v>
      </c>
      <c r="AX1392" t="s">
        <v>733</v>
      </c>
      <c r="AY1392" t="s">
        <v>15413</v>
      </c>
      <c r="AZ1392" t="s">
        <v>4</v>
      </c>
      <c r="BA1392" s="3" t="s">
        <v>95</v>
      </c>
      <c r="BB1392" s="6" t="s">
        <v>95</v>
      </c>
      <c r="BC1392" s="3" t="s">
        <v>95</v>
      </c>
      <c r="BD1392" t="s">
        <v>4</v>
      </c>
      <c r="BE1392">
        <v>9811</v>
      </c>
      <c r="BF1392" t="s">
        <v>169</v>
      </c>
      <c r="BG1392">
        <v>99.403899999999993</v>
      </c>
      <c r="BH1392">
        <v>31.892700000000001</v>
      </c>
      <c r="BI1392">
        <v>93.740700000000004</v>
      </c>
      <c r="BJ1392">
        <v>84.500699999999995</v>
      </c>
      <c r="BK1392">
        <v>77.1982</v>
      </c>
      <c r="BL1392">
        <v>74.068600000000004</v>
      </c>
      <c r="BM1392">
        <v>83.904600000000002</v>
      </c>
      <c r="BN1392">
        <v>84.351699999999994</v>
      </c>
      <c r="BO1392">
        <v>83.6066</v>
      </c>
      <c r="BP1392">
        <v>35.767499999999998</v>
      </c>
      <c r="BQ1392">
        <v>19.6721</v>
      </c>
      <c r="BS1392">
        <v>21.311499999999999</v>
      </c>
      <c r="BT1392">
        <v>24.590199999999999</v>
      </c>
      <c r="BU1392">
        <v>25.186299999999999</v>
      </c>
      <c r="BV1392" t="s">
        <v>15414</v>
      </c>
      <c r="BX1392">
        <v>29.6572</v>
      </c>
      <c r="BY1392">
        <v>21.609500000000001</v>
      </c>
      <c r="BZ1392" t="s">
        <v>15415</v>
      </c>
      <c r="CA1392">
        <v>25.782399999999999</v>
      </c>
      <c r="CB1392">
        <v>15.052199999999999</v>
      </c>
      <c r="CC1392">
        <v>24.441099999999999</v>
      </c>
      <c r="CD1392">
        <v>24.441099999999999</v>
      </c>
      <c r="CE1392">
        <v>22.354700000000001</v>
      </c>
      <c r="CF1392">
        <v>19.821200000000001</v>
      </c>
      <c r="CG1392">
        <v>22.8018</v>
      </c>
      <c r="CH1392">
        <v>22.652799999999999</v>
      </c>
      <c r="CI1392">
        <v>21.609500000000001</v>
      </c>
      <c r="CJ1392">
        <v>12.220599999999999</v>
      </c>
      <c r="CK1392">
        <v>9</v>
      </c>
      <c r="CL1392" t="s">
        <v>4</v>
      </c>
      <c r="CM1392" t="s">
        <v>15416</v>
      </c>
      <c r="CN1392" t="s">
        <v>15417</v>
      </c>
      <c r="CO1392" t="s">
        <v>99</v>
      </c>
      <c r="CP1392" t="s">
        <v>100</v>
      </c>
      <c r="CQ1392" t="s">
        <v>100</v>
      </c>
      <c r="CR1392" t="s">
        <v>100</v>
      </c>
      <c r="CS1392" s="7" t="s">
        <v>101</v>
      </c>
      <c r="CT1392" t="s">
        <v>152</v>
      </c>
      <c r="CU1392" t="s">
        <v>102</v>
      </c>
      <c r="CV1392" t="s">
        <v>100</v>
      </c>
    </row>
    <row r="1393" spans="1:100">
      <c r="A1393" s="3" t="s">
        <v>15418</v>
      </c>
      <c r="B1393" s="4" t="s">
        <v>15419</v>
      </c>
      <c r="C1393">
        <v>236.056623036236</v>
      </c>
      <c r="D1393">
        <v>374.58357731395199</v>
      </c>
      <c r="E1393">
        <f>0.665131264430338</f>
        <v>0.66513126443033799</v>
      </c>
      <c r="F1393">
        <v>2.5369618246280999E-2</v>
      </c>
      <c r="G1393" t="s">
        <v>4</v>
      </c>
      <c r="H1393">
        <v>236.056623036236</v>
      </c>
      <c r="I1393">
        <v>89.083782367655999</v>
      </c>
      <c r="J1393">
        <v>1.4065659171981599</v>
      </c>
      <c r="K1393" s="5">
        <v>1.9398732410999398E-6</v>
      </c>
      <c r="L1393" t="s">
        <v>4</v>
      </c>
      <c r="M1393">
        <v>374.58357731395199</v>
      </c>
      <c r="N1393">
        <v>89.083782367655999</v>
      </c>
      <c r="O1393">
        <v>2.0716971816284899</v>
      </c>
      <c r="P1393" s="5">
        <v>5.0804620768134504E-13</v>
      </c>
      <c r="Q1393" t="s">
        <v>4</v>
      </c>
      <c r="R1393" s="4" t="s">
        <v>87</v>
      </c>
      <c r="S1393" t="s">
        <v>4</v>
      </c>
      <c r="T1393" t="s">
        <v>2988</v>
      </c>
      <c r="U1393" t="s">
        <v>2989</v>
      </c>
      <c r="V1393" t="s">
        <v>2990</v>
      </c>
      <c r="W1393" t="s">
        <v>203</v>
      </c>
      <c r="X1393" t="s">
        <v>4</v>
      </c>
      <c r="Y1393" t="s">
        <v>12438</v>
      </c>
      <c r="Z1393" t="s">
        <v>12439</v>
      </c>
      <c r="AA1393" t="s">
        <v>12440</v>
      </c>
      <c r="AB1393" t="s">
        <v>4</v>
      </c>
      <c r="AC1393" s="3" t="s">
        <v>9842</v>
      </c>
      <c r="AD1393" t="s">
        <v>4</v>
      </c>
      <c r="AE1393" t="s">
        <v>7340</v>
      </c>
      <c r="AF1393" t="s">
        <v>15420</v>
      </c>
      <c r="AG1393" t="s">
        <v>15421</v>
      </c>
      <c r="AH1393" t="s">
        <v>386</v>
      </c>
      <c r="AU1393" t="s">
        <v>112</v>
      </c>
      <c r="AV1393" t="s">
        <v>2998</v>
      </c>
      <c r="AW1393" t="s">
        <v>114</v>
      </c>
      <c r="AX1393" t="s">
        <v>536</v>
      </c>
      <c r="AY1393" t="s">
        <v>2999</v>
      </c>
      <c r="AZ1393" t="s">
        <v>4</v>
      </c>
      <c r="BA1393" s="3" t="s">
        <v>95</v>
      </c>
      <c r="BB1393" s="6" t="s">
        <v>95</v>
      </c>
      <c r="BC1393" s="3" t="s">
        <v>95</v>
      </c>
      <c r="BD1393" t="s">
        <v>4</v>
      </c>
      <c r="BE1393">
        <v>5870</v>
      </c>
      <c r="BF1393" t="s">
        <v>213</v>
      </c>
      <c r="BJ1393">
        <v>64.722999999999999</v>
      </c>
      <c r="BR1393" t="s">
        <v>15422</v>
      </c>
      <c r="BS1393">
        <v>20.408200000000001</v>
      </c>
      <c r="CG1393" t="s">
        <v>15423</v>
      </c>
      <c r="CH1393" t="s">
        <v>15424</v>
      </c>
      <c r="CK1393">
        <v>8</v>
      </c>
      <c r="CL1393" t="s">
        <v>4</v>
      </c>
      <c r="CM1393" t="s">
        <v>98</v>
      </c>
      <c r="CN1393" t="s">
        <v>98</v>
      </c>
      <c r="CO1393" t="s">
        <v>99</v>
      </c>
      <c r="CP1393" t="s">
        <v>100</v>
      </c>
      <c r="CQ1393" t="s">
        <v>100</v>
      </c>
      <c r="CR1393" t="s">
        <v>100</v>
      </c>
      <c r="CS1393" s="7" t="s">
        <v>101</v>
      </c>
      <c r="CT1393" t="s">
        <v>152</v>
      </c>
      <c r="CU1393" t="s">
        <v>102</v>
      </c>
      <c r="CV1393" t="s">
        <v>100</v>
      </c>
    </row>
    <row r="1394" spans="1:100">
      <c r="A1394" s="3" t="s">
        <v>15425</v>
      </c>
      <c r="B1394" s="4" t="s">
        <v>15426</v>
      </c>
      <c r="C1394">
        <v>1253.13307704867</v>
      </c>
      <c r="D1394">
        <v>916.97421568882601</v>
      </c>
      <c r="E1394">
        <v>0.45065548543865702</v>
      </c>
      <c r="F1394">
        <v>2.6287515692016299E-2</v>
      </c>
      <c r="G1394" t="s">
        <v>4</v>
      </c>
      <c r="H1394">
        <v>1253.13307704867</v>
      </c>
      <c r="I1394">
        <v>220.117167364842</v>
      </c>
      <c r="J1394">
        <v>2.52028290257799</v>
      </c>
      <c r="K1394" s="5">
        <v>2.8102123822792201E-39</v>
      </c>
      <c r="L1394" t="s">
        <v>4</v>
      </c>
      <c r="M1394">
        <v>916.97421568882601</v>
      </c>
      <c r="N1394">
        <v>220.117167364842</v>
      </c>
      <c r="O1394">
        <v>2.0696274171393299</v>
      </c>
      <c r="P1394" s="5">
        <v>1.00731894801878E-26</v>
      </c>
      <c r="Q1394" t="s">
        <v>4</v>
      </c>
      <c r="R1394" s="4" t="s">
        <v>87</v>
      </c>
      <c r="S1394" t="s">
        <v>4</v>
      </c>
      <c r="T1394" t="s">
        <v>15427</v>
      </c>
      <c r="U1394" t="s">
        <v>15428</v>
      </c>
      <c r="V1394" t="s">
        <v>15429</v>
      </c>
      <c r="W1394" t="s">
        <v>203</v>
      </c>
      <c r="X1394" t="s">
        <v>4</v>
      </c>
      <c r="Y1394" t="s">
        <v>15430</v>
      </c>
      <c r="Z1394" t="s">
        <v>15431</v>
      </c>
      <c r="AA1394" t="s">
        <v>15432</v>
      </c>
      <c r="AB1394" t="s">
        <v>4</v>
      </c>
      <c r="AC1394" s="3" t="s">
        <v>15433</v>
      </c>
      <c r="AD1394" t="s">
        <v>4</v>
      </c>
      <c r="AE1394" t="s">
        <v>15434</v>
      </c>
      <c r="AF1394" t="s">
        <v>15435</v>
      </c>
      <c r="AG1394" t="s">
        <v>15436</v>
      </c>
      <c r="AH1394" t="s">
        <v>112</v>
      </c>
      <c r="AL1394" t="s">
        <v>15437</v>
      </c>
      <c r="AM1394" t="s">
        <v>12546</v>
      </c>
      <c r="AN1394" t="s">
        <v>12547</v>
      </c>
      <c r="AO1394" t="s">
        <v>12548</v>
      </c>
      <c r="AP1394" t="s">
        <v>7603</v>
      </c>
      <c r="AQ1394" t="s">
        <v>12239</v>
      </c>
      <c r="AU1394" t="s">
        <v>112</v>
      </c>
      <c r="AV1394" t="s">
        <v>15438</v>
      </c>
      <c r="AW1394" t="s">
        <v>114</v>
      </c>
      <c r="AX1394" t="s">
        <v>733</v>
      </c>
      <c r="AY1394" t="s">
        <v>15439</v>
      </c>
      <c r="AZ1394" t="s">
        <v>4</v>
      </c>
      <c r="BA1394" s="3" t="s">
        <v>95</v>
      </c>
      <c r="BB1394" s="6" t="s">
        <v>95</v>
      </c>
      <c r="BC1394" s="3" t="s">
        <v>95</v>
      </c>
      <c r="BD1394" t="s">
        <v>4</v>
      </c>
      <c r="BE1394">
        <v>10737</v>
      </c>
      <c r="BF1394" t="s">
        <v>169</v>
      </c>
      <c r="BG1394">
        <v>98.333299999999994</v>
      </c>
      <c r="BH1394">
        <v>98.8095</v>
      </c>
      <c r="BI1394">
        <v>82.857100000000003</v>
      </c>
      <c r="BJ1394">
        <v>84.047600000000003</v>
      </c>
      <c r="BK1394">
        <v>81.904799999999994</v>
      </c>
      <c r="BL1394">
        <v>82.142899999999997</v>
      </c>
      <c r="BM1394">
        <v>79.523799999999994</v>
      </c>
      <c r="BN1394">
        <v>82.381</v>
      </c>
      <c r="BO1394">
        <v>80.476200000000006</v>
      </c>
      <c r="BP1394">
        <v>53.8095</v>
      </c>
      <c r="BQ1394">
        <v>36.428600000000003</v>
      </c>
      <c r="BR1394">
        <v>43.095199999999998</v>
      </c>
      <c r="BS1394">
        <v>31.428599999999999</v>
      </c>
      <c r="BT1394">
        <v>39.523800000000001</v>
      </c>
      <c r="BU1394">
        <v>38.095199999999998</v>
      </c>
      <c r="BV1394" t="s">
        <v>15440</v>
      </c>
      <c r="BW1394">
        <v>40</v>
      </c>
      <c r="BX1394">
        <v>47.381</v>
      </c>
      <c r="BY1394" t="s">
        <v>15441</v>
      </c>
      <c r="BZ1394">
        <v>39.047600000000003</v>
      </c>
      <c r="CA1394" t="s">
        <v>15442</v>
      </c>
      <c r="CB1394">
        <v>23.095199999999998</v>
      </c>
      <c r="CC1394">
        <v>36.666699999999999</v>
      </c>
      <c r="CD1394">
        <v>37.142899999999997</v>
      </c>
      <c r="CE1394" t="s">
        <v>15443</v>
      </c>
      <c r="CF1394">
        <v>35.952399999999997</v>
      </c>
      <c r="CG1394">
        <v>38.571399999999997</v>
      </c>
      <c r="CH1394">
        <v>38.095199999999998</v>
      </c>
      <c r="CI1394">
        <v>37.857100000000003</v>
      </c>
      <c r="CJ1394">
        <v>27.619</v>
      </c>
      <c r="CK1394">
        <v>9</v>
      </c>
      <c r="CL1394" t="s">
        <v>4</v>
      </c>
      <c r="CM1394" t="s">
        <v>15444</v>
      </c>
      <c r="CN1394" t="s">
        <v>15445</v>
      </c>
      <c r="CO1394" t="s">
        <v>2543</v>
      </c>
      <c r="CP1394" t="s">
        <v>100</v>
      </c>
      <c r="CQ1394" t="s">
        <v>100</v>
      </c>
      <c r="CR1394" t="s">
        <v>100</v>
      </c>
      <c r="CS1394" t="s">
        <v>101</v>
      </c>
      <c r="CT1394" t="s">
        <v>152</v>
      </c>
      <c r="CU1394" t="s">
        <v>102</v>
      </c>
      <c r="CV1394" t="s">
        <v>100</v>
      </c>
    </row>
    <row r="1395" spans="1:100">
      <c r="A1395" s="3" t="s">
        <v>15446</v>
      </c>
      <c r="B1395" s="4" t="s">
        <v>15447</v>
      </c>
      <c r="C1395">
        <v>106.770285545712</v>
      </c>
      <c r="D1395">
        <v>70.677958671331297</v>
      </c>
      <c r="E1395">
        <v>0.597118392515394</v>
      </c>
      <c r="F1395">
        <v>0.45025248809764001</v>
      </c>
      <c r="G1395" t="s">
        <v>4</v>
      </c>
      <c r="H1395">
        <v>106.770285545712</v>
      </c>
      <c r="I1395">
        <v>17.111206537552199</v>
      </c>
      <c r="J1395">
        <v>2.6545916112501899</v>
      </c>
      <c r="K1395">
        <v>3.8516127987254899E-4</v>
      </c>
      <c r="L1395" t="s">
        <v>4</v>
      </c>
      <c r="M1395">
        <v>70.677958671331297</v>
      </c>
      <c r="N1395">
        <v>17.111206537552199</v>
      </c>
      <c r="O1395">
        <v>2.0574732187347902</v>
      </c>
      <c r="P1395">
        <v>6.3356579357721496E-3</v>
      </c>
      <c r="Q1395" t="s">
        <v>4</v>
      </c>
      <c r="R1395" s="4" t="s">
        <v>87</v>
      </c>
      <c r="S1395" t="s">
        <v>4</v>
      </c>
      <c r="T1395" t="s">
        <v>15448</v>
      </c>
      <c r="U1395" t="s">
        <v>15449</v>
      </c>
      <c r="V1395" t="s">
        <v>15450</v>
      </c>
      <c r="W1395" t="s">
        <v>203</v>
      </c>
      <c r="X1395" t="s">
        <v>4</v>
      </c>
      <c r="Y1395" t="s">
        <v>15451</v>
      </c>
      <c r="Z1395" t="s">
        <v>15452</v>
      </c>
      <c r="AA1395" t="s">
        <v>15453</v>
      </c>
      <c r="AB1395" t="s">
        <v>4</v>
      </c>
      <c r="AC1395" s="3" t="s">
        <v>15454</v>
      </c>
      <c r="AD1395" t="s">
        <v>4</v>
      </c>
      <c r="AE1395" t="s">
        <v>15455</v>
      </c>
      <c r="AF1395" t="s">
        <v>15456</v>
      </c>
      <c r="AG1395" t="s">
        <v>15457</v>
      </c>
      <c r="AH1395" t="s">
        <v>112</v>
      </c>
      <c r="AU1395" t="s">
        <v>112</v>
      </c>
      <c r="AV1395" t="s">
        <v>15458</v>
      </c>
      <c r="AW1395" t="s">
        <v>114</v>
      </c>
      <c r="AX1395" t="s">
        <v>536</v>
      </c>
      <c r="AY1395" t="s">
        <v>15459</v>
      </c>
      <c r="AZ1395" t="s">
        <v>4</v>
      </c>
      <c r="BA1395" s="3" t="s">
        <v>95</v>
      </c>
      <c r="BB1395" t="s">
        <v>96</v>
      </c>
      <c r="BC1395" s="3" t="s">
        <v>197</v>
      </c>
      <c r="BD1395" t="s">
        <v>4</v>
      </c>
      <c r="BE1395">
        <v>3283</v>
      </c>
      <c r="BF1395" t="s">
        <v>112</v>
      </c>
      <c r="BG1395">
        <v>17.668700000000001</v>
      </c>
      <c r="BI1395">
        <v>73.128799999999998</v>
      </c>
      <c r="BK1395">
        <v>58.159500000000001</v>
      </c>
      <c r="BL1395">
        <v>61.4724</v>
      </c>
      <c r="BM1395">
        <v>69.079800000000006</v>
      </c>
      <c r="BN1395">
        <v>69.693299999999994</v>
      </c>
      <c r="BO1395">
        <v>73.619600000000005</v>
      </c>
      <c r="BP1395">
        <v>35.705500000000001</v>
      </c>
      <c r="BQ1395">
        <v>13.865</v>
      </c>
      <c r="BR1395">
        <v>52.024500000000003</v>
      </c>
      <c r="BS1395">
        <v>49.938699999999997</v>
      </c>
      <c r="BT1395">
        <v>46.012300000000003</v>
      </c>
      <c r="BU1395" t="s">
        <v>15460</v>
      </c>
      <c r="BV1395" t="s">
        <v>15461</v>
      </c>
      <c r="BW1395">
        <v>50.797499999999999</v>
      </c>
      <c r="BX1395">
        <v>31.656400000000001</v>
      </c>
      <c r="BY1395">
        <v>25.398800000000001</v>
      </c>
      <c r="BZ1395">
        <v>47.975499999999997</v>
      </c>
      <c r="CA1395">
        <v>48.7117</v>
      </c>
      <c r="CG1395" t="s">
        <v>15462</v>
      </c>
      <c r="CH1395" t="s">
        <v>15463</v>
      </c>
      <c r="CI1395" t="s">
        <v>15464</v>
      </c>
      <c r="CK1395">
        <v>5</v>
      </c>
      <c r="CL1395" t="s">
        <v>4</v>
      </c>
      <c r="CM1395" t="s">
        <v>15465</v>
      </c>
      <c r="CN1395" t="s">
        <v>15466</v>
      </c>
      <c r="CO1395" t="s">
        <v>99</v>
      </c>
      <c r="CP1395" t="s">
        <v>100</v>
      </c>
      <c r="CQ1395" t="s">
        <v>100</v>
      </c>
      <c r="CR1395" t="s">
        <v>100</v>
      </c>
      <c r="CS1395" t="s">
        <v>101</v>
      </c>
      <c r="CT1395" t="s">
        <v>152</v>
      </c>
      <c r="CU1395" t="s">
        <v>102</v>
      </c>
      <c r="CV1395" t="s">
        <v>100</v>
      </c>
    </row>
    <row r="1396" spans="1:100">
      <c r="A1396" s="3" t="s">
        <v>15467</v>
      </c>
      <c r="B1396" s="4" t="s">
        <v>15468</v>
      </c>
      <c r="C1396">
        <v>53.169603625151602</v>
      </c>
      <c r="D1396">
        <v>59.326167398306097</v>
      </c>
      <c r="E1396">
        <f>0.157919416338268</f>
        <v>0.157919416338268</v>
      </c>
      <c r="F1396">
        <v>0.85669763832498502</v>
      </c>
      <c r="G1396" t="s">
        <v>4</v>
      </c>
      <c r="H1396">
        <v>53.169603625151602</v>
      </c>
      <c r="I1396">
        <v>13.911096576367999</v>
      </c>
      <c r="J1396">
        <v>1.89745589736909</v>
      </c>
      <c r="K1396">
        <v>1.4160039296562E-2</v>
      </c>
      <c r="L1396" t="s">
        <v>4</v>
      </c>
      <c r="M1396">
        <v>59.326167398306097</v>
      </c>
      <c r="N1396">
        <v>13.911096576367999</v>
      </c>
      <c r="O1396">
        <v>2.05537531370735</v>
      </c>
      <c r="P1396">
        <v>7.0226298008718097E-3</v>
      </c>
      <c r="Q1396" t="s">
        <v>4</v>
      </c>
      <c r="R1396" s="4" t="s">
        <v>87</v>
      </c>
      <c r="S1396" t="s">
        <v>4</v>
      </c>
      <c r="T1396" t="s">
        <v>92</v>
      </c>
      <c r="U1396" t="s">
        <v>92</v>
      </c>
      <c r="V1396" t="s">
        <v>92</v>
      </c>
      <c r="W1396" t="s">
        <v>92</v>
      </c>
      <c r="X1396" t="s">
        <v>4</v>
      </c>
      <c r="Y1396" t="s">
        <v>92</v>
      </c>
      <c r="Z1396" t="s">
        <v>92</v>
      </c>
      <c r="AA1396" t="s">
        <v>92</v>
      </c>
      <c r="AB1396" t="s">
        <v>4</v>
      </c>
      <c r="AC1396" s="3" t="s">
        <v>93</v>
      </c>
      <c r="AD1396" t="s">
        <v>4</v>
      </c>
      <c r="AE1396" s="4" t="s">
        <v>94</v>
      </c>
      <c r="AZ1396" t="s">
        <v>4</v>
      </c>
      <c r="BA1396" s="3" t="s">
        <v>115</v>
      </c>
      <c r="BB1396" s="6" t="s">
        <v>95</v>
      </c>
      <c r="BC1396" s="3" t="s">
        <v>197</v>
      </c>
      <c r="BD1396" t="s">
        <v>4</v>
      </c>
      <c r="BE1396">
        <v>1704</v>
      </c>
      <c r="BF1396" t="s">
        <v>151</v>
      </c>
      <c r="BG1396">
        <v>90.865399999999994</v>
      </c>
      <c r="CK1396">
        <v>2</v>
      </c>
      <c r="CL1396" t="s">
        <v>4</v>
      </c>
      <c r="CM1396" t="s">
        <v>98</v>
      </c>
      <c r="CN1396" t="s">
        <v>98</v>
      </c>
      <c r="CO1396" t="s">
        <v>99</v>
      </c>
      <c r="CP1396" t="s">
        <v>100</v>
      </c>
      <c r="CQ1396" t="s">
        <v>100</v>
      </c>
      <c r="CR1396" t="s">
        <v>100</v>
      </c>
      <c r="CS1396" s="7" t="s">
        <v>101</v>
      </c>
      <c r="CT1396" t="s">
        <v>152</v>
      </c>
      <c r="CU1396" t="s">
        <v>102</v>
      </c>
      <c r="CV1396" t="s">
        <v>100</v>
      </c>
    </row>
    <row r="1397" spans="1:100">
      <c r="A1397" s="3" t="s">
        <v>15469</v>
      </c>
      <c r="B1397" s="4" t="s">
        <v>15470</v>
      </c>
      <c r="C1397">
        <v>1128.3552851894899</v>
      </c>
      <c r="D1397">
        <v>2180.05169108788</v>
      </c>
      <c r="E1397">
        <f>0.949913578870635</f>
        <v>0.94991357887063499</v>
      </c>
      <c r="F1397">
        <v>5.1642974408808396E-3</v>
      </c>
      <c r="G1397" t="s">
        <v>4</v>
      </c>
      <c r="H1397">
        <v>1128.3552851894899</v>
      </c>
      <c r="I1397">
        <v>525.61996309072197</v>
      </c>
      <c r="J1397">
        <v>1.09845592900752</v>
      </c>
      <c r="K1397">
        <v>8.6548574219222005E-4</v>
      </c>
      <c r="L1397" t="s">
        <v>4</v>
      </c>
      <c r="M1397">
        <v>2180.05169108788</v>
      </c>
      <c r="N1397">
        <v>525.61996309072197</v>
      </c>
      <c r="O1397">
        <v>2.0483695078781601</v>
      </c>
      <c r="P1397" s="5">
        <v>8.3563456610867504E-11</v>
      </c>
      <c r="Q1397" t="s">
        <v>4</v>
      </c>
      <c r="R1397" s="4" t="s">
        <v>87</v>
      </c>
      <c r="S1397" t="s">
        <v>4</v>
      </c>
      <c r="T1397" t="s">
        <v>15471</v>
      </c>
      <c r="U1397" t="s">
        <v>15472</v>
      </c>
      <c r="V1397" t="s">
        <v>15473</v>
      </c>
      <c r="W1397" t="s">
        <v>328</v>
      </c>
      <c r="X1397" t="s">
        <v>4</v>
      </c>
      <c r="Y1397" t="s">
        <v>15474</v>
      </c>
      <c r="Z1397" t="s">
        <v>15475</v>
      </c>
      <c r="AA1397" t="s">
        <v>15476</v>
      </c>
      <c r="AB1397" t="s">
        <v>4</v>
      </c>
      <c r="AC1397" s="3" t="s">
        <v>15477</v>
      </c>
      <c r="AD1397" t="s">
        <v>4</v>
      </c>
      <c r="AE1397" t="s">
        <v>15478</v>
      </c>
      <c r="AF1397" t="s">
        <v>15479</v>
      </c>
      <c r="AG1397" t="s">
        <v>15480</v>
      </c>
      <c r="AH1397" t="s">
        <v>112</v>
      </c>
      <c r="AL1397" t="s">
        <v>15481</v>
      </c>
      <c r="AM1397" t="s">
        <v>15482</v>
      </c>
      <c r="AN1397" t="s">
        <v>8753</v>
      </c>
      <c r="AO1397" t="s">
        <v>7602</v>
      </c>
      <c r="AP1397" t="s">
        <v>7603</v>
      </c>
      <c r="AQ1397" t="s">
        <v>7604</v>
      </c>
      <c r="AU1397" t="s">
        <v>112</v>
      </c>
      <c r="AV1397" t="s">
        <v>15483</v>
      </c>
      <c r="AW1397" t="s">
        <v>114</v>
      </c>
      <c r="AX1397" t="s">
        <v>371</v>
      </c>
      <c r="AY1397" t="s">
        <v>15484</v>
      </c>
      <c r="AZ1397" t="s">
        <v>4</v>
      </c>
      <c r="BA1397" s="3" t="s">
        <v>95</v>
      </c>
      <c r="BB1397" s="6" t="s">
        <v>95</v>
      </c>
      <c r="BC1397" s="3" t="s">
        <v>95</v>
      </c>
      <c r="BD1397" t="s">
        <v>4</v>
      </c>
      <c r="BE1397">
        <v>2567</v>
      </c>
      <c r="BF1397" t="s">
        <v>97</v>
      </c>
      <c r="BL1397">
        <v>48.387099999999997</v>
      </c>
      <c r="BP1397">
        <v>41.3979</v>
      </c>
      <c r="CK1397">
        <v>4</v>
      </c>
      <c r="CL1397" t="s">
        <v>4</v>
      </c>
      <c r="CM1397" t="s">
        <v>98</v>
      </c>
      <c r="CN1397" t="s">
        <v>98</v>
      </c>
      <c r="CO1397" t="s">
        <v>99</v>
      </c>
      <c r="CP1397" t="s">
        <v>100</v>
      </c>
      <c r="CQ1397" t="s">
        <v>100</v>
      </c>
      <c r="CR1397" t="s">
        <v>100</v>
      </c>
      <c r="CS1397" s="7" t="s">
        <v>101</v>
      </c>
      <c r="CT1397" t="s">
        <v>152</v>
      </c>
      <c r="CU1397" t="s">
        <v>102</v>
      </c>
      <c r="CV1397" t="s">
        <v>100</v>
      </c>
    </row>
    <row r="1398" spans="1:100">
      <c r="A1398" s="3" t="s">
        <v>15485</v>
      </c>
      <c r="B1398" s="4" t="s">
        <v>15486</v>
      </c>
      <c r="C1398">
        <v>2198.0474299437001</v>
      </c>
      <c r="D1398">
        <v>1594.76700224765</v>
      </c>
      <c r="E1398">
        <v>0.46299184026798101</v>
      </c>
      <c r="F1398">
        <v>4.92364642479955E-3</v>
      </c>
      <c r="G1398" t="s">
        <v>4</v>
      </c>
      <c r="H1398">
        <v>2198.0474299437001</v>
      </c>
      <c r="I1398">
        <v>385.29318492434101</v>
      </c>
      <c r="J1398">
        <v>2.5087232804061599</v>
      </c>
      <c r="K1398" s="5">
        <v>4.8567104761036501E-58</v>
      </c>
      <c r="L1398" t="s">
        <v>4</v>
      </c>
      <c r="M1398">
        <v>1594.76700224765</v>
      </c>
      <c r="N1398">
        <v>385.29318492434101</v>
      </c>
      <c r="O1398">
        <v>2.0457314401381801</v>
      </c>
      <c r="P1398" s="5">
        <v>8.7114581065149106E-39</v>
      </c>
      <c r="Q1398" t="s">
        <v>4</v>
      </c>
      <c r="R1398" s="4" t="s">
        <v>87</v>
      </c>
      <c r="S1398" t="s">
        <v>4</v>
      </c>
      <c r="T1398" t="s">
        <v>2325</v>
      </c>
      <c r="U1398" t="s">
        <v>2326</v>
      </c>
      <c r="V1398" t="s">
        <v>2327</v>
      </c>
      <c r="W1398" t="s">
        <v>203</v>
      </c>
      <c r="X1398" t="s">
        <v>4</v>
      </c>
      <c r="Y1398" t="s">
        <v>15487</v>
      </c>
      <c r="Z1398" t="s">
        <v>15488</v>
      </c>
      <c r="AA1398" t="s">
        <v>15489</v>
      </c>
      <c r="AB1398" t="s">
        <v>4</v>
      </c>
      <c r="AC1398" s="3" t="s">
        <v>15490</v>
      </c>
      <c r="AD1398" t="s">
        <v>4</v>
      </c>
      <c r="AE1398" t="s">
        <v>15491</v>
      </c>
      <c r="AF1398" t="s">
        <v>834</v>
      </c>
      <c r="AG1398" t="s">
        <v>15492</v>
      </c>
      <c r="AH1398" t="s">
        <v>112</v>
      </c>
      <c r="AJ1398" t="s">
        <v>15493</v>
      </c>
      <c r="AK1398" t="s">
        <v>6788</v>
      </c>
      <c r="AL1398" t="s">
        <v>15494</v>
      </c>
      <c r="AM1398" t="s">
        <v>9972</v>
      </c>
      <c r="AQ1398" t="s">
        <v>6791</v>
      </c>
      <c r="AU1398" t="s">
        <v>112</v>
      </c>
      <c r="AV1398" t="s">
        <v>15495</v>
      </c>
      <c r="AW1398" t="s">
        <v>114</v>
      </c>
      <c r="AX1398" t="s">
        <v>132</v>
      </c>
      <c r="AY1398" t="s">
        <v>15496</v>
      </c>
      <c r="AZ1398" t="s">
        <v>4</v>
      </c>
      <c r="BA1398" s="3" t="s">
        <v>95</v>
      </c>
      <c r="BB1398" s="6" t="s">
        <v>95</v>
      </c>
      <c r="BC1398" s="3" t="s">
        <v>95</v>
      </c>
      <c r="BD1398" t="s">
        <v>4</v>
      </c>
      <c r="BE1398">
        <v>9270</v>
      </c>
      <c r="BF1398" t="s">
        <v>169</v>
      </c>
      <c r="BG1398">
        <v>96.977000000000004</v>
      </c>
      <c r="BH1398">
        <v>51.753300000000003</v>
      </c>
      <c r="BI1398">
        <v>92.623900000000006</v>
      </c>
      <c r="BJ1398">
        <v>78.476399999999998</v>
      </c>
      <c r="BK1398">
        <v>75.090699999999998</v>
      </c>
      <c r="BL1398">
        <v>17.533300000000001</v>
      </c>
      <c r="BM1398" t="s">
        <v>15497</v>
      </c>
      <c r="BN1398" t="s">
        <v>15498</v>
      </c>
      <c r="BO1398">
        <v>78.597300000000004</v>
      </c>
      <c r="BP1398">
        <v>40.749699999999997</v>
      </c>
      <c r="BQ1398">
        <v>26.118500000000001</v>
      </c>
      <c r="BR1398" t="s">
        <v>15499</v>
      </c>
      <c r="BS1398">
        <v>13.784800000000001</v>
      </c>
      <c r="BV1398" t="s">
        <v>15500</v>
      </c>
      <c r="CB1398">
        <v>14.147500000000001</v>
      </c>
      <c r="CJ1398">
        <v>13.059200000000001</v>
      </c>
      <c r="CK1398">
        <v>9</v>
      </c>
      <c r="CL1398" t="s">
        <v>4</v>
      </c>
      <c r="CM1398" t="s">
        <v>98</v>
      </c>
      <c r="CN1398" t="s">
        <v>98</v>
      </c>
      <c r="CO1398" t="s">
        <v>99</v>
      </c>
      <c r="CP1398" t="s">
        <v>100</v>
      </c>
      <c r="CQ1398" t="s">
        <v>100</v>
      </c>
      <c r="CR1398" t="s">
        <v>100</v>
      </c>
      <c r="CS1398" t="s">
        <v>101</v>
      </c>
      <c r="CT1398" t="s">
        <v>152</v>
      </c>
      <c r="CU1398" t="s">
        <v>102</v>
      </c>
      <c r="CV1398" t="s">
        <v>100</v>
      </c>
    </row>
    <row r="1399" spans="1:100">
      <c r="A1399" s="3" t="s">
        <v>15501</v>
      </c>
      <c r="B1399" s="4" t="s">
        <v>15502</v>
      </c>
      <c r="C1399">
        <v>1122.7981260496299</v>
      </c>
      <c r="D1399">
        <v>1204.74729737401</v>
      </c>
      <c r="E1399">
        <f>0.101786951962985</f>
        <v>0.101786951962985</v>
      </c>
      <c r="F1399">
        <v>0.74659195382008003</v>
      </c>
      <c r="G1399" t="s">
        <v>4</v>
      </c>
      <c r="H1399">
        <v>1122.7981260496299</v>
      </c>
      <c r="I1399">
        <v>293.76970723485601</v>
      </c>
      <c r="J1399">
        <v>1.9430878592945</v>
      </c>
      <c r="K1399" s="5">
        <v>1.13320350192145E-13</v>
      </c>
      <c r="L1399" t="s">
        <v>4</v>
      </c>
      <c r="M1399">
        <v>1204.74729737401</v>
      </c>
      <c r="N1399">
        <v>293.76970723485601</v>
      </c>
      <c r="O1399">
        <v>2.0448748112574799</v>
      </c>
      <c r="P1399" s="5">
        <v>3.6974386171077896E-15</v>
      </c>
      <c r="Q1399" t="s">
        <v>4</v>
      </c>
      <c r="R1399" s="4" t="s">
        <v>87</v>
      </c>
      <c r="S1399" t="s">
        <v>4</v>
      </c>
      <c r="T1399" t="s">
        <v>14994</v>
      </c>
      <c r="U1399" t="s">
        <v>14995</v>
      </c>
      <c r="V1399" t="s">
        <v>14996</v>
      </c>
      <c r="W1399" t="s">
        <v>507</v>
      </c>
      <c r="X1399" t="s">
        <v>4</v>
      </c>
      <c r="Y1399" t="s">
        <v>14997</v>
      </c>
      <c r="Z1399" t="s">
        <v>14998</v>
      </c>
      <c r="AA1399" t="s">
        <v>14999</v>
      </c>
      <c r="AB1399" t="s">
        <v>4</v>
      </c>
      <c r="AC1399" s="3" t="s">
        <v>15000</v>
      </c>
      <c r="AD1399" t="s">
        <v>4</v>
      </c>
      <c r="AE1399" t="s">
        <v>15503</v>
      </c>
      <c r="AF1399" t="s">
        <v>15504</v>
      </c>
      <c r="AG1399" t="s">
        <v>15505</v>
      </c>
      <c r="AH1399" t="s">
        <v>112</v>
      </c>
      <c r="AU1399" t="s">
        <v>112</v>
      </c>
      <c r="AV1399" t="s">
        <v>15506</v>
      </c>
      <c r="AW1399" t="s">
        <v>114</v>
      </c>
      <c r="AX1399" t="s">
        <v>2139</v>
      </c>
      <c r="AY1399" t="s">
        <v>15007</v>
      </c>
      <c r="AZ1399" t="s">
        <v>4</v>
      </c>
      <c r="BA1399" s="3" t="s">
        <v>95</v>
      </c>
      <c r="BB1399" s="6" t="s">
        <v>95</v>
      </c>
      <c r="BC1399" s="3" t="s">
        <v>95</v>
      </c>
      <c r="BD1399" t="s">
        <v>4</v>
      </c>
      <c r="BE1399">
        <v>8071</v>
      </c>
      <c r="BF1399" t="s">
        <v>213</v>
      </c>
      <c r="BJ1399">
        <v>60.7547</v>
      </c>
      <c r="BK1399">
        <v>35.094299999999997</v>
      </c>
      <c r="BN1399">
        <v>59.622599999999998</v>
      </c>
      <c r="BO1399">
        <v>40.377400000000002</v>
      </c>
      <c r="BR1399">
        <v>16.6038</v>
      </c>
      <c r="BT1399">
        <v>16.6038</v>
      </c>
      <c r="BW1399">
        <v>20</v>
      </c>
      <c r="BX1399">
        <v>18.113199999999999</v>
      </c>
      <c r="BY1399">
        <v>16.981100000000001</v>
      </c>
      <c r="BZ1399">
        <v>16.6038</v>
      </c>
      <c r="CA1399">
        <v>16.981100000000001</v>
      </c>
      <c r="CF1399">
        <v>9.4339600000000008</v>
      </c>
      <c r="CG1399">
        <v>12.0755</v>
      </c>
      <c r="CH1399">
        <v>12.4528</v>
      </c>
      <c r="CI1399">
        <v>13.584899999999999</v>
      </c>
      <c r="CK1399">
        <v>8</v>
      </c>
      <c r="CL1399" t="s">
        <v>4</v>
      </c>
      <c r="CM1399" t="s">
        <v>15507</v>
      </c>
      <c r="CN1399" t="s">
        <v>15508</v>
      </c>
      <c r="CO1399" t="s">
        <v>219</v>
      </c>
      <c r="CP1399" t="s">
        <v>100</v>
      </c>
      <c r="CQ1399" t="s">
        <v>100</v>
      </c>
      <c r="CR1399" t="s">
        <v>100</v>
      </c>
      <c r="CS1399" s="7" t="s">
        <v>101</v>
      </c>
      <c r="CT1399" t="s">
        <v>152</v>
      </c>
      <c r="CU1399" t="s">
        <v>102</v>
      </c>
      <c r="CV1399" t="s">
        <v>100</v>
      </c>
    </row>
    <row r="1400" spans="1:100">
      <c r="A1400" s="3" t="s">
        <v>15509</v>
      </c>
      <c r="B1400" s="4" t="s">
        <v>15510</v>
      </c>
      <c r="C1400">
        <v>582.96744315527303</v>
      </c>
      <c r="D1400">
        <v>1051.0792688036699</v>
      </c>
      <c r="E1400">
        <f>0.850301450177902</f>
        <v>0.85030145017790204</v>
      </c>
      <c r="F1400">
        <v>8.7297152315666605E-4</v>
      </c>
      <c r="G1400" t="s">
        <v>4</v>
      </c>
      <c r="H1400">
        <v>582.96744315527303</v>
      </c>
      <c r="I1400">
        <v>253.587221058952</v>
      </c>
      <c r="J1400">
        <v>1.1917990952362101</v>
      </c>
      <c r="K1400" s="5">
        <v>2.13284276995888E-6</v>
      </c>
      <c r="L1400" t="s">
        <v>4</v>
      </c>
      <c r="M1400">
        <v>1051.0792688036699</v>
      </c>
      <c r="N1400">
        <v>253.587221058952</v>
      </c>
      <c r="O1400">
        <v>2.0421005454141201</v>
      </c>
      <c r="P1400" s="5">
        <v>4.3670319288663901E-17</v>
      </c>
      <c r="Q1400" t="s">
        <v>4</v>
      </c>
      <c r="R1400" s="4" t="s">
        <v>87</v>
      </c>
      <c r="S1400" t="s">
        <v>4</v>
      </c>
      <c r="T1400" t="s">
        <v>200</v>
      </c>
      <c r="U1400" t="s">
        <v>201</v>
      </c>
      <c r="V1400" t="s">
        <v>202</v>
      </c>
      <c r="W1400" t="s">
        <v>203</v>
      </c>
      <c r="X1400" t="s">
        <v>4</v>
      </c>
      <c r="Y1400" t="s">
        <v>204</v>
      </c>
      <c r="Z1400" t="s">
        <v>205</v>
      </c>
      <c r="AA1400" t="s">
        <v>206</v>
      </c>
      <c r="AB1400" t="s">
        <v>4</v>
      </c>
      <c r="AC1400" s="3" t="s">
        <v>15511</v>
      </c>
      <c r="AD1400" t="s">
        <v>4</v>
      </c>
      <c r="AE1400" t="s">
        <v>15512</v>
      </c>
      <c r="AF1400" t="s">
        <v>15513</v>
      </c>
      <c r="AG1400" t="s">
        <v>2863</v>
      </c>
      <c r="AH1400" t="s">
        <v>112</v>
      </c>
      <c r="AK1400" t="s">
        <v>163</v>
      </c>
      <c r="AL1400" t="s">
        <v>15514</v>
      </c>
      <c r="AM1400" t="s">
        <v>15515</v>
      </c>
      <c r="AQ1400" t="s">
        <v>15516</v>
      </c>
      <c r="AU1400" t="s">
        <v>112</v>
      </c>
      <c r="AV1400" t="s">
        <v>15517</v>
      </c>
      <c r="AW1400" t="s">
        <v>114</v>
      </c>
      <c r="AX1400" t="s">
        <v>733</v>
      </c>
      <c r="AY1400" t="s">
        <v>212</v>
      </c>
      <c r="AZ1400" t="s">
        <v>4</v>
      </c>
      <c r="BA1400" s="3" t="s">
        <v>95</v>
      </c>
      <c r="BB1400" s="6" t="s">
        <v>95</v>
      </c>
      <c r="BC1400" s="3" t="s">
        <v>95</v>
      </c>
      <c r="BD1400" t="s">
        <v>4</v>
      </c>
      <c r="BE1400">
        <v>10193</v>
      </c>
      <c r="BF1400" t="s">
        <v>169</v>
      </c>
      <c r="BG1400">
        <v>98.7624</v>
      </c>
      <c r="BI1400">
        <v>98.267300000000006</v>
      </c>
      <c r="BJ1400">
        <v>90.346500000000006</v>
      </c>
      <c r="BK1400">
        <v>89.108900000000006</v>
      </c>
      <c r="BL1400">
        <v>73.267300000000006</v>
      </c>
      <c r="BM1400" t="s">
        <v>15518</v>
      </c>
      <c r="BN1400" t="s">
        <v>15519</v>
      </c>
      <c r="BO1400">
        <v>88.861400000000003</v>
      </c>
      <c r="BP1400">
        <v>58.910899999999998</v>
      </c>
      <c r="BQ1400">
        <v>30.693100000000001</v>
      </c>
      <c r="BR1400">
        <v>32.425699999999999</v>
      </c>
      <c r="BW1400">
        <v>45.544600000000003</v>
      </c>
      <c r="BX1400">
        <v>38.366300000000003</v>
      </c>
      <c r="BZ1400">
        <v>29.207899999999999</v>
      </c>
      <c r="CA1400">
        <v>26.2376</v>
      </c>
      <c r="CB1400">
        <v>31.435600000000001</v>
      </c>
      <c r="CC1400">
        <v>29.950500000000002</v>
      </c>
      <c r="CE1400">
        <v>27.722799999999999</v>
      </c>
      <c r="CF1400" t="s">
        <v>15520</v>
      </c>
      <c r="CG1400">
        <v>32.178199999999997</v>
      </c>
      <c r="CH1400">
        <v>31.188099999999999</v>
      </c>
      <c r="CI1400">
        <v>29.455400000000001</v>
      </c>
      <c r="CJ1400">
        <v>26.9802</v>
      </c>
      <c r="CK1400">
        <v>9</v>
      </c>
      <c r="CL1400" t="s">
        <v>4</v>
      </c>
      <c r="CM1400" t="s">
        <v>15521</v>
      </c>
      <c r="CN1400" t="s">
        <v>15522</v>
      </c>
      <c r="CO1400" t="s">
        <v>219</v>
      </c>
      <c r="CP1400" t="s">
        <v>100</v>
      </c>
      <c r="CQ1400" t="s">
        <v>100</v>
      </c>
      <c r="CR1400" t="s">
        <v>100</v>
      </c>
      <c r="CS1400" s="7" t="s">
        <v>101</v>
      </c>
      <c r="CT1400" t="s">
        <v>152</v>
      </c>
      <c r="CU1400" t="s">
        <v>102</v>
      </c>
      <c r="CV1400" t="s">
        <v>100</v>
      </c>
    </row>
    <row r="1401" spans="1:100">
      <c r="A1401" s="3" t="s">
        <v>15523</v>
      </c>
      <c r="B1401" s="4" t="s">
        <v>15524</v>
      </c>
      <c r="C1401">
        <v>301.74092125392798</v>
      </c>
      <c r="D1401">
        <v>242.03514370883099</v>
      </c>
      <c r="E1401">
        <v>0.31797343079822399</v>
      </c>
      <c r="F1401">
        <v>0.53892014664571797</v>
      </c>
      <c r="G1401" t="s">
        <v>4</v>
      </c>
      <c r="H1401">
        <v>301.74092125392798</v>
      </c>
      <c r="I1401">
        <v>59.325559590029201</v>
      </c>
      <c r="J1401">
        <v>2.3567230888821298</v>
      </c>
      <c r="K1401" s="5">
        <v>3.9190195261039301E-7</v>
      </c>
      <c r="L1401" t="s">
        <v>4</v>
      </c>
      <c r="M1401">
        <v>242.03514370883099</v>
      </c>
      <c r="N1401">
        <v>59.325559590029201</v>
      </c>
      <c r="O1401">
        <v>2.0387496580839</v>
      </c>
      <c r="P1401" s="5">
        <v>1.11139111226245E-5</v>
      </c>
      <c r="Q1401" t="s">
        <v>4</v>
      </c>
      <c r="R1401" s="4" t="s">
        <v>87</v>
      </c>
      <c r="S1401" t="s">
        <v>4</v>
      </c>
      <c r="T1401" t="s">
        <v>88</v>
      </c>
      <c r="U1401" t="s">
        <v>89</v>
      </c>
      <c r="V1401" t="s">
        <v>90</v>
      </c>
      <c r="W1401" t="s">
        <v>91</v>
      </c>
      <c r="X1401" t="s">
        <v>4</v>
      </c>
      <c r="Y1401" t="s">
        <v>92</v>
      </c>
      <c r="Z1401" t="s">
        <v>92</v>
      </c>
      <c r="AA1401" t="s">
        <v>92</v>
      </c>
      <c r="AB1401" t="s">
        <v>4</v>
      </c>
      <c r="AC1401" s="3" t="s">
        <v>93</v>
      </c>
      <c r="AD1401" t="s">
        <v>4</v>
      </c>
      <c r="AE1401" s="4" t="s">
        <v>94</v>
      </c>
      <c r="AZ1401" t="s">
        <v>4</v>
      </c>
      <c r="BA1401" s="3" t="s">
        <v>95</v>
      </c>
      <c r="BB1401" t="s">
        <v>96</v>
      </c>
      <c r="BC1401" s="3" t="s">
        <v>95</v>
      </c>
      <c r="BD1401" t="s">
        <v>4</v>
      </c>
      <c r="BE1401">
        <v>2128</v>
      </c>
      <c r="BF1401" t="s">
        <v>148</v>
      </c>
      <c r="BG1401">
        <v>58.5242</v>
      </c>
      <c r="BI1401">
        <v>77.608099999999993</v>
      </c>
      <c r="BJ1401" t="s">
        <v>15525</v>
      </c>
      <c r="BM1401">
        <v>61.832099999999997</v>
      </c>
      <c r="BN1401">
        <v>61.832099999999997</v>
      </c>
      <c r="CK1401">
        <v>3</v>
      </c>
      <c r="CL1401" t="s">
        <v>4</v>
      </c>
      <c r="CM1401" t="s">
        <v>98</v>
      </c>
      <c r="CN1401" t="s">
        <v>98</v>
      </c>
      <c r="CO1401" t="s">
        <v>99</v>
      </c>
      <c r="CP1401" t="s">
        <v>100</v>
      </c>
      <c r="CQ1401" t="s">
        <v>100</v>
      </c>
      <c r="CR1401" t="s">
        <v>100</v>
      </c>
      <c r="CS1401" t="s">
        <v>101</v>
      </c>
      <c r="CT1401" t="s">
        <v>152</v>
      </c>
      <c r="CU1401" t="s">
        <v>102</v>
      </c>
      <c r="CV1401" t="s">
        <v>100</v>
      </c>
    </row>
    <row r="1402" spans="1:100">
      <c r="A1402" s="3" t="s">
        <v>15526</v>
      </c>
      <c r="B1402" s="4" t="s">
        <v>15527</v>
      </c>
      <c r="C1402">
        <v>898.92041619264501</v>
      </c>
      <c r="D1402">
        <v>1167.22525493896</v>
      </c>
      <c r="E1402">
        <f>0.376946544902241</f>
        <v>0.376946544902241</v>
      </c>
      <c r="F1402">
        <v>0.213207369599024</v>
      </c>
      <c r="G1402" t="s">
        <v>4</v>
      </c>
      <c r="H1402">
        <v>898.92041619264501</v>
      </c>
      <c r="I1402">
        <v>284.30631795269301</v>
      </c>
      <c r="J1402">
        <v>1.65771420934873</v>
      </c>
      <c r="K1402" s="5">
        <v>2.1213025774407098E-9</v>
      </c>
      <c r="L1402" t="s">
        <v>4</v>
      </c>
      <c r="M1402">
        <v>1167.22525493896</v>
      </c>
      <c r="N1402">
        <v>284.30631795269301</v>
      </c>
      <c r="O1402">
        <v>2.0346607542509698</v>
      </c>
      <c r="P1402" s="5">
        <v>8.3516772560002897E-14</v>
      </c>
      <c r="Q1402" t="s">
        <v>4</v>
      </c>
      <c r="R1402" s="4" t="s">
        <v>87</v>
      </c>
      <c r="S1402" t="s">
        <v>4</v>
      </c>
      <c r="T1402" t="s">
        <v>15528</v>
      </c>
      <c r="U1402" t="s">
        <v>15529</v>
      </c>
      <c r="V1402" t="s">
        <v>15530</v>
      </c>
      <c r="W1402" t="s">
        <v>123</v>
      </c>
      <c r="X1402" t="s">
        <v>4</v>
      </c>
      <c r="Y1402" t="s">
        <v>15531</v>
      </c>
      <c r="Z1402" t="s">
        <v>15532</v>
      </c>
      <c r="AA1402" t="s">
        <v>15533</v>
      </c>
      <c r="AB1402" t="s">
        <v>4</v>
      </c>
      <c r="AC1402" s="3" t="s">
        <v>15534</v>
      </c>
      <c r="AD1402" t="s">
        <v>4</v>
      </c>
      <c r="AE1402" t="s">
        <v>15535</v>
      </c>
      <c r="AF1402" t="s">
        <v>15536</v>
      </c>
      <c r="AG1402" t="s">
        <v>7663</v>
      </c>
      <c r="AH1402" t="s">
        <v>112</v>
      </c>
      <c r="AL1402" t="s">
        <v>15537</v>
      </c>
      <c r="AQ1402" t="s">
        <v>15538</v>
      </c>
      <c r="AU1402" t="s">
        <v>112</v>
      </c>
      <c r="AV1402" t="s">
        <v>15539</v>
      </c>
      <c r="AW1402" t="s">
        <v>114</v>
      </c>
      <c r="AX1402" t="s">
        <v>1907</v>
      </c>
      <c r="AY1402" t="s">
        <v>15540</v>
      </c>
      <c r="AZ1402" t="s">
        <v>4</v>
      </c>
      <c r="BA1402" s="3" t="s">
        <v>95</v>
      </c>
      <c r="BB1402" s="6" t="s">
        <v>95</v>
      </c>
      <c r="BC1402" s="3" t="s">
        <v>95</v>
      </c>
      <c r="BD1402" t="s">
        <v>4</v>
      </c>
      <c r="BE1402">
        <v>5406</v>
      </c>
      <c r="BF1402" t="s">
        <v>386</v>
      </c>
      <c r="BG1402">
        <v>98.791499999999999</v>
      </c>
      <c r="BH1402" t="s">
        <v>15541</v>
      </c>
      <c r="BI1402">
        <v>94.561899999999994</v>
      </c>
      <c r="BJ1402">
        <v>84.29</v>
      </c>
      <c r="BK1402">
        <v>77.039299999999997</v>
      </c>
      <c r="BL1402">
        <v>41.389699999999998</v>
      </c>
      <c r="BM1402">
        <v>39.879199999999997</v>
      </c>
      <c r="BN1402">
        <v>73.715999999999994</v>
      </c>
      <c r="BO1402">
        <v>80.362499999999997</v>
      </c>
      <c r="BP1402">
        <v>30.8157</v>
      </c>
      <c r="BQ1402">
        <v>37.764400000000002</v>
      </c>
      <c r="BR1402">
        <v>43.5045</v>
      </c>
      <c r="BS1402">
        <v>38.368600000000001</v>
      </c>
      <c r="BT1402">
        <v>23.262799999999999</v>
      </c>
      <c r="BU1402">
        <v>32.628399999999999</v>
      </c>
      <c r="BV1402" t="s">
        <v>15542</v>
      </c>
      <c r="BW1402">
        <v>22.960699999999999</v>
      </c>
      <c r="BX1402">
        <v>41.994</v>
      </c>
      <c r="BY1402">
        <v>25.377600000000001</v>
      </c>
      <c r="BZ1402">
        <v>15.105700000000001</v>
      </c>
      <c r="CA1402">
        <v>38.066499999999998</v>
      </c>
      <c r="CC1402">
        <v>27.794599999999999</v>
      </c>
      <c r="CD1402">
        <v>10.2719</v>
      </c>
      <c r="CF1402" t="s">
        <v>15543</v>
      </c>
      <c r="CG1402" t="s">
        <v>15544</v>
      </c>
      <c r="CH1402" t="s">
        <v>15545</v>
      </c>
      <c r="CI1402" t="s">
        <v>15546</v>
      </c>
      <c r="CK1402">
        <v>7</v>
      </c>
      <c r="CL1402" t="s">
        <v>4</v>
      </c>
      <c r="CM1402" t="s">
        <v>15547</v>
      </c>
      <c r="CN1402" t="s">
        <v>15548</v>
      </c>
      <c r="CO1402" t="s">
        <v>219</v>
      </c>
      <c r="CP1402" t="s">
        <v>100</v>
      </c>
      <c r="CQ1402" t="s">
        <v>100</v>
      </c>
      <c r="CR1402" t="s">
        <v>100</v>
      </c>
      <c r="CS1402" s="7" t="s">
        <v>101</v>
      </c>
      <c r="CT1402" t="s">
        <v>152</v>
      </c>
      <c r="CU1402" t="s">
        <v>102</v>
      </c>
      <c r="CV1402" t="s">
        <v>100</v>
      </c>
    </row>
    <row r="1403" spans="1:100">
      <c r="A1403" s="3" t="s">
        <v>15549</v>
      </c>
      <c r="B1403" s="4" t="s">
        <v>15550</v>
      </c>
      <c r="C1403">
        <v>66.403702518842394</v>
      </c>
      <c r="D1403">
        <v>56.134965149064797</v>
      </c>
      <c r="E1403">
        <v>0.24021263936041201</v>
      </c>
      <c r="F1403">
        <v>0.66026365771665896</v>
      </c>
      <c r="G1403" t="s">
        <v>4</v>
      </c>
      <c r="H1403">
        <v>66.403702518842394</v>
      </c>
      <c r="I1403">
        <v>13.8050985893291</v>
      </c>
      <c r="J1403">
        <v>2.2655231812449999</v>
      </c>
      <c r="K1403" s="5">
        <v>2.0553189867044699E-5</v>
      </c>
      <c r="L1403" t="s">
        <v>4</v>
      </c>
      <c r="M1403">
        <v>56.134965149064797</v>
      </c>
      <c r="N1403">
        <v>13.8050985893291</v>
      </c>
      <c r="O1403">
        <v>2.0253105418845898</v>
      </c>
      <c r="P1403">
        <v>1.4360978899407599E-4</v>
      </c>
      <c r="Q1403" t="s">
        <v>4</v>
      </c>
      <c r="R1403" s="4" t="s">
        <v>87</v>
      </c>
      <c r="S1403" t="s">
        <v>4</v>
      </c>
      <c r="T1403" t="s">
        <v>92</v>
      </c>
      <c r="U1403" t="s">
        <v>92</v>
      </c>
      <c r="V1403" t="s">
        <v>92</v>
      </c>
      <c r="W1403" t="s">
        <v>92</v>
      </c>
      <c r="X1403" t="s">
        <v>4</v>
      </c>
      <c r="Y1403" t="s">
        <v>92</v>
      </c>
      <c r="Z1403" t="s">
        <v>92</v>
      </c>
      <c r="AA1403" t="s">
        <v>92</v>
      </c>
      <c r="AB1403" t="s">
        <v>4</v>
      </c>
      <c r="AC1403" s="3" t="s">
        <v>93</v>
      </c>
      <c r="AD1403" t="s">
        <v>4</v>
      </c>
      <c r="AE1403" t="s">
        <v>15551</v>
      </c>
      <c r="AF1403" t="s">
        <v>15552</v>
      </c>
      <c r="AG1403" t="s">
        <v>15553</v>
      </c>
      <c r="AH1403" t="s">
        <v>112</v>
      </c>
      <c r="AU1403" t="s">
        <v>112</v>
      </c>
      <c r="AV1403" t="s">
        <v>15554</v>
      </c>
      <c r="AW1403" t="s">
        <v>114</v>
      </c>
      <c r="AZ1403" t="s">
        <v>4</v>
      </c>
      <c r="BA1403" s="3" t="s">
        <v>95</v>
      </c>
      <c r="BB1403" s="6" t="s">
        <v>95</v>
      </c>
      <c r="BC1403" s="3" t="s">
        <v>95</v>
      </c>
      <c r="BD1403" t="s">
        <v>4</v>
      </c>
      <c r="BE1403">
        <v>4285</v>
      </c>
      <c r="BF1403" t="s">
        <v>112</v>
      </c>
      <c r="BG1403" t="s">
        <v>15555</v>
      </c>
      <c r="BI1403">
        <v>88.390500000000003</v>
      </c>
      <c r="BJ1403">
        <v>59.630600000000001</v>
      </c>
      <c r="BK1403">
        <v>60.422199999999997</v>
      </c>
      <c r="BL1403">
        <v>37.730899999999998</v>
      </c>
      <c r="BM1403">
        <v>43.007899999999999</v>
      </c>
      <c r="BN1403">
        <v>52.242699999999999</v>
      </c>
      <c r="BO1403">
        <v>58.311300000000003</v>
      </c>
      <c r="BR1403">
        <v>21.635899999999999</v>
      </c>
      <c r="CK1403">
        <v>5</v>
      </c>
      <c r="CL1403" t="s">
        <v>4</v>
      </c>
      <c r="CM1403" t="s">
        <v>98</v>
      </c>
      <c r="CN1403" t="s">
        <v>98</v>
      </c>
      <c r="CO1403" t="s">
        <v>99</v>
      </c>
      <c r="CP1403" t="s">
        <v>100</v>
      </c>
      <c r="CQ1403" t="s">
        <v>100</v>
      </c>
      <c r="CR1403" t="s">
        <v>100</v>
      </c>
      <c r="CS1403" t="s">
        <v>101</v>
      </c>
      <c r="CT1403" t="s">
        <v>152</v>
      </c>
      <c r="CU1403" t="s">
        <v>102</v>
      </c>
      <c r="CV1403" t="s">
        <v>100</v>
      </c>
    </row>
    <row r="1404" spans="1:100">
      <c r="A1404" s="3" t="s">
        <v>15556</v>
      </c>
      <c r="B1404" s="4" t="s">
        <v>15557</v>
      </c>
      <c r="C1404">
        <v>83.147437269995606</v>
      </c>
      <c r="D1404">
        <v>62.439028837254497</v>
      </c>
      <c r="E1404">
        <v>0.41085708228810902</v>
      </c>
      <c r="F1404">
        <v>0.33085397551821399</v>
      </c>
      <c r="G1404" t="s">
        <v>4</v>
      </c>
      <c r="H1404">
        <v>83.147437269995606</v>
      </c>
      <c r="I1404">
        <v>14.756105581997501</v>
      </c>
      <c r="J1404">
        <v>2.4342838014736699</v>
      </c>
      <c r="K1404" s="5">
        <v>4.5896299765953301E-8</v>
      </c>
      <c r="L1404" t="s">
        <v>4</v>
      </c>
      <c r="M1404">
        <v>62.439028837254497</v>
      </c>
      <c r="N1404">
        <v>14.756105581997501</v>
      </c>
      <c r="O1404">
        <v>2.0234267191855602</v>
      </c>
      <c r="P1404" s="5">
        <v>6.9941500378279203E-6</v>
      </c>
      <c r="Q1404" t="s">
        <v>4</v>
      </c>
      <c r="R1404" s="4" t="s">
        <v>87</v>
      </c>
      <c r="S1404" t="s">
        <v>4</v>
      </c>
      <c r="T1404" t="s">
        <v>2243</v>
      </c>
      <c r="U1404" t="s">
        <v>2244</v>
      </c>
      <c r="V1404" t="s">
        <v>2245</v>
      </c>
      <c r="W1404" t="s">
        <v>123</v>
      </c>
      <c r="X1404" t="s">
        <v>4</v>
      </c>
      <c r="Y1404" t="s">
        <v>15558</v>
      </c>
      <c r="Z1404" t="s">
        <v>15559</v>
      </c>
      <c r="AA1404" t="s">
        <v>15560</v>
      </c>
      <c r="AB1404" t="s">
        <v>4</v>
      </c>
      <c r="AC1404" s="3" t="s">
        <v>15561</v>
      </c>
      <c r="AD1404" t="s">
        <v>4</v>
      </c>
      <c r="AE1404" t="s">
        <v>15562</v>
      </c>
      <c r="AF1404" t="s">
        <v>15563</v>
      </c>
      <c r="AG1404" t="s">
        <v>15564</v>
      </c>
      <c r="AH1404" t="s">
        <v>638</v>
      </c>
      <c r="AU1404" t="s">
        <v>112</v>
      </c>
      <c r="AV1404" t="s">
        <v>15565</v>
      </c>
      <c r="AW1404" t="s">
        <v>114</v>
      </c>
      <c r="AX1404" t="s">
        <v>144</v>
      </c>
      <c r="AY1404" t="s">
        <v>15566</v>
      </c>
      <c r="AZ1404" t="s">
        <v>4</v>
      </c>
      <c r="BA1404" s="3" t="s">
        <v>95</v>
      </c>
      <c r="BB1404" s="6" t="s">
        <v>95</v>
      </c>
      <c r="BC1404" s="3" t="s">
        <v>95</v>
      </c>
      <c r="BD1404" t="s">
        <v>4</v>
      </c>
      <c r="BE1404">
        <v>6393</v>
      </c>
      <c r="BF1404" t="s">
        <v>213</v>
      </c>
      <c r="BG1404">
        <v>83.9024</v>
      </c>
      <c r="BH1404">
        <v>81.463399999999993</v>
      </c>
      <c r="BI1404">
        <v>88.780500000000004</v>
      </c>
      <c r="BM1404">
        <v>47.804900000000004</v>
      </c>
      <c r="BN1404">
        <v>70.243899999999996</v>
      </c>
      <c r="BO1404">
        <v>73.170699999999997</v>
      </c>
      <c r="BP1404">
        <v>51.707299999999996</v>
      </c>
      <c r="BQ1404">
        <v>36.5854</v>
      </c>
      <c r="BR1404">
        <v>35.6098</v>
      </c>
      <c r="BW1404">
        <v>40.9756</v>
      </c>
      <c r="BX1404">
        <v>40.9756</v>
      </c>
      <c r="BY1404">
        <v>29.7561</v>
      </c>
      <c r="CA1404">
        <v>39.5122</v>
      </c>
      <c r="CE1404">
        <v>23.9024</v>
      </c>
      <c r="CF1404" t="s">
        <v>15567</v>
      </c>
      <c r="CG1404">
        <v>27.8049</v>
      </c>
      <c r="CH1404">
        <v>27.3171</v>
      </c>
      <c r="CI1404">
        <v>27.3171</v>
      </c>
      <c r="CK1404">
        <v>8</v>
      </c>
      <c r="CL1404" t="s">
        <v>4</v>
      </c>
      <c r="CM1404" t="s">
        <v>15568</v>
      </c>
      <c r="CN1404" t="s">
        <v>15569</v>
      </c>
      <c r="CO1404" t="s">
        <v>99</v>
      </c>
      <c r="CP1404" t="s">
        <v>100</v>
      </c>
      <c r="CQ1404" t="s">
        <v>100</v>
      </c>
      <c r="CR1404" t="s">
        <v>100</v>
      </c>
      <c r="CS1404" t="s">
        <v>101</v>
      </c>
      <c r="CT1404" t="s">
        <v>152</v>
      </c>
      <c r="CU1404" t="s">
        <v>102</v>
      </c>
      <c r="CV1404" t="s">
        <v>100</v>
      </c>
    </row>
    <row r="1405" spans="1:100">
      <c r="A1405" s="3" t="s">
        <v>15570</v>
      </c>
      <c r="B1405" s="4" t="s">
        <v>15571</v>
      </c>
      <c r="C1405">
        <v>501.48088957566898</v>
      </c>
      <c r="D1405">
        <v>511.09555509066001</v>
      </c>
      <c r="E1405">
        <f>0.0278164078371299</f>
        <v>2.7816407837129901E-2</v>
      </c>
      <c r="F1405">
        <v>0.95101107602413104</v>
      </c>
      <c r="G1405" t="s">
        <v>4</v>
      </c>
      <c r="H1405">
        <v>501.48088957566898</v>
      </c>
      <c r="I1405">
        <v>125.658712462412</v>
      </c>
      <c r="J1405">
        <v>1.9808414180476299</v>
      </c>
      <c r="K1405" s="5">
        <v>3.7520190850797402E-8</v>
      </c>
      <c r="L1405" t="s">
        <v>4</v>
      </c>
      <c r="M1405">
        <v>511.09555509066001</v>
      </c>
      <c r="N1405">
        <v>125.658712462412</v>
      </c>
      <c r="O1405">
        <v>2.0086578258847601</v>
      </c>
      <c r="P1405" s="5">
        <v>1.8114234159297901E-8</v>
      </c>
      <c r="Q1405" t="s">
        <v>4</v>
      </c>
      <c r="R1405" s="4" t="s">
        <v>87</v>
      </c>
      <c r="S1405" t="s">
        <v>4</v>
      </c>
      <c r="T1405" t="s">
        <v>420</v>
      </c>
      <c r="U1405" t="s">
        <v>421</v>
      </c>
      <c r="V1405" t="s">
        <v>422</v>
      </c>
      <c r="W1405" t="s">
        <v>91</v>
      </c>
      <c r="X1405" t="s">
        <v>4</v>
      </c>
      <c r="Y1405" t="s">
        <v>15572</v>
      </c>
      <c r="Z1405" t="s">
        <v>15573</v>
      </c>
      <c r="AA1405" t="s">
        <v>15574</v>
      </c>
      <c r="AB1405" t="s">
        <v>4</v>
      </c>
      <c r="AC1405" s="3" t="s">
        <v>15575</v>
      </c>
      <c r="AD1405" t="s">
        <v>4</v>
      </c>
      <c r="AE1405" s="4" t="s">
        <v>94</v>
      </c>
      <c r="AZ1405" t="s">
        <v>4</v>
      </c>
      <c r="BA1405" s="3" t="s">
        <v>95</v>
      </c>
      <c r="BB1405" t="s">
        <v>96</v>
      </c>
      <c r="BC1405" s="3" t="s">
        <v>95</v>
      </c>
      <c r="BD1405" t="s">
        <v>4</v>
      </c>
      <c r="BE1405">
        <v>4352</v>
      </c>
      <c r="BF1405" t="s">
        <v>112</v>
      </c>
      <c r="BG1405">
        <v>81.155000000000001</v>
      </c>
      <c r="BH1405">
        <v>82.674800000000005</v>
      </c>
      <c r="BI1405">
        <v>76.899699999999996</v>
      </c>
      <c r="BJ1405">
        <v>67.477199999999996</v>
      </c>
      <c r="BL1405">
        <v>60.790300000000002</v>
      </c>
      <c r="BM1405">
        <v>60.790300000000002</v>
      </c>
      <c r="BN1405">
        <v>62.31</v>
      </c>
      <c r="BO1405">
        <v>70.820700000000002</v>
      </c>
      <c r="BP1405">
        <v>31.610900000000001</v>
      </c>
      <c r="BR1405">
        <v>18.844999999999999</v>
      </c>
      <c r="CK1405">
        <v>5</v>
      </c>
      <c r="CL1405" t="s">
        <v>4</v>
      </c>
      <c r="CM1405" t="s">
        <v>98</v>
      </c>
      <c r="CN1405" t="s">
        <v>98</v>
      </c>
      <c r="CO1405" t="s">
        <v>99</v>
      </c>
      <c r="CP1405" t="s">
        <v>100</v>
      </c>
      <c r="CQ1405" t="s">
        <v>100</v>
      </c>
      <c r="CR1405" t="s">
        <v>100</v>
      </c>
      <c r="CS1405" s="7" t="s">
        <v>101</v>
      </c>
      <c r="CT1405" t="s">
        <v>152</v>
      </c>
      <c r="CU1405" t="s">
        <v>102</v>
      </c>
      <c r="CV1405" t="s">
        <v>100</v>
      </c>
    </row>
    <row r="1406" spans="1:100">
      <c r="A1406" s="3" t="s">
        <v>15576</v>
      </c>
      <c r="B1406" s="4" t="s">
        <v>15577</v>
      </c>
      <c r="C1406">
        <v>2272.25439127967</v>
      </c>
      <c r="D1406">
        <v>1225.3021393720101</v>
      </c>
      <c r="E1406">
        <v>0.89063914347433004</v>
      </c>
      <c r="F1406" s="5">
        <v>4.0333596648568302E-7</v>
      </c>
      <c r="G1406" t="s">
        <v>4</v>
      </c>
      <c r="H1406">
        <v>2272.25439127967</v>
      </c>
      <c r="I1406">
        <v>305.59044464912898</v>
      </c>
      <c r="J1406">
        <v>2.8949966356778298</v>
      </c>
      <c r="K1406" s="5">
        <v>3.3695544153816101E-62</v>
      </c>
      <c r="L1406" t="s">
        <v>4</v>
      </c>
      <c r="M1406">
        <v>1225.3021393720101</v>
      </c>
      <c r="N1406">
        <v>305.59044464912898</v>
      </c>
      <c r="O1406">
        <v>2.0043574922034999</v>
      </c>
      <c r="P1406" s="5">
        <v>3.6327334711489503E-30</v>
      </c>
      <c r="Q1406" t="s">
        <v>4</v>
      </c>
      <c r="R1406" s="4" t="s">
        <v>87</v>
      </c>
      <c r="S1406" t="s">
        <v>4</v>
      </c>
      <c r="T1406" t="s">
        <v>92</v>
      </c>
      <c r="U1406" t="s">
        <v>92</v>
      </c>
      <c r="V1406" t="s">
        <v>92</v>
      </c>
      <c r="W1406" t="s">
        <v>92</v>
      </c>
      <c r="X1406" t="s">
        <v>4</v>
      </c>
      <c r="Y1406" t="s">
        <v>9510</v>
      </c>
      <c r="Z1406" t="s">
        <v>9511</v>
      </c>
      <c r="AA1406" t="s">
        <v>9511</v>
      </c>
      <c r="AB1406" t="s">
        <v>4</v>
      </c>
      <c r="AC1406" s="3" t="s">
        <v>15578</v>
      </c>
      <c r="AD1406" t="s">
        <v>4</v>
      </c>
      <c r="AE1406" t="s">
        <v>15579</v>
      </c>
      <c r="AF1406" t="s">
        <v>15580</v>
      </c>
      <c r="AG1406" t="s">
        <v>15581</v>
      </c>
      <c r="AH1406" t="s">
        <v>112</v>
      </c>
      <c r="AJ1406" t="s">
        <v>9516</v>
      </c>
      <c r="AU1406" t="s">
        <v>112</v>
      </c>
      <c r="AV1406" t="s">
        <v>15582</v>
      </c>
      <c r="AW1406" t="s">
        <v>114</v>
      </c>
      <c r="AX1406" t="s">
        <v>144</v>
      </c>
      <c r="AY1406" t="s">
        <v>8720</v>
      </c>
      <c r="AZ1406" t="s">
        <v>4</v>
      </c>
      <c r="BA1406" s="3" t="s">
        <v>95</v>
      </c>
      <c r="BB1406" t="s">
        <v>96</v>
      </c>
      <c r="BC1406" s="3" t="s">
        <v>197</v>
      </c>
      <c r="BD1406" t="s">
        <v>4</v>
      </c>
      <c r="BE1406">
        <v>5039</v>
      </c>
      <c r="BF1406" t="s">
        <v>282</v>
      </c>
      <c r="BG1406">
        <v>98.501900000000006</v>
      </c>
      <c r="BH1406">
        <v>72.284599999999998</v>
      </c>
      <c r="BI1406">
        <v>94.569299999999998</v>
      </c>
      <c r="BJ1406">
        <v>75.093599999999995</v>
      </c>
      <c r="BK1406">
        <v>66.292100000000005</v>
      </c>
      <c r="BL1406">
        <v>85.206000000000003</v>
      </c>
      <c r="BM1406">
        <v>85.767799999999994</v>
      </c>
      <c r="BN1406">
        <v>85.955100000000002</v>
      </c>
      <c r="BO1406">
        <v>85.580500000000001</v>
      </c>
      <c r="BP1406">
        <v>65.168499999999995</v>
      </c>
      <c r="BQ1406">
        <v>54.307099999999998</v>
      </c>
      <c r="BR1406">
        <v>46.441899999999997</v>
      </c>
      <c r="BS1406">
        <v>46.629199999999997</v>
      </c>
      <c r="BT1406">
        <v>51.123600000000003</v>
      </c>
      <c r="BU1406">
        <v>44.194800000000001</v>
      </c>
      <c r="BV1406" t="s">
        <v>15583</v>
      </c>
      <c r="BW1406">
        <v>51.685400000000001</v>
      </c>
      <c r="BX1406">
        <v>52.4345</v>
      </c>
      <c r="BZ1406">
        <v>45.880099999999999</v>
      </c>
      <c r="CA1406">
        <v>49.438200000000002</v>
      </c>
      <c r="CB1406">
        <v>20.411999999999999</v>
      </c>
      <c r="CC1406">
        <v>24.5318</v>
      </c>
      <c r="CD1406">
        <v>26.9663</v>
      </c>
      <c r="CK1406">
        <v>6</v>
      </c>
      <c r="CL1406" t="s">
        <v>4</v>
      </c>
      <c r="CM1406" t="s">
        <v>15584</v>
      </c>
      <c r="CN1406" t="s">
        <v>15585</v>
      </c>
      <c r="CO1406" t="s">
        <v>99</v>
      </c>
      <c r="CP1406" t="s">
        <v>100</v>
      </c>
      <c r="CQ1406" t="s">
        <v>100</v>
      </c>
      <c r="CR1406" t="s">
        <v>100</v>
      </c>
      <c r="CS1406" t="s">
        <v>101</v>
      </c>
      <c r="CT1406" t="s">
        <v>152</v>
      </c>
      <c r="CU1406" t="s">
        <v>102</v>
      </c>
      <c r="CV1406" t="s">
        <v>100</v>
      </c>
    </row>
    <row r="1407" spans="1:100">
      <c r="A1407" s="3" t="s">
        <v>15586</v>
      </c>
      <c r="B1407" s="4" t="s">
        <v>15587</v>
      </c>
      <c r="C1407">
        <v>2400.3131464029598</v>
      </c>
      <c r="D1407">
        <v>2305.3383165339101</v>
      </c>
      <c r="E1407">
        <v>5.8385384095698302E-2</v>
      </c>
      <c r="F1407">
        <v>0.76650361078158302</v>
      </c>
      <c r="G1407" t="s">
        <v>4</v>
      </c>
      <c r="H1407">
        <v>2400.3131464029598</v>
      </c>
      <c r="I1407">
        <v>577.25355693981999</v>
      </c>
      <c r="J1407">
        <v>2.0532976847837801</v>
      </c>
      <c r="K1407" s="5">
        <v>9.2525786844653602E-37</v>
      </c>
      <c r="L1407" t="s">
        <v>4</v>
      </c>
      <c r="M1407">
        <v>2305.3383165339101</v>
      </c>
      <c r="N1407">
        <v>577.25355693981999</v>
      </c>
      <c r="O1407">
        <v>1.99491230068808</v>
      </c>
      <c r="P1407" s="5">
        <v>8.2058135650560303E-35</v>
      </c>
      <c r="Q1407" t="s">
        <v>4</v>
      </c>
      <c r="R1407" s="4" t="s">
        <v>87</v>
      </c>
      <c r="S1407" t="s">
        <v>4</v>
      </c>
      <c r="T1407" t="s">
        <v>15588</v>
      </c>
      <c r="U1407" t="s">
        <v>15589</v>
      </c>
      <c r="V1407" t="s">
        <v>15590</v>
      </c>
      <c r="W1407" t="s">
        <v>328</v>
      </c>
      <c r="X1407" t="s">
        <v>4</v>
      </c>
      <c r="Y1407" t="s">
        <v>15591</v>
      </c>
      <c r="Z1407" t="s">
        <v>15592</v>
      </c>
      <c r="AA1407" t="s">
        <v>15593</v>
      </c>
      <c r="AB1407" t="s">
        <v>4</v>
      </c>
      <c r="AC1407" s="3" t="s">
        <v>15594</v>
      </c>
      <c r="AD1407" t="s">
        <v>4</v>
      </c>
      <c r="AE1407" t="s">
        <v>15595</v>
      </c>
      <c r="AF1407" t="s">
        <v>15596</v>
      </c>
      <c r="AG1407" t="s">
        <v>15597</v>
      </c>
      <c r="AH1407" t="s">
        <v>112</v>
      </c>
      <c r="AJ1407" t="s">
        <v>15598</v>
      </c>
      <c r="AK1407" t="s">
        <v>15599</v>
      </c>
      <c r="AL1407" t="s">
        <v>15600</v>
      </c>
      <c r="AM1407" t="s">
        <v>15601</v>
      </c>
      <c r="AO1407" t="s">
        <v>15602</v>
      </c>
      <c r="AP1407" t="s">
        <v>15603</v>
      </c>
      <c r="AQ1407" t="s">
        <v>342</v>
      </c>
      <c r="AU1407" t="s">
        <v>112</v>
      </c>
      <c r="AV1407" t="s">
        <v>15604</v>
      </c>
      <c r="AW1407" t="s">
        <v>114</v>
      </c>
      <c r="AX1407" t="s">
        <v>1308</v>
      </c>
      <c r="AY1407" t="s">
        <v>15605</v>
      </c>
      <c r="AZ1407" t="s">
        <v>4</v>
      </c>
      <c r="BA1407" s="3" t="s">
        <v>95</v>
      </c>
      <c r="BB1407" s="6" t="s">
        <v>95</v>
      </c>
      <c r="BC1407" s="3" t="s">
        <v>95</v>
      </c>
      <c r="BD1407" t="s">
        <v>4</v>
      </c>
      <c r="BE1407">
        <v>10718</v>
      </c>
      <c r="BF1407" t="s">
        <v>169</v>
      </c>
      <c r="BG1407">
        <v>100</v>
      </c>
      <c r="BH1407">
        <v>100</v>
      </c>
      <c r="BI1407">
        <v>90.140799999999999</v>
      </c>
      <c r="BJ1407">
        <v>95.774699999999996</v>
      </c>
      <c r="BK1407">
        <v>91.267600000000002</v>
      </c>
      <c r="BL1407">
        <v>91.831000000000003</v>
      </c>
      <c r="BM1407">
        <v>91.549300000000002</v>
      </c>
      <c r="BN1407">
        <v>91.831000000000003</v>
      </c>
      <c r="BO1407">
        <v>94.366200000000006</v>
      </c>
      <c r="BP1407">
        <v>64.788700000000006</v>
      </c>
      <c r="BQ1407">
        <v>56.619700000000002</v>
      </c>
      <c r="BR1407" t="s">
        <v>15606</v>
      </c>
      <c r="BS1407" t="s">
        <v>15607</v>
      </c>
      <c r="BT1407" t="s">
        <v>15608</v>
      </c>
      <c r="BU1407">
        <v>56.0563</v>
      </c>
      <c r="BV1407" t="s">
        <v>15609</v>
      </c>
      <c r="BW1407">
        <v>32.394399999999997</v>
      </c>
      <c r="BX1407">
        <v>58.873199999999997</v>
      </c>
      <c r="BZ1407">
        <v>58.873199999999997</v>
      </c>
      <c r="CA1407" t="s">
        <v>15610</v>
      </c>
      <c r="CB1407" t="s">
        <v>15611</v>
      </c>
      <c r="CC1407">
        <v>31.831</v>
      </c>
      <c r="CD1407">
        <v>47.605600000000003</v>
      </c>
      <c r="CE1407" t="s">
        <v>15612</v>
      </c>
      <c r="CF1407" t="s">
        <v>15613</v>
      </c>
      <c r="CG1407" t="s">
        <v>15614</v>
      </c>
      <c r="CH1407" t="s">
        <v>15615</v>
      </c>
      <c r="CI1407" t="s">
        <v>15616</v>
      </c>
      <c r="CJ1407" t="s">
        <v>15617</v>
      </c>
      <c r="CK1407">
        <v>9</v>
      </c>
      <c r="CL1407" t="s">
        <v>4</v>
      </c>
      <c r="CM1407" t="s">
        <v>15618</v>
      </c>
      <c r="CN1407" t="s">
        <v>15619</v>
      </c>
      <c r="CO1407" t="s">
        <v>1745</v>
      </c>
      <c r="CP1407" t="s">
        <v>100</v>
      </c>
      <c r="CQ1407" t="s">
        <v>100</v>
      </c>
      <c r="CR1407" t="s">
        <v>100</v>
      </c>
      <c r="CS1407" t="s">
        <v>101</v>
      </c>
      <c r="CT1407" s="7" t="s">
        <v>152</v>
      </c>
      <c r="CU1407" t="s">
        <v>102</v>
      </c>
      <c r="CV1407" t="s">
        <v>100</v>
      </c>
    </row>
    <row r="1408" spans="1:100">
      <c r="A1408" s="3" t="s">
        <v>15620</v>
      </c>
      <c r="B1408" s="4" t="s">
        <v>15621</v>
      </c>
      <c r="C1408">
        <v>1389.27943082971</v>
      </c>
      <c r="D1408">
        <v>1194.2460341513799</v>
      </c>
      <c r="E1408">
        <v>0.21794755255088799</v>
      </c>
      <c r="F1408">
        <v>0.32417636196606497</v>
      </c>
      <c r="G1408" t="s">
        <v>4</v>
      </c>
      <c r="H1408">
        <v>1389.27943082971</v>
      </c>
      <c r="I1408">
        <v>301.28112596433499</v>
      </c>
      <c r="J1408">
        <v>2.2045139140574999</v>
      </c>
      <c r="K1408" s="5">
        <v>8.6419297421585895E-29</v>
      </c>
      <c r="L1408" t="s">
        <v>4</v>
      </c>
      <c r="M1408">
        <v>1194.2460341513799</v>
      </c>
      <c r="N1408">
        <v>301.28112596433499</v>
      </c>
      <c r="O1408">
        <v>1.98656636150661</v>
      </c>
      <c r="P1408" s="5">
        <v>1.3351208446437699E-23</v>
      </c>
      <c r="Q1408" t="s">
        <v>4</v>
      </c>
      <c r="R1408" s="4" t="s">
        <v>87</v>
      </c>
      <c r="S1408" t="s">
        <v>4</v>
      </c>
      <c r="T1408" t="s">
        <v>8902</v>
      </c>
      <c r="U1408" t="s">
        <v>8903</v>
      </c>
      <c r="V1408" t="s">
        <v>8904</v>
      </c>
      <c r="W1408" t="s">
        <v>328</v>
      </c>
      <c r="X1408" t="s">
        <v>4</v>
      </c>
      <c r="Y1408" t="s">
        <v>15622</v>
      </c>
      <c r="Z1408" t="s">
        <v>15623</v>
      </c>
      <c r="AA1408" t="s">
        <v>15624</v>
      </c>
      <c r="AB1408" t="s">
        <v>4</v>
      </c>
      <c r="AC1408" s="3" t="s">
        <v>15625</v>
      </c>
      <c r="AD1408" t="s">
        <v>4</v>
      </c>
      <c r="AE1408" t="s">
        <v>15626</v>
      </c>
      <c r="AF1408" t="s">
        <v>15627</v>
      </c>
      <c r="AG1408" t="s">
        <v>15628</v>
      </c>
      <c r="AH1408" t="s">
        <v>112</v>
      </c>
      <c r="AJ1408" t="s">
        <v>15629</v>
      </c>
      <c r="AL1408" t="s">
        <v>15630</v>
      </c>
      <c r="AM1408" t="s">
        <v>15631</v>
      </c>
      <c r="AQ1408" t="s">
        <v>15632</v>
      </c>
      <c r="AU1408" t="s">
        <v>112</v>
      </c>
      <c r="AV1408" t="s">
        <v>15633</v>
      </c>
      <c r="AW1408" t="s">
        <v>114</v>
      </c>
      <c r="AX1408" t="s">
        <v>371</v>
      </c>
      <c r="AY1408" t="s">
        <v>8916</v>
      </c>
      <c r="AZ1408" t="s">
        <v>4</v>
      </c>
      <c r="BA1408" s="3" t="s">
        <v>115</v>
      </c>
      <c r="BB1408" s="6" t="s">
        <v>95</v>
      </c>
      <c r="BC1408" s="3" t="s">
        <v>95</v>
      </c>
      <c r="BD1408" t="s">
        <v>4</v>
      </c>
      <c r="BE1408">
        <v>7715</v>
      </c>
      <c r="BF1408" t="s">
        <v>213</v>
      </c>
      <c r="BG1408">
        <v>95.454499999999996</v>
      </c>
      <c r="BH1408">
        <v>52.5974</v>
      </c>
      <c r="BJ1408">
        <v>87.662300000000002</v>
      </c>
      <c r="BK1408">
        <v>80.519499999999994</v>
      </c>
      <c r="BM1408">
        <v>87.013000000000005</v>
      </c>
      <c r="BN1408">
        <v>85.064899999999994</v>
      </c>
      <c r="BO1408">
        <v>86.688299999999998</v>
      </c>
      <c r="BP1408">
        <v>28.896100000000001</v>
      </c>
      <c r="BT1408">
        <v>30.194800000000001</v>
      </c>
      <c r="BU1408">
        <v>22.0779</v>
      </c>
      <c r="BV1408" t="s">
        <v>15634</v>
      </c>
      <c r="BX1408">
        <v>40.259700000000002</v>
      </c>
      <c r="BY1408">
        <v>24.026</v>
      </c>
      <c r="BZ1408">
        <v>41.558399999999999</v>
      </c>
      <c r="CA1408">
        <v>32.467500000000001</v>
      </c>
      <c r="CB1408">
        <v>20.779199999999999</v>
      </c>
      <c r="CC1408">
        <v>21.103899999999999</v>
      </c>
      <c r="CD1408">
        <v>25</v>
      </c>
      <c r="CF1408">
        <v>24.6753</v>
      </c>
      <c r="CG1408">
        <v>22.7273</v>
      </c>
      <c r="CH1408">
        <v>22.4026</v>
      </c>
      <c r="CI1408">
        <v>23.3766</v>
      </c>
      <c r="CK1408">
        <v>8</v>
      </c>
      <c r="CL1408" t="s">
        <v>4</v>
      </c>
      <c r="CM1408" t="s">
        <v>15635</v>
      </c>
      <c r="CN1408" t="s">
        <v>15636</v>
      </c>
      <c r="CO1408" t="s">
        <v>219</v>
      </c>
      <c r="CP1408" t="s">
        <v>100</v>
      </c>
      <c r="CQ1408" t="s">
        <v>100</v>
      </c>
      <c r="CR1408" t="s">
        <v>100</v>
      </c>
      <c r="CS1408" t="s">
        <v>101</v>
      </c>
      <c r="CT1408" s="7" t="s">
        <v>152</v>
      </c>
      <c r="CU1408" t="s">
        <v>102</v>
      </c>
      <c r="CV1408" t="s">
        <v>100</v>
      </c>
    </row>
    <row r="1409" spans="1:100">
      <c r="A1409" s="3" t="s">
        <v>15637</v>
      </c>
      <c r="B1409" s="4" t="s">
        <v>15638</v>
      </c>
      <c r="C1409">
        <v>440.56226689506002</v>
      </c>
      <c r="D1409">
        <v>234.46128819733599</v>
      </c>
      <c r="E1409">
        <v>0.91071126535761704</v>
      </c>
      <c r="F1409">
        <v>2.57303084335245E-3</v>
      </c>
      <c r="G1409" t="s">
        <v>4</v>
      </c>
      <c r="H1409">
        <v>440.56226689506002</v>
      </c>
      <c r="I1409">
        <v>58.585989236985299</v>
      </c>
      <c r="J1409">
        <v>2.8922367922207299</v>
      </c>
      <c r="K1409" s="5">
        <v>1.26546953842481E-21</v>
      </c>
      <c r="L1409" t="s">
        <v>4</v>
      </c>
      <c r="M1409">
        <v>234.46128819733599</v>
      </c>
      <c r="N1409">
        <v>58.585989236985299</v>
      </c>
      <c r="O1409">
        <v>1.98152552686311</v>
      </c>
      <c r="P1409" s="5">
        <v>1.26069827607017E-10</v>
      </c>
      <c r="Q1409" t="s">
        <v>4</v>
      </c>
      <c r="R1409" s="4" t="s">
        <v>87</v>
      </c>
      <c r="S1409" t="s">
        <v>4</v>
      </c>
      <c r="T1409" t="s">
        <v>460</v>
      </c>
      <c r="U1409" t="s">
        <v>461</v>
      </c>
      <c r="V1409" t="s">
        <v>462</v>
      </c>
      <c r="W1409" t="s">
        <v>123</v>
      </c>
      <c r="X1409" t="s">
        <v>4</v>
      </c>
      <c r="Y1409" t="s">
        <v>6643</v>
      </c>
      <c r="Z1409" t="s">
        <v>6644</v>
      </c>
      <c r="AA1409" t="s">
        <v>6645</v>
      </c>
      <c r="AB1409" t="s">
        <v>4</v>
      </c>
      <c r="AC1409" s="3" t="s">
        <v>4714</v>
      </c>
      <c r="AD1409" t="s">
        <v>4</v>
      </c>
      <c r="AE1409" t="s">
        <v>15639</v>
      </c>
      <c r="AF1409" t="s">
        <v>15640</v>
      </c>
      <c r="AG1409" t="s">
        <v>6647</v>
      </c>
      <c r="AH1409" t="s">
        <v>169</v>
      </c>
      <c r="AU1409" t="s">
        <v>112</v>
      </c>
      <c r="AV1409" t="s">
        <v>470</v>
      </c>
      <c r="AW1409" t="s">
        <v>114</v>
      </c>
      <c r="AX1409" t="s">
        <v>144</v>
      </c>
      <c r="AY1409" t="s">
        <v>471</v>
      </c>
      <c r="AZ1409" t="s">
        <v>4</v>
      </c>
      <c r="BA1409" s="3" t="s">
        <v>95</v>
      </c>
      <c r="BB1409" s="6" t="s">
        <v>95</v>
      </c>
      <c r="BC1409" s="3" t="s">
        <v>197</v>
      </c>
      <c r="BD1409" t="s">
        <v>4</v>
      </c>
      <c r="BE1409">
        <v>986</v>
      </c>
      <c r="BF1409" t="s">
        <v>151</v>
      </c>
      <c r="BG1409">
        <v>94.974900000000005</v>
      </c>
      <c r="BH1409">
        <v>58.793999999999997</v>
      </c>
      <c r="BI1409">
        <v>19.597999999999999</v>
      </c>
      <c r="BJ1409" t="s">
        <v>15641</v>
      </c>
      <c r="BL1409">
        <v>10.5528</v>
      </c>
      <c r="CK1409">
        <v>2</v>
      </c>
      <c r="CL1409" t="s">
        <v>4</v>
      </c>
      <c r="CM1409" t="s">
        <v>98</v>
      </c>
      <c r="CN1409" t="s">
        <v>98</v>
      </c>
      <c r="CO1409" t="s">
        <v>99</v>
      </c>
      <c r="CP1409" t="s">
        <v>100</v>
      </c>
      <c r="CQ1409" t="s">
        <v>100</v>
      </c>
      <c r="CR1409" t="s">
        <v>100</v>
      </c>
      <c r="CS1409" t="s">
        <v>101</v>
      </c>
      <c r="CT1409" s="7" t="s">
        <v>152</v>
      </c>
      <c r="CU1409" t="s">
        <v>102</v>
      </c>
      <c r="CV1409" t="s">
        <v>100</v>
      </c>
    </row>
    <row r="1410" spans="1:100">
      <c r="A1410" s="3" t="s">
        <v>15642</v>
      </c>
      <c r="B1410" s="4" t="s">
        <v>15643</v>
      </c>
      <c r="C1410">
        <v>82.726932711469701</v>
      </c>
      <c r="D1410">
        <v>61.141167207341397</v>
      </c>
      <c r="E1410">
        <v>0.43790638473007398</v>
      </c>
      <c r="F1410">
        <v>0.46823668731922802</v>
      </c>
      <c r="G1410" t="s">
        <v>4</v>
      </c>
      <c r="H1410">
        <v>82.726932711469701</v>
      </c>
      <c r="I1410">
        <v>15.0078098839391</v>
      </c>
      <c r="J1410">
        <v>2.4105816346853701</v>
      </c>
      <c r="K1410" s="5">
        <v>4.16197958158746E-5</v>
      </c>
      <c r="L1410" t="s">
        <v>4</v>
      </c>
      <c r="M1410">
        <v>61.141167207341397</v>
      </c>
      <c r="N1410">
        <v>15.0078098839391</v>
      </c>
      <c r="O1410">
        <v>1.97267524995529</v>
      </c>
      <c r="P1410">
        <v>8.58131534590095E-4</v>
      </c>
      <c r="Q1410" t="s">
        <v>4</v>
      </c>
      <c r="R1410" s="4" t="s">
        <v>87</v>
      </c>
      <c r="S1410" t="s">
        <v>4</v>
      </c>
      <c r="T1410" t="s">
        <v>12424</v>
      </c>
      <c r="U1410" t="s">
        <v>12425</v>
      </c>
      <c r="V1410" t="s">
        <v>12426</v>
      </c>
      <c r="W1410" t="s">
        <v>328</v>
      </c>
      <c r="X1410" t="s">
        <v>4</v>
      </c>
      <c r="Y1410" t="s">
        <v>15644</v>
      </c>
      <c r="Z1410" t="s">
        <v>15645</v>
      </c>
      <c r="AA1410" t="s">
        <v>15646</v>
      </c>
      <c r="AB1410" t="s">
        <v>4</v>
      </c>
      <c r="AC1410" s="3" t="s">
        <v>15647</v>
      </c>
      <c r="AD1410" t="s">
        <v>4</v>
      </c>
      <c r="AE1410" t="s">
        <v>15648</v>
      </c>
      <c r="AF1410" t="s">
        <v>15649</v>
      </c>
      <c r="AG1410" t="s">
        <v>13877</v>
      </c>
      <c r="AH1410" t="s">
        <v>112</v>
      </c>
      <c r="AU1410" t="s">
        <v>112</v>
      </c>
      <c r="AV1410" t="s">
        <v>15650</v>
      </c>
      <c r="AW1410" t="s">
        <v>114</v>
      </c>
      <c r="AZ1410" t="s">
        <v>4</v>
      </c>
      <c r="BA1410" s="3" t="s">
        <v>95</v>
      </c>
      <c r="BB1410" t="s">
        <v>96</v>
      </c>
      <c r="BC1410" s="3" t="s">
        <v>95</v>
      </c>
      <c r="BD1410" t="s">
        <v>4</v>
      </c>
      <c r="BE1410">
        <v>3687</v>
      </c>
      <c r="BF1410" t="s">
        <v>112</v>
      </c>
      <c r="BG1410">
        <v>98.757800000000003</v>
      </c>
      <c r="BI1410">
        <v>85.921300000000002</v>
      </c>
      <c r="BJ1410">
        <v>80.331299999999999</v>
      </c>
      <c r="BK1410">
        <v>46.169800000000002</v>
      </c>
      <c r="BL1410" t="s">
        <v>15651</v>
      </c>
      <c r="BM1410">
        <v>80.331299999999999</v>
      </c>
      <c r="BN1410">
        <v>80.124200000000002</v>
      </c>
      <c r="BO1410">
        <v>84.058000000000007</v>
      </c>
      <c r="BP1410">
        <v>30.6418</v>
      </c>
      <c r="BT1410">
        <v>13.457599999999999</v>
      </c>
      <c r="CK1410">
        <v>5</v>
      </c>
      <c r="CL1410" t="s">
        <v>4</v>
      </c>
      <c r="CM1410" t="s">
        <v>98</v>
      </c>
      <c r="CN1410" t="s">
        <v>98</v>
      </c>
      <c r="CO1410" t="s">
        <v>99</v>
      </c>
      <c r="CP1410" t="s">
        <v>100</v>
      </c>
      <c r="CQ1410" t="s">
        <v>100</v>
      </c>
      <c r="CR1410" t="s">
        <v>100</v>
      </c>
      <c r="CS1410" t="s">
        <v>101</v>
      </c>
      <c r="CT1410" s="7" t="s">
        <v>152</v>
      </c>
      <c r="CU1410" t="s">
        <v>102</v>
      </c>
      <c r="CV1410" t="s">
        <v>100</v>
      </c>
    </row>
    <row r="1411" spans="1:100">
      <c r="A1411" s="3" t="s">
        <v>15652</v>
      </c>
      <c r="B1411" s="4" t="s">
        <v>15653</v>
      </c>
      <c r="C1411">
        <v>186.234562864976</v>
      </c>
      <c r="D1411">
        <v>100.339252503818</v>
      </c>
      <c r="E1411">
        <v>0.88954377639370097</v>
      </c>
      <c r="F1411">
        <v>1.38951948457233E-2</v>
      </c>
      <c r="G1411" t="s">
        <v>4</v>
      </c>
      <c r="H1411">
        <v>186.234562864976</v>
      </c>
      <c r="I1411">
        <v>25.033588353155999</v>
      </c>
      <c r="J1411">
        <v>2.8613139577011601</v>
      </c>
      <c r="K1411" s="5">
        <v>4.0751906660660299E-14</v>
      </c>
      <c r="L1411" t="s">
        <v>4</v>
      </c>
      <c r="M1411">
        <v>100.339252503818</v>
      </c>
      <c r="N1411">
        <v>25.033588353155999</v>
      </c>
      <c r="O1411">
        <v>1.97177018130746</v>
      </c>
      <c r="P1411" s="5">
        <v>3.5294043339750501E-7</v>
      </c>
      <c r="Q1411" t="s">
        <v>4</v>
      </c>
      <c r="R1411" s="4" t="s">
        <v>87</v>
      </c>
      <c r="S1411" t="s">
        <v>4</v>
      </c>
      <c r="T1411" t="s">
        <v>15654</v>
      </c>
      <c r="U1411" t="s">
        <v>15655</v>
      </c>
      <c r="V1411" t="s">
        <v>15656</v>
      </c>
      <c r="W1411" t="s">
        <v>328</v>
      </c>
      <c r="X1411" t="s">
        <v>4</v>
      </c>
      <c r="Y1411" t="s">
        <v>10058</v>
      </c>
      <c r="Z1411" t="s">
        <v>10059</v>
      </c>
      <c r="AA1411" t="s">
        <v>10060</v>
      </c>
      <c r="AB1411" t="s">
        <v>4</v>
      </c>
      <c r="AC1411" s="3" t="s">
        <v>15657</v>
      </c>
      <c r="AD1411" t="s">
        <v>4</v>
      </c>
      <c r="AE1411" t="s">
        <v>15658</v>
      </c>
      <c r="AF1411" t="s">
        <v>15659</v>
      </c>
      <c r="AG1411" t="s">
        <v>15660</v>
      </c>
      <c r="AH1411" t="s">
        <v>638</v>
      </c>
      <c r="AI1411" t="s">
        <v>15661</v>
      </c>
      <c r="AJ1411" t="s">
        <v>15662</v>
      </c>
      <c r="AU1411" t="s">
        <v>112</v>
      </c>
      <c r="AV1411" t="s">
        <v>15663</v>
      </c>
      <c r="AW1411" t="s">
        <v>114</v>
      </c>
      <c r="AX1411" t="s">
        <v>132</v>
      </c>
      <c r="AY1411" t="s">
        <v>644</v>
      </c>
      <c r="AZ1411" t="s">
        <v>4</v>
      </c>
      <c r="BA1411" s="3" t="s">
        <v>95</v>
      </c>
      <c r="BB1411" t="s">
        <v>96</v>
      </c>
      <c r="BC1411" s="3" t="s">
        <v>197</v>
      </c>
      <c r="BD1411" t="s">
        <v>4</v>
      </c>
      <c r="BE1411">
        <v>4960</v>
      </c>
      <c r="BF1411" t="s">
        <v>282</v>
      </c>
      <c r="BI1411">
        <v>51.5411</v>
      </c>
      <c r="BK1411">
        <v>43.493099999999998</v>
      </c>
      <c r="BL1411">
        <v>61.815100000000001</v>
      </c>
      <c r="BM1411">
        <v>71.575299999999999</v>
      </c>
      <c r="BN1411">
        <v>69.520499999999998</v>
      </c>
      <c r="BP1411">
        <v>46.4041</v>
      </c>
      <c r="BQ1411">
        <v>38.356200000000001</v>
      </c>
      <c r="BR1411">
        <v>41.952100000000002</v>
      </c>
      <c r="BS1411">
        <v>39.725999999999999</v>
      </c>
      <c r="BU1411">
        <v>42.979500000000002</v>
      </c>
      <c r="BV1411" t="s">
        <v>15664</v>
      </c>
      <c r="BW1411">
        <v>42.1233</v>
      </c>
      <c r="BX1411">
        <v>42.808199999999999</v>
      </c>
      <c r="BY1411" t="s">
        <v>15665</v>
      </c>
      <c r="BZ1411">
        <v>43.150700000000001</v>
      </c>
      <c r="CA1411">
        <v>43.664400000000001</v>
      </c>
      <c r="CB1411" t="s">
        <v>15666</v>
      </c>
      <c r="CC1411" t="s">
        <v>15667</v>
      </c>
      <c r="CD1411" t="s">
        <v>15668</v>
      </c>
      <c r="CK1411">
        <v>6</v>
      </c>
      <c r="CL1411" t="s">
        <v>4</v>
      </c>
      <c r="CM1411" t="s">
        <v>15669</v>
      </c>
      <c r="CN1411" t="s">
        <v>15670</v>
      </c>
      <c r="CO1411" t="s">
        <v>663</v>
      </c>
      <c r="CP1411" t="s">
        <v>100</v>
      </c>
      <c r="CQ1411" t="s">
        <v>100</v>
      </c>
      <c r="CR1411" t="s">
        <v>100</v>
      </c>
      <c r="CS1411" t="s">
        <v>101</v>
      </c>
      <c r="CT1411" s="7" t="s">
        <v>152</v>
      </c>
      <c r="CU1411" t="s">
        <v>102</v>
      </c>
      <c r="CV1411" t="s">
        <v>100</v>
      </c>
    </row>
    <row r="1412" spans="1:100">
      <c r="A1412" s="3" t="s">
        <v>15671</v>
      </c>
      <c r="B1412" s="4" t="s">
        <v>15672</v>
      </c>
      <c r="C1412">
        <v>170.33271786032299</v>
      </c>
      <c r="D1412">
        <v>113.62803103575099</v>
      </c>
      <c r="E1412">
        <v>0.581639034877931</v>
      </c>
      <c r="F1412">
        <v>0.27948309992412501</v>
      </c>
      <c r="G1412" t="s">
        <v>4</v>
      </c>
      <c r="H1412">
        <v>170.33271786032299</v>
      </c>
      <c r="I1412">
        <v>29.44210229726</v>
      </c>
      <c r="J1412">
        <v>2.5240993964382299</v>
      </c>
      <c r="K1412" s="5">
        <v>8.65653318906265E-7</v>
      </c>
      <c r="L1412" t="s">
        <v>4</v>
      </c>
      <c r="M1412">
        <v>113.62803103575099</v>
      </c>
      <c r="N1412">
        <v>29.44210229726</v>
      </c>
      <c r="O1412">
        <v>1.9424603615603</v>
      </c>
      <c r="P1412">
        <v>1.7501057576544099E-4</v>
      </c>
      <c r="Q1412" t="s">
        <v>4</v>
      </c>
      <c r="R1412" s="4" t="s">
        <v>87</v>
      </c>
      <c r="S1412" t="s">
        <v>4</v>
      </c>
      <c r="T1412" t="s">
        <v>92</v>
      </c>
      <c r="U1412" t="s">
        <v>92</v>
      </c>
      <c r="V1412" t="s">
        <v>92</v>
      </c>
      <c r="W1412" t="s">
        <v>92</v>
      </c>
      <c r="X1412" t="s">
        <v>4</v>
      </c>
      <c r="Y1412" t="s">
        <v>92</v>
      </c>
      <c r="Z1412" t="s">
        <v>92</v>
      </c>
      <c r="AA1412" t="s">
        <v>92</v>
      </c>
      <c r="AB1412" t="s">
        <v>4</v>
      </c>
      <c r="AC1412" s="3" t="s">
        <v>93</v>
      </c>
      <c r="AD1412" t="s">
        <v>4</v>
      </c>
      <c r="AE1412" s="4" t="s">
        <v>94</v>
      </c>
      <c r="AZ1412" t="s">
        <v>4</v>
      </c>
      <c r="BA1412" s="3" t="s">
        <v>115</v>
      </c>
      <c r="BB1412" s="6" t="s">
        <v>95</v>
      </c>
      <c r="BC1412" s="3" t="s">
        <v>95</v>
      </c>
      <c r="BD1412" t="s">
        <v>4</v>
      </c>
      <c r="BE1412">
        <v>1271</v>
      </c>
      <c r="BF1412" t="s">
        <v>151</v>
      </c>
      <c r="BG1412">
        <v>59.748399999999997</v>
      </c>
      <c r="BH1412">
        <v>69.182400000000001</v>
      </c>
      <c r="BI1412">
        <v>85.220100000000002</v>
      </c>
      <c r="BJ1412" t="s">
        <v>15673</v>
      </c>
      <c r="CK1412">
        <v>2</v>
      </c>
      <c r="CL1412" t="s">
        <v>4</v>
      </c>
      <c r="CM1412" t="s">
        <v>98</v>
      </c>
      <c r="CN1412" t="s">
        <v>98</v>
      </c>
      <c r="CO1412" t="s">
        <v>99</v>
      </c>
      <c r="CP1412" t="s">
        <v>100</v>
      </c>
      <c r="CQ1412" t="s">
        <v>100</v>
      </c>
      <c r="CR1412" t="s">
        <v>100</v>
      </c>
      <c r="CS1412" t="s">
        <v>101</v>
      </c>
      <c r="CT1412" s="7" t="s">
        <v>152</v>
      </c>
      <c r="CU1412" t="s">
        <v>102</v>
      </c>
      <c r="CV1412" t="s">
        <v>100</v>
      </c>
    </row>
    <row r="1413" spans="1:100">
      <c r="A1413" s="3" t="s">
        <v>15674</v>
      </c>
      <c r="B1413" s="4" t="s">
        <v>15675</v>
      </c>
      <c r="C1413">
        <v>171.61189416048299</v>
      </c>
      <c r="D1413">
        <v>77.611530752243695</v>
      </c>
      <c r="E1413">
        <v>1.14580042808561</v>
      </c>
      <c r="F1413">
        <v>7.9256638889604603E-2</v>
      </c>
      <c r="G1413" t="s">
        <v>4</v>
      </c>
      <c r="H1413">
        <v>171.61189416048299</v>
      </c>
      <c r="I1413">
        <v>20.906077839932699</v>
      </c>
      <c r="J1413">
        <v>3.0773366501483999</v>
      </c>
      <c r="K1413" s="5">
        <v>1.3690734517963701E-6</v>
      </c>
      <c r="L1413" t="s">
        <v>4</v>
      </c>
      <c r="M1413">
        <v>77.611530752243695</v>
      </c>
      <c r="N1413">
        <v>20.906077839932699</v>
      </c>
      <c r="O1413">
        <v>1.9315362220627901</v>
      </c>
      <c r="P1413">
        <v>3.04869094178397E-3</v>
      </c>
      <c r="Q1413" t="s">
        <v>4</v>
      </c>
      <c r="R1413" s="4" t="s">
        <v>87</v>
      </c>
      <c r="S1413" t="s">
        <v>4</v>
      </c>
      <c r="T1413" t="s">
        <v>92</v>
      </c>
      <c r="U1413" t="s">
        <v>92</v>
      </c>
      <c r="V1413" t="s">
        <v>92</v>
      </c>
      <c r="W1413" t="s">
        <v>92</v>
      </c>
      <c r="X1413" t="s">
        <v>4</v>
      </c>
      <c r="Y1413" t="s">
        <v>92</v>
      </c>
      <c r="Z1413" t="s">
        <v>92</v>
      </c>
      <c r="AA1413" t="s">
        <v>92</v>
      </c>
      <c r="AB1413" t="s">
        <v>4</v>
      </c>
      <c r="AC1413" s="3" t="s">
        <v>93</v>
      </c>
      <c r="AD1413" t="s">
        <v>4</v>
      </c>
      <c r="AE1413" t="s">
        <v>15676</v>
      </c>
      <c r="AF1413" t="s">
        <v>15677</v>
      </c>
      <c r="AG1413" t="s">
        <v>5102</v>
      </c>
      <c r="AH1413" t="s">
        <v>112</v>
      </c>
      <c r="AU1413" t="s">
        <v>112</v>
      </c>
      <c r="AV1413" t="s">
        <v>15678</v>
      </c>
      <c r="AW1413" t="s">
        <v>114</v>
      </c>
      <c r="AZ1413" t="s">
        <v>4</v>
      </c>
      <c r="BA1413" s="3" t="s">
        <v>95</v>
      </c>
      <c r="BB1413" s="6" t="s">
        <v>95</v>
      </c>
      <c r="BC1413" s="3" t="s">
        <v>95</v>
      </c>
      <c r="BD1413" t="s">
        <v>4</v>
      </c>
      <c r="BE1413">
        <v>4559</v>
      </c>
      <c r="BF1413" t="s">
        <v>112</v>
      </c>
      <c r="BG1413">
        <v>87.515900000000002</v>
      </c>
      <c r="BH1413">
        <v>83.821700000000007</v>
      </c>
      <c r="BI1413">
        <v>70.955399999999997</v>
      </c>
      <c r="BJ1413">
        <v>54.267499999999998</v>
      </c>
      <c r="BK1413">
        <v>52.101900000000001</v>
      </c>
      <c r="BL1413">
        <v>36.433100000000003</v>
      </c>
      <c r="BM1413">
        <v>52.484099999999998</v>
      </c>
      <c r="BN1413">
        <v>63.948999999999998</v>
      </c>
      <c r="BO1413">
        <v>57.070099999999996</v>
      </c>
      <c r="BQ1413">
        <v>19.363099999999999</v>
      </c>
      <c r="BR1413">
        <v>19.363099999999999</v>
      </c>
      <c r="BX1413">
        <v>16.560500000000001</v>
      </c>
      <c r="CA1413">
        <v>20</v>
      </c>
      <c r="CK1413">
        <v>5</v>
      </c>
      <c r="CL1413" t="s">
        <v>4</v>
      </c>
      <c r="CM1413" t="s">
        <v>15679</v>
      </c>
      <c r="CN1413">
        <v>20</v>
      </c>
      <c r="CO1413" t="s">
        <v>99</v>
      </c>
      <c r="CP1413" t="s">
        <v>100</v>
      </c>
      <c r="CQ1413" t="s">
        <v>100</v>
      </c>
      <c r="CR1413" t="s">
        <v>100</v>
      </c>
      <c r="CS1413" t="s">
        <v>101</v>
      </c>
      <c r="CT1413" s="7" t="s">
        <v>152</v>
      </c>
      <c r="CU1413" t="s">
        <v>102</v>
      </c>
      <c r="CV1413" t="s">
        <v>100</v>
      </c>
    </row>
    <row r="1414" spans="1:100">
      <c r="A1414" s="3" t="s">
        <v>15680</v>
      </c>
      <c r="B1414" s="4" t="s">
        <v>15681</v>
      </c>
      <c r="C1414">
        <v>783.75982805526996</v>
      </c>
      <c r="D1414">
        <v>634.39282845317598</v>
      </c>
      <c r="E1414">
        <v>0.30493342896747599</v>
      </c>
      <c r="F1414">
        <v>0.30213928689448699</v>
      </c>
      <c r="G1414" t="s">
        <v>4</v>
      </c>
      <c r="H1414">
        <v>783.75982805526996</v>
      </c>
      <c r="I1414">
        <v>171.326336415524</v>
      </c>
      <c r="J1414">
        <v>2.1825917925863201</v>
      </c>
      <c r="K1414" s="5">
        <v>3.3519357862439498E-16</v>
      </c>
      <c r="L1414" t="s">
        <v>4</v>
      </c>
      <c r="M1414">
        <v>634.39282845317598</v>
      </c>
      <c r="N1414">
        <v>171.326336415524</v>
      </c>
      <c r="O1414">
        <v>1.87765836361884</v>
      </c>
      <c r="P1414" s="5">
        <v>2.5398102591654702E-12</v>
      </c>
      <c r="Q1414" t="s">
        <v>4</v>
      </c>
      <c r="R1414" s="4" t="s">
        <v>87</v>
      </c>
      <c r="S1414" t="s">
        <v>4</v>
      </c>
      <c r="T1414" t="s">
        <v>15682</v>
      </c>
      <c r="U1414" t="s">
        <v>15683</v>
      </c>
      <c r="V1414" t="s">
        <v>15684</v>
      </c>
      <c r="W1414" t="s">
        <v>123</v>
      </c>
      <c r="X1414" t="s">
        <v>4</v>
      </c>
      <c r="Y1414" t="s">
        <v>15685</v>
      </c>
      <c r="Z1414" t="s">
        <v>15686</v>
      </c>
      <c r="AA1414" t="s">
        <v>15687</v>
      </c>
      <c r="AB1414" t="s">
        <v>4</v>
      </c>
      <c r="AC1414" s="3" t="s">
        <v>15688</v>
      </c>
      <c r="AD1414" t="s">
        <v>4</v>
      </c>
      <c r="AE1414" t="s">
        <v>15689</v>
      </c>
      <c r="AF1414" t="s">
        <v>15690</v>
      </c>
      <c r="AG1414" t="s">
        <v>15691</v>
      </c>
      <c r="AH1414" t="s">
        <v>112</v>
      </c>
      <c r="AJ1414" t="s">
        <v>15692</v>
      </c>
      <c r="AL1414" t="s">
        <v>15693</v>
      </c>
      <c r="AM1414" t="s">
        <v>7747</v>
      </c>
      <c r="AQ1414" t="s">
        <v>879</v>
      </c>
      <c r="AU1414" t="s">
        <v>112</v>
      </c>
      <c r="AV1414" t="s">
        <v>15694</v>
      </c>
      <c r="AW1414" t="s">
        <v>114</v>
      </c>
      <c r="AX1414" t="s">
        <v>132</v>
      </c>
      <c r="AY1414" t="s">
        <v>15695</v>
      </c>
      <c r="AZ1414" t="s">
        <v>4</v>
      </c>
      <c r="BA1414" s="3" t="s">
        <v>95</v>
      </c>
      <c r="BB1414" s="6" t="s">
        <v>95</v>
      </c>
      <c r="BC1414" s="3" t="s">
        <v>95</v>
      </c>
      <c r="BD1414" t="s">
        <v>4</v>
      </c>
      <c r="BE1414">
        <v>3342</v>
      </c>
      <c r="BF1414" t="s">
        <v>112</v>
      </c>
      <c r="BH1414">
        <v>95.254800000000003</v>
      </c>
      <c r="BI1414">
        <v>90.861199999999997</v>
      </c>
      <c r="BJ1414">
        <v>81.195099999999996</v>
      </c>
      <c r="BK1414">
        <v>76.4499</v>
      </c>
      <c r="BL1414">
        <v>45.869900000000001</v>
      </c>
      <c r="BM1414">
        <v>70.123000000000005</v>
      </c>
      <c r="BN1414">
        <v>70.474500000000006</v>
      </c>
      <c r="BO1414">
        <v>74.692400000000006</v>
      </c>
      <c r="BP1414">
        <v>33.567700000000002</v>
      </c>
      <c r="BX1414">
        <v>23.5501</v>
      </c>
      <c r="BY1414">
        <v>17.750399999999999</v>
      </c>
      <c r="CA1414">
        <v>21.968399999999999</v>
      </c>
      <c r="CK1414">
        <v>5</v>
      </c>
      <c r="CL1414" t="s">
        <v>4</v>
      </c>
      <c r="CM1414" t="s">
        <v>15696</v>
      </c>
      <c r="CN1414" t="s">
        <v>15697</v>
      </c>
      <c r="CO1414" t="s">
        <v>219</v>
      </c>
      <c r="CP1414" t="s">
        <v>100</v>
      </c>
      <c r="CQ1414" t="s">
        <v>100</v>
      </c>
      <c r="CR1414" t="s">
        <v>100</v>
      </c>
      <c r="CS1414" t="s">
        <v>101</v>
      </c>
      <c r="CT1414" s="7" t="s">
        <v>152</v>
      </c>
      <c r="CU1414" t="s">
        <v>102</v>
      </c>
      <c r="CV1414" t="s">
        <v>100</v>
      </c>
    </row>
    <row r="1415" spans="1:100">
      <c r="A1415" s="3" t="s">
        <v>15698</v>
      </c>
      <c r="B1415" s="4" t="s">
        <v>15699</v>
      </c>
      <c r="C1415">
        <v>110.913946634046</v>
      </c>
      <c r="D1415">
        <v>54.060921417775504</v>
      </c>
      <c r="E1415">
        <v>1.04198689168429</v>
      </c>
      <c r="F1415">
        <v>6.7539386351184005E-2</v>
      </c>
      <c r="G1415" t="s">
        <v>4</v>
      </c>
      <c r="H1415">
        <v>110.913946634046</v>
      </c>
      <c r="I1415">
        <v>14.156761591910801</v>
      </c>
      <c r="J1415">
        <v>2.90482362761459</v>
      </c>
      <c r="K1415" s="5">
        <v>5.3104404573831604E-7</v>
      </c>
      <c r="L1415" t="s">
        <v>4</v>
      </c>
      <c r="M1415">
        <v>54.060921417775504</v>
      </c>
      <c r="N1415">
        <v>14.156761591910801</v>
      </c>
      <c r="O1415">
        <v>1.8628367359303</v>
      </c>
      <c r="P1415">
        <v>1.7405263850212101E-3</v>
      </c>
      <c r="Q1415" t="s">
        <v>4</v>
      </c>
      <c r="R1415" s="4" t="s">
        <v>87</v>
      </c>
      <c r="S1415" t="s">
        <v>4</v>
      </c>
      <c r="T1415" t="s">
        <v>15700</v>
      </c>
      <c r="U1415" t="s">
        <v>15701</v>
      </c>
      <c r="V1415" t="s">
        <v>15702</v>
      </c>
      <c r="W1415" t="s">
        <v>328</v>
      </c>
      <c r="X1415" t="s">
        <v>4</v>
      </c>
      <c r="Y1415" t="s">
        <v>15703</v>
      </c>
      <c r="Z1415" t="s">
        <v>15704</v>
      </c>
      <c r="AA1415" t="s">
        <v>15705</v>
      </c>
      <c r="AB1415" t="s">
        <v>4</v>
      </c>
      <c r="AC1415" s="3" t="s">
        <v>15706</v>
      </c>
      <c r="AD1415" t="s">
        <v>4</v>
      </c>
      <c r="AE1415" t="s">
        <v>15707</v>
      </c>
      <c r="AF1415" t="s">
        <v>15708</v>
      </c>
      <c r="AG1415" t="s">
        <v>8422</v>
      </c>
      <c r="AH1415" t="s">
        <v>112</v>
      </c>
      <c r="AU1415" t="s">
        <v>112</v>
      </c>
      <c r="AV1415" t="s">
        <v>15709</v>
      </c>
      <c r="AW1415" t="s">
        <v>114</v>
      </c>
      <c r="AX1415" t="s">
        <v>144</v>
      </c>
      <c r="AY1415" t="s">
        <v>15710</v>
      </c>
      <c r="AZ1415" t="s">
        <v>4</v>
      </c>
      <c r="BA1415" s="3" t="s">
        <v>95</v>
      </c>
      <c r="BB1415" t="s">
        <v>96</v>
      </c>
      <c r="BC1415" s="3" t="s">
        <v>95</v>
      </c>
      <c r="BD1415" t="s">
        <v>4</v>
      </c>
      <c r="BE1415">
        <v>5528</v>
      </c>
      <c r="BF1415" t="s">
        <v>386</v>
      </c>
      <c r="BG1415">
        <v>81.942499999999995</v>
      </c>
      <c r="BK1415">
        <v>62.380299999999998</v>
      </c>
      <c r="BM1415">
        <v>62.927500000000002</v>
      </c>
      <c r="BN1415">
        <v>68.536299999999997</v>
      </c>
      <c r="BO1415">
        <v>46.101199999999999</v>
      </c>
      <c r="BP1415">
        <v>31.6005</v>
      </c>
      <c r="BQ1415">
        <v>24.623799999999999</v>
      </c>
      <c r="BR1415">
        <v>32.1477</v>
      </c>
      <c r="BS1415">
        <v>25.855</v>
      </c>
      <c r="BU1415">
        <v>23.529399999999999</v>
      </c>
      <c r="BV1415">
        <v>19.9726</v>
      </c>
      <c r="BW1415">
        <v>29.0014</v>
      </c>
      <c r="BX1415">
        <v>25.855</v>
      </c>
      <c r="CA1415">
        <v>25.991800000000001</v>
      </c>
      <c r="CC1415">
        <v>14.637499999999999</v>
      </c>
      <c r="CD1415">
        <v>14.363899999999999</v>
      </c>
      <c r="CE1415">
        <v>14.090299999999999</v>
      </c>
      <c r="CK1415">
        <v>7</v>
      </c>
      <c r="CL1415" t="s">
        <v>4</v>
      </c>
      <c r="CM1415" t="s">
        <v>15711</v>
      </c>
      <c r="CN1415" t="s">
        <v>15712</v>
      </c>
      <c r="CO1415" t="s">
        <v>663</v>
      </c>
      <c r="CP1415" t="s">
        <v>100</v>
      </c>
      <c r="CQ1415" t="s">
        <v>100</v>
      </c>
      <c r="CR1415" t="s">
        <v>100</v>
      </c>
      <c r="CS1415" t="s">
        <v>101</v>
      </c>
      <c r="CT1415" s="7" t="s">
        <v>152</v>
      </c>
      <c r="CU1415" t="s">
        <v>102</v>
      </c>
      <c r="CV1415" t="s">
        <v>100</v>
      </c>
    </row>
    <row r="1416" spans="1:100">
      <c r="A1416" s="3" t="s">
        <v>15713</v>
      </c>
      <c r="B1416" s="4" t="s">
        <v>15714</v>
      </c>
      <c r="C1416">
        <v>52.064650073870297</v>
      </c>
      <c r="D1416">
        <v>46.507015195257502</v>
      </c>
      <c r="E1416">
        <v>0.15986764523583799</v>
      </c>
      <c r="F1416">
        <v>0.81062996655813202</v>
      </c>
      <c r="G1416" t="s">
        <v>4</v>
      </c>
      <c r="H1416">
        <v>52.064650073870297</v>
      </c>
      <c r="I1416">
        <v>12.2335037359959</v>
      </c>
      <c r="J1416">
        <v>2.01023243500059</v>
      </c>
      <c r="K1416">
        <v>1.1963448181148801E-3</v>
      </c>
      <c r="L1416" t="s">
        <v>4</v>
      </c>
      <c r="M1416">
        <v>46.507015195257502</v>
      </c>
      <c r="N1416">
        <v>12.2335037359959</v>
      </c>
      <c r="O1416">
        <v>1.8503647897647499</v>
      </c>
      <c r="P1416">
        <v>2.8381650978837902E-3</v>
      </c>
      <c r="Q1416" t="s">
        <v>4</v>
      </c>
      <c r="R1416" s="4" t="s">
        <v>87</v>
      </c>
      <c r="S1416" t="s">
        <v>4</v>
      </c>
      <c r="T1416" t="s">
        <v>92</v>
      </c>
      <c r="U1416" t="s">
        <v>92</v>
      </c>
      <c r="V1416" t="s">
        <v>92</v>
      </c>
      <c r="W1416" t="s">
        <v>92</v>
      </c>
      <c r="X1416" t="s">
        <v>4</v>
      </c>
      <c r="Y1416" t="s">
        <v>92</v>
      </c>
      <c r="Z1416" t="s">
        <v>92</v>
      </c>
      <c r="AA1416" t="s">
        <v>92</v>
      </c>
      <c r="AB1416" t="s">
        <v>4</v>
      </c>
      <c r="AC1416" s="3" t="s">
        <v>93</v>
      </c>
      <c r="AD1416" t="s">
        <v>4</v>
      </c>
      <c r="AE1416" s="4" t="s">
        <v>94</v>
      </c>
      <c r="AZ1416" t="s">
        <v>4</v>
      </c>
      <c r="BA1416" s="3" t="s">
        <v>95</v>
      </c>
      <c r="BB1416" s="6" t="s">
        <v>95</v>
      </c>
      <c r="BC1416" s="3" t="s">
        <v>95</v>
      </c>
      <c r="BD1416" t="s">
        <v>4</v>
      </c>
      <c r="BE1416">
        <v>508</v>
      </c>
      <c r="BF1416" t="s">
        <v>322</v>
      </c>
      <c r="CK1416">
        <v>1</v>
      </c>
      <c r="CL1416" t="s">
        <v>4</v>
      </c>
      <c r="CM1416" t="s">
        <v>98</v>
      </c>
      <c r="CN1416" t="s">
        <v>98</v>
      </c>
      <c r="CO1416" t="s">
        <v>99</v>
      </c>
      <c r="CP1416" t="s">
        <v>100</v>
      </c>
      <c r="CQ1416" t="s">
        <v>100</v>
      </c>
      <c r="CR1416" t="s">
        <v>100</v>
      </c>
      <c r="CS1416" t="s">
        <v>101</v>
      </c>
      <c r="CT1416" s="7" t="s">
        <v>152</v>
      </c>
      <c r="CU1416" t="s">
        <v>102</v>
      </c>
      <c r="CV1416" t="s">
        <v>100</v>
      </c>
    </row>
    <row r="1417" spans="1:100">
      <c r="A1417" s="3" t="s">
        <v>15715</v>
      </c>
      <c r="B1417" s="4" t="s">
        <v>15716</v>
      </c>
      <c r="C1417">
        <v>65.531749370931195</v>
      </c>
      <c r="D1417">
        <v>56.871053052097999</v>
      </c>
      <c r="E1417">
        <v>0.203341674064276</v>
      </c>
      <c r="F1417">
        <v>0.65754876415048302</v>
      </c>
      <c r="G1417" t="s">
        <v>4</v>
      </c>
      <c r="H1417">
        <v>65.531749370931195</v>
      </c>
      <c r="I1417">
        <v>15.6430429943298</v>
      </c>
      <c r="J1417">
        <v>2.0504382851093399</v>
      </c>
      <c r="K1417" s="5">
        <v>6.8250024432571901E-6</v>
      </c>
      <c r="L1417" t="s">
        <v>4</v>
      </c>
      <c r="M1417">
        <v>56.871053052097999</v>
      </c>
      <c r="N1417">
        <v>15.6430429943298</v>
      </c>
      <c r="O1417">
        <v>1.8470966110450699</v>
      </c>
      <c r="P1417" s="5">
        <v>5.3288104569361703E-5</v>
      </c>
      <c r="Q1417" t="s">
        <v>4</v>
      </c>
      <c r="R1417" s="4" t="s">
        <v>87</v>
      </c>
      <c r="S1417" t="s">
        <v>4</v>
      </c>
      <c r="T1417" t="s">
        <v>92</v>
      </c>
      <c r="U1417" t="s">
        <v>92</v>
      </c>
      <c r="V1417" t="s">
        <v>92</v>
      </c>
      <c r="W1417" t="s">
        <v>92</v>
      </c>
      <c r="X1417" t="s">
        <v>4</v>
      </c>
      <c r="Y1417" t="s">
        <v>92</v>
      </c>
      <c r="Z1417" t="s">
        <v>92</v>
      </c>
      <c r="AA1417" t="s">
        <v>92</v>
      </c>
      <c r="AB1417" t="s">
        <v>4</v>
      </c>
      <c r="AC1417" s="3" t="s">
        <v>93</v>
      </c>
      <c r="AD1417" t="s">
        <v>4</v>
      </c>
      <c r="AE1417" t="s">
        <v>15551</v>
      </c>
      <c r="AF1417" t="s">
        <v>15552</v>
      </c>
      <c r="AG1417" t="s">
        <v>15553</v>
      </c>
      <c r="AH1417" t="s">
        <v>112</v>
      </c>
      <c r="AU1417" t="s">
        <v>112</v>
      </c>
      <c r="AV1417" t="s">
        <v>15554</v>
      </c>
      <c r="AW1417" t="s">
        <v>114</v>
      </c>
      <c r="AZ1417" t="s">
        <v>4</v>
      </c>
      <c r="BA1417" s="3" t="s">
        <v>95</v>
      </c>
      <c r="BB1417" s="6" t="s">
        <v>95</v>
      </c>
      <c r="BC1417" s="3" t="s">
        <v>95</v>
      </c>
      <c r="BD1417" t="s">
        <v>4</v>
      </c>
      <c r="BE1417">
        <v>4670</v>
      </c>
      <c r="BF1417" t="s">
        <v>112</v>
      </c>
      <c r="BG1417" t="s">
        <v>15555</v>
      </c>
      <c r="BI1417">
        <v>88.390500000000003</v>
      </c>
      <c r="BJ1417">
        <v>59.630600000000001</v>
      </c>
      <c r="BK1417">
        <v>60.422199999999997</v>
      </c>
      <c r="BL1417">
        <v>37.730899999999998</v>
      </c>
      <c r="BM1417">
        <v>43.007899999999999</v>
      </c>
      <c r="BN1417">
        <v>52.242699999999999</v>
      </c>
      <c r="BO1417">
        <v>58.311300000000003</v>
      </c>
      <c r="BR1417">
        <v>21.635899999999999</v>
      </c>
      <c r="CK1417">
        <v>5</v>
      </c>
      <c r="CL1417" t="s">
        <v>4</v>
      </c>
      <c r="CM1417" t="s">
        <v>98</v>
      </c>
      <c r="CN1417" t="s">
        <v>98</v>
      </c>
      <c r="CO1417" t="s">
        <v>99</v>
      </c>
      <c r="CP1417" t="s">
        <v>100</v>
      </c>
      <c r="CQ1417" t="s">
        <v>100</v>
      </c>
      <c r="CR1417" t="s">
        <v>100</v>
      </c>
      <c r="CS1417" t="s">
        <v>101</v>
      </c>
      <c r="CT1417" s="7" t="s">
        <v>152</v>
      </c>
      <c r="CU1417" t="s">
        <v>102</v>
      </c>
      <c r="CV1417" t="s">
        <v>100</v>
      </c>
    </row>
    <row r="1418" spans="1:100">
      <c r="A1418" s="3" t="s">
        <v>15717</v>
      </c>
      <c r="B1418" s="4" t="s">
        <v>15718</v>
      </c>
      <c r="C1418">
        <v>130.41430378490099</v>
      </c>
      <c r="D1418">
        <v>74.023954581739204</v>
      </c>
      <c r="E1418">
        <v>0.82147864650053704</v>
      </c>
      <c r="F1418">
        <v>4.1854805619251402E-2</v>
      </c>
      <c r="G1418" t="s">
        <v>4</v>
      </c>
      <c r="H1418">
        <v>130.41430378490099</v>
      </c>
      <c r="I1418">
        <v>20.719899755835801</v>
      </c>
      <c r="J1418">
        <v>2.6521204386834301</v>
      </c>
      <c r="K1418" s="5">
        <v>3.1486243396919402E-10</v>
      </c>
      <c r="L1418" t="s">
        <v>4</v>
      </c>
      <c r="M1418">
        <v>74.023954581739204</v>
      </c>
      <c r="N1418">
        <v>20.719899755835801</v>
      </c>
      <c r="O1418">
        <v>1.8306417921828899</v>
      </c>
      <c r="P1418" s="5">
        <v>2.24052402197511E-5</v>
      </c>
      <c r="Q1418" t="s">
        <v>4</v>
      </c>
      <c r="R1418" s="4" t="s">
        <v>87</v>
      </c>
      <c r="S1418" t="s">
        <v>4</v>
      </c>
      <c r="T1418" t="s">
        <v>88</v>
      </c>
      <c r="U1418" t="s">
        <v>89</v>
      </c>
      <c r="V1418" t="s">
        <v>90</v>
      </c>
      <c r="W1418" t="s">
        <v>91</v>
      </c>
      <c r="X1418" t="s">
        <v>4</v>
      </c>
      <c r="Y1418" t="s">
        <v>92</v>
      </c>
      <c r="Z1418" t="s">
        <v>92</v>
      </c>
      <c r="AA1418" t="s">
        <v>92</v>
      </c>
      <c r="AB1418" t="s">
        <v>4</v>
      </c>
      <c r="AC1418" s="3" t="s">
        <v>93</v>
      </c>
      <c r="AD1418" t="s">
        <v>4</v>
      </c>
      <c r="AE1418" t="s">
        <v>9909</v>
      </c>
      <c r="AF1418" t="s">
        <v>15719</v>
      </c>
      <c r="AG1418" t="s">
        <v>15720</v>
      </c>
      <c r="AH1418" t="s">
        <v>112</v>
      </c>
      <c r="AU1418" t="s">
        <v>112</v>
      </c>
      <c r="AV1418" t="s">
        <v>9912</v>
      </c>
      <c r="AW1418" t="s">
        <v>114</v>
      </c>
      <c r="AZ1418" t="s">
        <v>4</v>
      </c>
      <c r="BA1418" s="3" t="s">
        <v>95</v>
      </c>
      <c r="BB1418" t="s">
        <v>96</v>
      </c>
      <c r="BC1418" s="3" t="s">
        <v>95</v>
      </c>
      <c r="BD1418" t="s">
        <v>4</v>
      </c>
      <c r="BE1418">
        <v>3002</v>
      </c>
      <c r="BF1418" t="s">
        <v>97</v>
      </c>
      <c r="BI1418">
        <v>90.875900000000001</v>
      </c>
      <c r="BJ1418">
        <v>80.292000000000002</v>
      </c>
      <c r="BK1418">
        <v>64.963499999999996</v>
      </c>
      <c r="BL1418">
        <v>39.051099999999998</v>
      </c>
      <c r="BO1418">
        <v>30.292000000000002</v>
      </c>
      <c r="CK1418">
        <v>4</v>
      </c>
      <c r="CL1418" t="s">
        <v>4</v>
      </c>
      <c r="CM1418" t="s">
        <v>98</v>
      </c>
      <c r="CN1418" t="s">
        <v>98</v>
      </c>
      <c r="CO1418" t="s">
        <v>99</v>
      </c>
      <c r="CP1418" t="s">
        <v>100</v>
      </c>
      <c r="CQ1418" t="s">
        <v>100</v>
      </c>
      <c r="CR1418" t="s">
        <v>100</v>
      </c>
      <c r="CS1418" t="s">
        <v>101</v>
      </c>
      <c r="CT1418" s="7" t="s">
        <v>152</v>
      </c>
      <c r="CU1418" t="s">
        <v>102</v>
      </c>
      <c r="CV1418" t="s">
        <v>100</v>
      </c>
    </row>
    <row r="1419" spans="1:100">
      <c r="A1419" s="3" t="s">
        <v>15721</v>
      </c>
      <c r="B1419" s="4" t="s">
        <v>15722</v>
      </c>
      <c r="C1419">
        <v>201.23509990942199</v>
      </c>
      <c r="D1419">
        <v>111.01173352745199</v>
      </c>
      <c r="E1419">
        <v>0.86152312016773902</v>
      </c>
      <c r="F1419">
        <v>3.7024954894765899E-2</v>
      </c>
      <c r="G1419" t="s">
        <v>4</v>
      </c>
      <c r="H1419">
        <v>201.23509990942199</v>
      </c>
      <c r="I1419">
        <v>30.572688753173001</v>
      </c>
      <c r="J1419">
        <v>2.67248463874461</v>
      </c>
      <c r="K1419" s="5">
        <v>8.7024910790605404E-11</v>
      </c>
      <c r="L1419" t="s">
        <v>4</v>
      </c>
      <c r="M1419">
        <v>111.01173352745199</v>
      </c>
      <c r="N1419">
        <v>30.572688753173001</v>
      </c>
      <c r="O1419">
        <v>1.8109615185768799</v>
      </c>
      <c r="P1419" s="5">
        <v>1.6491184564588702E-5</v>
      </c>
      <c r="Q1419" t="s">
        <v>4</v>
      </c>
      <c r="R1419" s="4" t="s">
        <v>87</v>
      </c>
      <c r="S1419" t="s">
        <v>4</v>
      </c>
      <c r="T1419" t="s">
        <v>92</v>
      </c>
      <c r="U1419" t="s">
        <v>92</v>
      </c>
      <c r="V1419" t="s">
        <v>92</v>
      </c>
      <c r="W1419" t="s">
        <v>92</v>
      </c>
      <c r="X1419" t="s">
        <v>4</v>
      </c>
      <c r="Y1419" t="s">
        <v>8253</v>
      </c>
      <c r="Z1419" t="s">
        <v>8254</v>
      </c>
      <c r="AA1419" t="s">
        <v>8255</v>
      </c>
      <c r="AB1419" t="s">
        <v>4</v>
      </c>
      <c r="AC1419" s="3" t="s">
        <v>15723</v>
      </c>
      <c r="AD1419" t="s">
        <v>4</v>
      </c>
      <c r="AE1419" t="s">
        <v>15724</v>
      </c>
      <c r="AF1419" t="s">
        <v>15725</v>
      </c>
      <c r="AG1419" t="s">
        <v>13894</v>
      </c>
      <c r="AH1419" t="s">
        <v>112</v>
      </c>
      <c r="AU1419" t="s">
        <v>112</v>
      </c>
      <c r="AV1419" t="s">
        <v>15726</v>
      </c>
      <c r="AW1419" t="s">
        <v>114</v>
      </c>
      <c r="AX1419" t="s">
        <v>1096</v>
      </c>
      <c r="AY1419" t="s">
        <v>8261</v>
      </c>
      <c r="AZ1419" t="s">
        <v>4</v>
      </c>
      <c r="BA1419" s="3" t="s">
        <v>95</v>
      </c>
      <c r="BB1419" s="6" t="s">
        <v>95</v>
      </c>
      <c r="BC1419" s="3" t="s">
        <v>95</v>
      </c>
      <c r="BD1419" t="s">
        <v>4</v>
      </c>
      <c r="BE1419">
        <v>4769</v>
      </c>
      <c r="BF1419" t="s">
        <v>282</v>
      </c>
      <c r="BG1419">
        <v>99.770099999999999</v>
      </c>
      <c r="BH1419" t="s">
        <v>15727</v>
      </c>
      <c r="BI1419">
        <v>91.724100000000007</v>
      </c>
      <c r="BK1419">
        <v>85.977000000000004</v>
      </c>
      <c r="BL1419" t="s">
        <v>15728</v>
      </c>
      <c r="BM1419">
        <v>80.919499999999999</v>
      </c>
      <c r="BN1419">
        <v>80.459800000000001</v>
      </c>
      <c r="BO1419">
        <v>79.540199999999999</v>
      </c>
      <c r="BP1419">
        <v>59.310299999999998</v>
      </c>
      <c r="BQ1419">
        <v>48.735599999999998</v>
      </c>
      <c r="BR1419">
        <v>47.586199999999998</v>
      </c>
      <c r="BS1419">
        <v>52.183900000000001</v>
      </c>
      <c r="BT1419">
        <v>44.367800000000003</v>
      </c>
      <c r="BU1419">
        <v>48.2759</v>
      </c>
      <c r="BV1419" t="s">
        <v>15729</v>
      </c>
      <c r="BW1419">
        <v>46.436799999999998</v>
      </c>
      <c r="BX1419">
        <v>42.298900000000003</v>
      </c>
      <c r="BY1419">
        <v>44.597700000000003</v>
      </c>
      <c r="CA1419">
        <v>47.356299999999997</v>
      </c>
      <c r="CB1419">
        <v>28.2759</v>
      </c>
      <c r="CD1419">
        <v>28.2759</v>
      </c>
      <c r="CF1419">
        <v>13.333299999999999</v>
      </c>
      <c r="CG1419" t="s">
        <v>15730</v>
      </c>
      <c r="CH1419" t="s">
        <v>15731</v>
      </c>
      <c r="CI1419" t="s">
        <v>15732</v>
      </c>
      <c r="CK1419">
        <v>6</v>
      </c>
      <c r="CL1419" t="s">
        <v>4</v>
      </c>
      <c r="CM1419" t="s">
        <v>15733</v>
      </c>
      <c r="CN1419" t="s">
        <v>15734</v>
      </c>
      <c r="CO1419" t="s">
        <v>219</v>
      </c>
      <c r="CP1419" t="s">
        <v>100</v>
      </c>
      <c r="CQ1419" t="s">
        <v>100</v>
      </c>
      <c r="CR1419" t="s">
        <v>100</v>
      </c>
      <c r="CS1419" t="s">
        <v>101</v>
      </c>
      <c r="CT1419" s="7" t="s">
        <v>152</v>
      </c>
      <c r="CU1419" t="s">
        <v>102</v>
      </c>
      <c r="CV1419" t="s">
        <v>100</v>
      </c>
    </row>
    <row r="1420" spans="1:100">
      <c r="A1420" s="3" t="s">
        <v>15735</v>
      </c>
      <c r="B1420" s="4" t="s">
        <v>15736</v>
      </c>
      <c r="C1420">
        <v>4778.63202248172</v>
      </c>
      <c r="D1420">
        <v>3979.2993733798098</v>
      </c>
      <c r="E1420">
        <v>0.26399971568091701</v>
      </c>
      <c r="F1420">
        <v>0.53538613703689497</v>
      </c>
      <c r="G1420" t="s">
        <v>4</v>
      </c>
      <c r="H1420">
        <v>4778.63202248172</v>
      </c>
      <c r="I1420">
        <v>1142.3646618488101</v>
      </c>
      <c r="J1420">
        <v>2.06271568521516</v>
      </c>
      <c r="K1420" s="5">
        <v>1.9619051119759201E-8</v>
      </c>
      <c r="L1420" t="s">
        <v>4</v>
      </c>
      <c r="M1420">
        <v>3979.2993733798098</v>
      </c>
      <c r="N1420">
        <v>1142.3646618488101</v>
      </c>
      <c r="O1420">
        <v>1.7987159695342501</v>
      </c>
      <c r="P1420" s="5">
        <v>9.0419533941259704E-7</v>
      </c>
      <c r="Q1420" t="s">
        <v>4</v>
      </c>
      <c r="R1420" s="4" t="s">
        <v>87</v>
      </c>
      <c r="S1420" t="s">
        <v>4</v>
      </c>
      <c r="T1420" t="s">
        <v>15737</v>
      </c>
      <c r="U1420" t="s">
        <v>15738</v>
      </c>
      <c r="V1420" t="s">
        <v>15739</v>
      </c>
      <c r="W1420" t="s">
        <v>328</v>
      </c>
      <c r="X1420" t="s">
        <v>4</v>
      </c>
      <c r="Y1420" t="s">
        <v>15740</v>
      </c>
      <c r="Z1420" t="s">
        <v>15741</v>
      </c>
      <c r="AA1420" t="s">
        <v>15742</v>
      </c>
      <c r="AB1420" t="s">
        <v>4</v>
      </c>
      <c r="AC1420" s="3" t="s">
        <v>15743</v>
      </c>
      <c r="AD1420" t="s">
        <v>4</v>
      </c>
      <c r="AE1420" t="s">
        <v>15744</v>
      </c>
      <c r="AF1420" t="s">
        <v>834</v>
      </c>
      <c r="AG1420" t="s">
        <v>15745</v>
      </c>
      <c r="AH1420" t="s">
        <v>112</v>
      </c>
      <c r="AI1420" t="s">
        <v>15746</v>
      </c>
      <c r="AJ1420" t="s">
        <v>15747</v>
      </c>
      <c r="AL1420" t="s">
        <v>15748</v>
      </c>
      <c r="AM1420" t="s">
        <v>12508</v>
      </c>
      <c r="AQ1420" t="s">
        <v>7909</v>
      </c>
      <c r="AU1420" t="s">
        <v>112</v>
      </c>
      <c r="AV1420" t="s">
        <v>15749</v>
      </c>
      <c r="AW1420" t="s">
        <v>114</v>
      </c>
      <c r="AX1420" t="s">
        <v>167</v>
      </c>
      <c r="AY1420" t="s">
        <v>15750</v>
      </c>
      <c r="AZ1420" t="s">
        <v>4</v>
      </c>
      <c r="BA1420" s="3" t="s">
        <v>115</v>
      </c>
      <c r="BB1420" s="6" t="s">
        <v>95</v>
      </c>
      <c r="BC1420" s="3" t="s">
        <v>95</v>
      </c>
      <c r="BD1420" t="s">
        <v>4</v>
      </c>
      <c r="BE1420">
        <v>10452</v>
      </c>
      <c r="BF1420" t="s">
        <v>169</v>
      </c>
      <c r="BG1420">
        <v>99.676900000000003</v>
      </c>
      <c r="BH1420" t="s">
        <v>15751</v>
      </c>
      <c r="BI1420">
        <v>98.9499</v>
      </c>
      <c r="BJ1420">
        <v>96.042000000000002</v>
      </c>
      <c r="BK1420">
        <v>96.042000000000002</v>
      </c>
      <c r="BL1420">
        <v>15.670400000000001</v>
      </c>
      <c r="BM1420">
        <v>94.587999999999994</v>
      </c>
      <c r="BN1420">
        <v>95.072699999999998</v>
      </c>
      <c r="BO1420">
        <v>95.799700000000001</v>
      </c>
      <c r="BP1420" t="s">
        <v>15752</v>
      </c>
      <c r="BQ1420">
        <v>46.526699999999998</v>
      </c>
      <c r="BR1420">
        <v>23.101800000000001</v>
      </c>
      <c r="BT1420">
        <v>25.524999999999999</v>
      </c>
      <c r="BU1420">
        <v>44.426499999999997</v>
      </c>
      <c r="BV1420" t="s">
        <v>15753</v>
      </c>
      <c r="BW1420">
        <v>49.8384</v>
      </c>
      <c r="BX1420">
        <v>60.904699999999998</v>
      </c>
      <c r="BY1420">
        <v>32.956400000000002</v>
      </c>
      <c r="BZ1420">
        <v>59.37</v>
      </c>
      <c r="CA1420">
        <v>49.111499999999999</v>
      </c>
      <c r="CB1420">
        <v>44.507300000000001</v>
      </c>
      <c r="CD1420" t="s">
        <v>15754</v>
      </c>
      <c r="CE1420">
        <v>39.822299999999998</v>
      </c>
      <c r="CF1420">
        <v>38.610700000000001</v>
      </c>
      <c r="CG1420" t="s">
        <v>15755</v>
      </c>
      <c r="CH1420" t="s">
        <v>15756</v>
      </c>
      <c r="CJ1420">
        <v>25.524999999999999</v>
      </c>
      <c r="CK1420">
        <v>9</v>
      </c>
      <c r="CL1420" t="s">
        <v>4</v>
      </c>
      <c r="CM1420" t="s">
        <v>15757</v>
      </c>
      <c r="CN1420" t="s">
        <v>15758</v>
      </c>
      <c r="CO1420" t="s">
        <v>99</v>
      </c>
      <c r="CP1420" t="s">
        <v>100</v>
      </c>
      <c r="CQ1420" t="s">
        <v>100</v>
      </c>
      <c r="CR1420" t="s">
        <v>100</v>
      </c>
      <c r="CS1420" t="s">
        <v>101</v>
      </c>
      <c r="CT1420" s="7" t="s">
        <v>152</v>
      </c>
      <c r="CU1420" t="s">
        <v>102</v>
      </c>
      <c r="CV1420" t="s">
        <v>100</v>
      </c>
    </row>
    <row r="1421" spans="1:100">
      <c r="A1421" s="3" t="s">
        <v>15759</v>
      </c>
      <c r="B1421" s="4" t="s">
        <v>15760</v>
      </c>
      <c r="C1421">
        <v>3850.7829352704498</v>
      </c>
      <c r="D1421">
        <v>3246.9293597546698</v>
      </c>
      <c r="E1421">
        <v>0.24595193008765001</v>
      </c>
      <c r="F1421">
        <v>0.560028101934124</v>
      </c>
      <c r="G1421" t="s">
        <v>4</v>
      </c>
      <c r="H1421">
        <v>3850.7829352704498</v>
      </c>
      <c r="I1421">
        <v>935.37096430081294</v>
      </c>
      <c r="J1421">
        <v>2.0396696788618498</v>
      </c>
      <c r="K1421" s="5">
        <v>1.8351052240406999E-8</v>
      </c>
      <c r="L1421" t="s">
        <v>4</v>
      </c>
      <c r="M1421">
        <v>3246.9293597546698</v>
      </c>
      <c r="N1421">
        <v>935.37096430081294</v>
      </c>
      <c r="O1421">
        <v>1.7937177487742</v>
      </c>
      <c r="P1421" s="5">
        <v>6.8751786608127005E-7</v>
      </c>
      <c r="Q1421" t="s">
        <v>4</v>
      </c>
      <c r="R1421" s="4" t="s">
        <v>87</v>
      </c>
      <c r="S1421" t="s">
        <v>4</v>
      </c>
      <c r="T1421" t="s">
        <v>92</v>
      </c>
      <c r="U1421" t="s">
        <v>92</v>
      </c>
      <c r="V1421" t="s">
        <v>92</v>
      </c>
      <c r="W1421" t="s">
        <v>92</v>
      </c>
      <c r="X1421" t="s">
        <v>4</v>
      </c>
      <c r="Y1421" t="s">
        <v>92</v>
      </c>
      <c r="Z1421" t="s">
        <v>92</v>
      </c>
      <c r="AA1421" t="s">
        <v>92</v>
      </c>
      <c r="AB1421" t="s">
        <v>4</v>
      </c>
      <c r="AC1421" s="3" t="s">
        <v>93</v>
      </c>
      <c r="AD1421" t="s">
        <v>4</v>
      </c>
      <c r="AE1421" s="4" t="s">
        <v>94</v>
      </c>
      <c r="AZ1421" t="s">
        <v>4</v>
      </c>
      <c r="BA1421" s="3" t="s">
        <v>115</v>
      </c>
      <c r="BB1421" s="6" t="s">
        <v>95</v>
      </c>
      <c r="BC1421" s="3" t="s">
        <v>95</v>
      </c>
      <c r="BD1421" t="s">
        <v>4</v>
      </c>
      <c r="BE1421">
        <v>2669</v>
      </c>
      <c r="BF1421" t="s">
        <v>97</v>
      </c>
      <c r="BG1421">
        <v>98.618300000000005</v>
      </c>
      <c r="BH1421">
        <v>41.709800000000001</v>
      </c>
      <c r="BI1421">
        <v>89.982699999999994</v>
      </c>
      <c r="BJ1421">
        <v>72.366100000000003</v>
      </c>
      <c r="BK1421">
        <v>63.644199999999998</v>
      </c>
      <c r="BL1421">
        <v>12.262499999999999</v>
      </c>
      <c r="BM1421">
        <v>71.157200000000003</v>
      </c>
      <c r="BN1421">
        <v>71.157200000000003</v>
      </c>
      <c r="BO1421">
        <v>69.171000000000006</v>
      </c>
      <c r="BP1421">
        <v>22.711600000000001</v>
      </c>
      <c r="CK1421">
        <v>4</v>
      </c>
      <c r="CL1421" t="s">
        <v>4</v>
      </c>
      <c r="CM1421" t="s">
        <v>98</v>
      </c>
      <c r="CN1421" t="s">
        <v>98</v>
      </c>
      <c r="CO1421" t="s">
        <v>99</v>
      </c>
      <c r="CP1421" t="s">
        <v>100</v>
      </c>
      <c r="CQ1421" t="s">
        <v>100</v>
      </c>
      <c r="CR1421" t="s">
        <v>100</v>
      </c>
      <c r="CS1421" t="s">
        <v>101</v>
      </c>
      <c r="CT1421" s="7" t="s">
        <v>152</v>
      </c>
      <c r="CU1421" t="s">
        <v>102</v>
      </c>
      <c r="CV1421" t="s">
        <v>100</v>
      </c>
    </row>
    <row r="1422" spans="1:100">
      <c r="A1422" s="3" t="s">
        <v>15761</v>
      </c>
      <c r="B1422" s="4" t="s">
        <v>15762</v>
      </c>
      <c r="C1422">
        <v>2485.3740948087602</v>
      </c>
      <c r="D1422">
        <v>2042.0847771103099</v>
      </c>
      <c r="E1422">
        <v>0.28333496654291201</v>
      </c>
      <c r="F1422">
        <v>0.51714939364368395</v>
      </c>
      <c r="G1422" t="s">
        <v>4</v>
      </c>
      <c r="H1422">
        <v>2485.3740948087602</v>
      </c>
      <c r="I1422">
        <v>587.942980184053</v>
      </c>
      <c r="J1422">
        <v>2.0763153340310301</v>
      </c>
      <c r="K1422" s="5">
        <v>4.5274970300031303E-8</v>
      </c>
      <c r="L1422" t="s">
        <v>4</v>
      </c>
      <c r="M1422">
        <v>2042.0847771103099</v>
      </c>
      <c r="N1422">
        <v>587.942980184053</v>
      </c>
      <c r="O1422">
        <v>1.79298036748812</v>
      </c>
      <c r="P1422" s="5">
        <v>2.1959418231135001E-6</v>
      </c>
      <c r="Q1422" t="s">
        <v>4</v>
      </c>
      <c r="R1422" s="4" t="s">
        <v>87</v>
      </c>
      <c r="S1422" t="s">
        <v>4</v>
      </c>
      <c r="T1422" t="s">
        <v>15763</v>
      </c>
      <c r="U1422" t="s">
        <v>15764</v>
      </c>
      <c r="V1422" t="s">
        <v>15765</v>
      </c>
      <c r="W1422" t="s">
        <v>328</v>
      </c>
      <c r="X1422" t="s">
        <v>4</v>
      </c>
      <c r="Y1422" t="s">
        <v>15766</v>
      </c>
      <c r="Z1422" t="s">
        <v>15767</v>
      </c>
      <c r="AA1422" t="s">
        <v>15768</v>
      </c>
      <c r="AB1422" t="s">
        <v>4</v>
      </c>
      <c r="AC1422" s="3" t="s">
        <v>15769</v>
      </c>
      <c r="AD1422" t="s">
        <v>4</v>
      </c>
      <c r="AE1422" t="s">
        <v>15770</v>
      </c>
      <c r="AF1422" t="s">
        <v>834</v>
      </c>
      <c r="AG1422" t="s">
        <v>15771</v>
      </c>
      <c r="AH1422" t="s">
        <v>112</v>
      </c>
      <c r="AJ1422" t="s">
        <v>15772</v>
      </c>
      <c r="AL1422" t="s">
        <v>15773</v>
      </c>
      <c r="AM1422" t="s">
        <v>7647</v>
      </c>
      <c r="AN1422" t="s">
        <v>14282</v>
      </c>
      <c r="AQ1422" t="s">
        <v>14283</v>
      </c>
      <c r="AR1422" t="s">
        <v>14284</v>
      </c>
      <c r="AU1422" t="s">
        <v>112</v>
      </c>
      <c r="AV1422" t="s">
        <v>15774</v>
      </c>
      <c r="AW1422" t="s">
        <v>114</v>
      </c>
      <c r="AX1422" t="s">
        <v>371</v>
      </c>
      <c r="AY1422" t="s">
        <v>15775</v>
      </c>
      <c r="AZ1422" t="s">
        <v>4</v>
      </c>
      <c r="BA1422" s="3" t="s">
        <v>95</v>
      </c>
      <c r="BB1422" s="6" t="s">
        <v>95</v>
      </c>
      <c r="BC1422" s="3" t="s">
        <v>95</v>
      </c>
      <c r="BD1422" t="s">
        <v>4</v>
      </c>
      <c r="BE1422">
        <v>10152</v>
      </c>
      <c r="BF1422" t="s">
        <v>169</v>
      </c>
      <c r="BG1422">
        <v>96.363600000000005</v>
      </c>
      <c r="BH1422">
        <v>28.454499999999999</v>
      </c>
      <c r="BJ1422">
        <v>82.909099999999995</v>
      </c>
      <c r="BM1422">
        <v>75.181799999999996</v>
      </c>
      <c r="BN1422">
        <v>76.7273</v>
      </c>
      <c r="BO1422">
        <v>71.454499999999996</v>
      </c>
      <c r="BP1422">
        <v>14.454499999999999</v>
      </c>
      <c r="BQ1422">
        <v>14</v>
      </c>
      <c r="BR1422" t="s">
        <v>15776</v>
      </c>
      <c r="BS1422">
        <v>20.7273</v>
      </c>
      <c r="BU1422">
        <v>16.545500000000001</v>
      </c>
      <c r="BV1422" t="s">
        <v>15777</v>
      </c>
      <c r="BW1422">
        <v>18.454499999999999</v>
      </c>
      <c r="BX1422">
        <v>21.545500000000001</v>
      </c>
      <c r="BY1422">
        <v>10.9091</v>
      </c>
      <c r="BZ1422">
        <v>6.3636400000000002</v>
      </c>
      <c r="CA1422">
        <v>17.818200000000001</v>
      </c>
      <c r="CB1422">
        <v>12.9091</v>
      </c>
      <c r="CE1422">
        <v>15.0909</v>
      </c>
      <c r="CF1422">
        <v>17.818200000000001</v>
      </c>
      <c r="CG1422">
        <v>17</v>
      </c>
      <c r="CH1422">
        <v>17.363600000000002</v>
      </c>
      <c r="CI1422">
        <v>17.636399999999998</v>
      </c>
      <c r="CJ1422">
        <v>11.9091</v>
      </c>
      <c r="CK1422">
        <v>9</v>
      </c>
      <c r="CL1422" t="s">
        <v>4</v>
      </c>
      <c r="CM1422" t="s">
        <v>15778</v>
      </c>
      <c r="CN1422" t="s">
        <v>15779</v>
      </c>
      <c r="CO1422" t="s">
        <v>219</v>
      </c>
      <c r="CP1422" t="s">
        <v>100</v>
      </c>
      <c r="CQ1422" t="s">
        <v>100</v>
      </c>
      <c r="CR1422" t="s">
        <v>100</v>
      </c>
      <c r="CS1422" t="s">
        <v>101</v>
      </c>
      <c r="CT1422" s="7" t="s">
        <v>152</v>
      </c>
      <c r="CU1422" t="s">
        <v>102</v>
      </c>
      <c r="CV1422" t="s">
        <v>100</v>
      </c>
    </row>
    <row r="1423" spans="1:100">
      <c r="A1423" s="3" t="s">
        <v>15780</v>
      </c>
      <c r="B1423" s="4" t="s">
        <v>15781</v>
      </c>
      <c r="C1423">
        <v>1488.60762936424</v>
      </c>
      <c r="D1423">
        <v>1210.69674638622</v>
      </c>
      <c r="E1423">
        <v>0.29742976671919003</v>
      </c>
      <c r="F1423">
        <v>0.12981966387732299</v>
      </c>
      <c r="G1423" t="s">
        <v>4</v>
      </c>
      <c r="H1423">
        <v>1488.60762936424</v>
      </c>
      <c r="I1423">
        <v>352.17464311211398</v>
      </c>
      <c r="J1423">
        <v>2.0803026865001</v>
      </c>
      <c r="K1423" s="5">
        <v>5.7886881336439698E-31</v>
      </c>
      <c r="L1423" t="s">
        <v>4</v>
      </c>
      <c r="M1423">
        <v>1210.69674638622</v>
      </c>
      <c r="N1423">
        <v>352.17464311211398</v>
      </c>
      <c r="O1423">
        <v>1.7828729197809099</v>
      </c>
      <c r="P1423" s="5">
        <v>5.3104780384042602E-23</v>
      </c>
      <c r="Q1423" t="s">
        <v>4</v>
      </c>
      <c r="R1423" s="4" t="s">
        <v>87</v>
      </c>
      <c r="S1423" t="s">
        <v>4</v>
      </c>
      <c r="T1423" t="s">
        <v>15782</v>
      </c>
      <c r="U1423" t="s">
        <v>15783</v>
      </c>
      <c r="V1423" t="s">
        <v>15784</v>
      </c>
      <c r="W1423" t="s">
        <v>328</v>
      </c>
      <c r="X1423" t="s">
        <v>4</v>
      </c>
      <c r="Y1423" t="s">
        <v>13430</v>
      </c>
      <c r="Z1423" t="s">
        <v>13431</v>
      </c>
      <c r="AA1423" t="s">
        <v>13432</v>
      </c>
      <c r="AB1423" t="s">
        <v>4</v>
      </c>
      <c r="AC1423" s="3" t="s">
        <v>15785</v>
      </c>
      <c r="AD1423" t="s">
        <v>4</v>
      </c>
      <c r="AE1423" t="s">
        <v>15786</v>
      </c>
      <c r="AF1423" t="s">
        <v>834</v>
      </c>
      <c r="AG1423" t="s">
        <v>15787</v>
      </c>
      <c r="AH1423" t="s">
        <v>112</v>
      </c>
      <c r="AL1423" t="s">
        <v>15788</v>
      </c>
      <c r="AQ1423" t="s">
        <v>12257</v>
      </c>
      <c r="AU1423" t="s">
        <v>112</v>
      </c>
      <c r="AV1423" t="s">
        <v>15789</v>
      </c>
      <c r="AW1423" t="s">
        <v>114</v>
      </c>
      <c r="AX1423" t="s">
        <v>1938</v>
      </c>
      <c r="AY1423" t="s">
        <v>15790</v>
      </c>
      <c r="AZ1423" t="s">
        <v>4</v>
      </c>
      <c r="BA1423" s="3" t="s">
        <v>115</v>
      </c>
      <c r="BB1423" t="s">
        <v>96</v>
      </c>
      <c r="BC1423" s="3" t="s">
        <v>95</v>
      </c>
      <c r="BD1423" t="s">
        <v>4</v>
      </c>
      <c r="BE1423">
        <v>6460</v>
      </c>
      <c r="BF1423" t="s">
        <v>213</v>
      </c>
      <c r="BG1423">
        <v>68.272400000000005</v>
      </c>
      <c r="BH1423">
        <v>51.079700000000003</v>
      </c>
      <c r="BI1423">
        <v>48.588000000000001</v>
      </c>
      <c r="BJ1423">
        <v>57.8904</v>
      </c>
      <c r="BK1423">
        <v>55.896999999999998</v>
      </c>
      <c r="BL1423">
        <v>34.966799999999999</v>
      </c>
      <c r="BM1423">
        <v>56.478400000000001</v>
      </c>
      <c r="BN1423">
        <v>56.229199999999999</v>
      </c>
      <c r="BO1423">
        <v>58.3887</v>
      </c>
      <c r="BP1423">
        <v>37.458500000000001</v>
      </c>
      <c r="BQ1423">
        <v>37.292400000000001</v>
      </c>
      <c r="BR1423">
        <v>36.793999999999997</v>
      </c>
      <c r="BS1423">
        <v>33.139499999999998</v>
      </c>
      <c r="BT1423">
        <v>35.880400000000002</v>
      </c>
      <c r="BU1423">
        <v>35.215899999999998</v>
      </c>
      <c r="BV1423" t="s">
        <v>15791</v>
      </c>
      <c r="BX1423">
        <v>40.531599999999997</v>
      </c>
      <c r="BY1423" t="s">
        <v>15792</v>
      </c>
      <c r="BZ1423">
        <v>24.916899999999998</v>
      </c>
      <c r="CA1423">
        <v>32.308999999999997</v>
      </c>
      <c r="CB1423">
        <v>8.5548199999999994</v>
      </c>
      <c r="CE1423" t="s">
        <v>15793</v>
      </c>
      <c r="CF1423">
        <v>27.5748</v>
      </c>
      <c r="CG1423" t="s">
        <v>15794</v>
      </c>
      <c r="CH1423" t="s">
        <v>15795</v>
      </c>
      <c r="CI1423" t="s">
        <v>15796</v>
      </c>
      <c r="CK1423">
        <v>8</v>
      </c>
      <c r="CL1423" t="s">
        <v>4</v>
      </c>
      <c r="CM1423" t="s">
        <v>15797</v>
      </c>
      <c r="CN1423" t="s">
        <v>15798</v>
      </c>
      <c r="CO1423" t="s">
        <v>99</v>
      </c>
      <c r="CP1423" t="s">
        <v>100</v>
      </c>
      <c r="CQ1423" t="s">
        <v>100</v>
      </c>
      <c r="CR1423" t="s">
        <v>100</v>
      </c>
      <c r="CS1423" t="s">
        <v>101</v>
      </c>
      <c r="CT1423" s="7" t="s">
        <v>152</v>
      </c>
      <c r="CU1423" t="s">
        <v>102</v>
      </c>
      <c r="CV1423" t="s">
        <v>100</v>
      </c>
    </row>
    <row r="1424" spans="1:100">
      <c r="A1424" s="3" t="s">
        <v>15799</v>
      </c>
      <c r="B1424" s="4" t="s">
        <v>15800</v>
      </c>
      <c r="C1424">
        <v>693.50882865038704</v>
      </c>
      <c r="D1424">
        <v>506.06353569899397</v>
      </c>
      <c r="E1424">
        <v>0.45461156492912103</v>
      </c>
      <c r="F1424">
        <v>0.27845426144143798</v>
      </c>
      <c r="G1424" t="s">
        <v>4</v>
      </c>
      <c r="H1424">
        <v>693.50882865038704</v>
      </c>
      <c r="I1424">
        <v>149.326662649914</v>
      </c>
      <c r="J1424">
        <v>2.2000471839860798</v>
      </c>
      <c r="K1424" s="5">
        <v>7.2257207635386801E-9</v>
      </c>
      <c r="L1424" t="s">
        <v>4</v>
      </c>
      <c r="M1424">
        <v>506.06353569899397</v>
      </c>
      <c r="N1424">
        <v>149.326662649914</v>
      </c>
      <c r="O1424">
        <v>1.74543561905696</v>
      </c>
      <c r="P1424" s="5">
        <v>4.7944612237210699E-6</v>
      </c>
      <c r="Q1424" t="s">
        <v>4</v>
      </c>
      <c r="R1424" s="4" t="s">
        <v>87</v>
      </c>
      <c r="S1424" t="s">
        <v>4</v>
      </c>
      <c r="T1424" t="s">
        <v>15801</v>
      </c>
      <c r="U1424" t="s">
        <v>15802</v>
      </c>
      <c r="V1424" t="s">
        <v>15803</v>
      </c>
      <c r="W1424" t="s">
        <v>123</v>
      </c>
      <c r="X1424" t="s">
        <v>4</v>
      </c>
      <c r="Y1424" t="s">
        <v>15804</v>
      </c>
      <c r="Z1424" t="s">
        <v>15805</v>
      </c>
      <c r="AA1424" t="s">
        <v>15806</v>
      </c>
      <c r="AB1424" t="s">
        <v>4</v>
      </c>
      <c r="AC1424" s="3" t="s">
        <v>15807</v>
      </c>
      <c r="AD1424" t="s">
        <v>4</v>
      </c>
      <c r="AE1424" t="s">
        <v>15808</v>
      </c>
      <c r="AF1424" t="s">
        <v>15809</v>
      </c>
      <c r="AG1424" t="s">
        <v>15810</v>
      </c>
      <c r="AH1424" t="s">
        <v>112</v>
      </c>
      <c r="AU1424" t="s">
        <v>112</v>
      </c>
      <c r="AV1424" t="s">
        <v>15811</v>
      </c>
      <c r="AW1424" t="s">
        <v>114</v>
      </c>
      <c r="AX1424" t="s">
        <v>371</v>
      </c>
      <c r="AY1424" t="s">
        <v>4399</v>
      </c>
      <c r="AZ1424" t="s">
        <v>4</v>
      </c>
      <c r="BA1424" s="3" t="s">
        <v>95</v>
      </c>
      <c r="BB1424" s="6" t="s">
        <v>95</v>
      </c>
      <c r="BC1424" s="3" t="s">
        <v>95</v>
      </c>
      <c r="BD1424" t="s">
        <v>4</v>
      </c>
      <c r="BE1424">
        <v>4089</v>
      </c>
      <c r="BF1424" t="s">
        <v>112</v>
      </c>
      <c r="BG1424">
        <v>97.058800000000005</v>
      </c>
      <c r="BI1424">
        <v>95.097999999999999</v>
      </c>
      <c r="BJ1424">
        <v>83.333299999999994</v>
      </c>
      <c r="BK1424">
        <v>84.558800000000005</v>
      </c>
      <c r="BM1424">
        <v>84.068600000000004</v>
      </c>
      <c r="BN1424">
        <v>83.823499999999996</v>
      </c>
      <c r="BO1424">
        <v>82.843100000000007</v>
      </c>
      <c r="BP1424">
        <v>44.362699999999997</v>
      </c>
      <c r="BQ1424">
        <v>36.764699999999998</v>
      </c>
      <c r="BR1424">
        <v>38.970599999999997</v>
      </c>
      <c r="BS1424">
        <v>40.931399999999996</v>
      </c>
      <c r="BW1424">
        <v>34.803899999999999</v>
      </c>
      <c r="BX1424">
        <v>42.402000000000001</v>
      </c>
      <c r="BZ1424">
        <v>42.1569</v>
      </c>
      <c r="CA1424">
        <v>38.480400000000003</v>
      </c>
      <c r="CK1424">
        <v>5</v>
      </c>
      <c r="CL1424" t="s">
        <v>4</v>
      </c>
      <c r="CM1424" t="s">
        <v>15812</v>
      </c>
      <c r="CN1424" t="s">
        <v>15813</v>
      </c>
      <c r="CO1424" t="s">
        <v>99</v>
      </c>
      <c r="CP1424" t="s">
        <v>100</v>
      </c>
      <c r="CQ1424" t="s">
        <v>100</v>
      </c>
      <c r="CR1424" t="s">
        <v>100</v>
      </c>
      <c r="CS1424" t="s">
        <v>101</v>
      </c>
      <c r="CT1424" s="7" t="s">
        <v>152</v>
      </c>
      <c r="CU1424" t="s">
        <v>102</v>
      </c>
      <c r="CV1424" t="s">
        <v>100</v>
      </c>
    </row>
    <row r="1425" spans="1:100">
      <c r="A1425" s="3" t="s">
        <v>15814</v>
      </c>
      <c r="B1425" s="4" t="s">
        <v>15815</v>
      </c>
      <c r="C1425">
        <v>902.495518851013</v>
      </c>
      <c r="D1425">
        <v>563.06909362688305</v>
      </c>
      <c r="E1425">
        <v>0.67953422564756905</v>
      </c>
      <c r="F1425">
        <v>3.4160492348441297E-2</v>
      </c>
      <c r="G1425" t="s">
        <v>4</v>
      </c>
      <c r="H1425">
        <v>902.495518851013</v>
      </c>
      <c r="I1425">
        <v>172.257573434097</v>
      </c>
      <c r="J1425">
        <v>2.3934755403157202</v>
      </c>
      <c r="K1425" s="5">
        <v>1.2076222571373501E-15</v>
      </c>
      <c r="L1425" t="s">
        <v>4</v>
      </c>
      <c r="M1425">
        <v>563.06909362688305</v>
      </c>
      <c r="N1425">
        <v>172.257573434097</v>
      </c>
      <c r="O1425">
        <v>1.7139413146681499</v>
      </c>
      <c r="P1425" s="5">
        <v>1.3997565097178101E-8</v>
      </c>
      <c r="Q1425" t="s">
        <v>4</v>
      </c>
      <c r="R1425" s="4" t="s">
        <v>87</v>
      </c>
      <c r="S1425" t="s">
        <v>4</v>
      </c>
      <c r="T1425" t="s">
        <v>15816</v>
      </c>
      <c r="U1425" t="s">
        <v>15817</v>
      </c>
      <c r="V1425" t="s">
        <v>15818</v>
      </c>
      <c r="W1425" t="s">
        <v>328</v>
      </c>
      <c r="X1425" t="s">
        <v>4</v>
      </c>
      <c r="Y1425" t="s">
        <v>15819</v>
      </c>
      <c r="Z1425" t="s">
        <v>15820</v>
      </c>
      <c r="AA1425" t="s">
        <v>15821</v>
      </c>
      <c r="AB1425" t="s">
        <v>4</v>
      </c>
      <c r="AC1425" s="3" t="s">
        <v>14424</v>
      </c>
      <c r="AD1425" t="s">
        <v>4</v>
      </c>
      <c r="AE1425" t="s">
        <v>15822</v>
      </c>
      <c r="AF1425" t="s">
        <v>15823</v>
      </c>
      <c r="AG1425" t="s">
        <v>15824</v>
      </c>
      <c r="AH1425" t="s">
        <v>638</v>
      </c>
      <c r="AI1425" t="s">
        <v>15825</v>
      </c>
      <c r="AJ1425" t="s">
        <v>15826</v>
      </c>
      <c r="AL1425" t="s">
        <v>15827</v>
      </c>
      <c r="AM1425" t="s">
        <v>15828</v>
      </c>
      <c r="AQ1425" t="s">
        <v>15829</v>
      </c>
      <c r="AU1425" t="s">
        <v>112</v>
      </c>
      <c r="AV1425" t="s">
        <v>15830</v>
      </c>
      <c r="AW1425" t="s">
        <v>114</v>
      </c>
      <c r="AX1425" t="s">
        <v>1907</v>
      </c>
      <c r="AY1425" t="s">
        <v>15831</v>
      </c>
      <c r="AZ1425" t="s">
        <v>4</v>
      </c>
      <c r="BA1425" s="3" t="s">
        <v>95</v>
      </c>
      <c r="BB1425" s="6" t="s">
        <v>95</v>
      </c>
      <c r="BC1425" s="3" t="s">
        <v>197</v>
      </c>
      <c r="BD1425" t="s">
        <v>4</v>
      </c>
      <c r="BE1425">
        <v>8170</v>
      </c>
      <c r="BF1425" t="s">
        <v>213</v>
      </c>
      <c r="BG1425">
        <v>94.9649</v>
      </c>
      <c r="BH1425">
        <v>30.975100000000001</v>
      </c>
      <c r="BI1425">
        <v>81.644400000000005</v>
      </c>
      <c r="BJ1425">
        <v>21.988499999999998</v>
      </c>
      <c r="BK1425">
        <v>50.796700000000001</v>
      </c>
      <c r="BM1425">
        <v>55.385599999999997</v>
      </c>
      <c r="BN1425">
        <v>62.077800000000003</v>
      </c>
      <c r="BO1425">
        <v>72.721500000000006</v>
      </c>
      <c r="BP1425">
        <v>16.4436</v>
      </c>
      <c r="BW1425">
        <v>26.1313</v>
      </c>
      <c r="BX1425">
        <v>26.322500000000002</v>
      </c>
      <c r="BY1425">
        <v>12.173400000000001</v>
      </c>
      <c r="CB1425">
        <v>8.5404699999999991</v>
      </c>
      <c r="CC1425">
        <v>17.527100000000001</v>
      </c>
      <c r="CD1425">
        <v>21.16</v>
      </c>
      <c r="CE1425">
        <v>15.8062</v>
      </c>
      <c r="CF1425">
        <v>8.8591499999999996</v>
      </c>
      <c r="CG1425" t="s">
        <v>15832</v>
      </c>
      <c r="CH1425" t="s">
        <v>15833</v>
      </c>
      <c r="CI1425" t="s">
        <v>15834</v>
      </c>
      <c r="CK1425">
        <v>8</v>
      </c>
      <c r="CL1425" t="s">
        <v>4</v>
      </c>
      <c r="CM1425" t="s">
        <v>98</v>
      </c>
      <c r="CN1425" t="s">
        <v>98</v>
      </c>
      <c r="CO1425" t="s">
        <v>99</v>
      </c>
      <c r="CP1425" t="s">
        <v>100</v>
      </c>
      <c r="CQ1425" t="s">
        <v>100</v>
      </c>
      <c r="CR1425" t="s">
        <v>100</v>
      </c>
      <c r="CS1425" t="s">
        <v>101</v>
      </c>
      <c r="CT1425" s="7" t="s">
        <v>152</v>
      </c>
      <c r="CU1425" t="s">
        <v>102</v>
      </c>
      <c r="CV1425" t="s">
        <v>100</v>
      </c>
    </row>
    <row r="1426" spans="1:100">
      <c r="A1426" s="3" t="s">
        <v>15835</v>
      </c>
      <c r="B1426" s="4" t="s">
        <v>15836</v>
      </c>
      <c r="C1426">
        <v>86.092799029245597</v>
      </c>
      <c r="D1426">
        <v>64.768225697623194</v>
      </c>
      <c r="E1426">
        <v>0.41201269496746201</v>
      </c>
      <c r="F1426">
        <v>0.40476793429943803</v>
      </c>
      <c r="G1426" t="s">
        <v>4</v>
      </c>
      <c r="H1426">
        <v>86.092799029245597</v>
      </c>
      <c r="I1426">
        <v>19.600485940178</v>
      </c>
      <c r="J1426">
        <v>2.1072667000818601</v>
      </c>
      <c r="K1426" s="5">
        <v>1.5721316679935199E-5</v>
      </c>
      <c r="L1426" t="s">
        <v>4</v>
      </c>
      <c r="M1426">
        <v>64.768225697623194</v>
      </c>
      <c r="N1426">
        <v>19.600485940178</v>
      </c>
      <c r="O1426">
        <v>1.6952540051144001</v>
      </c>
      <c r="P1426">
        <v>5.81802643541254E-4</v>
      </c>
      <c r="Q1426" t="s">
        <v>4</v>
      </c>
      <c r="R1426" s="4" t="s">
        <v>87</v>
      </c>
      <c r="S1426" t="s">
        <v>4</v>
      </c>
      <c r="T1426" t="s">
        <v>189</v>
      </c>
      <c r="U1426" t="s">
        <v>190</v>
      </c>
      <c r="V1426" t="s">
        <v>191</v>
      </c>
      <c r="W1426" t="s">
        <v>192</v>
      </c>
      <c r="X1426" t="s">
        <v>4</v>
      </c>
      <c r="Y1426" t="s">
        <v>92</v>
      </c>
      <c r="Z1426" t="s">
        <v>92</v>
      </c>
      <c r="AA1426" t="s">
        <v>92</v>
      </c>
      <c r="AB1426" t="s">
        <v>4</v>
      </c>
      <c r="AC1426" s="3" t="s">
        <v>93</v>
      </c>
      <c r="AD1426" t="s">
        <v>4</v>
      </c>
      <c r="AE1426" s="4" t="s">
        <v>94</v>
      </c>
      <c r="AZ1426" t="s">
        <v>4</v>
      </c>
      <c r="BA1426" s="3" t="s">
        <v>95</v>
      </c>
      <c r="BB1426" t="s">
        <v>96</v>
      </c>
      <c r="BC1426" s="3" t="s">
        <v>197</v>
      </c>
      <c r="BD1426" t="s">
        <v>4</v>
      </c>
      <c r="BE1426">
        <v>2809</v>
      </c>
      <c r="BF1426" t="s">
        <v>97</v>
      </c>
      <c r="BG1426">
        <v>92.7136</v>
      </c>
      <c r="BH1426">
        <v>98.743700000000004</v>
      </c>
      <c r="BI1426">
        <v>85.929599999999994</v>
      </c>
      <c r="BJ1426">
        <v>38.4422</v>
      </c>
      <c r="BL1426">
        <v>22.8643</v>
      </c>
      <c r="BM1426">
        <v>66.582899999999995</v>
      </c>
      <c r="BN1426">
        <v>67.085400000000007</v>
      </c>
      <c r="BO1426" t="s">
        <v>15837</v>
      </c>
      <c r="BP1426">
        <v>18.341699999999999</v>
      </c>
      <c r="CK1426">
        <v>4</v>
      </c>
      <c r="CL1426" t="s">
        <v>4</v>
      </c>
      <c r="CM1426" t="s">
        <v>98</v>
      </c>
      <c r="CN1426" t="s">
        <v>98</v>
      </c>
      <c r="CO1426" t="s">
        <v>99</v>
      </c>
      <c r="CP1426" t="s">
        <v>100</v>
      </c>
      <c r="CQ1426" t="s">
        <v>100</v>
      </c>
      <c r="CR1426" t="s">
        <v>100</v>
      </c>
      <c r="CS1426" t="s">
        <v>101</v>
      </c>
      <c r="CT1426" s="7" t="s">
        <v>152</v>
      </c>
      <c r="CU1426" t="s">
        <v>102</v>
      </c>
      <c r="CV1426" t="s">
        <v>100</v>
      </c>
    </row>
    <row r="1427" spans="1:100">
      <c r="A1427" s="3" t="s">
        <v>15838</v>
      </c>
      <c r="B1427" s="4" t="s">
        <v>15839</v>
      </c>
      <c r="C1427">
        <v>2115.4745964981498</v>
      </c>
      <c r="D1427">
        <v>1566.4220885851801</v>
      </c>
      <c r="E1427">
        <v>0.43377985918991202</v>
      </c>
      <c r="F1427">
        <v>0.191641542715876</v>
      </c>
      <c r="G1427" t="s">
        <v>4</v>
      </c>
      <c r="H1427">
        <v>2115.4745964981498</v>
      </c>
      <c r="I1427">
        <v>491.959680900362</v>
      </c>
      <c r="J1427">
        <v>2.1079819702298801</v>
      </c>
      <c r="K1427" s="5">
        <v>1.7120041090185801E-12</v>
      </c>
      <c r="L1427" t="s">
        <v>4</v>
      </c>
      <c r="M1427">
        <v>1566.4220885851801</v>
      </c>
      <c r="N1427">
        <v>491.959680900362</v>
      </c>
      <c r="O1427">
        <v>1.6742021110399701</v>
      </c>
      <c r="P1427" s="5">
        <v>2.31839514933183E-8</v>
      </c>
      <c r="Q1427" t="s">
        <v>4</v>
      </c>
      <c r="R1427" s="4" t="s">
        <v>87</v>
      </c>
      <c r="S1427" t="s">
        <v>4</v>
      </c>
      <c r="T1427" t="s">
        <v>88</v>
      </c>
      <c r="U1427" t="s">
        <v>89</v>
      </c>
      <c r="V1427" t="s">
        <v>90</v>
      </c>
      <c r="W1427" t="s">
        <v>91</v>
      </c>
      <c r="X1427" t="s">
        <v>4</v>
      </c>
      <c r="Y1427" t="s">
        <v>588</v>
      </c>
      <c r="Z1427" t="s">
        <v>589</v>
      </c>
      <c r="AA1427" t="s">
        <v>590</v>
      </c>
      <c r="AB1427" t="s">
        <v>4</v>
      </c>
      <c r="AC1427" s="3" t="s">
        <v>591</v>
      </c>
      <c r="AD1427" t="s">
        <v>4</v>
      </c>
      <c r="AE1427" t="s">
        <v>15840</v>
      </c>
      <c r="AF1427" t="s">
        <v>12904</v>
      </c>
      <c r="AG1427" t="s">
        <v>15841</v>
      </c>
      <c r="AH1427" t="s">
        <v>112</v>
      </c>
      <c r="AL1427" t="s">
        <v>9748</v>
      </c>
      <c r="AQ1427" t="s">
        <v>9749</v>
      </c>
      <c r="AU1427" t="s">
        <v>112</v>
      </c>
      <c r="AV1427" t="s">
        <v>9750</v>
      </c>
      <c r="AW1427" t="s">
        <v>114</v>
      </c>
      <c r="AX1427" t="s">
        <v>596</v>
      </c>
      <c r="AY1427" t="s">
        <v>9751</v>
      </c>
      <c r="AZ1427" t="s">
        <v>4</v>
      </c>
      <c r="BA1427" s="3" t="s">
        <v>95</v>
      </c>
      <c r="BB1427" t="s">
        <v>96</v>
      </c>
      <c r="BC1427" s="3" t="s">
        <v>95</v>
      </c>
      <c r="BD1427" t="s">
        <v>4</v>
      </c>
      <c r="BE1427">
        <v>3641</v>
      </c>
      <c r="BF1427" t="s">
        <v>112</v>
      </c>
      <c r="BG1427" t="s">
        <v>15842</v>
      </c>
      <c r="BH1427">
        <v>99.479200000000006</v>
      </c>
      <c r="BI1427">
        <v>94.791700000000006</v>
      </c>
      <c r="BJ1427">
        <v>89.0625</v>
      </c>
      <c r="BK1427">
        <v>77.083299999999994</v>
      </c>
      <c r="BL1427">
        <v>49.479199999999999</v>
      </c>
      <c r="BM1427">
        <v>81.770799999999994</v>
      </c>
      <c r="BN1427">
        <v>81.770799999999994</v>
      </c>
      <c r="BO1427">
        <v>79.6875</v>
      </c>
      <c r="BP1427">
        <v>37.5</v>
      </c>
      <c r="BS1427">
        <v>41.145800000000001</v>
      </c>
      <c r="BW1427">
        <v>41.666699999999999</v>
      </c>
      <c r="BX1427" t="s">
        <v>15843</v>
      </c>
      <c r="BY1427">
        <v>33.854199999999999</v>
      </c>
      <c r="BZ1427" t="s">
        <v>15844</v>
      </c>
      <c r="CA1427" t="s">
        <v>15845</v>
      </c>
      <c r="CB1427">
        <v>22.916699999999999</v>
      </c>
      <c r="CG1427" t="s">
        <v>15846</v>
      </c>
      <c r="CH1427" t="s">
        <v>15847</v>
      </c>
      <c r="CI1427" t="s">
        <v>15848</v>
      </c>
      <c r="CK1427">
        <v>5</v>
      </c>
      <c r="CL1427" t="s">
        <v>4</v>
      </c>
      <c r="CM1427" t="s">
        <v>15849</v>
      </c>
      <c r="CN1427" t="s">
        <v>15850</v>
      </c>
      <c r="CO1427" t="s">
        <v>1467</v>
      </c>
      <c r="CP1427" t="s">
        <v>100</v>
      </c>
      <c r="CQ1427" t="s">
        <v>100</v>
      </c>
      <c r="CR1427" t="s">
        <v>100</v>
      </c>
      <c r="CS1427" t="s">
        <v>101</v>
      </c>
      <c r="CT1427" s="7" t="s">
        <v>152</v>
      </c>
      <c r="CU1427" t="s">
        <v>102</v>
      </c>
      <c r="CV1427" t="s">
        <v>100</v>
      </c>
    </row>
    <row r="1428" spans="1:100">
      <c r="A1428" s="3" t="s">
        <v>15851</v>
      </c>
      <c r="B1428" s="4" t="s">
        <v>15852</v>
      </c>
      <c r="C1428">
        <v>107.882692306218</v>
      </c>
      <c r="D1428">
        <v>80.3207046861355</v>
      </c>
      <c r="E1428">
        <v>0.42767273873962203</v>
      </c>
      <c r="F1428">
        <v>0.43636404973579801</v>
      </c>
      <c r="G1428" t="s">
        <v>4</v>
      </c>
      <c r="H1428">
        <v>107.882692306218</v>
      </c>
      <c r="I1428">
        <v>25.574902049305301</v>
      </c>
      <c r="J1428">
        <v>2.0975717287803901</v>
      </c>
      <c r="K1428" s="5">
        <v>6.4359288239649798E-5</v>
      </c>
      <c r="L1428" t="s">
        <v>4</v>
      </c>
      <c r="M1428">
        <v>80.3207046861355</v>
      </c>
      <c r="N1428">
        <v>25.574902049305301</v>
      </c>
      <c r="O1428">
        <v>1.6698989900407699</v>
      </c>
      <c r="P1428">
        <v>1.5910873842988199E-3</v>
      </c>
      <c r="Q1428" t="s">
        <v>4</v>
      </c>
      <c r="R1428" s="4" t="s">
        <v>87</v>
      </c>
      <c r="S1428" t="s">
        <v>4</v>
      </c>
      <c r="T1428" t="s">
        <v>15853</v>
      </c>
      <c r="U1428" t="s">
        <v>15854</v>
      </c>
      <c r="V1428" t="s">
        <v>15855</v>
      </c>
      <c r="W1428" t="s">
        <v>328</v>
      </c>
      <c r="X1428" t="s">
        <v>4</v>
      </c>
      <c r="Y1428" t="s">
        <v>1555</v>
      </c>
      <c r="Z1428" t="s">
        <v>1556</v>
      </c>
      <c r="AA1428" t="s">
        <v>1557</v>
      </c>
      <c r="AB1428" t="s">
        <v>4</v>
      </c>
      <c r="AC1428" s="3" t="s">
        <v>15856</v>
      </c>
      <c r="AD1428" t="s">
        <v>4</v>
      </c>
      <c r="AE1428" t="s">
        <v>15857</v>
      </c>
      <c r="AF1428" t="s">
        <v>15858</v>
      </c>
      <c r="AG1428" t="s">
        <v>15859</v>
      </c>
      <c r="AH1428" t="s">
        <v>112</v>
      </c>
      <c r="AI1428" t="s">
        <v>15860</v>
      </c>
      <c r="AJ1428" t="s">
        <v>15861</v>
      </c>
      <c r="AL1428" t="s">
        <v>15862</v>
      </c>
      <c r="AM1428" t="s">
        <v>15863</v>
      </c>
      <c r="AQ1428" t="s">
        <v>1343</v>
      </c>
      <c r="AU1428" t="s">
        <v>112</v>
      </c>
      <c r="AV1428" t="s">
        <v>15864</v>
      </c>
      <c r="AW1428" t="s">
        <v>114</v>
      </c>
      <c r="AX1428" t="s">
        <v>132</v>
      </c>
      <c r="AY1428" t="s">
        <v>1563</v>
      </c>
      <c r="AZ1428" t="s">
        <v>4</v>
      </c>
      <c r="BA1428" s="3" t="s">
        <v>95</v>
      </c>
      <c r="BB1428" t="s">
        <v>96</v>
      </c>
      <c r="BC1428" s="3" t="s">
        <v>95</v>
      </c>
      <c r="BD1428" t="s">
        <v>4</v>
      </c>
      <c r="BE1428">
        <v>6432</v>
      </c>
      <c r="BF1428" t="s">
        <v>213</v>
      </c>
      <c r="BH1428">
        <v>52.197800000000001</v>
      </c>
      <c r="BI1428">
        <v>75</v>
      </c>
      <c r="BJ1428">
        <v>64.285700000000006</v>
      </c>
      <c r="BR1428">
        <v>48.9011</v>
      </c>
      <c r="BT1428">
        <v>26.0989</v>
      </c>
      <c r="BV1428" t="s">
        <v>15865</v>
      </c>
      <c r="BY1428">
        <v>17.5824</v>
      </c>
      <c r="CA1428">
        <v>49.725299999999997</v>
      </c>
      <c r="CB1428" t="s">
        <v>15866</v>
      </c>
      <c r="CC1428">
        <v>6.5934100000000004</v>
      </c>
      <c r="CG1428">
        <v>13.461499999999999</v>
      </c>
      <c r="CI1428">
        <v>13.7363</v>
      </c>
      <c r="CK1428">
        <v>8</v>
      </c>
      <c r="CL1428" t="s">
        <v>4</v>
      </c>
      <c r="CM1428" t="s">
        <v>15867</v>
      </c>
      <c r="CN1428" t="s">
        <v>15868</v>
      </c>
      <c r="CO1428" t="s">
        <v>99</v>
      </c>
      <c r="CP1428" t="s">
        <v>100</v>
      </c>
      <c r="CQ1428" t="s">
        <v>100</v>
      </c>
      <c r="CR1428" t="s">
        <v>100</v>
      </c>
      <c r="CS1428" t="s">
        <v>101</v>
      </c>
      <c r="CT1428" s="7" t="s">
        <v>152</v>
      </c>
      <c r="CU1428" t="s">
        <v>102</v>
      </c>
      <c r="CV1428" t="s">
        <v>100</v>
      </c>
    </row>
    <row r="1429" spans="1:100">
      <c r="A1429" s="3" t="s">
        <v>15869</v>
      </c>
      <c r="B1429" s="4" t="s">
        <v>15870</v>
      </c>
      <c r="C1429">
        <v>5131.7279575861403</v>
      </c>
      <c r="D1429">
        <v>2646.7773997865302</v>
      </c>
      <c r="E1429">
        <v>0.95510798417795695</v>
      </c>
      <c r="F1429">
        <v>6.6764860582296899E-3</v>
      </c>
      <c r="G1429" t="s">
        <v>4</v>
      </c>
      <c r="H1429">
        <v>5131.7279575861403</v>
      </c>
      <c r="I1429">
        <v>919.33404491477404</v>
      </c>
      <c r="J1429">
        <v>2.4782191527625099</v>
      </c>
      <c r="K1429" s="5">
        <v>2.5063567814056199E-14</v>
      </c>
      <c r="L1429" t="s">
        <v>4</v>
      </c>
      <c r="M1429">
        <v>2646.7773997865302</v>
      </c>
      <c r="N1429">
        <v>919.33404491477404</v>
      </c>
      <c r="O1429">
        <v>1.52311116858455</v>
      </c>
      <c r="P1429" s="5">
        <v>3.8627773431482597E-6</v>
      </c>
      <c r="Q1429" t="s">
        <v>4</v>
      </c>
      <c r="R1429" s="4" t="s">
        <v>87</v>
      </c>
      <c r="S1429" t="s">
        <v>4</v>
      </c>
      <c r="T1429" t="s">
        <v>15871</v>
      </c>
      <c r="U1429" t="s">
        <v>15872</v>
      </c>
      <c r="V1429" t="s">
        <v>15873</v>
      </c>
      <c r="W1429" t="s">
        <v>328</v>
      </c>
      <c r="X1429" t="s">
        <v>4</v>
      </c>
      <c r="Y1429" t="s">
        <v>15874</v>
      </c>
      <c r="Z1429" t="s">
        <v>15875</v>
      </c>
      <c r="AA1429" t="s">
        <v>15876</v>
      </c>
      <c r="AB1429" t="s">
        <v>4</v>
      </c>
      <c r="AC1429" s="3" t="s">
        <v>15877</v>
      </c>
      <c r="AD1429" t="s">
        <v>4</v>
      </c>
      <c r="AE1429" t="s">
        <v>15878</v>
      </c>
      <c r="AF1429" t="s">
        <v>834</v>
      </c>
      <c r="AG1429" t="s">
        <v>15879</v>
      </c>
      <c r="AH1429" t="s">
        <v>112</v>
      </c>
      <c r="AI1429" t="s">
        <v>15880</v>
      </c>
      <c r="AJ1429" t="s">
        <v>15881</v>
      </c>
      <c r="AK1429" t="s">
        <v>6627</v>
      </c>
      <c r="AL1429" t="s">
        <v>15882</v>
      </c>
      <c r="AM1429" t="s">
        <v>15883</v>
      </c>
      <c r="AN1429" t="s">
        <v>15884</v>
      </c>
      <c r="AQ1429" t="s">
        <v>13338</v>
      </c>
      <c r="AU1429" t="s">
        <v>112</v>
      </c>
      <c r="AV1429" t="s">
        <v>15885</v>
      </c>
      <c r="AW1429" t="s">
        <v>114</v>
      </c>
      <c r="AX1429" t="s">
        <v>733</v>
      </c>
      <c r="AY1429" t="s">
        <v>15886</v>
      </c>
      <c r="AZ1429" t="s">
        <v>4</v>
      </c>
      <c r="BA1429" s="3" t="s">
        <v>115</v>
      </c>
      <c r="BB1429" s="6" t="s">
        <v>95</v>
      </c>
      <c r="BC1429" s="3" t="s">
        <v>95</v>
      </c>
      <c r="BD1429" t="s">
        <v>4</v>
      </c>
      <c r="BE1429">
        <v>10860</v>
      </c>
      <c r="BF1429" t="s">
        <v>169</v>
      </c>
      <c r="BG1429">
        <v>98.956400000000002</v>
      </c>
      <c r="BH1429">
        <v>63.662199999999999</v>
      </c>
      <c r="BI1429">
        <v>85.578800000000001</v>
      </c>
      <c r="BJ1429">
        <v>82.637600000000006</v>
      </c>
      <c r="BK1429">
        <v>81.214399999999998</v>
      </c>
      <c r="BL1429">
        <v>25.711600000000001</v>
      </c>
      <c r="BM1429">
        <v>77.609099999999998</v>
      </c>
      <c r="BN1429">
        <v>77.419399999999996</v>
      </c>
      <c r="BO1429">
        <v>77.703999999999994</v>
      </c>
      <c r="BP1429">
        <v>46.110100000000003</v>
      </c>
      <c r="BQ1429" t="s">
        <v>15887</v>
      </c>
      <c r="BR1429">
        <v>37.571199999999997</v>
      </c>
      <c r="BS1429">
        <v>34.630000000000003</v>
      </c>
      <c r="BT1429" t="s">
        <v>15888</v>
      </c>
      <c r="BU1429" t="s">
        <v>15889</v>
      </c>
      <c r="BV1429" t="s">
        <v>15890</v>
      </c>
      <c r="BW1429" t="s">
        <v>15891</v>
      </c>
      <c r="BX1429">
        <v>44.8767</v>
      </c>
      <c r="BY1429">
        <v>33.396599999999999</v>
      </c>
      <c r="BZ1429">
        <v>40.417499999999997</v>
      </c>
      <c r="CA1429">
        <v>46.3947</v>
      </c>
      <c r="CB1429">
        <v>27.704000000000001</v>
      </c>
      <c r="CD1429">
        <v>35.104399999999998</v>
      </c>
      <c r="CE1429">
        <v>27.609100000000002</v>
      </c>
      <c r="CF1429">
        <v>29.886099999999999</v>
      </c>
      <c r="CG1429">
        <v>30.1708</v>
      </c>
      <c r="CH1429">
        <v>30.075900000000001</v>
      </c>
      <c r="CI1429">
        <v>31.3093</v>
      </c>
      <c r="CJ1429">
        <v>25.996200000000002</v>
      </c>
      <c r="CK1429">
        <v>9</v>
      </c>
      <c r="CL1429" t="s">
        <v>4</v>
      </c>
      <c r="CM1429" t="s">
        <v>15892</v>
      </c>
      <c r="CN1429" t="s">
        <v>15893</v>
      </c>
      <c r="CO1429" t="s">
        <v>219</v>
      </c>
      <c r="CP1429" t="s">
        <v>100</v>
      </c>
      <c r="CQ1429" t="s">
        <v>100</v>
      </c>
      <c r="CR1429" t="s">
        <v>100</v>
      </c>
      <c r="CS1429" t="s">
        <v>101</v>
      </c>
      <c r="CT1429" s="7" t="s">
        <v>152</v>
      </c>
      <c r="CU1429" t="s">
        <v>102</v>
      </c>
      <c r="CV1429" t="s">
        <v>8851</v>
      </c>
    </row>
    <row r="1430" spans="1:100">
      <c r="A1430" s="3" t="s">
        <v>15894</v>
      </c>
      <c r="B1430" s="4" t="s">
        <v>15895</v>
      </c>
      <c r="C1430">
        <v>263.75110594965702</v>
      </c>
      <c r="D1430">
        <v>143.34387734075801</v>
      </c>
      <c r="E1430">
        <v>0.87809458002966101</v>
      </c>
      <c r="F1430">
        <v>2.1243352055454298E-3</v>
      </c>
      <c r="G1430" t="s">
        <v>4</v>
      </c>
      <c r="H1430">
        <v>263.75110594965702</v>
      </c>
      <c r="I1430">
        <v>50.179009872872697</v>
      </c>
      <c r="J1430">
        <v>2.3989290836383299</v>
      </c>
      <c r="K1430" s="5">
        <v>2.89468343172399E-16</v>
      </c>
      <c r="L1430" t="s">
        <v>4</v>
      </c>
      <c r="M1430">
        <v>143.34387734075801</v>
      </c>
      <c r="N1430">
        <v>50.179009872872697</v>
      </c>
      <c r="O1430">
        <v>1.5208345036086699</v>
      </c>
      <c r="P1430" s="5">
        <v>4.6192625847710898E-7</v>
      </c>
      <c r="Q1430" t="s">
        <v>4</v>
      </c>
      <c r="R1430" s="4" t="s">
        <v>87</v>
      </c>
      <c r="S1430" t="s">
        <v>4</v>
      </c>
      <c r="T1430" t="s">
        <v>1438</v>
      </c>
      <c r="U1430" t="s">
        <v>1439</v>
      </c>
      <c r="V1430" t="s">
        <v>1440</v>
      </c>
      <c r="W1430" t="s">
        <v>203</v>
      </c>
      <c r="X1430" t="s">
        <v>4</v>
      </c>
      <c r="Y1430" t="s">
        <v>1441</v>
      </c>
      <c r="Z1430" t="s">
        <v>1442</v>
      </c>
      <c r="AA1430" t="s">
        <v>1443</v>
      </c>
      <c r="AB1430" t="s">
        <v>4</v>
      </c>
      <c r="AC1430" s="3" t="s">
        <v>15896</v>
      </c>
      <c r="AD1430" t="s">
        <v>4</v>
      </c>
      <c r="AE1430" t="s">
        <v>15897</v>
      </c>
      <c r="AF1430" t="s">
        <v>15898</v>
      </c>
      <c r="AG1430" t="s">
        <v>13411</v>
      </c>
      <c r="AH1430" t="s">
        <v>112</v>
      </c>
      <c r="AJ1430" t="s">
        <v>15899</v>
      </c>
      <c r="AL1430" t="s">
        <v>15900</v>
      </c>
      <c r="AQ1430" t="s">
        <v>1003</v>
      </c>
      <c r="AU1430" t="s">
        <v>112</v>
      </c>
      <c r="AV1430" t="s">
        <v>15901</v>
      </c>
      <c r="AW1430" t="s">
        <v>114</v>
      </c>
      <c r="AX1430" t="s">
        <v>371</v>
      </c>
      <c r="AY1430" t="s">
        <v>1450</v>
      </c>
      <c r="AZ1430" t="s">
        <v>4</v>
      </c>
      <c r="BA1430" s="3" t="s">
        <v>95</v>
      </c>
      <c r="BB1430" s="6" t="s">
        <v>95</v>
      </c>
      <c r="BC1430" s="3" t="s">
        <v>95</v>
      </c>
      <c r="BD1430" t="s">
        <v>4</v>
      </c>
      <c r="BE1430">
        <v>7326</v>
      </c>
      <c r="BF1430" t="s">
        <v>213</v>
      </c>
      <c r="BG1430" t="s">
        <v>15902</v>
      </c>
      <c r="BH1430">
        <v>12.405099999999999</v>
      </c>
      <c r="BI1430">
        <v>88.860799999999998</v>
      </c>
      <c r="BJ1430">
        <v>92.9114</v>
      </c>
      <c r="BK1430">
        <v>65.569599999999994</v>
      </c>
      <c r="BL1430">
        <v>54.936700000000002</v>
      </c>
      <c r="BM1430" t="s">
        <v>15903</v>
      </c>
      <c r="BN1430">
        <v>78.227900000000005</v>
      </c>
      <c r="BO1430">
        <v>94.177199999999999</v>
      </c>
      <c r="BP1430">
        <v>68.607600000000005</v>
      </c>
      <c r="BQ1430">
        <v>35.949399999999997</v>
      </c>
      <c r="BR1430">
        <v>15.443</v>
      </c>
      <c r="BT1430">
        <v>11.3924</v>
      </c>
      <c r="BU1430">
        <v>25.063300000000002</v>
      </c>
      <c r="BV1430" t="s">
        <v>15904</v>
      </c>
      <c r="BW1430" t="s">
        <v>15905</v>
      </c>
      <c r="BX1430">
        <v>36.202500000000001</v>
      </c>
      <c r="BY1430">
        <v>24.810099999999998</v>
      </c>
      <c r="BZ1430">
        <v>33.417700000000004</v>
      </c>
      <c r="CA1430">
        <v>13.6709</v>
      </c>
      <c r="CB1430">
        <v>32.9114</v>
      </c>
      <c r="CC1430">
        <v>24.810099999999998</v>
      </c>
      <c r="CD1430">
        <v>31.139199999999999</v>
      </c>
      <c r="CE1430">
        <v>15.696199999999999</v>
      </c>
      <c r="CF1430">
        <v>31.645600000000002</v>
      </c>
      <c r="CG1430" t="s">
        <v>15906</v>
      </c>
      <c r="CH1430" t="s">
        <v>15907</v>
      </c>
      <c r="CI1430">
        <v>21.518999999999998</v>
      </c>
      <c r="CJ1430" t="s">
        <v>15908</v>
      </c>
      <c r="CK1430">
        <v>8</v>
      </c>
      <c r="CL1430" t="s">
        <v>4</v>
      </c>
      <c r="CM1430" t="s">
        <v>15909</v>
      </c>
      <c r="CN1430" t="s">
        <v>15910</v>
      </c>
      <c r="CO1430" t="s">
        <v>1218</v>
      </c>
      <c r="CP1430" t="s">
        <v>100</v>
      </c>
      <c r="CQ1430" t="s">
        <v>100</v>
      </c>
      <c r="CR1430" t="s">
        <v>100</v>
      </c>
      <c r="CS1430" t="s">
        <v>101</v>
      </c>
      <c r="CT1430" s="7" t="s">
        <v>152</v>
      </c>
      <c r="CU1430" t="s">
        <v>102</v>
      </c>
      <c r="CV1430" t="s">
        <v>100</v>
      </c>
    </row>
    <row r="1431" spans="1:100">
      <c r="A1431" s="3" t="s">
        <v>15911</v>
      </c>
      <c r="B1431" s="4" t="s">
        <v>15912</v>
      </c>
      <c r="C1431">
        <v>1062.80354314653</v>
      </c>
      <c r="D1431">
        <v>653.13334678089097</v>
      </c>
      <c r="E1431">
        <v>0.70212166091559802</v>
      </c>
      <c r="F1431">
        <v>0.22204110863775001</v>
      </c>
      <c r="G1431" t="s">
        <v>4</v>
      </c>
      <c r="H1431">
        <v>1062.80354314653</v>
      </c>
      <c r="I1431">
        <v>232.74706981278399</v>
      </c>
      <c r="J1431">
        <v>2.1989138624772102</v>
      </c>
      <c r="K1431" s="5">
        <v>3.1495398166403002E-5</v>
      </c>
      <c r="L1431" t="s">
        <v>4</v>
      </c>
      <c r="M1431">
        <v>653.13334678089097</v>
      </c>
      <c r="N1431">
        <v>232.74706981278399</v>
      </c>
      <c r="O1431">
        <v>1.49679220156161</v>
      </c>
      <c r="P1431">
        <v>5.1024747830963699E-3</v>
      </c>
      <c r="Q1431" t="s">
        <v>4</v>
      </c>
      <c r="R1431" s="4" t="s">
        <v>87</v>
      </c>
      <c r="S1431" t="s">
        <v>4</v>
      </c>
      <c r="T1431" t="s">
        <v>11502</v>
      </c>
      <c r="U1431" t="s">
        <v>11503</v>
      </c>
      <c r="V1431" t="s">
        <v>11504</v>
      </c>
      <c r="W1431" t="s">
        <v>507</v>
      </c>
      <c r="X1431" t="s">
        <v>4</v>
      </c>
      <c r="Y1431" t="s">
        <v>11764</v>
      </c>
      <c r="Z1431" t="s">
        <v>11765</v>
      </c>
      <c r="AA1431" t="s">
        <v>11766</v>
      </c>
      <c r="AB1431" t="s">
        <v>4</v>
      </c>
      <c r="AC1431" s="3" t="s">
        <v>11767</v>
      </c>
      <c r="AD1431" t="s">
        <v>4</v>
      </c>
      <c r="AE1431" t="s">
        <v>15913</v>
      </c>
      <c r="AF1431" t="s">
        <v>15914</v>
      </c>
      <c r="AG1431" t="s">
        <v>15915</v>
      </c>
      <c r="AH1431" t="s">
        <v>112</v>
      </c>
      <c r="AU1431" t="s">
        <v>112</v>
      </c>
      <c r="AV1431" t="s">
        <v>6431</v>
      </c>
      <c r="AW1431" t="s">
        <v>114</v>
      </c>
      <c r="AX1431" t="s">
        <v>2139</v>
      </c>
      <c r="AY1431" t="s">
        <v>6432</v>
      </c>
      <c r="AZ1431" t="s">
        <v>4</v>
      </c>
      <c r="BA1431" s="3" t="s">
        <v>95</v>
      </c>
      <c r="BB1431" s="6" t="s">
        <v>95</v>
      </c>
      <c r="BC1431" s="3" t="s">
        <v>95</v>
      </c>
      <c r="BD1431" t="s">
        <v>4</v>
      </c>
      <c r="BE1431">
        <v>10267</v>
      </c>
      <c r="BF1431" t="s">
        <v>169</v>
      </c>
      <c r="BG1431">
        <v>60.386499999999998</v>
      </c>
      <c r="BI1431">
        <v>70.048299999999998</v>
      </c>
      <c r="BJ1431">
        <v>60.386499999999998</v>
      </c>
      <c r="BK1431">
        <v>59.903399999999998</v>
      </c>
      <c r="BL1431">
        <v>34.299500000000002</v>
      </c>
      <c r="BM1431">
        <v>59.903399999999998</v>
      </c>
      <c r="BN1431" t="s">
        <v>15916</v>
      </c>
      <c r="BO1431">
        <v>60.386499999999998</v>
      </c>
      <c r="BP1431">
        <v>58.937199999999997</v>
      </c>
      <c r="BQ1431" t="s">
        <v>15917</v>
      </c>
      <c r="BR1431" t="s">
        <v>15918</v>
      </c>
      <c r="BS1431" t="s">
        <v>15919</v>
      </c>
      <c r="BT1431" t="s">
        <v>15920</v>
      </c>
      <c r="BU1431">
        <v>56.521700000000003</v>
      </c>
      <c r="BV1431" t="s">
        <v>15921</v>
      </c>
      <c r="BW1431" t="s">
        <v>15922</v>
      </c>
      <c r="BY1431">
        <v>24.637699999999999</v>
      </c>
      <c r="CA1431" t="s">
        <v>15923</v>
      </c>
      <c r="CB1431" t="s">
        <v>15924</v>
      </c>
      <c r="CC1431" t="s">
        <v>15925</v>
      </c>
      <c r="CD1431" t="s">
        <v>15926</v>
      </c>
      <c r="CE1431" t="s">
        <v>15927</v>
      </c>
      <c r="CG1431">
        <v>53.623199999999997</v>
      </c>
      <c r="CH1431">
        <v>53.140099999999997</v>
      </c>
      <c r="CI1431" t="s">
        <v>15928</v>
      </c>
      <c r="CJ1431">
        <v>47.343000000000004</v>
      </c>
      <c r="CK1431">
        <v>9</v>
      </c>
      <c r="CL1431" t="s">
        <v>4</v>
      </c>
      <c r="CM1431" t="s">
        <v>11783</v>
      </c>
      <c r="CN1431" t="s">
        <v>15929</v>
      </c>
      <c r="CO1431" t="s">
        <v>11785</v>
      </c>
      <c r="CP1431" t="s">
        <v>100</v>
      </c>
      <c r="CQ1431" t="s">
        <v>100</v>
      </c>
      <c r="CR1431" t="s">
        <v>100</v>
      </c>
      <c r="CS1431" t="s">
        <v>101</v>
      </c>
      <c r="CT1431" s="7" t="s">
        <v>152</v>
      </c>
      <c r="CU1431" t="s">
        <v>102</v>
      </c>
      <c r="CV1431" t="s">
        <v>100</v>
      </c>
    </row>
    <row r="1432" spans="1:100">
      <c r="A1432" s="3" t="s">
        <v>15930</v>
      </c>
      <c r="B1432" s="4" t="s">
        <v>15931</v>
      </c>
      <c r="C1432">
        <v>199.18429136984</v>
      </c>
      <c r="D1432">
        <v>99.934940604382405</v>
      </c>
      <c r="E1432">
        <v>0.99474149928415101</v>
      </c>
      <c r="F1432">
        <v>5.3068706839141E-2</v>
      </c>
      <c r="G1432" t="s">
        <v>4</v>
      </c>
      <c r="H1432">
        <v>199.18429136984</v>
      </c>
      <c r="I1432">
        <v>38.3508295208701</v>
      </c>
      <c r="J1432">
        <v>2.3859097566612202</v>
      </c>
      <c r="K1432" s="5">
        <v>1.6532291408418899E-6</v>
      </c>
      <c r="L1432" t="s">
        <v>4</v>
      </c>
      <c r="M1432">
        <v>99.934940604382405</v>
      </c>
      <c r="N1432">
        <v>38.3508295208701</v>
      </c>
      <c r="O1432">
        <v>1.3911682573770701</v>
      </c>
      <c r="P1432">
        <v>6.7039780775441302E-3</v>
      </c>
      <c r="Q1432" t="s">
        <v>4</v>
      </c>
      <c r="R1432" s="4" t="s">
        <v>87</v>
      </c>
      <c r="S1432" t="s">
        <v>4</v>
      </c>
      <c r="T1432" t="s">
        <v>92</v>
      </c>
      <c r="U1432" t="s">
        <v>92</v>
      </c>
      <c r="V1432" t="s">
        <v>92</v>
      </c>
      <c r="W1432" t="s">
        <v>92</v>
      </c>
      <c r="X1432" t="s">
        <v>4</v>
      </c>
      <c r="Y1432" t="s">
        <v>92</v>
      </c>
      <c r="Z1432" t="s">
        <v>92</v>
      </c>
      <c r="AA1432" t="s">
        <v>92</v>
      </c>
      <c r="AB1432" t="s">
        <v>4</v>
      </c>
      <c r="AC1432" s="3" t="s">
        <v>93</v>
      </c>
      <c r="AD1432" t="s">
        <v>4</v>
      </c>
      <c r="AE1432" s="4" t="s">
        <v>94</v>
      </c>
      <c r="AZ1432" t="s">
        <v>4</v>
      </c>
      <c r="BA1432" s="3" t="s">
        <v>95</v>
      </c>
      <c r="BB1432" s="6" t="s">
        <v>95</v>
      </c>
      <c r="BC1432" s="3" t="s">
        <v>95</v>
      </c>
      <c r="BD1432" t="s">
        <v>4</v>
      </c>
      <c r="BE1432">
        <v>998</v>
      </c>
      <c r="BF1432" t="s">
        <v>151</v>
      </c>
      <c r="BG1432">
        <v>90.462400000000002</v>
      </c>
      <c r="BH1432">
        <v>49.132899999999999</v>
      </c>
      <c r="BI1432">
        <v>58.092500000000001</v>
      </c>
      <c r="BJ1432">
        <v>51.059699999999999</v>
      </c>
      <c r="BK1432">
        <v>6.93642</v>
      </c>
      <c r="BL1432">
        <v>26.011600000000001</v>
      </c>
      <c r="BM1432">
        <v>38.054000000000002</v>
      </c>
      <c r="BN1432">
        <v>37.186900000000001</v>
      </c>
      <c r="BO1432">
        <v>3.8535599999999999</v>
      </c>
      <c r="CK1432">
        <v>2</v>
      </c>
      <c r="CL1432" t="s">
        <v>4</v>
      </c>
      <c r="CM1432" t="s">
        <v>98</v>
      </c>
      <c r="CN1432" t="s">
        <v>98</v>
      </c>
      <c r="CO1432" t="s">
        <v>99</v>
      </c>
      <c r="CP1432" t="s">
        <v>100</v>
      </c>
      <c r="CQ1432" t="s">
        <v>100</v>
      </c>
      <c r="CR1432" t="s">
        <v>100</v>
      </c>
      <c r="CS1432" t="s">
        <v>101</v>
      </c>
      <c r="CT1432" s="7" t="s">
        <v>152</v>
      </c>
      <c r="CU1432" t="s">
        <v>102</v>
      </c>
      <c r="CV1432" t="s">
        <v>100</v>
      </c>
    </row>
    <row r="1433" spans="1:100">
      <c r="A1433" s="3" t="s">
        <v>15932</v>
      </c>
      <c r="B1433" s="4" t="s">
        <v>15933</v>
      </c>
      <c r="C1433">
        <v>26.047088463249601</v>
      </c>
      <c r="D1433">
        <v>18.774067212653598</v>
      </c>
      <c r="E1433">
        <v>0.47381936419107701</v>
      </c>
      <c r="F1433">
        <v>0.63526789026030095</v>
      </c>
      <c r="G1433" t="s">
        <v>4</v>
      </c>
      <c r="H1433">
        <v>26.047088463249601</v>
      </c>
      <c r="I1433">
        <v>2.7561882887467402</v>
      </c>
      <c r="J1433">
        <v>3.2278303808733901</v>
      </c>
      <c r="K1433">
        <v>2.3698959446721798E-3</v>
      </c>
      <c r="L1433" t="s">
        <v>4</v>
      </c>
      <c r="M1433">
        <v>18.774067212653598</v>
      </c>
      <c r="N1433">
        <v>2.7561882887467402</v>
      </c>
      <c r="O1433">
        <v>2.75401101668231</v>
      </c>
      <c r="P1433">
        <v>1.0054148106141801E-2</v>
      </c>
      <c r="Q1433" t="s">
        <v>4</v>
      </c>
      <c r="R1433" s="4" t="s">
        <v>87</v>
      </c>
      <c r="S1433" t="s">
        <v>4</v>
      </c>
      <c r="T1433" t="s">
        <v>460</v>
      </c>
      <c r="U1433" t="s">
        <v>461</v>
      </c>
      <c r="V1433" t="s">
        <v>462</v>
      </c>
      <c r="W1433" t="s">
        <v>123</v>
      </c>
      <c r="X1433" t="s">
        <v>4</v>
      </c>
      <c r="Y1433" t="s">
        <v>463</v>
      </c>
      <c r="Z1433" t="s">
        <v>464</v>
      </c>
      <c r="AA1433" t="s">
        <v>465</v>
      </c>
      <c r="AB1433" t="s">
        <v>4</v>
      </c>
      <c r="AC1433" s="3" t="s">
        <v>93</v>
      </c>
      <c r="AD1433" t="s">
        <v>4</v>
      </c>
      <c r="AE1433" t="s">
        <v>6411</v>
      </c>
      <c r="AF1433" t="s">
        <v>15934</v>
      </c>
      <c r="AG1433" t="s">
        <v>15935</v>
      </c>
      <c r="AH1433" t="s">
        <v>169</v>
      </c>
      <c r="AU1433" t="s">
        <v>112</v>
      </c>
      <c r="AV1433" t="s">
        <v>470</v>
      </c>
      <c r="AW1433" t="s">
        <v>114</v>
      </c>
      <c r="AX1433" t="s">
        <v>144</v>
      </c>
      <c r="AY1433" t="s">
        <v>471</v>
      </c>
      <c r="AZ1433" t="s">
        <v>4</v>
      </c>
      <c r="BA1433" s="3" t="s">
        <v>95</v>
      </c>
      <c r="BB1433" s="6" t="s">
        <v>95</v>
      </c>
      <c r="BC1433" s="3" t="s">
        <v>95</v>
      </c>
      <c r="BD1433" t="s">
        <v>4</v>
      </c>
      <c r="BE1433">
        <v>1593</v>
      </c>
      <c r="BF1433" t="s">
        <v>151</v>
      </c>
      <c r="CK1433">
        <v>2</v>
      </c>
      <c r="CL1433" t="s">
        <v>4</v>
      </c>
      <c r="CM1433" t="s">
        <v>98</v>
      </c>
      <c r="CN1433" t="s">
        <v>98</v>
      </c>
      <c r="CO1433" t="s">
        <v>99</v>
      </c>
      <c r="CP1433" t="s">
        <v>100</v>
      </c>
      <c r="CQ1433" t="s">
        <v>100</v>
      </c>
      <c r="CR1433" t="s">
        <v>100</v>
      </c>
      <c r="CS1433" t="s">
        <v>101</v>
      </c>
      <c r="CT1433" s="7" t="s">
        <v>152</v>
      </c>
      <c r="CU1433" t="s">
        <v>102</v>
      </c>
      <c r="CV1433" t="s">
        <v>100</v>
      </c>
    </row>
    <row r="1434" spans="1:100">
      <c r="A1434" s="3" t="s">
        <v>15936</v>
      </c>
      <c r="B1434" s="4" t="s">
        <v>15937</v>
      </c>
      <c r="C1434">
        <v>119.659462020211</v>
      </c>
      <c r="D1434">
        <v>74.252078556767202</v>
      </c>
      <c r="E1434">
        <v>0.68717542280201305</v>
      </c>
      <c r="F1434">
        <v>0.34878745526361499</v>
      </c>
      <c r="G1434" t="s">
        <v>4</v>
      </c>
      <c r="H1434">
        <v>119.659462020211</v>
      </c>
      <c r="I1434">
        <v>20.163034877418099</v>
      </c>
      <c r="J1434">
        <v>2.5046261837818</v>
      </c>
      <c r="K1434">
        <v>3.2488725575525898E-4</v>
      </c>
      <c r="L1434" t="s">
        <v>4</v>
      </c>
      <c r="M1434">
        <v>74.252078556767202</v>
      </c>
      <c r="N1434">
        <v>20.163034877418099</v>
      </c>
      <c r="O1434">
        <v>1.8174507609797901</v>
      </c>
      <c r="P1434">
        <v>1.0090233184261201E-2</v>
      </c>
      <c r="Q1434" t="s">
        <v>4</v>
      </c>
      <c r="R1434" s="4" t="s">
        <v>87</v>
      </c>
      <c r="S1434" t="s">
        <v>4</v>
      </c>
      <c r="T1434" t="s">
        <v>92</v>
      </c>
      <c r="U1434" t="s">
        <v>92</v>
      </c>
      <c r="V1434" t="s">
        <v>92</v>
      </c>
      <c r="W1434" t="s">
        <v>92</v>
      </c>
      <c r="X1434" t="s">
        <v>4</v>
      </c>
      <c r="Y1434" t="s">
        <v>92</v>
      </c>
      <c r="Z1434" t="s">
        <v>92</v>
      </c>
      <c r="AA1434" t="s">
        <v>92</v>
      </c>
      <c r="AB1434" t="s">
        <v>4</v>
      </c>
      <c r="AC1434" s="3" t="s">
        <v>93</v>
      </c>
      <c r="AD1434" t="s">
        <v>4</v>
      </c>
      <c r="AE1434" s="4" t="s">
        <v>94</v>
      </c>
      <c r="AZ1434" t="s">
        <v>4</v>
      </c>
      <c r="BA1434" s="3" t="s">
        <v>95</v>
      </c>
      <c r="BB1434" s="6" t="s">
        <v>95</v>
      </c>
      <c r="BC1434" s="3" t="s">
        <v>95</v>
      </c>
      <c r="BD1434" t="s">
        <v>4</v>
      </c>
      <c r="BE1434">
        <v>2236</v>
      </c>
      <c r="BF1434" t="s">
        <v>148</v>
      </c>
      <c r="BG1434">
        <v>98.285700000000006</v>
      </c>
      <c r="BH1434">
        <v>99.428600000000003</v>
      </c>
      <c r="BI1434">
        <v>82.285700000000006</v>
      </c>
      <c r="BJ1434">
        <v>40</v>
      </c>
      <c r="BK1434">
        <v>65.714299999999994</v>
      </c>
      <c r="CK1434">
        <v>3</v>
      </c>
      <c r="CL1434" t="s">
        <v>4</v>
      </c>
      <c r="CM1434" t="s">
        <v>98</v>
      </c>
      <c r="CN1434" t="s">
        <v>98</v>
      </c>
      <c r="CO1434" t="s">
        <v>99</v>
      </c>
      <c r="CP1434" t="s">
        <v>100</v>
      </c>
      <c r="CQ1434" t="s">
        <v>100</v>
      </c>
      <c r="CR1434" t="s">
        <v>100</v>
      </c>
      <c r="CS1434" t="s">
        <v>101</v>
      </c>
      <c r="CT1434" s="7" t="s">
        <v>152</v>
      </c>
      <c r="CU1434" t="s">
        <v>102</v>
      </c>
      <c r="CV1434" t="s">
        <v>100</v>
      </c>
    </row>
    <row r="1435" spans="1:100">
      <c r="A1435" s="3" t="s">
        <v>15938</v>
      </c>
      <c r="B1435" s="4" t="s">
        <v>15939</v>
      </c>
      <c r="C1435">
        <v>54.080685465820402</v>
      </c>
      <c r="D1435">
        <v>22.623732501301799</v>
      </c>
      <c r="E1435">
        <v>1.2610151035218899</v>
      </c>
      <c r="F1435">
        <v>0.14886171510940799</v>
      </c>
      <c r="G1435" t="s">
        <v>4</v>
      </c>
      <c r="H1435">
        <v>54.080685465820402</v>
      </c>
      <c r="I1435">
        <v>4.3352790659873897</v>
      </c>
      <c r="J1435">
        <v>3.75753298224179</v>
      </c>
      <c r="K1435" s="5">
        <v>7.2317588711696395E-5</v>
      </c>
      <c r="L1435" t="s">
        <v>4</v>
      </c>
      <c r="M1435">
        <v>22.623732501301799</v>
      </c>
      <c r="N1435">
        <v>4.3352790659873897</v>
      </c>
      <c r="O1435">
        <v>2.4965178787198998</v>
      </c>
      <c r="P1435">
        <v>1.02388544011326E-2</v>
      </c>
      <c r="Q1435" t="s">
        <v>4</v>
      </c>
      <c r="R1435" s="4" t="s">
        <v>87</v>
      </c>
      <c r="S1435" t="s">
        <v>4</v>
      </c>
      <c r="T1435" t="s">
        <v>15940</v>
      </c>
      <c r="U1435" t="s">
        <v>15941</v>
      </c>
      <c r="V1435" t="s">
        <v>15942</v>
      </c>
      <c r="W1435" t="s">
        <v>328</v>
      </c>
      <c r="X1435" t="s">
        <v>4</v>
      </c>
      <c r="Y1435" t="s">
        <v>15943</v>
      </c>
      <c r="Z1435" t="s">
        <v>15944</v>
      </c>
      <c r="AA1435" t="s">
        <v>15945</v>
      </c>
      <c r="AB1435" t="s">
        <v>4</v>
      </c>
      <c r="AC1435" s="3" t="s">
        <v>15946</v>
      </c>
      <c r="AD1435" t="s">
        <v>4</v>
      </c>
      <c r="AE1435" t="s">
        <v>15947</v>
      </c>
      <c r="AF1435" t="s">
        <v>15948</v>
      </c>
      <c r="AG1435" t="s">
        <v>15949</v>
      </c>
      <c r="AH1435" t="s">
        <v>112</v>
      </c>
      <c r="AJ1435" t="s">
        <v>15950</v>
      </c>
      <c r="AL1435" t="s">
        <v>15951</v>
      </c>
      <c r="AM1435" t="s">
        <v>15952</v>
      </c>
      <c r="AN1435" t="s">
        <v>9555</v>
      </c>
      <c r="AQ1435" t="s">
        <v>15953</v>
      </c>
      <c r="AU1435" t="s">
        <v>112</v>
      </c>
      <c r="AV1435" t="s">
        <v>15954</v>
      </c>
      <c r="AW1435" t="s">
        <v>114</v>
      </c>
      <c r="AX1435" t="s">
        <v>132</v>
      </c>
      <c r="AY1435" t="s">
        <v>15955</v>
      </c>
      <c r="AZ1435" t="s">
        <v>4</v>
      </c>
      <c r="BA1435" s="3" t="s">
        <v>95</v>
      </c>
      <c r="BB1435" t="s">
        <v>96</v>
      </c>
      <c r="BC1435" s="3" t="s">
        <v>95</v>
      </c>
      <c r="BD1435" t="s">
        <v>4</v>
      </c>
      <c r="BE1435">
        <v>4479</v>
      </c>
      <c r="BF1435" t="s">
        <v>112</v>
      </c>
      <c r="BH1435">
        <v>4.4354800000000001</v>
      </c>
      <c r="BJ1435">
        <v>42.741900000000001</v>
      </c>
      <c r="BK1435">
        <v>39.112900000000003</v>
      </c>
      <c r="BL1435">
        <v>39.112900000000003</v>
      </c>
      <c r="BN1435">
        <v>43.145200000000003</v>
      </c>
      <c r="BO1435">
        <v>43.548400000000001</v>
      </c>
      <c r="BP1435">
        <v>3.2258100000000001</v>
      </c>
      <c r="BQ1435">
        <v>25.403199999999998</v>
      </c>
      <c r="BR1435">
        <v>28.629000000000001</v>
      </c>
      <c r="BS1435">
        <v>14.1129</v>
      </c>
      <c r="BV1435" t="s">
        <v>15956</v>
      </c>
      <c r="BW1435">
        <v>13.7097</v>
      </c>
      <c r="BX1435">
        <v>27.822600000000001</v>
      </c>
      <c r="CA1435">
        <v>25.403199999999998</v>
      </c>
      <c r="CK1435">
        <v>5</v>
      </c>
      <c r="CL1435" t="s">
        <v>4</v>
      </c>
      <c r="CM1435" t="s">
        <v>15957</v>
      </c>
      <c r="CN1435" t="s">
        <v>15958</v>
      </c>
      <c r="CO1435" t="s">
        <v>663</v>
      </c>
      <c r="CP1435" t="s">
        <v>100</v>
      </c>
      <c r="CQ1435" t="s">
        <v>100</v>
      </c>
      <c r="CR1435" t="s">
        <v>100</v>
      </c>
      <c r="CS1435" t="s">
        <v>101</v>
      </c>
      <c r="CT1435" s="7" t="s">
        <v>152</v>
      </c>
      <c r="CU1435" t="s">
        <v>102</v>
      </c>
      <c r="CV1435" t="s">
        <v>100</v>
      </c>
    </row>
    <row r="1436" spans="1:100">
      <c r="A1436" s="3" t="s">
        <v>15959</v>
      </c>
      <c r="B1436" s="4" t="s">
        <v>15960</v>
      </c>
      <c r="C1436">
        <v>95.866336865950302</v>
      </c>
      <c r="D1436">
        <v>70.297617084009602</v>
      </c>
      <c r="E1436">
        <v>0.45021048675664999</v>
      </c>
      <c r="F1436">
        <v>0.50946604565072595</v>
      </c>
      <c r="G1436" t="s">
        <v>4</v>
      </c>
      <c r="H1436">
        <v>95.866336865950302</v>
      </c>
      <c r="I1436">
        <v>22.342028979198801</v>
      </c>
      <c r="J1436">
        <v>2.10876951634754</v>
      </c>
      <c r="K1436">
        <v>9.9313502599275897E-4</v>
      </c>
      <c r="L1436" t="s">
        <v>4</v>
      </c>
      <c r="M1436">
        <v>70.297617084009602</v>
      </c>
      <c r="N1436">
        <v>22.342028979198801</v>
      </c>
      <c r="O1436">
        <v>1.6585590295908901</v>
      </c>
      <c r="P1436">
        <v>1.03453585306099E-2</v>
      </c>
      <c r="Q1436" t="s">
        <v>4</v>
      </c>
      <c r="R1436" s="4" t="s">
        <v>87</v>
      </c>
      <c r="S1436" t="s">
        <v>4</v>
      </c>
      <c r="T1436" t="s">
        <v>92</v>
      </c>
      <c r="U1436" t="s">
        <v>92</v>
      </c>
      <c r="V1436" t="s">
        <v>92</v>
      </c>
      <c r="W1436" t="s">
        <v>92</v>
      </c>
      <c r="X1436" t="s">
        <v>4</v>
      </c>
      <c r="Y1436" t="s">
        <v>5047</v>
      </c>
      <c r="Z1436" t="s">
        <v>5048</v>
      </c>
      <c r="AA1436" t="s">
        <v>5049</v>
      </c>
      <c r="AB1436" t="s">
        <v>4</v>
      </c>
      <c r="AC1436" s="3" t="s">
        <v>14214</v>
      </c>
      <c r="AD1436" t="s">
        <v>4</v>
      </c>
      <c r="AE1436" t="s">
        <v>14215</v>
      </c>
      <c r="AF1436" t="s">
        <v>7834</v>
      </c>
      <c r="AG1436" t="s">
        <v>12031</v>
      </c>
      <c r="AH1436" t="s">
        <v>112</v>
      </c>
      <c r="AU1436" t="s">
        <v>112</v>
      </c>
      <c r="AV1436" t="s">
        <v>14218</v>
      </c>
      <c r="AW1436" t="s">
        <v>114</v>
      </c>
      <c r="AX1436" t="s">
        <v>144</v>
      </c>
      <c r="AY1436" t="s">
        <v>5056</v>
      </c>
      <c r="AZ1436" t="s">
        <v>4</v>
      </c>
      <c r="BA1436" s="3" t="s">
        <v>115</v>
      </c>
      <c r="BB1436" s="6" t="s">
        <v>95</v>
      </c>
      <c r="BC1436" s="3" t="s">
        <v>95</v>
      </c>
      <c r="BD1436" t="s">
        <v>4</v>
      </c>
      <c r="BE1436">
        <v>7283</v>
      </c>
      <c r="BF1436" t="s">
        <v>213</v>
      </c>
      <c r="BG1436" t="s">
        <v>15961</v>
      </c>
      <c r="BI1436">
        <v>27.0229</v>
      </c>
      <c r="BL1436">
        <v>53.435099999999998</v>
      </c>
      <c r="BM1436">
        <v>28.396899999999999</v>
      </c>
      <c r="BN1436">
        <v>77.709900000000005</v>
      </c>
      <c r="BO1436">
        <v>74.961799999999997</v>
      </c>
      <c r="BP1436">
        <v>30.228999999999999</v>
      </c>
      <c r="BR1436" t="s">
        <v>15962</v>
      </c>
      <c r="BS1436" t="s">
        <v>15963</v>
      </c>
      <c r="BT1436" t="s">
        <v>15964</v>
      </c>
      <c r="BU1436" t="s">
        <v>15965</v>
      </c>
      <c r="BV1436" t="s">
        <v>15966</v>
      </c>
      <c r="BX1436" t="s">
        <v>15967</v>
      </c>
      <c r="BY1436" t="s">
        <v>15968</v>
      </c>
      <c r="BZ1436" t="s">
        <v>15969</v>
      </c>
      <c r="CA1436" t="s">
        <v>15970</v>
      </c>
      <c r="CI1436">
        <v>13.8931</v>
      </c>
      <c r="CK1436">
        <v>8</v>
      </c>
      <c r="CL1436" t="s">
        <v>4</v>
      </c>
      <c r="CM1436" t="s">
        <v>14228</v>
      </c>
      <c r="CN1436" t="s">
        <v>15971</v>
      </c>
      <c r="CO1436" t="s">
        <v>99</v>
      </c>
      <c r="CP1436" t="s">
        <v>100</v>
      </c>
      <c r="CQ1436" t="s">
        <v>100</v>
      </c>
      <c r="CR1436" t="s">
        <v>100</v>
      </c>
      <c r="CS1436" t="s">
        <v>101</v>
      </c>
      <c r="CT1436" s="7" t="s">
        <v>152</v>
      </c>
      <c r="CU1436" t="s">
        <v>102</v>
      </c>
      <c r="CV1436" t="s">
        <v>100</v>
      </c>
    </row>
    <row r="1437" spans="1:100">
      <c r="A1437" s="3" t="s">
        <v>15972</v>
      </c>
      <c r="B1437" s="4" t="s">
        <v>15973</v>
      </c>
      <c r="C1437">
        <v>19.572155900531801</v>
      </c>
      <c r="D1437">
        <v>13.7750877510001</v>
      </c>
      <c r="E1437">
        <v>0.51353031345113898</v>
      </c>
      <c r="F1437">
        <v>0.645226523647906</v>
      </c>
      <c r="G1437" t="s">
        <v>4</v>
      </c>
      <c r="H1437">
        <v>19.572155900531801</v>
      </c>
      <c r="I1437">
        <v>1.0110532585677701</v>
      </c>
      <c r="J1437">
        <v>3.9757907072612899</v>
      </c>
      <c r="K1437">
        <v>3.07291430644722E-3</v>
      </c>
      <c r="L1437" t="s">
        <v>4</v>
      </c>
      <c r="M1437">
        <v>13.7750877510001</v>
      </c>
      <c r="N1437">
        <v>1.0110532585677701</v>
      </c>
      <c r="O1437">
        <v>3.4622603938101499</v>
      </c>
      <c r="P1437">
        <v>1.03789791557263E-2</v>
      </c>
      <c r="Q1437" t="s">
        <v>4</v>
      </c>
      <c r="R1437" s="4" t="s">
        <v>87</v>
      </c>
      <c r="S1437" t="s">
        <v>4</v>
      </c>
      <c r="T1437" t="s">
        <v>11488</v>
      </c>
      <c r="U1437" t="s">
        <v>11489</v>
      </c>
      <c r="V1437" t="s">
        <v>11490</v>
      </c>
      <c r="W1437" t="s">
        <v>328</v>
      </c>
      <c r="X1437" t="s">
        <v>4</v>
      </c>
      <c r="Y1437" t="s">
        <v>2676</v>
      </c>
      <c r="Z1437" t="s">
        <v>2677</v>
      </c>
      <c r="AA1437" t="s">
        <v>2678</v>
      </c>
      <c r="AB1437" t="s">
        <v>4</v>
      </c>
      <c r="AC1437" s="3" t="s">
        <v>93</v>
      </c>
      <c r="AD1437" t="s">
        <v>4</v>
      </c>
      <c r="AE1437" t="s">
        <v>15974</v>
      </c>
      <c r="AF1437" t="s">
        <v>15975</v>
      </c>
      <c r="AG1437" t="s">
        <v>15976</v>
      </c>
      <c r="AH1437" t="s">
        <v>638</v>
      </c>
      <c r="AL1437" t="s">
        <v>2682</v>
      </c>
      <c r="AQ1437" t="s">
        <v>641</v>
      </c>
      <c r="AR1437" t="s">
        <v>2683</v>
      </c>
      <c r="AU1437" t="s">
        <v>112</v>
      </c>
      <c r="AV1437" t="s">
        <v>15977</v>
      </c>
      <c r="AW1437" t="s">
        <v>114</v>
      </c>
      <c r="AX1437" t="s">
        <v>909</v>
      </c>
      <c r="AY1437" t="s">
        <v>2685</v>
      </c>
      <c r="AZ1437" t="s">
        <v>4</v>
      </c>
      <c r="BA1437" s="3" t="s">
        <v>95</v>
      </c>
      <c r="BB1437" t="s">
        <v>96</v>
      </c>
      <c r="BC1437" s="3" t="s">
        <v>95</v>
      </c>
      <c r="BD1437" t="s">
        <v>4</v>
      </c>
      <c r="BE1437">
        <v>3751</v>
      </c>
      <c r="BF1437" t="s">
        <v>112</v>
      </c>
      <c r="BG1437">
        <v>69.747900000000001</v>
      </c>
      <c r="BM1437">
        <v>68.907600000000002</v>
      </c>
      <c r="BN1437">
        <v>72.549000000000007</v>
      </c>
      <c r="BO1437">
        <v>61.904800000000002</v>
      </c>
      <c r="BP1437">
        <v>24.93</v>
      </c>
      <c r="BW1437">
        <v>36.694699999999997</v>
      </c>
      <c r="BX1437">
        <v>23.529399999999999</v>
      </c>
      <c r="BY1437">
        <v>22.969200000000001</v>
      </c>
      <c r="BZ1437">
        <v>36.4146</v>
      </c>
      <c r="CA1437">
        <v>31.372499999999999</v>
      </c>
      <c r="CK1437">
        <v>5</v>
      </c>
      <c r="CL1437" t="s">
        <v>4</v>
      </c>
      <c r="CM1437" t="s">
        <v>15978</v>
      </c>
      <c r="CN1437" t="s">
        <v>15979</v>
      </c>
      <c r="CO1437" t="s">
        <v>99</v>
      </c>
      <c r="CP1437" t="s">
        <v>100</v>
      </c>
      <c r="CQ1437" t="s">
        <v>100</v>
      </c>
      <c r="CR1437" t="s">
        <v>100</v>
      </c>
      <c r="CS1437" t="s">
        <v>101</v>
      </c>
      <c r="CT1437" s="7" t="s">
        <v>152</v>
      </c>
      <c r="CU1437" t="s">
        <v>102</v>
      </c>
      <c r="CV1437" t="s">
        <v>100</v>
      </c>
    </row>
    <row r="1438" spans="1:100">
      <c r="A1438" s="3" t="s">
        <v>15980</v>
      </c>
      <c r="B1438" s="4" t="s">
        <v>15981</v>
      </c>
      <c r="C1438">
        <v>37.578444440840101</v>
      </c>
      <c r="D1438">
        <v>12.1077505587959</v>
      </c>
      <c r="E1438">
        <v>1.64135340413947</v>
      </c>
      <c r="F1438">
        <v>9.9794160937315093E-2</v>
      </c>
      <c r="G1438" t="s">
        <v>4</v>
      </c>
      <c r="H1438">
        <v>37.578444440840101</v>
      </c>
      <c r="I1438">
        <v>0.967668214356326</v>
      </c>
      <c r="J1438">
        <v>5.3278841607583702</v>
      </c>
      <c r="K1438">
        <v>1.49930668275018E-4</v>
      </c>
      <c r="L1438" t="s">
        <v>4</v>
      </c>
      <c r="M1438">
        <v>12.1077505587959</v>
      </c>
      <c r="N1438">
        <v>0.967668214356326</v>
      </c>
      <c r="O1438">
        <v>3.6865307566188998</v>
      </c>
      <c r="P1438">
        <v>1.0409250133408701E-2</v>
      </c>
      <c r="Q1438" t="s">
        <v>4</v>
      </c>
      <c r="R1438" s="4" t="s">
        <v>87</v>
      </c>
      <c r="S1438" t="s">
        <v>4</v>
      </c>
      <c r="T1438" t="s">
        <v>12424</v>
      </c>
      <c r="U1438" t="s">
        <v>12425</v>
      </c>
      <c r="V1438" t="s">
        <v>12426</v>
      </c>
      <c r="W1438" t="s">
        <v>328</v>
      </c>
      <c r="X1438" t="s">
        <v>4</v>
      </c>
      <c r="Y1438" t="s">
        <v>15644</v>
      </c>
      <c r="Z1438" t="s">
        <v>15645</v>
      </c>
      <c r="AA1438" t="s">
        <v>15646</v>
      </c>
      <c r="AB1438" t="s">
        <v>4</v>
      </c>
      <c r="AC1438" s="3" t="s">
        <v>426</v>
      </c>
      <c r="AD1438" t="s">
        <v>4</v>
      </c>
      <c r="AE1438" t="s">
        <v>15982</v>
      </c>
      <c r="AF1438" t="s">
        <v>15983</v>
      </c>
      <c r="AG1438" t="s">
        <v>15984</v>
      </c>
      <c r="AH1438" t="s">
        <v>112</v>
      </c>
      <c r="AU1438" t="s">
        <v>112</v>
      </c>
      <c r="AV1438" t="s">
        <v>430</v>
      </c>
      <c r="AW1438" t="s">
        <v>114</v>
      </c>
      <c r="AX1438" t="s">
        <v>144</v>
      </c>
      <c r="AY1438" t="s">
        <v>431</v>
      </c>
      <c r="AZ1438" t="s">
        <v>4</v>
      </c>
      <c r="BA1438" s="3" t="s">
        <v>95</v>
      </c>
      <c r="BB1438" t="s">
        <v>96</v>
      </c>
      <c r="BC1438" s="3" t="s">
        <v>95</v>
      </c>
      <c r="BD1438" t="s">
        <v>4</v>
      </c>
      <c r="BE1438">
        <v>1278</v>
      </c>
      <c r="BF1438" t="s">
        <v>151</v>
      </c>
      <c r="BG1438">
        <v>85.653999999999996</v>
      </c>
      <c r="BH1438">
        <v>48.945099999999996</v>
      </c>
      <c r="BI1438">
        <v>62.447299999999998</v>
      </c>
      <c r="BJ1438">
        <v>27.004200000000001</v>
      </c>
      <c r="BM1438">
        <v>58.227800000000002</v>
      </c>
      <c r="BN1438">
        <v>62.869199999999999</v>
      </c>
      <c r="CK1438">
        <v>2</v>
      </c>
      <c r="CL1438" t="s">
        <v>4</v>
      </c>
      <c r="CM1438" t="s">
        <v>98</v>
      </c>
      <c r="CN1438" t="s">
        <v>98</v>
      </c>
      <c r="CO1438" t="s">
        <v>99</v>
      </c>
      <c r="CP1438" t="s">
        <v>100</v>
      </c>
      <c r="CQ1438" t="s">
        <v>100</v>
      </c>
      <c r="CR1438" t="s">
        <v>100</v>
      </c>
      <c r="CS1438" t="s">
        <v>101</v>
      </c>
      <c r="CT1438" s="7" t="s">
        <v>152</v>
      </c>
      <c r="CU1438" t="s">
        <v>102</v>
      </c>
      <c r="CV1438" t="s">
        <v>100</v>
      </c>
    </row>
    <row r="1439" spans="1:100">
      <c r="A1439" s="3" t="s">
        <v>15985</v>
      </c>
      <c r="B1439" s="4" t="s">
        <v>15986</v>
      </c>
      <c r="C1439">
        <v>272.50789691178699</v>
      </c>
      <c r="D1439">
        <v>128.574464698307</v>
      </c>
      <c r="E1439">
        <v>1.08460219851041</v>
      </c>
      <c r="F1439">
        <v>0.17448625012114599</v>
      </c>
      <c r="G1439" t="s">
        <v>4</v>
      </c>
      <c r="H1439">
        <v>272.50789691178699</v>
      </c>
      <c r="I1439">
        <v>33.147281606713101</v>
      </c>
      <c r="J1439">
        <v>3.0177040548119201</v>
      </c>
      <c r="K1439" s="5">
        <v>6.1307467476797901E-5</v>
      </c>
      <c r="L1439" t="s">
        <v>4</v>
      </c>
      <c r="M1439">
        <v>128.574464698307</v>
      </c>
      <c r="N1439">
        <v>33.147281606713101</v>
      </c>
      <c r="O1439">
        <v>1.9331018563015001</v>
      </c>
      <c r="P1439">
        <v>1.1816828506031499E-2</v>
      </c>
      <c r="Q1439" t="s">
        <v>4</v>
      </c>
      <c r="R1439" s="4" t="s">
        <v>87</v>
      </c>
      <c r="S1439" t="s">
        <v>4</v>
      </c>
      <c r="T1439" t="s">
        <v>92</v>
      </c>
      <c r="U1439" t="s">
        <v>92</v>
      </c>
      <c r="V1439" t="s">
        <v>92</v>
      </c>
      <c r="W1439" t="s">
        <v>92</v>
      </c>
      <c r="X1439" t="s">
        <v>4</v>
      </c>
      <c r="Y1439" t="s">
        <v>92</v>
      </c>
      <c r="Z1439" t="s">
        <v>92</v>
      </c>
      <c r="AA1439" t="s">
        <v>92</v>
      </c>
      <c r="AB1439" t="s">
        <v>4</v>
      </c>
      <c r="AC1439" s="3" t="s">
        <v>15987</v>
      </c>
      <c r="AD1439" t="s">
        <v>4</v>
      </c>
      <c r="AE1439" s="4" t="s">
        <v>94</v>
      </c>
      <c r="AZ1439" t="s">
        <v>4</v>
      </c>
      <c r="BA1439" s="3" t="s">
        <v>95</v>
      </c>
      <c r="BB1439" s="6" t="s">
        <v>95</v>
      </c>
      <c r="BC1439" s="3" t="s">
        <v>197</v>
      </c>
      <c r="BD1439" t="s">
        <v>4</v>
      </c>
      <c r="BE1439">
        <v>1230</v>
      </c>
      <c r="BF1439" t="s">
        <v>151</v>
      </c>
      <c r="BG1439" t="s">
        <v>15988</v>
      </c>
      <c r="BI1439" t="s">
        <v>15989</v>
      </c>
      <c r="BJ1439" t="s">
        <v>15990</v>
      </c>
      <c r="BK1439" t="s">
        <v>15991</v>
      </c>
      <c r="CK1439">
        <v>2</v>
      </c>
      <c r="CL1439" t="s">
        <v>4</v>
      </c>
      <c r="CM1439" t="s">
        <v>98</v>
      </c>
      <c r="CN1439" t="s">
        <v>98</v>
      </c>
      <c r="CO1439" t="s">
        <v>99</v>
      </c>
      <c r="CP1439" t="s">
        <v>100</v>
      </c>
      <c r="CQ1439" t="s">
        <v>100</v>
      </c>
      <c r="CR1439" t="s">
        <v>100</v>
      </c>
      <c r="CS1439" t="s">
        <v>101</v>
      </c>
      <c r="CT1439" s="7" t="s">
        <v>152</v>
      </c>
      <c r="CU1439" t="s">
        <v>102</v>
      </c>
      <c r="CV1439" t="s">
        <v>100</v>
      </c>
    </row>
    <row r="1440" spans="1:100">
      <c r="A1440" s="3" t="s">
        <v>15992</v>
      </c>
      <c r="B1440" s="4" t="s">
        <v>15993</v>
      </c>
      <c r="C1440">
        <v>21.309912408345198</v>
      </c>
      <c r="D1440">
        <v>11.675186313294899</v>
      </c>
      <c r="E1440">
        <v>0.86922365960685299</v>
      </c>
      <c r="F1440">
        <v>0.34920712918469698</v>
      </c>
      <c r="G1440" t="s">
        <v>4</v>
      </c>
      <c r="H1440">
        <v>21.309912408345198</v>
      </c>
      <c r="I1440">
        <v>1.45150232153449</v>
      </c>
      <c r="J1440">
        <v>3.9233334396597099</v>
      </c>
      <c r="K1440">
        <v>1.12340371767079E-3</v>
      </c>
      <c r="L1440" t="s">
        <v>4</v>
      </c>
      <c r="M1440">
        <v>11.675186313294899</v>
      </c>
      <c r="N1440">
        <v>1.45150232153449</v>
      </c>
      <c r="O1440">
        <v>3.05410978005286</v>
      </c>
      <c r="P1440">
        <v>1.28465219526898E-2</v>
      </c>
      <c r="Q1440" t="s">
        <v>4</v>
      </c>
      <c r="R1440" s="4" t="s">
        <v>87</v>
      </c>
      <c r="S1440" t="s">
        <v>4</v>
      </c>
      <c r="T1440" t="s">
        <v>460</v>
      </c>
      <c r="U1440" t="s">
        <v>461</v>
      </c>
      <c r="V1440" t="s">
        <v>462</v>
      </c>
      <c r="W1440" t="s">
        <v>123</v>
      </c>
      <c r="X1440" t="s">
        <v>4</v>
      </c>
      <c r="Y1440" t="s">
        <v>463</v>
      </c>
      <c r="Z1440" t="s">
        <v>464</v>
      </c>
      <c r="AA1440" t="s">
        <v>465</v>
      </c>
      <c r="AB1440" t="s">
        <v>4</v>
      </c>
      <c r="AC1440" s="3" t="s">
        <v>93</v>
      </c>
      <c r="AD1440" t="s">
        <v>4</v>
      </c>
      <c r="AE1440" t="s">
        <v>9850</v>
      </c>
      <c r="AF1440" t="s">
        <v>15994</v>
      </c>
      <c r="AG1440" t="s">
        <v>15995</v>
      </c>
      <c r="AH1440" t="s">
        <v>169</v>
      </c>
      <c r="AU1440" t="s">
        <v>112</v>
      </c>
      <c r="AV1440" t="s">
        <v>470</v>
      </c>
      <c r="AW1440" t="s">
        <v>114</v>
      </c>
      <c r="AX1440" t="s">
        <v>144</v>
      </c>
      <c r="AY1440" t="s">
        <v>471</v>
      </c>
      <c r="AZ1440" t="s">
        <v>4</v>
      </c>
      <c r="BA1440" s="3" t="s">
        <v>95</v>
      </c>
      <c r="BB1440" s="6" t="s">
        <v>95</v>
      </c>
      <c r="BC1440" s="3" t="s">
        <v>95</v>
      </c>
      <c r="BD1440" t="s">
        <v>4</v>
      </c>
      <c r="BE1440">
        <v>1650</v>
      </c>
      <c r="BF1440" t="s">
        <v>151</v>
      </c>
      <c r="CK1440">
        <v>2</v>
      </c>
      <c r="CL1440" t="s">
        <v>4</v>
      </c>
      <c r="CM1440" t="s">
        <v>98</v>
      </c>
      <c r="CN1440" t="s">
        <v>98</v>
      </c>
      <c r="CO1440" t="s">
        <v>99</v>
      </c>
      <c r="CP1440" t="s">
        <v>100</v>
      </c>
      <c r="CQ1440" t="s">
        <v>100</v>
      </c>
      <c r="CR1440" t="s">
        <v>100</v>
      </c>
      <c r="CS1440" t="s">
        <v>101</v>
      </c>
      <c r="CT1440" s="7" t="s">
        <v>152</v>
      </c>
      <c r="CU1440" t="s">
        <v>102</v>
      </c>
      <c r="CV1440" t="s">
        <v>100</v>
      </c>
    </row>
    <row r="1441" spans="1:100">
      <c r="A1441" s="3" t="s">
        <v>15996</v>
      </c>
      <c r="B1441" s="4" t="s">
        <v>15997</v>
      </c>
      <c r="C1441">
        <v>30.763676456728899</v>
      </c>
      <c r="D1441">
        <v>11.5076523137263</v>
      </c>
      <c r="E1441">
        <v>1.4283285196300399</v>
      </c>
      <c r="F1441">
        <v>0.17536495501535901</v>
      </c>
      <c r="G1441" t="s">
        <v>4</v>
      </c>
      <c r="H1441">
        <v>30.763676456728899</v>
      </c>
      <c r="I1441">
        <v>0.967668214356326</v>
      </c>
      <c r="J1441">
        <v>5.0383209395749704</v>
      </c>
      <c r="K1441">
        <v>4.6767210531967798E-4</v>
      </c>
      <c r="L1441" t="s">
        <v>4</v>
      </c>
      <c r="M1441">
        <v>11.5076523137263</v>
      </c>
      <c r="N1441">
        <v>0.967668214356326</v>
      </c>
      <c r="O1441">
        <v>3.60999241994493</v>
      </c>
      <c r="P1441">
        <v>1.42675921224908E-2</v>
      </c>
      <c r="Q1441" t="s">
        <v>4</v>
      </c>
      <c r="R1441" s="4" t="s">
        <v>87</v>
      </c>
      <c r="S1441" t="s">
        <v>4</v>
      </c>
      <c r="T1441" t="s">
        <v>360</v>
      </c>
      <c r="U1441" t="s">
        <v>361</v>
      </c>
      <c r="V1441" t="s">
        <v>362</v>
      </c>
      <c r="W1441" t="s">
        <v>328</v>
      </c>
      <c r="X1441" t="s">
        <v>4</v>
      </c>
      <c r="Y1441" t="s">
        <v>363</v>
      </c>
      <c r="Z1441" t="s">
        <v>364</v>
      </c>
      <c r="AA1441" t="s">
        <v>365</v>
      </c>
      <c r="AB1441" t="s">
        <v>4</v>
      </c>
      <c r="AC1441" s="3" t="s">
        <v>15998</v>
      </c>
      <c r="AD1441" t="s">
        <v>4</v>
      </c>
      <c r="AE1441" t="s">
        <v>15999</v>
      </c>
      <c r="AF1441" t="s">
        <v>16000</v>
      </c>
      <c r="AG1441" t="s">
        <v>16001</v>
      </c>
      <c r="AH1441" t="s">
        <v>282</v>
      </c>
      <c r="AU1441" t="s">
        <v>112</v>
      </c>
      <c r="AV1441" t="s">
        <v>16002</v>
      </c>
      <c r="AW1441" t="s">
        <v>114</v>
      </c>
      <c r="AX1441" t="s">
        <v>371</v>
      </c>
      <c r="AY1441" t="s">
        <v>573</v>
      </c>
      <c r="AZ1441" t="s">
        <v>4</v>
      </c>
      <c r="BA1441" s="3" t="s">
        <v>95</v>
      </c>
      <c r="BB1441" s="6" t="s">
        <v>95</v>
      </c>
      <c r="BC1441" s="3" t="s">
        <v>95</v>
      </c>
      <c r="BD1441" t="s">
        <v>4</v>
      </c>
      <c r="BE1441">
        <v>5675</v>
      </c>
      <c r="BF1441" t="s">
        <v>386</v>
      </c>
      <c r="BG1441">
        <v>91.729299999999995</v>
      </c>
      <c r="BI1441">
        <v>45.1128</v>
      </c>
      <c r="BJ1441">
        <v>77.443600000000004</v>
      </c>
      <c r="BK1441">
        <v>82.330799999999996</v>
      </c>
      <c r="BL1441">
        <v>45.488700000000001</v>
      </c>
      <c r="BM1441" t="s">
        <v>16003</v>
      </c>
      <c r="BN1441" t="s">
        <v>16004</v>
      </c>
      <c r="BP1441">
        <v>69.172899999999998</v>
      </c>
      <c r="BQ1441">
        <v>51.8797</v>
      </c>
      <c r="BR1441">
        <v>37.594000000000001</v>
      </c>
      <c r="BS1441">
        <v>35.714300000000001</v>
      </c>
      <c r="BV1441" t="s">
        <v>16005</v>
      </c>
      <c r="BW1441">
        <v>38.721800000000002</v>
      </c>
      <c r="BX1441">
        <v>47.744399999999999</v>
      </c>
      <c r="CA1441">
        <v>46.240600000000001</v>
      </c>
      <c r="CB1441">
        <v>33.082700000000003</v>
      </c>
      <c r="CC1441">
        <v>22.932300000000001</v>
      </c>
      <c r="CD1441" t="s">
        <v>16006</v>
      </c>
      <c r="CE1441">
        <v>26.315799999999999</v>
      </c>
      <c r="CF1441">
        <v>37.969900000000003</v>
      </c>
      <c r="CG1441" t="s">
        <v>16007</v>
      </c>
      <c r="CH1441" t="s">
        <v>16008</v>
      </c>
      <c r="CI1441" t="s">
        <v>16009</v>
      </c>
      <c r="CK1441">
        <v>7</v>
      </c>
      <c r="CL1441" t="s">
        <v>4</v>
      </c>
      <c r="CM1441" t="s">
        <v>16010</v>
      </c>
      <c r="CN1441" t="s">
        <v>16011</v>
      </c>
      <c r="CO1441" t="s">
        <v>99</v>
      </c>
      <c r="CP1441" t="s">
        <v>100</v>
      </c>
      <c r="CQ1441" t="s">
        <v>100</v>
      </c>
      <c r="CR1441" t="s">
        <v>100</v>
      </c>
      <c r="CS1441" t="s">
        <v>101</v>
      </c>
      <c r="CT1441" s="7" t="s">
        <v>152</v>
      </c>
      <c r="CU1441" t="s">
        <v>102</v>
      </c>
      <c r="CV1441" t="s">
        <v>100</v>
      </c>
    </row>
    <row r="1442" spans="1:100">
      <c r="A1442" s="3" t="s">
        <v>16012</v>
      </c>
      <c r="B1442" s="4" t="s">
        <v>16013</v>
      </c>
      <c r="C1442">
        <v>73.741386317553406</v>
      </c>
      <c r="D1442">
        <v>47.303068679371201</v>
      </c>
      <c r="E1442">
        <v>0.63836690431758902</v>
      </c>
      <c r="F1442">
        <v>0.32593937778273702</v>
      </c>
      <c r="G1442" t="s">
        <v>4</v>
      </c>
      <c r="H1442">
        <v>73.741386317553406</v>
      </c>
      <c r="I1442">
        <v>16.466257424414898</v>
      </c>
      <c r="J1442">
        <v>2.2233102529656099</v>
      </c>
      <c r="K1442">
        <v>4.7824513330254801E-4</v>
      </c>
      <c r="L1442" t="s">
        <v>4</v>
      </c>
      <c r="M1442">
        <v>47.303068679371201</v>
      </c>
      <c r="N1442">
        <v>16.466257424414898</v>
      </c>
      <c r="O1442">
        <v>1.58494334864802</v>
      </c>
      <c r="P1442">
        <v>1.4801692679772801E-2</v>
      </c>
      <c r="Q1442" t="s">
        <v>4</v>
      </c>
      <c r="R1442" s="4" t="s">
        <v>87</v>
      </c>
      <c r="S1442" t="s">
        <v>4</v>
      </c>
      <c r="T1442" t="s">
        <v>92</v>
      </c>
      <c r="U1442" t="s">
        <v>92</v>
      </c>
      <c r="V1442" t="s">
        <v>92</v>
      </c>
      <c r="W1442" t="s">
        <v>92</v>
      </c>
      <c r="X1442" t="s">
        <v>4</v>
      </c>
      <c r="Y1442" t="s">
        <v>92</v>
      </c>
      <c r="Z1442" t="s">
        <v>92</v>
      </c>
      <c r="AA1442" t="s">
        <v>92</v>
      </c>
      <c r="AB1442" t="s">
        <v>4</v>
      </c>
      <c r="AC1442" s="3" t="s">
        <v>93</v>
      </c>
      <c r="AD1442" t="s">
        <v>4</v>
      </c>
      <c r="AE1442" t="s">
        <v>16014</v>
      </c>
      <c r="AF1442" t="s">
        <v>16015</v>
      </c>
      <c r="AG1442" t="s">
        <v>2863</v>
      </c>
      <c r="AH1442" t="s">
        <v>112</v>
      </c>
      <c r="AU1442" t="s">
        <v>112</v>
      </c>
      <c r="AV1442" t="s">
        <v>16016</v>
      </c>
      <c r="AW1442" t="s">
        <v>114</v>
      </c>
      <c r="AZ1442" t="s">
        <v>4</v>
      </c>
      <c r="BA1442" s="3" t="s">
        <v>95</v>
      </c>
      <c r="BB1442" s="6" t="s">
        <v>95</v>
      </c>
      <c r="BC1442" s="3" t="s">
        <v>197</v>
      </c>
      <c r="BD1442" t="s">
        <v>4</v>
      </c>
      <c r="BE1442">
        <v>3766</v>
      </c>
      <c r="BF1442" t="s">
        <v>112</v>
      </c>
      <c r="BG1442">
        <v>91.919200000000004</v>
      </c>
      <c r="BH1442">
        <v>67.6768</v>
      </c>
      <c r="BI1442">
        <v>88.282799999999995</v>
      </c>
      <c r="BJ1442">
        <v>73.939400000000006</v>
      </c>
      <c r="BK1442">
        <v>66.060599999999994</v>
      </c>
      <c r="BL1442">
        <v>69.899000000000001</v>
      </c>
      <c r="BM1442">
        <v>68.686899999999994</v>
      </c>
      <c r="BN1442">
        <v>69.090900000000005</v>
      </c>
      <c r="BO1442">
        <v>35.353499999999997</v>
      </c>
      <c r="BP1442">
        <v>38.383800000000001</v>
      </c>
      <c r="BQ1442">
        <v>28.0808</v>
      </c>
      <c r="BW1442">
        <v>29.696999999999999</v>
      </c>
      <c r="BX1442">
        <v>21.010100000000001</v>
      </c>
      <c r="CA1442">
        <v>33.939399999999999</v>
      </c>
      <c r="CK1442">
        <v>5</v>
      </c>
      <c r="CL1442" t="s">
        <v>4</v>
      </c>
      <c r="CM1442" t="s">
        <v>16017</v>
      </c>
      <c r="CN1442" t="s">
        <v>16018</v>
      </c>
      <c r="CO1442" t="s">
        <v>99</v>
      </c>
      <c r="CP1442" t="s">
        <v>100</v>
      </c>
      <c r="CQ1442" t="s">
        <v>100</v>
      </c>
      <c r="CR1442" t="s">
        <v>100</v>
      </c>
      <c r="CS1442" t="s">
        <v>101</v>
      </c>
      <c r="CT1442" s="7" t="s">
        <v>152</v>
      </c>
      <c r="CU1442" t="s">
        <v>102</v>
      </c>
      <c r="CV1442" t="s">
        <v>100</v>
      </c>
    </row>
    <row r="1443" spans="1:100">
      <c r="A1443" s="3" t="s">
        <v>16019</v>
      </c>
      <c r="B1443" s="4" t="s">
        <v>16020</v>
      </c>
      <c r="C1443">
        <v>31.552194327870101</v>
      </c>
      <c r="D1443">
        <v>18.9692285987914</v>
      </c>
      <c r="E1443">
        <v>0.73893503448851705</v>
      </c>
      <c r="F1443">
        <v>0.239984590561547</v>
      </c>
      <c r="G1443" t="s">
        <v>4</v>
      </c>
      <c r="H1443">
        <v>31.552194327870101</v>
      </c>
      <c r="I1443">
        <v>5.8362057181321596</v>
      </c>
      <c r="J1443">
        <v>2.4967282960933299</v>
      </c>
      <c r="K1443">
        <v>3.8546701859287698E-4</v>
      </c>
      <c r="L1443" t="s">
        <v>4</v>
      </c>
      <c r="M1443">
        <v>18.9692285987914</v>
      </c>
      <c r="N1443">
        <v>5.8362057181321596</v>
      </c>
      <c r="O1443">
        <v>1.75779326160481</v>
      </c>
      <c r="P1443">
        <v>1.5718663786636399E-2</v>
      </c>
      <c r="Q1443" t="s">
        <v>4</v>
      </c>
      <c r="R1443" s="4" t="s">
        <v>87</v>
      </c>
      <c r="S1443" t="s">
        <v>4</v>
      </c>
      <c r="T1443" t="s">
        <v>88</v>
      </c>
      <c r="U1443" t="s">
        <v>89</v>
      </c>
      <c r="V1443" t="s">
        <v>90</v>
      </c>
      <c r="W1443" t="s">
        <v>91</v>
      </c>
      <c r="X1443" t="s">
        <v>4</v>
      </c>
      <c r="Y1443" t="s">
        <v>92</v>
      </c>
      <c r="Z1443" t="s">
        <v>92</v>
      </c>
      <c r="AA1443" t="s">
        <v>92</v>
      </c>
      <c r="AB1443" t="s">
        <v>4</v>
      </c>
      <c r="AC1443" s="3" t="s">
        <v>16021</v>
      </c>
      <c r="AD1443" t="s">
        <v>4</v>
      </c>
      <c r="AE1443" s="4" t="s">
        <v>94</v>
      </c>
      <c r="AZ1443" t="s">
        <v>4</v>
      </c>
      <c r="BA1443" s="3" t="s">
        <v>95</v>
      </c>
      <c r="BB1443" t="s">
        <v>96</v>
      </c>
      <c r="BC1443" s="3" t="s">
        <v>197</v>
      </c>
      <c r="BD1443" t="s">
        <v>4</v>
      </c>
      <c r="BE1443">
        <v>1512</v>
      </c>
      <c r="BF1443" t="s">
        <v>151</v>
      </c>
      <c r="BI1443">
        <v>81.176500000000004</v>
      </c>
      <c r="BN1443">
        <v>70.588200000000001</v>
      </c>
      <c r="CK1443">
        <v>2</v>
      </c>
      <c r="CL1443" t="s">
        <v>4</v>
      </c>
      <c r="CM1443" t="s">
        <v>98</v>
      </c>
      <c r="CN1443" t="s">
        <v>98</v>
      </c>
      <c r="CO1443" t="s">
        <v>99</v>
      </c>
      <c r="CP1443" t="s">
        <v>100</v>
      </c>
      <c r="CQ1443" t="s">
        <v>100</v>
      </c>
      <c r="CR1443" t="s">
        <v>100</v>
      </c>
      <c r="CS1443" t="s">
        <v>101</v>
      </c>
      <c r="CT1443" s="7" t="s">
        <v>152</v>
      </c>
      <c r="CU1443" t="s">
        <v>102</v>
      </c>
      <c r="CV1443" t="s">
        <v>100</v>
      </c>
    </row>
    <row r="1444" spans="1:100">
      <c r="A1444" s="3" t="s">
        <v>16022</v>
      </c>
      <c r="B1444" s="4" t="s">
        <v>16023</v>
      </c>
      <c r="C1444">
        <v>16.043670750832099</v>
      </c>
      <c r="D1444">
        <v>8.9069316383992199</v>
      </c>
      <c r="E1444">
        <v>0.86185020684852498</v>
      </c>
      <c r="F1444">
        <v>0.65750713958556395</v>
      </c>
      <c r="G1444" t="s">
        <v>4</v>
      </c>
      <c r="H1444">
        <v>16.043670750832099</v>
      </c>
      <c r="I1444">
        <v>0</v>
      </c>
      <c r="J1444">
        <v>5.9529361837502703</v>
      </c>
      <c r="K1444">
        <v>4.6032296776988002E-3</v>
      </c>
      <c r="L1444" t="s">
        <v>4</v>
      </c>
      <c r="M1444">
        <v>8.9069316383992199</v>
      </c>
      <c r="N1444">
        <v>0</v>
      </c>
      <c r="O1444">
        <v>5.0910859769017502</v>
      </c>
      <c r="P1444">
        <v>1.6134616026947698E-2</v>
      </c>
      <c r="Q1444" t="s">
        <v>4</v>
      </c>
      <c r="R1444" s="4" t="s">
        <v>87</v>
      </c>
      <c r="S1444" t="s">
        <v>4</v>
      </c>
      <c r="T1444" t="s">
        <v>88</v>
      </c>
      <c r="U1444" t="s">
        <v>89</v>
      </c>
      <c r="V1444" t="s">
        <v>90</v>
      </c>
      <c r="W1444" t="s">
        <v>91</v>
      </c>
      <c r="X1444" t="s">
        <v>4</v>
      </c>
      <c r="Y1444" t="s">
        <v>92</v>
      </c>
      <c r="Z1444" t="s">
        <v>92</v>
      </c>
      <c r="AA1444" t="s">
        <v>92</v>
      </c>
      <c r="AB1444" t="s">
        <v>4</v>
      </c>
      <c r="AC1444" s="3" t="s">
        <v>93</v>
      </c>
      <c r="AD1444" t="s">
        <v>4</v>
      </c>
      <c r="AE1444" t="s">
        <v>16024</v>
      </c>
      <c r="AF1444" t="s">
        <v>16025</v>
      </c>
      <c r="AG1444" t="s">
        <v>298</v>
      </c>
      <c r="AH1444" t="s">
        <v>112</v>
      </c>
      <c r="AU1444" t="s">
        <v>112</v>
      </c>
      <c r="AV1444" t="s">
        <v>16026</v>
      </c>
      <c r="AW1444" t="s">
        <v>114</v>
      </c>
      <c r="AZ1444" t="s">
        <v>4</v>
      </c>
      <c r="BA1444" s="3" t="s">
        <v>95</v>
      </c>
      <c r="BB1444" t="s">
        <v>96</v>
      </c>
      <c r="BC1444" s="3" t="s">
        <v>95</v>
      </c>
      <c r="BD1444" t="s">
        <v>4</v>
      </c>
      <c r="BE1444">
        <v>4669</v>
      </c>
      <c r="BF1444" t="s">
        <v>112</v>
      </c>
      <c r="BG1444">
        <v>99.196799999999996</v>
      </c>
      <c r="BH1444">
        <v>31.726900000000001</v>
      </c>
      <c r="BK1444">
        <v>38.955800000000004</v>
      </c>
      <c r="BL1444">
        <v>36.546199999999999</v>
      </c>
      <c r="BM1444">
        <v>63.855400000000003</v>
      </c>
      <c r="BN1444">
        <v>83.132499999999993</v>
      </c>
      <c r="BO1444">
        <v>37.750999999999998</v>
      </c>
      <c r="BP1444">
        <v>71.887600000000006</v>
      </c>
      <c r="BQ1444">
        <v>53.815300000000001</v>
      </c>
      <c r="BR1444">
        <v>62.650599999999997</v>
      </c>
      <c r="BS1444">
        <v>67.871499999999997</v>
      </c>
      <c r="CK1444">
        <v>5</v>
      </c>
      <c r="CL1444" t="s">
        <v>4</v>
      </c>
      <c r="CM1444" t="s">
        <v>98</v>
      </c>
      <c r="CN1444" t="s">
        <v>98</v>
      </c>
      <c r="CO1444" t="s">
        <v>99</v>
      </c>
      <c r="CP1444" t="s">
        <v>100</v>
      </c>
      <c r="CQ1444" t="s">
        <v>100</v>
      </c>
      <c r="CR1444" t="s">
        <v>100</v>
      </c>
      <c r="CS1444" t="s">
        <v>101</v>
      </c>
      <c r="CT1444" s="7" t="s">
        <v>152</v>
      </c>
      <c r="CU1444" t="s">
        <v>102</v>
      </c>
      <c r="CV1444" t="s">
        <v>100</v>
      </c>
    </row>
    <row r="1445" spans="1:100">
      <c r="A1445" s="3" t="s">
        <v>16027</v>
      </c>
      <c r="B1445" s="4" t="s">
        <v>16028</v>
      </c>
      <c r="C1445">
        <v>9.1087278721778997</v>
      </c>
      <c r="D1445">
        <v>6.5320187698076602</v>
      </c>
      <c r="E1445">
        <v>0.473772958468063</v>
      </c>
      <c r="F1445">
        <v>0.78329500891135295</v>
      </c>
      <c r="G1445" t="s">
        <v>4</v>
      </c>
      <c r="H1445">
        <v>9.1087278721778997</v>
      </c>
      <c r="I1445">
        <v>0</v>
      </c>
      <c r="J1445">
        <v>5.1309289173546802</v>
      </c>
      <c r="K1445">
        <v>7.6826547847047497E-3</v>
      </c>
      <c r="L1445" t="s">
        <v>4</v>
      </c>
      <c r="M1445">
        <v>6.5320187698076602</v>
      </c>
      <c r="N1445">
        <v>0</v>
      </c>
      <c r="O1445">
        <v>4.6571559588866096</v>
      </c>
      <c r="P1445">
        <v>1.6134616026947698E-2</v>
      </c>
      <c r="Q1445" t="s">
        <v>4</v>
      </c>
      <c r="R1445" s="4" t="s">
        <v>87</v>
      </c>
      <c r="S1445" t="s">
        <v>4</v>
      </c>
      <c r="T1445" t="s">
        <v>92</v>
      </c>
      <c r="U1445" t="s">
        <v>92</v>
      </c>
      <c r="V1445" t="s">
        <v>92</v>
      </c>
      <c r="W1445" t="s">
        <v>92</v>
      </c>
      <c r="X1445" t="s">
        <v>4</v>
      </c>
      <c r="Y1445" t="s">
        <v>92</v>
      </c>
      <c r="Z1445" t="s">
        <v>92</v>
      </c>
      <c r="AA1445" t="s">
        <v>92</v>
      </c>
      <c r="AB1445" t="s">
        <v>4</v>
      </c>
      <c r="AC1445" s="3" t="s">
        <v>93</v>
      </c>
      <c r="AD1445" t="s">
        <v>4</v>
      </c>
      <c r="AE1445" s="4" t="s">
        <v>94</v>
      </c>
      <c r="AZ1445" t="s">
        <v>4</v>
      </c>
      <c r="BA1445" s="3" t="s">
        <v>95</v>
      </c>
      <c r="BB1445" s="6" t="s">
        <v>95</v>
      </c>
      <c r="BC1445" s="3" t="s">
        <v>95</v>
      </c>
      <c r="BD1445" t="s">
        <v>4</v>
      </c>
      <c r="BE1445">
        <v>334</v>
      </c>
      <c r="BF1445" t="s">
        <v>322</v>
      </c>
      <c r="CK1445">
        <v>1</v>
      </c>
      <c r="CL1445" t="s">
        <v>4</v>
      </c>
      <c r="CM1445" t="s">
        <v>98</v>
      </c>
      <c r="CN1445" t="s">
        <v>98</v>
      </c>
      <c r="CO1445" t="s">
        <v>99</v>
      </c>
      <c r="CP1445" t="s">
        <v>100</v>
      </c>
      <c r="CQ1445" t="s">
        <v>100</v>
      </c>
      <c r="CR1445" t="s">
        <v>100</v>
      </c>
      <c r="CS1445" t="s">
        <v>101</v>
      </c>
      <c r="CT1445" s="7" t="s">
        <v>152</v>
      </c>
      <c r="CU1445" t="s">
        <v>102</v>
      </c>
      <c r="CV1445" t="s">
        <v>100</v>
      </c>
    </row>
    <row r="1446" spans="1:100">
      <c r="A1446" s="3" t="s">
        <v>16029</v>
      </c>
      <c r="B1446" s="4" t="s">
        <v>16030</v>
      </c>
      <c r="C1446">
        <v>37.238609019446798</v>
      </c>
      <c r="D1446">
        <v>29.1757136410172</v>
      </c>
      <c r="E1446">
        <v>0.35107269202921298</v>
      </c>
      <c r="F1446">
        <v>0.66372338949841403</v>
      </c>
      <c r="G1446" t="s">
        <v>4</v>
      </c>
      <c r="H1446">
        <v>37.238609019446798</v>
      </c>
      <c r="I1446">
        <v>8.0530962826916106</v>
      </c>
      <c r="J1446">
        <v>2.2529129797910201</v>
      </c>
      <c r="K1446">
        <v>4.0163562099632998E-3</v>
      </c>
      <c r="L1446" t="s">
        <v>4</v>
      </c>
      <c r="M1446">
        <v>29.1757136410172</v>
      </c>
      <c r="N1446">
        <v>8.0530962826916106</v>
      </c>
      <c r="O1446">
        <v>1.9018402877618099</v>
      </c>
      <c r="P1446">
        <v>1.6238832572139501E-2</v>
      </c>
      <c r="Q1446" t="s">
        <v>4</v>
      </c>
      <c r="R1446" s="4" t="s">
        <v>87</v>
      </c>
      <c r="S1446" t="s">
        <v>4</v>
      </c>
      <c r="T1446" t="s">
        <v>3739</v>
      </c>
      <c r="U1446" t="s">
        <v>3740</v>
      </c>
      <c r="V1446" t="s">
        <v>3741</v>
      </c>
      <c r="W1446" t="s">
        <v>976</v>
      </c>
      <c r="X1446" t="s">
        <v>4</v>
      </c>
      <c r="Y1446" t="s">
        <v>977</v>
      </c>
      <c r="Z1446" t="s">
        <v>978</v>
      </c>
      <c r="AA1446" t="s">
        <v>979</v>
      </c>
      <c r="AB1446" t="s">
        <v>4</v>
      </c>
      <c r="AC1446" s="3" t="s">
        <v>7201</v>
      </c>
      <c r="AD1446" t="s">
        <v>4</v>
      </c>
      <c r="AE1446" t="s">
        <v>16031</v>
      </c>
      <c r="AF1446" t="s">
        <v>834</v>
      </c>
      <c r="AG1446" t="s">
        <v>16032</v>
      </c>
      <c r="AH1446" t="s">
        <v>112</v>
      </c>
      <c r="AJ1446" t="s">
        <v>3748</v>
      </c>
      <c r="AU1446" t="s">
        <v>112</v>
      </c>
      <c r="AV1446" t="s">
        <v>16033</v>
      </c>
      <c r="AW1446" t="s">
        <v>114</v>
      </c>
      <c r="AX1446" t="s">
        <v>144</v>
      </c>
      <c r="AY1446" t="s">
        <v>985</v>
      </c>
      <c r="AZ1446" t="s">
        <v>4</v>
      </c>
      <c r="BA1446" s="3" t="s">
        <v>95</v>
      </c>
      <c r="BB1446" t="s">
        <v>96</v>
      </c>
      <c r="BC1446" s="3" t="s">
        <v>95</v>
      </c>
      <c r="BD1446" t="s">
        <v>4</v>
      </c>
      <c r="BE1446">
        <v>5162</v>
      </c>
      <c r="BF1446" t="s">
        <v>282</v>
      </c>
      <c r="BG1446">
        <v>87.550200000000004</v>
      </c>
      <c r="BH1446">
        <v>18.072299999999998</v>
      </c>
      <c r="BI1446">
        <v>73.594399999999993</v>
      </c>
      <c r="BJ1446">
        <v>67.369500000000002</v>
      </c>
      <c r="BL1446">
        <v>9.1365499999999997</v>
      </c>
      <c r="BM1446" t="s">
        <v>16034</v>
      </c>
      <c r="BN1446">
        <v>68.674700000000001</v>
      </c>
      <c r="BP1446">
        <v>49.497999999999998</v>
      </c>
      <c r="BQ1446">
        <v>48.895600000000002</v>
      </c>
      <c r="BR1446">
        <v>52.008000000000003</v>
      </c>
      <c r="BS1446">
        <v>44.377499999999998</v>
      </c>
      <c r="BT1446">
        <v>38.353400000000001</v>
      </c>
      <c r="BW1446">
        <v>46.2851</v>
      </c>
      <c r="BX1446">
        <v>50.1004</v>
      </c>
      <c r="BY1446" t="s">
        <v>16035</v>
      </c>
      <c r="BZ1446" t="s">
        <v>16036</v>
      </c>
      <c r="CA1446">
        <v>49.196800000000003</v>
      </c>
      <c r="CB1446">
        <v>8.4337300000000006</v>
      </c>
      <c r="CK1446">
        <v>6</v>
      </c>
      <c r="CL1446" t="s">
        <v>4</v>
      </c>
      <c r="CM1446" t="s">
        <v>16037</v>
      </c>
      <c r="CN1446" t="s">
        <v>16038</v>
      </c>
      <c r="CO1446" t="s">
        <v>99</v>
      </c>
      <c r="CP1446" t="s">
        <v>100</v>
      </c>
      <c r="CQ1446" t="s">
        <v>100</v>
      </c>
      <c r="CR1446" t="s">
        <v>100</v>
      </c>
      <c r="CS1446" t="s">
        <v>101</v>
      </c>
      <c r="CT1446" s="7" t="s">
        <v>152</v>
      </c>
      <c r="CU1446" t="s">
        <v>102</v>
      </c>
      <c r="CV1446" t="s">
        <v>100</v>
      </c>
    </row>
    <row r="1447" spans="1:100">
      <c r="A1447" s="3" t="s">
        <v>16039</v>
      </c>
      <c r="B1447" s="4" t="s">
        <v>16040</v>
      </c>
      <c r="C1447">
        <v>20.9703629712237</v>
      </c>
      <c r="D1447">
        <v>13.6425726280339</v>
      </c>
      <c r="E1447">
        <v>0.61685216438489898</v>
      </c>
      <c r="F1447">
        <v>0.49728834216608597</v>
      </c>
      <c r="G1447" t="s">
        <v>4</v>
      </c>
      <c r="H1447">
        <v>20.9703629712237</v>
      </c>
      <c r="I1447">
        <v>2.2723541815685802</v>
      </c>
      <c r="J1447">
        <v>3.1854370730759198</v>
      </c>
      <c r="K1447">
        <v>2.4224064800594698E-3</v>
      </c>
      <c r="L1447" t="s">
        <v>4</v>
      </c>
      <c r="M1447">
        <v>13.6425726280339</v>
      </c>
      <c r="N1447">
        <v>2.2723541815685802</v>
      </c>
      <c r="O1447">
        <v>2.5685849086910202</v>
      </c>
      <c r="P1447">
        <v>1.6252892156078901E-2</v>
      </c>
      <c r="Q1447" t="s">
        <v>4</v>
      </c>
      <c r="R1447" s="4" t="s">
        <v>87</v>
      </c>
      <c r="S1447" t="s">
        <v>4</v>
      </c>
      <c r="T1447" t="s">
        <v>92</v>
      </c>
      <c r="U1447" t="s">
        <v>92</v>
      </c>
      <c r="V1447" t="s">
        <v>92</v>
      </c>
      <c r="W1447" t="s">
        <v>92</v>
      </c>
      <c r="X1447" t="s">
        <v>4</v>
      </c>
      <c r="Y1447" t="s">
        <v>92</v>
      </c>
      <c r="Z1447" t="s">
        <v>92</v>
      </c>
      <c r="AA1447" t="s">
        <v>92</v>
      </c>
      <c r="AB1447" t="s">
        <v>4</v>
      </c>
      <c r="AC1447" s="3" t="s">
        <v>93</v>
      </c>
      <c r="AD1447" t="s">
        <v>4</v>
      </c>
      <c r="AE1447" s="4" t="s">
        <v>94</v>
      </c>
      <c r="AZ1447" t="s">
        <v>4</v>
      </c>
      <c r="BA1447" s="3" t="s">
        <v>95</v>
      </c>
      <c r="BB1447" s="6" t="s">
        <v>95</v>
      </c>
      <c r="BC1447" s="3" t="s">
        <v>95</v>
      </c>
      <c r="BD1447" t="s">
        <v>4</v>
      </c>
      <c r="BE1447">
        <v>283</v>
      </c>
      <c r="BF1447" t="s">
        <v>322</v>
      </c>
      <c r="CK1447">
        <v>1</v>
      </c>
      <c r="CL1447" t="s">
        <v>4</v>
      </c>
      <c r="CM1447" t="s">
        <v>98</v>
      </c>
      <c r="CN1447" t="s">
        <v>98</v>
      </c>
      <c r="CO1447" t="s">
        <v>99</v>
      </c>
      <c r="CP1447" t="s">
        <v>100</v>
      </c>
      <c r="CQ1447" t="s">
        <v>100</v>
      </c>
      <c r="CR1447" t="s">
        <v>100</v>
      </c>
      <c r="CS1447" t="s">
        <v>101</v>
      </c>
      <c r="CT1447" s="7" t="s">
        <v>152</v>
      </c>
      <c r="CU1447" t="s">
        <v>102</v>
      </c>
      <c r="CV1447" t="s">
        <v>100</v>
      </c>
    </row>
    <row r="1448" spans="1:100">
      <c r="A1448" s="3" t="s">
        <v>16041</v>
      </c>
      <c r="B1448" s="4" t="s">
        <v>16042</v>
      </c>
      <c r="C1448">
        <v>40.1162871300643</v>
      </c>
      <c r="D1448">
        <v>23.2268628613304</v>
      </c>
      <c r="E1448">
        <v>0.79335486440659297</v>
      </c>
      <c r="F1448">
        <v>0.43142068440973902</v>
      </c>
      <c r="G1448" t="s">
        <v>4</v>
      </c>
      <c r="H1448">
        <v>40.1162871300643</v>
      </c>
      <c r="I1448">
        <v>4.1763841388674701</v>
      </c>
      <c r="J1448">
        <v>3.3332983151157198</v>
      </c>
      <c r="K1448">
        <v>1.3562780003957399E-3</v>
      </c>
      <c r="L1448" t="s">
        <v>4</v>
      </c>
      <c r="M1448">
        <v>23.2268628613304</v>
      </c>
      <c r="N1448">
        <v>4.1763841388674701</v>
      </c>
      <c r="O1448">
        <v>2.5399434507091199</v>
      </c>
      <c r="P1448">
        <v>1.63761973909641E-2</v>
      </c>
      <c r="Q1448" t="s">
        <v>4</v>
      </c>
      <c r="R1448" s="4" t="s">
        <v>87</v>
      </c>
      <c r="S1448" t="s">
        <v>4</v>
      </c>
      <c r="T1448" t="s">
        <v>460</v>
      </c>
      <c r="U1448" t="s">
        <v>461</v>
      </c>
      <c r="V1448" t="s">
        <v>462</v>
      </c>
      <c r="W1448" t="s">
        <v>123</v>
      </c>
      <c r="X1448" t="s">
        <v>4</v>
      </c>
      <c r="Y1448" t="s">
        <v>463</v>
      </c>
      <c r="Z1448" t="s">
        <v>464</v>
      </c>
      <c r="AA1448" t="s">
        <v>465</v>
      </c>
      <c r="AB1448" t="s">
        <v>4</v>
      </c>
      <c r="AC1448" s="3" t="s">
        <v>93</v>
      </c>
      <c r="AD1448" t="s">
        <v>4</v>
      </c>
      <c r="AE1448" t="s">
        <v>6411</v>
      </c>
      <c r="AF1448" t="s">
        <v>16043</v>
      </c>
      <c r="AG1448" t="s">
        <v>11083</v>
      </c>
      <c r="AH1448" t="s">
        <v>169</v>
      </c>
      <c r="AU1448" t="s">
        <v>112</v>
      </c>
      <c r="AV1448" t="s">
        <v>470</v>
      </c>
      <c r="AW1448" t="s">
        <v>114</v>
      </c>
      <c r="AX1448" t="s">
        <v>144</v>
      </c>
      <c r="AY1448" t="s">
        <v>471</v>
      </c>
      <c r="AZ1448" t="s">
        <v>4</v>
      </c>
      <c r="BA1448" s="3" t="s">
        <v>95</v>
      </c>
      <c r="BB1448" s="6" t="s">
        <v>95</v>
      </c>
      <c r="BC1448" s="3" t="s">
        <v>197</v>
      </c>
      <c r="BD1448" t="s">
        <v>4</v>
      </c>
      <c r="BE1448">
        <v>1572</v>
      </c>
      <c r="BF1448" t="s">
        <v>151</v>
      </c>
      <c r="CK1448">
        <v>2</v>
      </c>
      <c r="CL1448" t="s">
        <v>4</v>
      </c>
      <c r="CM1448" t="s">
        <v>98</v>
      </c>
      <c r="CN1448" t="s">
        <v>98</v>
      </c>
      <c r="CO1448" t="s">
        <v>99</v>
      </c>
      <c r="CP1448" t="s">
        <v>100</v>
      </c>
      <c r="CQ1448" t="s">
        <v>100</v>
      </c>
      <c r="CR1448" t="s">
        <v>100</v>
      </c>
      <c r="CS1448" t="s">
        <v>101</v>
      </c>
      <c r="CT1448" s="7" t="s">
        <v>152</v>
      </c>
      <c r="CU1448" t="s">
        <v>102</v>
      </c>
      <c r="CV1448" t="s">
        <v>100</v>
      </c>
    </row>
    <row r="1449" spans="1:100">
      <c r="A1449" s="3" t="s">
        <v>16044</v>
      </c>
      <c r="B1449" s="4" t="s">
        <v>16045</v>
      </c>
      <c r="C1449">
        <v>39.980828752417899</v>
      </c>
      <c r="D1449">
        <v>10.888125105957499</v>
      </c>
      <c r="E1449">
        <v>1.8784039984869001</v>
      </c>
      <c r="F1449">
        <v>6.7359182653974295E-2</v>
      </c>
      <c r="G1449" t="s">
        <v>4</v>
      </c>
      <c r="H1449">
        <v>39.980828752417899</v>
      </c>
      <c r="I1449">
        <v>1.1205238550774099</v>
      </c>
      <c r="J1449">
        <v>5.3682413053089197</v>
      </c>
      <c r="K1449">
        <v>1.46616265552381E-4</v>
      </c>
      <c r="L1449" t="s">
        <v>4</v>
      </c>
      <c r="M1449">
        <v>10.888125105957499</v>
      </c>
      <c r="N1449">
        <v>1.1205238550774099</v>
      </c>
      <c r="O1449">
        <v>3.4898373068220199</v>
      </c>
      <c r="P1449">
        <v>1.6707689480380601E-2</v>
      </c>
      <c r="Q1449" t="s">
        <v>4</v>
      </c>
      <c r="R1449" s="4" t="s">
        <v>87</v>
      </c>
      <c r="S1449" t="s">
        <v>4</v>
      </c>
      <c r="T1449" t="s">
        <v>88</v>
      </c>
      <c r="U1449" t="s">
        <v>89</v>
      </c>
      <c r="V1449" t="s">
        <v>90</v>
      </c>
      <c r="W1449" t="s">
        <v>91</v>
      </c>
      <c r="X1449" t="s">
        <v>4</v>
      </c>
      <c r="Y1449" t="s">
        <v>7298</v>
      </c>
      <c r="Z1449" t="s">
        <v>7299</v>
      </c>
      <c r="AA1449" t="s">
        <v>7300</v>
      </c>
      <c r="AB1449" t="s">
        <v>4</v>
      </c>
      <c r="AC1449" s="3" t="s">
        <v>9067</v>
      </c>
      <c r="AD1449" t="s">
        <v>4</v>
      </c>
      <c r="AE1449" s="4" t="s">
        <v>94</v>
      </c>
      <c r="AZ1449" t="s">
        <v>4</v>
      </c>
      <c r="BA1449" s="3" t="s">
        <v>95</v>
      </c>
      <c r="BB1449" t="s">
        <v>96</v>
      </c>
      <c r="BC1449" s="3" t="s">
        <v>95</v>
      </c>
      <c r="BD1449" t="s">
        <v>4</v>
      </c>
      <c r="BE1449">
        <v>791</v>
      </c>
      <c r="BF1449" t="s">
        <v>604</v>
      </c>
      <c r="BG1449">
        <v>63.404299999999999</v>
      </c>
      <c r="CK1449">
        <v>1.5</v>
      </c>
      <c r="CL1449" t="s">
        <v>4</v>
      </c>
      <c r="CM1449" t="s">
        <v>98</v>
      </c>
      <c r="CN1449" t="s">
        <v>98</v>
      </c>
      <c r="CO1449" t="s">
        <v>99</v>
      </c>
      <c r="CP1449" t="s">
        <v>100</v>
      </c>
      <c r="CQ1449" t="s">
        <v>100</v>
      </c>
      <c r="CR1449" t="s">
        <v>100</v>
      </c>
      <c r="CS1449" t="s">
        <v>101</v>
      </c>
      <c r="CT1449" s="7" t="s">
        <v>152</v>
      </c>
      <c r="CU1449" t="s">
        <v>102</v>
      </c>
      <c r="CV1449" t="s">
        <v>100</v>
      </c>
    </row>
    <row r="1450" spans="1:100">
      <c r="A1450" s="3" t="s">
        <v>16046</v>
      </c>
      <c r="B1450" s="4" t="s">
        <v>16047</v>
      </c>
      <c r="C1450">
        <v>21.385803395508798</v>
      </c>
      <c r="D1450">
        <v>8.1319858099676594</v>
      </c>
      <c r="E1450">
        <v>1.40218527515986</v>
      </c>
      <c r="F1450">
        <v>0.228686104709073</v>
      </c>
      <c r="G1450" t="s">
        <v>4</v>
      </c>
      <c r="H1450">
        <v>21.385803395508798</v>
      </c>
      <c r="I1450">
        <v>0.483834107178163</v>
      </c>
      <c r="J1450">
        <v>5.4040850038567401</v>
      </c>
      <c r="K1450">
        <v>9.6938347799662697E-4</v>
      </c>
      <c r="L1450" t="s">
        <v>4</v>
      </c>
      <c r="M1450">
        <v>8.1319858099676594</v>
      </c>
      <c r="N1450">
        <v>0.483834107178163</v>
      </c>
      <c r="O1450">
        <v>4.0018997286968796</v>
      </c>
      <c r="P1450">
        <v>1.6884084322213801E-2</v>
      </c>
      <c r="Q1450" t="s">
        <v>4</v>
      </c>
      <c r="R1450" s="4" t="s">
        <v>87</v>
      </c>
      <c r="S1450" t="s">
        <v>4</v>
      </c>
      <c r="T1450" t="s">
        <v>420</v>
      </c>
      <c r="U1450" t="s">
        <v>421</v>
      </c>
      <c r="V1450" t="s">
        <v>422</v>
      </c>
      <c r="W1450" t="s">
        <v>91</v>
      </c>
      <c r="X1450" t="s">
        <v>4</v>
      </c>
      <c r="Y1450" t="s">
        <v>6345</v>
      </c>
      <c r="Z1450" t="s">
        <v>6346</v>
      </c>
      <c r="AA1450" t="s">
        <v>6347</v>
      </c>
      <c r="AB1450" t="s">
        <v>4</v>
      </c>
      <c r="AC1450" s="3" t="s">
        <v>93</v>
      </c>
      <c r="AD1450" t="s">
        <v>4</v>
      </c>
      <c r="AE1450" s="4" t="s">
        <v>94</v>
      </c>
      <c r="AZ1450" t="s">
        <v>4</v>
      </c>
      <c r="BA1450" s="3" t="s">
        <v>95</v>
      </c>
      <c r="BB1450" t="s">
        <v>96</v>
      </c>
      <c r="BC1450" s="3" t="s">
        <v>782</v>
      </c>
      <c r="BD1450" t="s">
        <v>4</v>
      </c>
      <c r="BE1450">
        <v>1530</v>
      </c>
      <c r="BF1450" t="s">
        <v>151</v>
      </c>
      <c r="BG1450">
        <v>95.567899999999995</v>
      </c>
      <c r="BH1450">
        <v>34.348999999999997</v>
      </c>
      <c r="CK1450">
        <v>2</v>
      </c>
      <c r="CL1450" t="s">
        <v>4</v>
      </c>
      <c r="CM1450" t="s">
        <v>98</v>
      </c>
      <c r="CN1450" t="s">
        <v>98</v>
      </c>
      <c r="CO1450" t="s">
        <v>99</v>
      </c>
      <c r="CP1450" t="s">
        <v>100</v>
      </c>
      <c r="CQ1450" t="s">
        <v>100</v>
      </c>
      <c r="CR1450" t="s">
        <v>100</v>
      </c>
      <c r="CS1450" t="s">
        <v>101</v>
      </c>
      <c r="CT1450" s="7" t="s">
        <v>152</v>
      </c>
      <c r="CU1450" t="s">
        <v>102</v>
      </c>
      <c r="CV1450" t="s">
        <v>100</v>
      </c>
    </row>
    <row r="1451" spans="1:100">
      <c r="A1451" s="3" t="s">
        <v>16048</v>
      </c>
      <c r="B1451" s="4" t="s">
        <v>16049</v>
      </c>
      <c r="C1451">
        <v>48.528094206211399</v>
      </c>
      <c r="D1451">
        <v>25.6912424458259</v>
      </c>
      <c r="E1451">
        <v>0.92515310703676001</v>
      </c>
      <c r="F1451">
        <v>0.116143326011853</v>
      </c>
      <c r="G1451" t="s">
        <v>4</v>
      </c>
      <c r="H1451">
        <v>48.528094206211399</v>
      </c>
      <c r="I1451">
        <v>8.3794921002584708</v>
      </c>
      <c r="J1451">
        <v>2.4822510000159501</v>
      </c>
      <c r="K1451" s="5">
        <v>8.0606013958144096E-5</v>
      </c>
      <c r="L1451" t="s">
        <v>4</v>
      </c>
      <c r="M1451">
        <v>25.6912424458259</v>
      </c>
      <c r="N1451">
        <v>8.3794921002584708</v>
      </c>
      <c r="O1451">
        <v>1.5570978929791901</v>
      </c>
      <c r="P1451">
        <v>1.7633692826124699E-2</v>
      </c>
      <c r="Q1451" t="s">
        <v>4</v>
      </c>
      <c r="R1451" s="4" t="s">
        <v>87</v>
      </c>
      <c r="S1451" t="s">
        <v>4</v>
      </c>
      <c r="T1451" t="s">
        <v>92</v>
      </c>
      <c r="U1451" t="s">
        <v>92</v>
      </c>
      <c r="V1451" t="s">
        <v>92</v>
      </c>
      <c r="W1451" t="s">
        <v>92</v>
      </c>
      <c r="X1451" t="s">
        <v>4</v>
      </c>
      <c r="Y1451" t="s">
        <v>9316</v>
      </c>
      <c r="Z1451" t="s">
        <v>9317</v>
      </c>
      <c r="AA1451" t="s">
        <v>9318</v>
      </c>
      <c r="AB1451" t="s">
        <v>4</v>
      </c>
      <c r="AC1451" s="3" t="s">
        <v>16050</v>
      </c>
      <c r="AD1451" t="s">
        <v>4</v>
      </c>
      <c r="AE1451" t="s">
        <v>16051</v>
      </c>
      <c r="AF1451" t="s">
        <v>16052</v>
      </c>
      <c r="AG1451" t="s">
        <v>16053</v>
      </c>
      <c r="AH1451" t="s">
        <v>314</v>
      </c>
      <c r="AU1451" t="s">
        <v>112</v>
      </c>
      <c r="AV1451" t="s">
        <v>16054</v>
      </c>
      <c r="AW1451" t="s">
        <v>114</v>
      </c>
      <c r="AX1451" t="s">
        <v>144</v>
      </c>
      <c r="AY1451" t="s">
        <v>5621</v>
      </c>
      <c r="AZ1451" t="s">
        <v>4</v>
      </c>
      <c r="BA1451" s="3" t="s">
        <v>95</v>
      </c>
      <c r="BB1451" s="6" t="s">
        <v>95</v>
      </c>
      <c r="BC1451" s="3" t="s">
        <v>95</v>
      </c>
      <c r="BD1451" t="s">
        <v>4</v>
      </c>
      <c r="BE1451">
        <v>2065</v>
      </c>
      <c r="BF1451" t="s">
        <v>148</v>
      </c>
      <c r="BG1451">
        <v>99.447500000000005</v>
      </c>
      <c r="BI1451">
        <v>35.9116</v>
      </c>
      <c r="BJ1451">
        <v>64.640900000000002</v>
      </c>
      <c r="CK1451">
        <v>3</v>
      </c>
      <c r="CL1451" t="s">
        <v>4</v>
      </c>
      <c r="CM1451" t="s">
        <v>98</v>
      </c>
      <c r="CN1451" t="s">
        <v>98</v>
      </c>
      <c r="CO1451" t="s">
        <v>99</v>
      </c>
      <c r="CP1451" t="s">
        <v>100</v>
      </c>
      <c r="CQ1451" t="s">
        <v>100</v>
      </c>
      <c r="CR1451" t="s">
        <v>100</v>
      </c>
      <c r="CS1451" t="s">
        <v>101</v>
      </c>
      <c r="CT1451" s="7" t="s">
        <v>152</v>
      </c>
      <c r="CU1451" t="s">
        <v>102</v>
      </c>
      <c r="CV1451" t="s">
        <v>100</v>
      </c>
    </row>
    <row r="1452" spans="1:100">
      <c r="A1452" s="3" t="s">
        <v>16055</v>
      </c>
      <c r="B1452" s="4" t="s">
        <v>16056</v>
      </c>
      <c r="C1452">
        <v>18.562823445023898</v>
      </c>
      <c r="D1452">
        <v>10.1075705485767</v>
      </c>
      <c r="E1452">
        <v>0.88298258570349497</v>
      </c>
      <c r="F1452">
        <v>0.39229161130399398</v>
      </c>
      <c r="G1452" t="s">
        <v>4</v>
      </c>
      <c r="H1452">
        <v>18.562823445023898</v>
      </c>
      <c r="I1452">
        <v>1.1205238550774099</v>
      </c>
      <c r="J1452">
        <v>4.26722183535216</v>
      </c>
      <c r="K1452">
        <v>2.4450167594109698E-3</v>
      </c>
      <c r="L1452" t="s">
        <v>4</v>
      </c>
      <c r="M1452">
        <v>10.1075705485767</v>
      </c>
      <c r="N1452">
        <v>1.1205238550774099</v>
      </c>
      <c r="O1452">
        <v>3.3842392496486702</v>
      </c>
      <c r="P1452">
        <v>1.8185104054784601E-2</v>
      </c>
      <c r="Q1452" t="s">
        <v>4</v>
      </c>
      <c r="R1452" s="4" t="s">
        <v>87</v>
      </c>
      <c r="S1452" t="s">
        <v>4</v>
      </c>
      <c r="T1452" t="s">
        <v>92</v>
      </c>
      <c r="U1452" t="s">
        <v>92</v>
      </c>
      <c r="V1452" t="s">
        <v>92</v>
      </c>
      <c r="W1452" t="s">
        <v>92</v>
      </c>
      <c r="X1452" t="s">
        <v>4</v>
      </c>
      <c r="Y1452" t="s">
        <v>92</v>
      </c>
      <c r="Z1452" t="s">
        <v>92</v>
      </c>
      <c r="AA1452" t="s">
        <v>92</v>
      </c>
      <c r="AB1452" t="s">
        <v>4</v>
      </c>
      <c r="AC1452" s="3" t="s">
        <v>93</v>
      </c>
      <c r="AD1452" t="s">
        <v>4</v>
      </c>
      <c r="AE1452" s="4" t="s">
        <v>94</v>
      </c>
      <c r="AZ1452" t="s">
        <v>4</v>
      </c>
      <c r="BA1452" s="3" t="s">
        <v>95</v>
      </c>
      <c r="BB1452" s="6" t="s">
        <v>95</v>
      </c>
      <c r="BC1452" s="3" t="s">
        <v>95</v>
      </c>
      <c r="BD1452" t="s">
        <v>4</v>
      </c>
      <c r="BE1452">
        <v>1679</v>
      </c>
      <c r="BF1452" t="s">
        <v>151</v>
      </c>
      <c r="BG1452">
        <v>63.398699999999998</v>
      </c>
      <c r="BH1452">
        <v>93.464100000000002</v>
      </c>
      <c r="CK1452">
        <v>2</v>
      </c>
      <c r="CL1452" t="s">
        <v>4</v>
      </c>
      <c r="CM1452" t="s">
        <v>98</v>
      </c>
      <c r="CN1452" t="s">
        <v>98</v>
      </c>
      <c r="CO1452" t="s">
        <v>99</v>
      </c>
      <c r="CP1452" t="s">
        <v>100</v>
      </c>
      <c r="CQ1452" t="s">
        <v>100</v>
      </c>
      <c r="CR1452" t="s">
        <v>100</v>
      </c>
      <c r="CS1452" t="s">
        <v>101</v>
      </c>
      <c r="CT1452" s="7" t="s">
        <v>152</v>
      </c>
      <c r="CU1452" t="s">
        <v>102</v>
      </c>
      <c r="CV1452" t="s">
        <v>100</v>
      </c>
    </row>
    <row r="1453" spans="1:100">
      <c r="A1453" s="3" t="s">
        <v>16057</v>
      </c>
      <c r="B1453" s="4" t="s">
        <v>16058</v>
      </c>
      <c r="C1453">
        <v>8.7688924507846302</v>
      </c>
      <c r="D1453">
        <v>5.4872409003312903</v>
      </c>
      <c r="E1453">
        <v>0.69123880450821396</v>
      </c>
      <c r="F1453">
        <v>0.66032873143224902</v>
      </c>
      <c r="G1453" t="s">
        <v>4</v>
      </c>
      <c r="H1453">
        <v>8.7688924507846302</v>
      </c>
      <c r="I1453">
        <v>0</v>
      </c>
      <c r="J1453">
        <v>5.0759104170656002</v>
      </c>
      <c r="K1453">
        <v>5.7494304240049499E-3</v>
      </c>
      <c r="L1453" t="s">
        <v>4</v>
      </c>
      <c r="M1453">
        <v>5.4872409003312903</v>
      </c>
      <c r="N1453">
        <v>0</v>
      </c>
      <c r="O1453">
        <v>4.3846716125573799</v>
      </c>
      <c r="P1453">
        <v>1.8506260302143099E-2</v>
      </c>
      <c r="Q1453" t="s">
        <v>4</v>
      </c>
      <c r="R1453" s="4" t="s">
        <v>87</v>
      </c>
      <c r="S1453" t="s">
        <v>4</v>
      </c>
      <c r="T1453" t="s">
        <v>92</v>
      </c>
      <c r="U1453" t="s">
        <v>92</v>
      </c>
      <c r="V1453" t="s">
        <v>92</v>
      </c>
      <c r="W1453" t="s">
        <v>92</v>
      </c>
      <c r="X1453" t="s">
        <v>4</v>
      </c>
      <c r="Y1453" t="s">
        <v>92</v>
      </c>
      <c r="Z1453" t="s">
        <v>92</v>
      </c>
      <c r="AA1453" t="s">
        <v>92</v>
      </c>
      <c r="AB1453" t="s">
        <v>4</v>
      </c>
      <c r="AC1453" s="3" t="s">
        <v>93</v>
      </c>
      <c r="AD1453" t="s">
        <v>4</v>
      </c>
      <c r="AE1453" t="s">
        <v>16059</v>
      </c>
      <c r="AF1453" t="s">
        <v>16060</v>
      </c>
      <c r="AG1453" t="s">
        <v>16061</v>
      </c>
      <c r="AH1453" t="s">
        <v>112</v>
      </c>
      <c r="AU1453" t="s">
        <v>112</v>
      </c>
      <c r="AV1453" t="s">
        <v>16062</v>
      </c>
      <c r="AW1453" t="s">
        <v>114</v>
      </c>
      <c r="AZ1453" t="s">
        <v>4</v>
      </c>
      <c r="BA1453" s="3" t="s">
        <v>95</v>
      </c>
      <c r="BB1453" s="6" t="s">
        <v>95</v>
      </c>
      <c r="BC1453" s="3" t="s">
        <v>95</v>
      </c>
      <c r="BD1453" t="s">
        <v>4</v>
      </c>
      <c r="BE1453">
        <v>4673</v>
      </c>
      <c r="BF1453" t="s">
        <v>112</v>
      </c>
      <c r="BJ1453">
        <v>35.393300000000004</v>
      </c>
      <c r="BK1453">
        <v>53.370800000000003</v>
      </c>
      <c r="BL1453">
        <v>30.3371</v>
      </c>
      <c r="BN1453">
        <v>47.752800000000001</v>
      </c>
      <c r="BO1453" t="s">
        <v>16063</v>
      </c>
      <c r="BP1453">
        <v>51.685400000000001</v>
      </c>
      <c r="BR1453">
        <v>38.202199999999998</v>
      </c>
      <c r="BS1453" t="s">
        <v>16064</v>
      </c>
      <c r="CK1453">
        <v>5</v>
      </c>
      <c r="CL1453" t="s">
        <v>4</v>
      </c>
      <c r="CM1453" t="s">
        <v>98</v>
      </c>
      <c r="CN1453" t="s">
        <v>98</v>
      </c>
      <c r="CO1453" t="s">
        <v>99</v>
      </c>
      <c r="CP1453" t="s">
        <v>100</v>
      </c>
      <c r="CQ1453" t="s">
        <v>100</v>
      </c>
      <c r="CR1453" t="s">
        <v>100</v>
      </c>
      <c r="CS1453" t="s">
        <v>101</v>
      </c>
      <c r="CT1453" s="7" t="s">
        <v>152</v>
      </c>
      <c r="CU1453" t="s">
        <v>102</v>
      </c>
      <c r="CV1453" t="s">
        <v>100</v>
      </c>
    </row>
    <row r="1454" spans="1:100">
      <c r="A1454" s="3" t="s">
        <v>16065</v>
      </c>
      <c r="B1454" s="4" t="s">
        <v>16066</v>
      </c>
      <c r="C1454">
        <v>12.395056246779999</v>
      </c>
      <c r="D1454">
        <v>6.4629568438499101</v>
      </c>
      <c r="E1454">
        <v>0.95017879114899995</v>
      </c>
      <c r="F1454">
        <v>0.36645828192468499</v>
      </c>
      <c r="G1454" t="s">
        <v>4</v>
      </c>
      <c r="H1454">
        <v>12.395056246779999</v>
      </c>
      <c r="I1454">
        <v>0.63668974789924304</v>
      </c>
      <c r="J1454">
        <v>4.6187996766519896</v>
      </c>
      <c r="K1454">
        <v>3.12114184235911E-3</v>
      </c>
      <c r="L1454" t="s">
        <v>4</v>
      </c>
      <c r="M1454">
        <v>6.4629568438499101</v>
      </c>
      <c r="N1454">
        <v>0.63668974789924304</v>
      </c>
      <c r="O1454">
        <v>3.6686208855029898</v>
      </c>
      <c r="P1454">
        <v>2.1718560463246401E-2</v>
      </c>
      <c r="Q1454" t="s">
        <v>4</v>
      </c>
      <c r="R1454" s="4" t="s">
        <v>87</v>
      </c>
      <c r="S1454" t="s">
        <v>4</v>
      </c>
      <c r="T1454" t="s">
        <v>16067</v>
      </c>
      <c r="U1454" t="s">
        <v>16068</v>
      </c>
      <c r="V1454" t="s">
        <v>16069</v>
      </c>
      <c r="W1454" t="s">
        <v>203</v>
      </c>
      <c r="X1454" t="s">
        <v>4</v>
      </c>
      <c r="Y1454" t="s">
        <v>16070</v>
      </c>
      <c r="Z1454" t="s">
        <v>16071</v>
      </c>
      <c r="AA1454" t="s">
        <v>16072</v>
      </c>
      <c r="AB1454" t="s">
        <v>4</v>
      </c>
      <c r="AC1454" s="3" t="s">
        <v>16073</v>
      </c>
      <c r="AD1454" t="s">
        <v>4</v>
      </c>
      <c r="AE1454" t="s">
        <v>16074</v>
      </c>
      <c r="AF1454" t="s">
        <v>16075</v>
      </c>
      <c r="AG1454" t="s">
        <v>6503</v>
      </c>
      <c r="AH1454" t="s">
        <v>112</v>
      </c>
      <c r="AK1454" t="s">
        <v>16076</v>
      </c>
      <c r="AL1454" t="s">
        <v>16077</v>
      </c>
      <c r="AM1454" t="s">
        <v>16078</v>
      </c>
      <c r="AN1454" t="s">
        <v>16079</v>
      </c>
      <c r="AO1454" t="s">
        <v>16080</v>
      </c>
      <c r="AP1454" t="s">
        <v>16081</v>
      </c>
      <c r="AQ1454" t="s">
        <v>2744</v>
      </c>
      <c r="AU1454" t="s">
        <v>112</v>
      </c>
      <c r="AV1454" t="s">
        <v>16082</v>
      </c>
      <c r="AW1454" t="s">
        <v>114</v>
      </c>
      <c r="AX1454" t="s">
        <v>1308</v>
      </c>
      <c r="AY1454" t="s">
        <v>16083</v>
      </c>
      <c r="AZ1454" t="s">
        <v>4</v>
      </c>
      <c r="BA1454" s="3" t="s">
        <v>95</v>
      </c>
      <c r="BB1454" s="6" t="s">
        <v>95</v>
      </c>
      <c r="BC1454" s="3" t="s">
        <v>95</v>
      </c>
      <c r="BD1454" t="s">
        <v>4</v>
      </c>
      <c r="BE1454">
        <v>10359</v>
      </c>
      <c r="BF1454" t="s">
        <v>169</v>
      </c>
      <c r="BG1454">
        <v>95.7179</v>
      </c>
      <c r="BH1454">
        <v>28.967300000000002</v>
      </c>
      <c r="BI1454">
        <v>94.962199999999996</v>
      </c>
      <c r="BJ1454">
        <v>84.382900000000006</v>
      </c>
      <c r="BL1454">
        <v>32.493699999999997</v>
      </c>
      <c r="BO1454">
        <v>76.8262</v>
      </c>
      <c r="BP1454" t="s">
        <v>16084</v>
      </c>
      <c r="BQ1454">
        <v>58.690199999999997</v>
      </c>
      <c r="BR1454" t="s">
        <v>16085</v>
      </c>
      <c r="BS1454" t="s">
        <v>16086</v>
      </c>
      <c r="BT1454">
        <v>56.6751</v>
      </c>
      <c r="BU1454">
        <v>49.622199999999999</v>
      </c>
      <c r="BV1454" t="s">
        <v>16087</v>
      </c>
      <c r="BW1454">
        <v>56.423200000000001</v>
      </c>
      <c r="BX1454">
        <v>56.927</v>
      </c>
      <c r="BZ1454">
        <v>55.163699999999999</v>
      </c>
      <c r="CA1454">
        <v>58.942100000000003</v>
      </c>
      <c r="CB1454">
        <v>34.508800000000001</v>
      </c>
      <c r="CC1454" t="s">
        <v>16088</v>
      </c>
      <c r="CD1454">
        <v>48.362699999999997</v>
      </c>
      <c r="CE1454">
        <v>48.110799999999998</v>
      </c>
      <c r="CF1454" t="s">
        <v>16089</v>
      </c>
      <c r="CG1454" t="s">
        <v>16090</v>
      </c>
      <c r="CH1454" t="s">
        <v>16091</v>
      </c>
      <c r="CI1454" t="s">
        <v>16092</v>
      </c>
      <c r="CJ1454">
        <v>47.103299999999997</v>
      </c>
      <c r="CK1454">
        <v>9</v>
      </c>
      <c r="CL1454" t="s">
        <v>4</v>
      </c>
      <c r="CM1454" t="s">
        <v>16093</v>
      </c>
      <c r="CN1454" t="s">
        <v>16094</v>
      </c>
      <c r="CO1454" t="s">
        <v>99</v>
      </c>
      <c r="CP1454" t="s">
        <v>100</v>
      </c>
      <c r="CQ1454" t="s">
        <v>100</v>
      </c>
      <c r="CR1454" t="s">
        <v>100</v>
      </c>
      <c r="CS1454" t="s">
        <v>101</v>
      </c>
      <c r="CT1454" s="7" t="s">
        <v>152</v>
      </c>
      <c r="CU1454" t="s">
        <v>102</v>
      </c>
      <c r="CV1454" t="s">
        <v>100</v>
      </c>
    </row>
    <row r="1455" spans="1:100">
      <c r="A1455" s="3" t="s">
        <v>16095</v>
      </c>
      <c r="B1455" s="4" t="s">
        <v>16096</v>
      </c>
      <c r="C1455">
        <v>218.56071010350399</v>
      </c>
      <c r="D1455">
        <v>112.700438255919</v>
      </c>
      <c r="E1455">
        <v>0.95319038380687104</v>
      </c>
      <c r="F1455">
        <v>4.3479556647397999E-2</v>
      </c>
      <c r="G1455" t="s">
        <v>4</v>
      </c>
      <c r="H1455">
        <v>218.56071010350399</v>
      </c>
      <c r="I1455">
        <v>52.975110596360302</v>
      </c>
      <c r="J1455">
        <v>2.0361747476922401</v>
      </c>
      <c r="K1455" s="5">
        <v>7.845611536587E-6</v>
      </c>
      <c r="L1455" t="s">
        <v>4</v>
      </c>
      <c r="M1455">
        <v>112.700438255919</v>
      </c>
      <c r="N1455">
        <v>52.975110596360302</v>
      </c>
      <c r="O1455">
        <v>1.08298436388536</v>
      </c>
      <c r="P1455">
        <v>2.23913002809106E-2</v>
      </c>
      <c r="Q1455" t="s">
        <v>4</v>
      </c>
      <c r="R1455" s="4" t="s">
        <v>87</v>
      </c>
      <c r="S1455" t="s">
        <v>4</v>
      </c>
      <c r="T1455" t="s">
        <v>16097</v>
      </c>
      <c r="U1455" t="s">
        <v>16098</v>
      </c>
      <c r="V1455" t="s">
        <v>16099</v>
      </c>
      <c r="W1455" t="s">
        <v>328</v>
      </c>
      <c r="X1455" t="s">
        <v>4</v>
      </c>
      <c r="Y1455" t="s">
        <v>16100</v>
      </c>
      <c r="Z1455" t="s">
        <v>16101</v>
      </c>
      <c r="AA1455" t="s">
        <v>16102</v>
      </c>
      <c r="AB1455" t="s">
        <v>4</v>
      </c>
      <c r="AC1455" s="3" t="s">
        <v>16103</v>
      </c>
      <c r="AD1455" t="s">
        <v>4</v>
      </c>
      <c r="AE1455" t="s">
        <v>16104</v>
      </c>
      <c r="AF1455" t="s">
        <v>16105</v>
      </c>
      <c r="AG1455" t="s">
        <v>16106</v>
      </c>
      <c r="AH1455" t="s">
        <v>112</v>
      </c>
      <c r="AU1455" t="s">
        <v>112</v>
      </c>
      <c r="AV1455" t="s">
        <v>16107</v>
      </c>
      <c r="AW1455" t="s">
        <v>114</v>
      </c>
      <c r="AX1455" t="s">
        <v>132</v>
      </c>
      <c r="AY1455" t="s">
        <v>16108</v>
      </c>
      <c r="AZ1455" t="s">
        <v>4</v>
      </c>
      <c r="BA1455" s="3" t="s">
        <v>95</v>
      </c>
      <c r="BB1455" s="6" t="s">
        <v>95</v>
      </c>
      <c r="BC1455" s="3" t="s">
        <v>95</v>
      </c>
      <c r="BD1455" t="s">
        <v>4</v>
      </c>
      <c r="BE1455">
        <v>7012</v>
      </c>
      <c r="BF1455" t="s">
        <v>213</v>
      </c>
      <c r="BG1455">
        <v>87.356300000000005</v>
      </c>
      <c r="BH1455">
        <v>88.505700000000004</v>
      </c>
      <c r="BI1455">
        <v>81.609200000000001</v>
      </c>
      <c r="BJ1455">
        <v>58.8506</v>
      </c>
      <c r="BK1455">
        <v>69.195400000000006</v>
      </c>
      <c r="BL1455">
        <v>72.413799999999995</v>
      </c>
      <c r="BM1455">
        <v>77.701099999999997</v>
      </c>
      <c r="BN1455">
        <v>76.781599999999997</v>
      </c>
      <c r="BP1455">
        <v>48.735599999999998</v>
      </c>
      <c r="BQ1455">
        <v>39.540199999999999</v>
      </c>
      <c r="BR1455">
        <v>42.298900000000003</v>
      </c>
      <c r="BS1455">
        <v>38.8506</v>
      </c>
      <c r="BT1455">
        <v>37.701099999999997</v>
      </c>
      <c r="BU1455">
        <v>32.643700000000003</v>
      </c>
      <c r="BV1455" t="s">
        <v>16109</v>
      </c>
      <c r="BW1455">
        <v>34.942500000000003</v>
      </c>
      <c r="BX1455">
        <v>40</v>
      </c>
      <c r="BY1455">
        <v>34.942500000000003</v>
      </c>
      <c r="BZ1455">
        <v>38.620699999999999</v>
      </c>
      <c r="CA1455">
        <v>39.080500000000001</v>
      </c>
      <c r="CB1455" t="s">
        <v>16110</v>
      </c>
      <c r="CF1455" t="s">
        <v>16111</v>
      </c>
      <c r="CG1455">
        <v>32.643700000000003</v>
      </c>
      <c r="CH1455">
        <v>32.183900000000001</v>
      </c>
      <c r="CI1455" t="s">
        <v>16112</v>
      </c>
      <c r="CK1455">
        <v>8</v>
      </c>
      <c r="CL1455" t="s">
        <v>4</v>
      </c>
      <c r="CM1455" t="s">
        <v>16113</v>
      </c>
      <c r="CN1455" t="s">
        <v>16114</v>
      </c>
      <c r="CO1455" t="s">
        <v>219</v>
      </c>
      <c r="CP1455" t="s">
        <v>100</v>
      </c>
      <c r="CQ1455" t="s">
        <v>100</v>
      </c>
      <c r="CR1455" t="s">
        <v>100</v>
      </c>
      <c r="CS1455" t="s">
        <v>101</v>
      </c>
      <c r="CT1455" s="7" t="s">
        <v>152</v>
      </c>
      <c r="CU1455" t="s">
        <v>102</v>
      </c>
      <c r="CV1455" t="s">
        <v>100</v>
      </c>
    </row>
    <row r="1456" spans="1:100">
      <c r="A1456" s="3" t="s">
        <v>16115</v>
      </c>
      <c r="B1456" s="4" t="s">
        <v>16116</v>
      </c>
      <c r="C1456">
        <v>19.6048714976417</v>
      </c>
      <c r="D1456">
        <v>9.5514965378164192</v>
      </c>
      <c r="E1456">
        <v>1.04961861126793</v>
      </c>
      <c r="F1456">
        <v>0.47865733363038598</v>
      </c>
      <c r="G1456" t="s">
        <v>4</v>
      </c>
      <c r="H1456">
        <v>19.6048714976417</v>
      </c>
      <c r="I1456">
        <v>0.337017752855924</v>
      </c>
      <c r="J1456">
        <v>5.2802012694432898</v>
      </c>
      <c r="K1456">
        <v>3.90172849445536E-3</v>
      </c>
      <c r="L1456" t="s">
        <v>4</v>
      </c>
      <c r="M1456">
        <v>9.5514965378164192</v>
      </c>
      <c r="N1456">
        <v>0.337017752855924</v>
      </c>
      <c r="O1456">
        <v>4.2305826581753596</v>
      </c>
      <c r="P1456">
        <v>2.26396769173621E-2</v>
      </c>
      <c r="Q1456" t="s">
        <v>4</v>
      </c>
      <c r="R1456" s="4" t="s">
        <v>87</v>
      </c>
      <c r="S1456" t="s">
        <v>4</v>
      </c>
      <c r="T1456" t="s">
        <v>2325</v>
      </c>
      <c r="U1456" t="s">
        <v>2326</v>
      </c>
      <c r="V1456" t="s">
        <v>2327</v>
      </c>
      <c r="W1456" t="s">
        <v>203</v>
      </c>
      <c r="X1456" t="s">
        <v>4</v>
      </c>
      <c r="Y1456" t="s">
        <v>3224</v>
      </c>
      <c r="Z1456" t="s">
        <v>3225</v>
      </c>
      <c r="AA1456" t="s">
        <v>3226</v>
      </c>
      <c r="AB1456" t="s">
        <v>4</v>
      </c>
      <c r="AC1456" s="3" t="s">
        <v>1962</v>
      </c>
      <c r="AD1456" t="s">
        <v>4</v>
      </c>
      <c r="AE1456" t="s">
        <v>16117</v>
      </c>
      <c r="AF1456" t="s">
        <v>16118</v>
      </c>
      <c r="AG1456" t="s">
        <v>16119</v>
      </c>
      <c r="AH1456" t="s">
        <v>314</v>
      </c>
      <c r="AU1456" t="s">
        <v>112</v>
      </c>
      <c r="AV1456" t="s">
        <v>16120</v>
      </c>
      <c r="AW1456" t="s">
        <v>114</v>
      </c>
      <c r="AX1456" t="s">
        <v>132</v>
      </c>
      <c r="AY1456" t="s">
        <v>16121</v>
      </c>
      <c r="AZ1456" t="s">
        <v>4</v>
      </c>
      <c r="BA1456" s="3" t="s">
        <v>95</v>
      </c>
      <c r="BB1456" s="6" t="s">
        <v>95</v>
      </c>
      <c r="BC1456" s="3" t="s">
        <v>95</v>
      </c>
      <c r="BD1456" t="s">
        <v>4</v>
      </c>
      <c r="BE1456">
        <v>4237</v>
      </c>
      <c r="BF1456" t="s">
        <v>112</v>
      </c>
      <c r="BG1456">
        <v>77.441900000000004</v>
      </c>
      <c r="BJ1456">
        <v>78.837199999999996</v>
      </c>
      <c r="BK1456">
        <v>55.348799999999997</v>
      </c>
      <c r="BP1456">
        <v>54.883699999999997</v>
      </c>
      <c r="CK1456">
        <v>5</v>
      </c>
      <c r="CL1456" t="s">
        <v>4</v>
      </c>
      <c r="CM1456" t="s">
        <v>98</v>
      </c>
      <c r="CN1456" t="s">
        <v>98</v>
      </c>
      <c r="CO1456" t="s">
        <v>99</v>
      </c>
      <c r="CP1456" t="s">
        <v>100</v>
      </c>
      <c r="CQ1456" t="s">
        <v>100</v>
      </c>
      <c r="CR1456" t="s">
        <v>100</v>
      </c>
      <c r="CS1456" t="s">
        <v>101</v>
      </c>
      <c r="CT1456" s="7" t="s">
        <v>152</v>
      </c>
      <c r="CU1456" t="s">
        <v>102</v>
      </c>
      <c r="CV1456" t="s">
        <v>100</v>
      </c>
    </row>
    <row r="1457" spans="1:100">
      <c r="A1457" s="3" t="s">
        <v>16122</v>
      </c>
      <c r="B1457" s="4" t="s">
        <v>16123</v>
      </c>
      <c r="C1457">
        <v>9.0631634071397702</v>
      </c>
      <c r="D1457">
        <v>5.3037524730609604</v>
      </c>
      <c r="E1457">
        <v>0.78610958839312695</v>
      </c>
      <c r="F1457">
        <v>0.62861737118040995</v>
      </c>
      <c r="G1457" t="s">
        <v>4</v>
      </c>
      <c r="H1457">
        <v>9.0631634071397702</v>
      </c>
      <c r="I1457">
        <v>0</v>
      </c>
      <c r="J1457">
        <v>5.1297917766420298</v>
      </c>
      <c r="K1457">
        <v>6.3607738838556901E-3</v>
      </c>
      <c r="L1457" t="s">
        <v>4</v>
      </c>
      <c r="M1457">
        <v>5.3037524730609604</v>
      </c>
      <c r="N1457">
        <v>0</v>
      </c>
      <c r="O1457">
        <v>4.3436821882489101</v>
      </c>
      <c r="P1457">
        <v>2.2936510251455301E-2</v>
      </c>
      <c r="Q1457" t="s">
        <v>4</v>
      </c>
      <c r="R1457" s="4" t="s">
        <v>87</v>
      </c>
      <c r="S1457" t="s">
        <v>4</v>
      </c>
      <c r="T1457" t="s">
        <v>92</v>
      </c>
      <c r="U1457" t="s">
        <v>92</v>
      </c>
      <c r="V1457" t="s">
        <v>92</v>
      </c>
      <c r="W1457" t="s">
        <v>92</v>
      </c>
      <c r="X1457" t="s">
        <v>4</v>
      </c>
      <c r="Y1457" t="s">
        <v>92</v>
      </c>
      <c r="Z1457" t="s">
        <v>92</v>
      </c>
      <c r="AA1457" t="s">
        <v>92</v>
      </c>
      <c r="AB1457" t="s">
        <v>4</v>
      </c>
      <c r="AC1457" s="3" t="s">
        <v>93</v>
      </c>
      <c r="AD1457" t="s">
        <v>4</v>
      </c>
      <c r="AE1457" s="4" t="s">
        <v>94</v>
      </c>
      <c r="AZ1457" t="s">
        <v>4</v>
      </c>
      <c r="BA1457" s="3" t="s">
        <v>95</v>
      </c>
      <c r="BB1457" s="6" t="s">
        <v>95</v>
      </c>
      <c r="BC1457" s="3" t="s">
        <v>197</v>
      </c>
      <c r="BD1457" t="s">
        <v>4</v>
      </c>
      <c r="BE1457">
        <v>619</v>
      </c>
      <c r="BF1457" t="s">
        <v>322</v>
      </c>
      <c r="CK1457">
        <v>1</v>
      </c>
      <c r="CL1457" t="s">
        <v>4</v>
      </c>
      <c r="CM1457" t="s">
        <v>98</v>
      </c>
      <c r="CN1457" t="s">
        <v>98</v>
      </c>
      <c r="CO1457" t="s">
        <v>99</v>
      </c>
      <c r="CP1457" t="s">
        <v>100</v>
      </c>
      <c r="CQ1457" t="s">
        <v>100</v>
      </c>
      <c r="CR1457" t="s">
        <v>100</v>
      </c>
      <c r="CS1457" t="s">
        <v>101</v>
      </c>
      <c r="CT1457" s="7" t="s">
        <v>152</v>
      </c>
      <c r="CU1457" t="s">
        <v>102</v>
      </c>
      <c r="CV1457" t="s">
        <v>100</v>
      </c>
    </row>
    <row r="1458" spans="1:100">
      <c r="A1458" s="3" t="s">
        <v>16124</v>
      </c>
      <c r="B1458" s="4" t="s">
        <v>16125</v>
      </c>
      <c r="C1458">
        <v>46.983786804167003</v>
      </c>
      <c r="D1458">
        <v>15.662624020990499</v>
      </c>
      <c r="E1458">
        <v>1.58337522501214</v>
      </c>
      <c r="F1458">
        <v>0.10001064084557799</v>
      </c>
      <c r="G1458" t="s">
        <v>4</v>
      </c>
      <c r="H1458">
        <v>46.983786804167003</v>
      </c>
      <c r="I1458">
        <v>3.1834487394962201</v>
      </c>
      <c r="J1458">
        <v>4.1347368735515504</v>
      </c>
      <c r="K1458">
        <v>1.33887660504458E-4</v>
      </c>
      <c r="L1458" t="s">
        <v>4</v>
      </c>
      <c r="M1458">
        <v>15.662624020990499</v>
      </c>
      <c r="N1458">
        <v>3.1834487394962201</v>
      </c>
      <c r="O1458">
        <v>2.5513616485394102</v>
      </c>
      <c r="P1458">
        <v>2.3153030236208801E-2</v>
      </c>
      <c r="Q1458" t="s">
        <v>4</v>
      </c>
      <c r="R1458" s="4" t="s">
        <v>87</v>
      </c>
      <c r="S1458" t="s">
        <v>4</v>
      </c>
      <c r="T1458" t="s">
        <v>16126</v>
      </c>
      <c r="U1458" t="s">
        <v>16127</v>
      </c>
      <c r="V1458" t="s">
        <v>16128</v>
      </c>
      <c r="W1458" t="s">
        <v>328</v>
      </c>
      <c r="X1458" t="s">
        <v>4</v>
      </c>
      <c r="Y1458" t="s">
        <v>11199</v>
      </c>
      <c r="Z1458" t="s">
        <v>11200</v>
      </c>
      <c r="AA1458" t="s">
        <v>11201</v>
      </c>
      <c r="AB1458" t="s">
        <v>4</v>
      </c>
      <c r="AC1458" s="3" t="s">
        <v>16129</v>
      </c>
      <c r="AD1458" t="s">
        <v>4</v>
      </c>
      <c r="AE1458" t="s">
        <v>16130</v>
      </c>
      <c r="AF1458" t="s">
        <v>16131</v>
      </c>
      <c r="AG1458" t="s">
        <v>16132</v>
      </c>
      <c r="AH1458" t="s">
        <v>112</v>
      </c>
      <c r="AJ1458" t="s">
        <v>16133</v>
      </c>
      <c r="AU1458" t="s">
        <v>112</v>
      </c>
      <c r="AV1458" t="s">
        <v>16134</v>
      </c>
      <c r="AW1458" t="s">
        <v>114</v>
      </c>
      <c r="AX1458" t="s">
        <v>371</v>
      </c>
      <c r="AY1458" t="s">
        <v>16135</v>
      </c>
      <c r="AZ1458" t="s">
        <v>4</v>
      </c>
      <c r="BA1458" s="3" t="s">
        <v>95</v>
      </c>
      <c r="BB1458" s="6" t="s">
        <v>95</v>
      </c>
      <c r="BC1458" s="3" t="s">
        <v>95</v>
      </c>
      <c r="BD1458" t="s">
        <v>4</v>
      </c>
      <c r="BE1458">
        <v>8031</v>
      </c>
      <c r="BF1458" t="s">
        <v>213</v>
      </c>
      <c r="BG1458">
        <v>99.530500000000004</v>
      </c>
      <c r="BH1458">
        <v>100</v>
      </c>
      <c r="BJ1458">
        <v>90.610299999999995</v>
      </c>
      <c r="BK1458">
        <v>81.690100000000001</v>
      </c>
      <c r="BL1458">
        <v>84.507000000000005</v>
      </c>
      <c r="BM1458">
        <v>84.507000000000005</v>
      </c>
      <c r="BN1458">
        <v>83.568100000000001</v>
      </c>
      <c r="BO1458">
        <v>87.793400000000005</v>
      </c>
      <c r="BP1458">
        <v>30.985900000000001</v>
      </c>
      <c r="BQ1458">
        <v>42.253500000000003</v>
      </c>
      <c r="BR1458">
        <v>30.985900000000001</v>
      </c>
      <c r="BS1458">
        <v>32.863799999999998</v>
      </c>
      <c r="BU1458">
        <v>32.863799999999998</v>
      </c>
      <c r="BV1458">
        <v>29.108000000000001</v>
      </c>
      <c r="BW1458">
        <v>47.4178</v>
      </c>
      <c r="BX1458">
        <v>47.4178</v>
      </c>
      <c r="BZ1458">
        <v>43.661999999999999</v>
      </c>
      <c r="CA1458">
        <v>40.845100000000002</v>
      </c>
      <c r="CC1458" t="s">
        <v>16136</v>
      </c>
      <c r="CD1458" t="s">
        <v>16137</v>
      </c>
      <c r="CF1458">
        <v>35.680799999999998</v>
      </c>
      <c r="CG1458" t="s">
        <v>16138</v>
      </c>
      <c r="CH1458" t="s">
        <v>16139</v>
      </c>
      <c r="CI1458" t="s">
        <v>16140</v>
      </c>
      <c r="CK1458">
        <v>8</v>
      </c>
      <c r="CL1458" t="s">
        <v>4</v>
      </c>
      <c r="CM1458" t="s">
        <v>16141</v>
      </c>
      <c r="CN1458" t="s">
        <v>16142</v>
      </c>
      <c r="CO1458" t="s">
        <v>219</v>
      </c>
      <c r="CP1458" t="s">
        <v>100</v>
      </c>
      <c r="CQ1458" t="s">
        <v>100</v>
      </c>
      <c r="CR1458" t="s">
        <v>100</v>
      </c>
      <c r="CS1458" t="s">
        <v>101</v>
      </c>
      <c r="CT1458" s="7" t="s">
        <v>152</v>
      </c>
      <c r="CU1458" t="s">
        <v>102</v>
      </c>
      <c r="CV1458" t="s">
        <v>100</v>
      </c>
    </row>
    <row r="1459" spans="1:100">
      <c r="A1459" s="3" t="s">
        <v>16143</v>
      </c>
      <c r="B1459" s="4" t="s">
        <v>16144</v>
      </c>
      <c r="C1459">
        <v>50.819151334068899</v>
      </c>
      <c r="D1459">
        <v>26.161766695718001</v>
      </c>
      <c r="E1459">
        <v>0.96095101706060304</v>
      </c>
      <c r="F1459">
        <v>0.26624502610544298</v>
      </c>
      <c r="G1459" t="s">
        <v>4</v>
      </c>
      <c r="H1459">
        <v>50.819151334068899</v>
      </c>
      <c r="I1459">
        <v>6.1864120832053304</v>
      </c>
      <c r="J1459">
        <v>3.0083065614780602</v>
      </c>
      <c r="K1459">
        <v>6.6005038069561395E-4</v>
      </c>
      <c r="L1459" t="s">
        <v>4</v>
      </c>
      <c r="M1459">
        <v>26.161766695718001</v>
      </c>
      <c r="N1459">
        <v>6.1864120832053304</v>
      </c>
      <c r="O1459">
        <v>2.04735554441746</v>
      </c>
      <c r="P1459">
        <v>2.4117491634821998E-2</v>
      </c>
      <c r="Q1459" t="s">
        <v>4</v>
      </c>
      <c r="R1459" s="4" t="s">
        <v>87</v>
      </c>
      <c r="S1459" t="s">
        <v>4</v>
      </c>
      <c r="T1459" t="s">
        <v>1995</v>
      </c>
      <c r="U1459" t="s">
        <v>1996</v>
      </c>
      <c r="V1459" t="s">
        <v>1997</v>
      </c>
      <c r="W1459" t="s">
        <v>203</v>
      </c>
      <c r="X1459" t="s">
        <v>4</v>
      </c>
      <c r="Y1459" t="s">
        <v>1998</v>
      </c>
      <c r="Z1459" t="s">
        <v>1999</v>
      </c>
      <c r="AA1459" t="s">
        <v>2000</v>
      </c>
      <c r="AB1459" t="s">
        <v>4</v>
      </c>
      <c r="AC1459" s="3" t="s">
        <v>2001</v>
      </c>
      <c r="AD1459" t="s">
        <v>4</v>
      </c>
      <c r="AE1459" t="s">
        <v>3175</v>
      </c>
      <c r="AF1459" t="s">
        <v>16145</v>
      </c>
      <c r="AG1459" t="s">
        <v>16146</v>
      </c>
      <c r="AH1459" t="s">
        <v>112</v>
      </c>
      <c r="AI1459" t="s">
        <v>3178</v>
      </c>
      <c r="AK1459" t="s">
        <v>2005</v>
      </c>
      <c r="AL1459" t="s">
        <v>2006</v>
      </c>
      <c r="AM1459" t="s">
        <v>2007</v>
      </c>
      <c r="AO1459" t="s">
        <v>2008</v>
      </c>
      <c r="AP1459" t="s">
        <v>2009</v>
      </c>
      <c r="AQ1459" t="s">
        <v>2010</v>
      </c>
      <c r="AS1459" t="s">
        <v>2011</v>
      </c>
      <c r="AU1459" t="s">
        <v>112</v>
      </c>
      <c r="AV1459" t="s">
        <v>2012</v>
      </c>
      <c r="AW1459" t="s">
        <v>114</v>
      </c>
      <c r="AX1459" t="s">
        <v>345</v>
      </c>
      <c r="AY1459" t="s">
        <v>2013</v>
      </c>
      <c r="AZ1459" t="s">
        <v>4</v>
      </c>
      <c r="BA1459" s="3" t="s">
        <v>95</v>
      </c>
      <c r="BB1459" s="6" t="s">
        <v>95</v>
      </c>
      <c r="BC1459" s="3" t="s">
        <v>95</v>
      </c>
      <c r="BD1459" t="s">
        <v>4</v>
      </c>
      <c r="BE1459">
        <v>10336</v>
      </c>
      <c r="BF1459" t="s">
        <v>169</v>
      </c>
      <c r="BG1459">
        <v>25.8278</v>
      </c>
      <c r="BH1459">
        <v>35.430500000000002</v>
      </c>
      <c r="BI1459" t="s">
        <v>16147</v>
      </c>
      <c r="BJ1459" t="s">
        <v>16148</v>
      </c>
      <c r="BK1459">
        <v>70.860900000000001</v>
      </c>
      <c r="BM1459">
        <v>41.059600000000003</v>
      </c>
      <c r="BN1459" t="s">
        <v>16149</v>
      </c>
      <c r="BO1459">
        <v>69.701999999999998</v>
      </c>
      <c r="BP1459" t="s">
        <v>16150</v>
      </c>
      <c r="BQ1459" t="s">
        <v>16151</v>
      </c>
      <c r="BR1459" t="s">
        <v>16152</v>
      </c>
      <c r="BW1459">
        <v>46.026499999999999</v>
      </c>
      <c r="BX1459">
        <v>42.715200000000003</v>
      </c>
      <c r="CA1459">
        <v>45.695399999999999</v>
      </c>
      <c r="CB1459" t="s">
        <v>16153</v>
      </c>
      <c r="CF1459" t="s">
        <v>16154</v>
      </c>
      <c r="CG1459">
        <v>35.430500000000002</v>
      </c>
      <c r="CH1459">
        <v>35.430500000000002</v>
      </c>
      <c r="CI1459">
        <v>26.821200000000001</v>
      </c>
      <c r="CJ1459" t="s">
        <v>16155</v>
      </c>
      <c r="CK1459">
        <v>9</v>
      </c>
      <c r="CL1459" t="s">
        <v>4</v>
      </c>
      <c r="CM1459" t="s">
        <v>3185</v>
      </c>
      <c r="CN1459" t="s">
        <v>16156</v>
      </c>
      <c r="CO1459" t="s">
        <v>663</v>
      </c>
      <c r="CP1459" t="s">
        <v>100</v>
      </c>
      <c r="CQ1459" t="s">
        <v>100</v>
      </c>
      <c r="CR1459" t="s">
        <v>100</v>
      </c>
      <c r="CS1459" t="s">
        <v>101</v>
      </c>
      <c r="CT1459" s="7" t="s">
        <v>152</v>
      </c>
      <c r="CU1459" t="s">
        <v>102</v>
      </c>
      <c r="CV1459" t="s">
        <v>100</v>
      </c>
    </row>
    <row r="1460" spans="1:100">
      <c r="A1460" s="3" t="s">
        <v>16157</v>
      </c>
      <c r="B1460" s="4" t="s">
        <v>16158</v>
      </c>
      <c r="C1460">
        <v>29.718530740011399</v>
      </c>
      <c r="D1460">
        <v>15.542588790728701</v>
      </c>
      <c r="E1460">
        <v>0.94368205135364003</v>
      </c>
      <c r="F1460">
        <v>0.190151516625606</v>
      </c>
      <c r="G1460" t="s">
        <v>4</v>
      </c>
      <c r="H1460">
        <v>29.718530740011399</v>
      </c>
      <c r="I1460">
        <v>4.2197691830789097</v>
      </c>
      <c r="J1460">
        <v>2.8392747305555601</v>
      </c>
      <c r="K1460">
        <v>5.0346102200407301E-4</v>
      </c>
      <c r="L1460" t="s">
        <v>4</v>
      </c>
      <c r="M1460">
        <v>15.542588790728701</v>
      </c>
      <c r="N1460">
        <v>4.2197691830789097</v>
      </c>
      <c r="O1460">
        <v>1.89559267920191</v>
      </c>
      <c r="P1460">
        <v>2.56161156189928E-2</v>
      </c>
      <c r="Q1460" t="s">
        <v>4</v>
      </c>
      <c r="R1460" s="4" t="s">
        <v>87</v>
      </c>
      <c r="S1460" t="s">
        <v>4</v>
      </c>
      <c r="T1460" t="s">
        <v>92</v>
      </c>
      <c r="U1460" t="s">
        <v>92</v>
      </c>
      <c r="V1460" t="s">
        <v>92</v>
      </c>
      <c r="W1460" t="s">
        <v>92</v>
      </c>
      <c r="X1460" t="s">
        <v>4</v>
      </c>
      <c r="Y1460" t="s">
        <v>92</v>
      </c>
      <c r="Z1460" t="s">
        <v>92</v>
      </c>
      <c r="AA1460" t="s">
        <v>92</v>
      </c>
      <c r="AB1460" t="s">
        <v>4</v>
      </c>
      <c r="AC1460" s="3" t="s">
        <v>93</v>
      </c>
      <c r="AD1460" t="s">
        <v>4</v>
      </c>
      <c r="AE1460" s="4" t="s">
        <v>94</v>
      </c>
      <c r="AZ1460" t="s">
        <v>4</v>
      </c>
      <c r="BA1460" s="3" t="s">
        <v>95</v>
      </c>
      <c r="BB1460" s="6" t="s">
        <v>95</v>
      </c>
      <c r="BC1460" s="3" t="s">
        <v>95</v>
      </c>
      <c r="BD1460" t="s">
        <v>4</v>
      </c>
      <c r="BE1460">
        <v>1174</v>
      </c>
      <c r="BF1460" t="s">
        <v>151</v>
      </c>
      <c r="BG1460" t="s">
        <v>16159</v>
      </c>
      <c r="BI1460">
        <v>51.2821</v>
      </c>
      <c r="CK1460">
        <v>2</v>
      </c>
      <c r="CL1460" t="s">
        <v>4</v>
      </c>
      <c r="CM1460" t="s">
        <v>98</v>
      </c>
      <c r="CN1460" t="s">
        <v>98</v>
      </c>
      <c r="CO1460" t="s">
        <v>99</v>
      </c>
      <c r="CP1460" t="s">
        <v>100</v>
      </c>
      <c r="CQ1460" t="s">
        <v>100</v>
      </c>
      <c r="CR1460" t="s">
        <v>100</v>
      </c>
      <c r="CS1460" t="s">
        <v>101</v>
      </c>
      <c r="CT1460" s="7" t="s">
        <v>152</v>
      </c>
      <c r="CU1460" t="s">
        <v>102</v>
      </c>
      <c r="CV1460" t="s">
        <v>100</v>
      </c>
    </row>
    <row r="1461" spans="1:100">
      <c r="A1461" s="3" t="s">
        <v>16160</v>
      </c>
      <c r="B1461" s="4" t="s">
        <v>16161</v>
      </c>
      <c r="C1461">
        <v>38.4796384571085</v>
      </c>
      <c r="D1461">
        <v>13.055396695707</v>
      </c>
      <c r="E1461">
        <v>1.5702834077330701</v>
      </c>
      <c r="F1461">
        <v>5.1600703742655997E-2</v>
      </c>
      <c r="G1461" t="s">
        <v>4</v>
      </c>
      <c r="H1461">
        <v>38.4796384571085</v>
      </c>
      <c r="I1461">
        <v>2.7622275751455798</v>
      </c>
      <c r="J1461">
        <v>3.8072239230638898</v>
      </c>
      <c r="K1461" s="5">
        <v>6.9228589536260801E-5</v>
      </c>
      <c r="L1461" t="s">
        <v>4</v>
      </c>
      <c r="M1461">
        <v>13.055396695707</v>
      </c>
      <c r="N1461">
        <v>2.7622275751455798</v>
      </c>
      <c r="O1461">
        <v>2.2369405153308199</v>
      </c>
      <c r="P1461">
        <v>2.5940510064901699E-2</v>
      </c>
      <c r="Q1461" t="s">
        <v>4</v>
      </c>
      <c r="R1461" s="4" t="s">
        <v>87</v>
      </c>
      <c r="S1461" t="s">
        <v>4</v>
      </c>
      <c r="T1461" t="s">
        <v>88</v>
      </c>
      <c r="U1461" t="s">
        <v>89</v>
      </c>
      <c r="V1461" t="s">
        <v>90</v>
      </c>
      <c r="W1461" t="s">
        <v>91</v>
      </c>
      <c r="X1461" t="s">
        <v>4</v>
      </c>
      <c r="Y1461" t="s">
        <v>92</v>
      </c>
      <c r="Z1461" t="s">
        <v>92</v>
      </c>
      <c r="AA1461" t="s">
        <v>92</v>
      </c>
      <c r="AB1461" t="s">
        <v>4</v>
      </c>
      <c r="AC1461" s="3" t="s">
        <v>93</v>
      </c>
      <c r="AD1461" t="s">
        <v>4</v>
      </c>
      <c r="AE1461" s="4" t="s">
        <v>94</v>
      </c>
      <c r="AZ1461" t="s">
        <v>4</v>
      </c>
      <c r="BA1461" s="3" t="s">
        <v>95</v>
      </c>
      <c r="BB1461" t="s">
        <v>96</v>
      </c>
      <c r="BC1461" s="3" t="s">
        <v>197</v>
      </c>
      <c r="BD1461" t="s">
        <v>4</v>
      </c>
      <c r="BE1461">
        <v>842</v>
      </c>
      <c r="BF1461" t="s">
        <v>604</v>
      </c>
      <c r="BG1461" t="s">
        <v>16162</v>
      </c>
      <c r="CK1461">
        <v>1.5</v>
      </c>
      <c r="CL1461" t="s">
        <v>4</v>
      </c>
      <c r="CM1461" t="s">
        <v>98</v>
      </c>
      <c r="CN1461" t="s">
        <v>98</v>
      </c>
      <c r="CO1461" t="s">
        <v>99</v>
      </c>
      <c r="CP1461" t="s">
        <v>100</v>
      </c>
      <c r="CQ1461" t="s">
        <v>100</v>
      </c>
      <c r="CR1461" t="s">
        <v>100</v>
      </c>
      <c r="CS1461" t="s">
        <v>101</v>
      </c>
      <c r="CT1461" s="7" t="s">
        <v>152</v>
      </c>
      <c r="CU1461" t="s">
        <v>102</v>
      </c>
      <c r="CV1461" t="s">
        <v>100</v>
      </c>
    </row>
    <row r="1462" spans="1:100">
      <c r="A1462" s="3" t="s">
        <v>16163</v>
      </c>
      <c r="B1462" s="4" t="s">
        <v>16164</v>
      </c>
      <c r="C1462">
        <v>30.436403918992099</v>
      </c>
      <c r="D1462">
        <v>15.6621816009522</v>
      </c>
      <c r="E1462">
        <v>0.96828741798250395</v>
      </c>
      <c r="F1462">
        <v>0.25129067257098497</v>
      </c>
      <c r="G1462" t="s">
        <v>4</v>
      </c>
      <c r="H1462">
        <v>30.436403918992099</v>
      </c>
      <c r="I1462">
        <v>4.0043005995302998</v>
      </c>
      <c r="J1462">
        <v>3.10831495430803</v>
      </c>
      <c r="K1462">
        <v>8.94571229369267E-4</v>
      </c>
      <c r="L1462" t="s">
        <v>4</v>
      </c>
      <c r="M1462">
        <v>15.6621816009522</v>
      </c>
      <c r="N1462">
        <v>4.0043005995302998</v>
      </c>
      <c r="O1462">
        <v>2.1400275363255199</v>
      </c>
      <c r="P1462">
        <v>2.69283637698065E-2</v>
      </c>
      <c r="Q1462" t="s">
        <v>4</v>
      </c>
      <c r="R1462" s="4" t="s">
        <v>87</v>
      </c>
      <c r="S1462" t="s">
        <v>4</v>
      </c>
      <c r="T1462" t="s">
        <v>88</v>
      </c>
      <c r="U1462" t="s">
        <v>89</v>
      </c>
      <c r="V1462" t="s">
        <v>90</v>
      </c>
      <c r="W1462" t="s">
        <v>91</v>
      </c>
      <c r="X1462" t="s">
        <v>4</v>
      </c>
      <c r="Y1462" t="s">
        <v>6345</v>
      </c>
      <c r="Z1462" t="s">
        <v>6346</v>
      </c>
      <c r="AA1462" t="s">
        <v>6347</v>
      </c>
      <c r="AB1462" t="s">
        <v>4</v>
      </c>
      <c r="AC1462" s="3" t="s">
        <v>1558</v>
      </c>
      <c r="AD1462" t="s">
        <v>4</v>
      </c>
      <c r="AE1462" s="4" t="s">
        <v>94</v>
      </c>
      <c r="AZ1462" t="s">
        <v>4</v>
      </c>
      <c r="BA1462" s="3" t="s">
        <v>95</v>
      </c>
      <c r="BB1462" t="s">
        <v>96</v>
      </c>
      <c r="BC1462" s="3" t="s">
        <v>95</v>
      </c>
      <c r="BD1462" t="s">
        <v>4</v>
      </c>
      <c r="BE1462">
        <v>1091</v>
      </c>
      <c r="BF1462" t="s">
        <v>151</v>
      </c>
      <c r="BG1462" t="s">
        <v>16165</v>
      </c>
      <c r="BI1462">
        <v>60.906500000000001</v>
      </c>
      <c r="BJ1462">
        <v>42.209600000000002</v>
      </c>
      <c r="BL1462">
        <v>53.5411</v>
      </c>
      <c r="BM1462" t="s">
        <v>16166</v>
      </c>
      <c r="BN1462" t="s">
        <v>16167</v>
      </c>
      <c r="BO1462" t="s">
        <v>16168</v>
      </c>
      <c r="CK1462">
        <v>2</v>
      </c>
      <c r="CL1462" t="s">
        <v>4</v>
      </c>
      <c r="CM1462" t="s">
        <v>98</v>
      </c>
      <c r="CN1462" t="s">
        <v>98</v>
      </c>
      <c r="CO1462" t="s">
        <v>99</v>
      </c>
      <c r="CP1462" t="s">
        <v>100</v>
      </c>
      <c r="CQ1462" t="s">
        <v>100</v>
      </c>
      <c r="CR1462" t="s">
        <v>100</v>
      </c>
      <c r="CS1462" t="s">
        <v>101</v>
      </c>
      <c r="CT1462" s="7" t="s">
        <v>152</v>
      </c>
      <c r="CU1462" t="s">
        <v>102</v>
      </c>
      <c r="CV1462" t="s">
        <v>100</v>
      </c>
    </row>
    <row r="1463" spans="1:100">
      <c r="A1463" s="3" t="s">
        <v>16169</v>
      </c>
      <c r="B1463" s="4" t="s">
        <v>16170</v>
      </c>
      <c r="C1463">
        <v>96.687524794010798</v>
      </c>
      <c r="D1463">
        <v>31.488774099343601</v>
      </c>
      <c r="E1463">
        <v>1.6203617422805201</v>
      </c>
      <c r="F1463">
        <v>7.1707196316343494E-2</v>
      </c>
      <c r="G1463" t="s">
        <v>4</v>
      </c>
      <c r="H1463">
        <v>96.687524794010798</v>
      </c>
      <c r="I1463">
        <v>7.4658308654026504</v>
      </c>
      <c r="J1463">
        <v>3.7014392119501598</v>
      </c>
      <c r="K1463" s="5">
        <v>4.7584872749502398E-5</v>
      </c>
      <c r="L1463" t="s">
        <v>4</v>
      </c>
      <c r="M1463">
        <v>31.488774099343601</v>
      </c>
      <c r="N1463">
        <v>7.4658308654026504</v>
      </c>
      <c r="O1463">
        <v>2.0810774696696401</v>
      </c>
      <c r="P1463">
        <v>2.78259670093409E-2</v>
      </c>
      <c r="Q1463" t="s">
        <v>4</v>
      </c>
      <c r="R1463" s="4" t="s">
        <v>87</v>
      </c>
      <c r="S1463" t="s">
        <v>4</v>
      </c>
      <c r="T1463" t="s">
        <v>14461</v>
      </c>
      <c r="U1463" t="s">
        <v>14462</v>
      </c>
      <c r="V1463" t="s">
        <v>14463</v>
      </c>
      <c r="W1463" t="s">
        <v>328</v>
      </c>
      <c r="X1463" t="s">
        <v>4</v>
      </c>
      <c r="Y1463" t="s">
        <v>16171</v>
      </c>
      <c r="Z1463" t="s">
        <v>16172</v>
      </c>
      <c r="AA1463" t="s">
        <v>16173</v>
      </c>
      <c r="AB1463" t="s">
        <v>4</v>
      </c>
      <c r="AC1463" s="3" t="s">
        <v>12274</v>
      </c>
      <c r="AD1463" t="s">
        <v>4</v>
      </c>
      <c r="AE1463" t="s">
        <v>16174</v>
      </c>
      <c r="AF1463" t="s">
        <v>16175</v>
      </c>
      <c r="AG1463" t="s">
        <v>16176</v>
      </c>
      <c r="AH1463" t="s">
        <v>112</v>
      </c>
      <c r="AU1463" t="s">
        <v>112</v>
      </c>
      <c r="AV1463" t="s">
        <v>16177</v>
      </c>
      <c r="AW1463" t="s">
        <v>114</v>
      </c>
      <c r="AX1463" t="s">
        <v>144</v>
      </c>
      <c r="AY1463" t="s">
        <v>16178</v>
      </c>
      <c r="AZ1463" t="s">
        <v>4</v>
      </c>
      <c r="BA1463" s="3" t="s">
        <v>115</v>
      </c>
      <c r="BB1463" t="s">
        <v>96</v>
      </c>
      <c r="BC1463" s="3" t="s">
        <v>95</v>
      </c>
      <c r="BD1463" t="s">
        <v>4</v>
      </c>
      <c r="BE1463">
        <v>3250</v>
      </c>
      <c r="BF1463" t="s">
        <v>112</v>
      </c>
      <c r="BG1463">
        <v>94.254900000000006</v>
      </c>
      <c r="BH1463">
        <v>97.486500000000007</v>
      </c>
      <c r="BI1463">
        <v>96.7684</v>
      </c>
      <c r="BJ1463">
        <v>78.815100000000001</v>
      </c>
      <c r="BK1463">
        <v>83.303399999999996</v>
      </c>
      <c r="BL1463">
        <v>24.057500000000001</v>
      </c>
      <c r="BM1463">
        <v>33.2136</v>
      </c>
      <c r="BN1463">
        <v>69.838399999999993</v>
      </c>
      <c r="BO1463">
        <v>80.610399999999998</v>
      </c>
      <c r="BP1463">
        <v>31.956900000000001</v>
      </c>
      <c r="BQ1463">
        <v>22.621200000000002</v>
      </c>
      <c r="BR1463">
        <v>29.2639</v>
      </c>
      <c r="BS1463">
        <v>27.289000000000001</v>
      </c>
      <c r="BV1463" t="s">
        <v>16179</v>
      </c>
      <c r="BW1463" t="s">
        <v>16180</v>
      </c>
      <c r="BX1463">
        <v>33.752200000000002</v>
      </c>
      <c r="BY1463" t="s">
        <v>16181</v>
      </c>
      <c r="BZ1463">
        <v>32.316000000000003</v>
      </c>
      <c r="CA1463">
        <v>31.597799999999999</v>
      </c>
      <c r="CE1463">
        <v>16.158000000000001</v>
      </c>
      <c r="CF1463" t="s">
        <v>16182</v>
      </c>
      <c r="CG1463" t="s">
        <v>16183</v>
      </c>
      <c r="CH1463" t="s">
        <v>16184</v>
      </c>
      <c r="CI1463" t="s">
        <v>16185</v>
      </c>
      <c r="CJ1463">
        <v>10.772</v>
      </c>
      <c r="CK1463">
        <v>5</v>
      </c>
      <c r="CL1463" t="s">
        <v>4</v>
      </c>
      <c r="CM1463" t="s">
        <v>16186</v>
      </c>
      <c r="CN1463" t="s">
        <v>16187</v>
      </c>
      <c r="CO1463" t="s">
        <v>219</v>
      </c>
      <c r="CP1463" t="s">
        <v>100</v>
      </c>
      <c r="CQ1463" t="s">
        <v>100</v>
      </c>
      <c r="CR1463" t="s">
        <v>100</v>
      </c>
      <c r="CS1463" t="s">
        <v>101</v>
      </c>
      <c r="CT1463" s="7" t="s">
        <v>152</v>
      </c>
      <c r="CU1463" t="s">
        <v>102</v>
      </c>
      <c r="CV1463" t="s">
        <v>100</v>
      </c>
    </row>
    <row r="1464" spans="1:100">
      <c r="A1464" s="3" t="s">
        <v>16188</v>
      </c>
      <c r="B1464" s="4" t="s">
        <v>16189</v>
      </c>
      <c r="C1464">
        <v>44.372487742954299</v>
      </c>
      <c r="D1464">
        <v>16.7112409392629</v>
      </c>
      <c r="E1464">
        <v>1.4189096890064401</v>
      </c>
      <c r="F1464">
        <v>0.13328300395786999</v>
      </c>
      <c r="G1464" t="s">
        <v>4</v>
      </c>
      <c r="H1464">
        <v>44.372487742954299</v>
      </c>
      <c r="I1464">
        <v>3.3989173230448202</v>
      </c>
      <c r="J1464">
        <v>3.7497657063821199</v>
      </c>
      <c r="K1464">
        <v>2.8424125327959301E-4</v>
      </c>
      <c r="L1464" t="s">
        <v>4</v>
      </c>
      <c r="M1464">
        <v>16.7112409392629</v>
      </c>
      <c r="N1464">
        <v>3.3989173230448202</v>
      </c>
      <c r="O1464">
        <v>2.3308560173756701</v>
      </c>
      <c r="P1464">
        <v>2.9767681481594501E-2</v>
      </c>
      <c r="Q1464" t="s">
        <v>4</v>
      </c>
      <c r="R1464" s="4" t="s">
        <v>87</v>
      </c>
      <c r="S1464" t="s">
        <v>4</v>
      </c>
      <c r="T1464" t="s">
        <v>92</v>
      </c>
      <c r="U1464" t="s">
        <v>92</v>
      </c>
      <c r="V1464" t="s">
        <v>92</v>
      </c>
      <c r="W1464" t="s">
        <v>92</v>
      </c>
      <c r="X1464" t="s">
        <v>4</v>
      </c>
      <c r="Y1464" t="s">
        <v>92</v>
      </c>
      <c r="Z1464" t="s">
        <v>92</v>
      </c>
      <c r="AA1464" t="s">
        <v>92</v>
      </c>
      <c r="AB1464" t="s">
        <v>4</v>
      </c>
      <c r="AC1464" s="3" t="s">
        <v>93</v>
      </c>
      <c r="AD1464" t="s">
        <v>4</v>
      </c>
      <c r="AE1464" s="4" t="s">
        <v>94</v>
      </c>
      <c r="AZ1464" t="s">
        <v>4</v>
      </c>
      <c r="BA1464" s="3" t="s">
        <v>95</v>
      </c>
      <c r="BB1464" s="6" t="s">
        <v>95</v>
      </c>
      <c r="BC1464" s="3" t="s">
        <v>95</v>
      </c>
      <c r="BD1464" t="s">
        <v>4</v>
      </c>
      <c r="BE1464">
        <v>292</v>
      </c>
      <c r="BF1464" t="s">
        <v>322</v>
      </c>
      <c r="CK1464">
        <v>1</v>
      </c>
      <c r="CL1464" t="s">
        <v>4</v>
      </c>
      <c r="CM1464" t="s">
        <v>98</v>
      </c>
      <c r="CN1464" t="s">
        <v>98</v>
      </c>
      <c r="CO1464" t="s">
        <v>99</v>
      </c>
      <c r="CP1464" t="s">
        <v>100</v>
      </c>
      <c r="CQ1464" t="s">
        <v>100</v>
      </c>
      <c r="CR1464" t="s">
        <v>100</v>
      </c>
      <c r="CS1464" t="s">
        <v>101</v>
      </c>
      <c r="CT1464" s="7" t="s">
        <v>152</v>
      </c>
      <c r="CU1464" t="s">
        <v>102</v>
      </c>
      <c r="CV1464" t="s">
        <v>100</v>
      </c>
    </row>
    <row r="1465" spans="1:100">
      <c r="A1465" s="3" t="s">
        <v>16190</v>
      </c>
      <c r="B1465" s="4" t="s">
        <v>16191</v>
      </c>
      <c r="C1465">
        <v>114.686863876814</v>
      </c>
      <c r="D1465">
        <v>62.4220985823058</v>
      </c>
      <c r="E1465">
        <v>0.87846429145079397</v>
      </c>
      <c r="F1465">
        <v>0.18514513844890901</v>
      </c>
      <c r="G1465" t="s">
        <v>4</v>
      </c>
      <c r="H1465">
        <v>114.686863876814</v>
      </c>
      <c r="I1465">
        <v>23.405979177847598</v>
      </c>
      <c r="J1465">
        <v>2.3165043074171598</v>
      </c>
      <c r="K1465">
        <v>3.0988248639946198E-4</v>
      </c>
      <c r="L1465" t="s">
        <v>4</v>
      </c>
      <c r="M1465">
        <v>62.4220985823058</v>
      </c>
      <c r="N1465">
        <v>23.405979177847598</v>
      </c>
      <c r="O1465">
        <v>1.43804001596636</v>
      </c>
      <c r="P1465">
        <v>2.9854706348979101E-2</v>
      </c>
      <c r="Q1465" t="s">
        <v>4</v>
      </c>
      <c r="R1465" s="4" t="s">
        <v>87</v>
      </c>
      <c r="S1465" t="s">
        <v>4</v>
      </c>
      <c r="T1465" t="s">
        <v>2950</v>
      </c>
      <c r="U1465" t="s">
        <v>2951</v>
      </c>
      <c r="V1465" t="s">
        <v>2952</v>
      </c>
      <c r="W1465" t="s">
        <v>123</v>
      </c>
      <c r="X1465" t="s">
        <v>4</v>
      </c>
      <c r="Y1465" t="s">
        <v>16192</v>
      </c>
      <c r="Z1465" t="s">
        <v>16193</v>
      </c>
      <c r="AA1465" t="s">
        <v>16194</v>
      </c>
      <c r="AB1465" t="s">
        <v>4</v>
      </c>
      <c r="AC1465" s="3" t="s">
        <v>2956</v>
      </c>
      <c r="AD1465" t="s">
        <v>4</v>
      </c>
      <c r="AE1465" t="s">
        <v>16195</v>
      </c>
      <c r="AF1465" t="s">
        <v>16196</v>
      </c>
      <c r="AG1465" t="s">
        <v>16197</v>
      </c>
      <c r="AH1465" t="s">
        <v>112</v>
      </c>
      <c r="AJ1465" t="s">
        <v>16198</v>
      </c>
      <c r="AK1465" t="s">
        <v>2960</v>
      </c>
      <c r="AL1465" t="s">
        <v>2961</v>
      </c>
      <c r="AM1465" t="s">
        <v>2962</v>
      </c>
      <c r="AN1465" t="s">
        <v>2963</v>
      </c>
      <c r="AO1465" t="s">
        <v>2964</v>
      </c>
      <c r="AP1465" t="s">
        <v>2965</v>
      </c>
      <c r="AQ1465" t="s">
        <v>2966</v>
      </c>
      <c r="AR1465" t="s">
        <v>2967</v>
      </c>
      <c r="AU1465" t="s">
        <v>112</v>
      </c>
      <c r="AV1465" t="s">
        <v>16199</v>
      </c>
      <c r="AW1465" t="s">
        <v>114</v>
      </c>
      <c r="AX1465" t="s">
        <v>1096</v>
      </c>
      <c r="AY1465" t="s">
        <v>7356</v>
      </c>
      <c r="AZ1465" t="s">
        <v>4</v>
      </c>
      <c r="BA1465" s="3" t="s">
        <v>95</v>
      </c>
      <c r="BB1465" s="6" t="s">
        <v>95</v>
      </c>
      <c r="BC1465" s="3" t="s">
        <v>95</v>
      </c>
      <c r="BD1465" t="s">
        <v>4</v>
      </c>
      <c r="BE1465">
        <v>3778</v>
      </c>
      <c r="BF1465" t="s">
        <v>112</v>
      </c>
      <c r="BG1465">
        <v>98.607200000000006</v>
      </c>
      <c r="BH1465">
        <v>69.777199999999993</v>
      </c>
      <c r="BI1465">
        <v>92.7577</v>
      </c>
      <c r="BP1465">
        <v>62.813400000000001</v>
      </c>
      <c r="BT1465">
        <v>44.846800000000002</v>
      </c>
      <c r="BW1465" t="s">
        <v>16200</v>
      </c>
      <c r="BX1465">
        <v>38.300800000000002</v>
      </c>
      <c r="BY1465">
        <v>6.8245100000000001</v>
      </c>
      <c r="BZ1465">
        <v>37.743699999999997</v>
      </c>
      <c r="CA1465">
        <v>37.883000000000003</v>
      </c>
      <c r="CB1465">
        <v>13.9276</v>
      </c>
      <c r="CF1465" t="s">
        <v>16201</v>
      </c>
      <c r="CG1465" t="s">
        <v>16202</v>
      </c>
      <c r="CH1465" t="s">
        <v>16203</v>
      </c>
      <c r="CI1465" t="s">
        <v>16204</v>
      </c>
      <c r="CK1465">
        <v>5</v>
      </c>
      <c r="CL1465" t="s">
        <v>4</v>
      </c>
      <c r="CM1465" t="s">
        <v>16205</v>
      </c>
      <c r="CN1465" t="s">
        <v>16206</v>
      </c>
      <c r="CO1465" t="s">
        <v>219</v>
      </c>
      <c r="CP1465" t="s">
        <v>100</v>
      </c>
      <c r="CQ1465" t="s">
        <v>100</v>
      </c>
      <c r="CR1465" t="s">
        <v>100</v>
      </c>
      <c r="CS1465" t="s">
        <v>101</v>
      </c>
      <c r="CT1465" s="7" t="s">
        <v>152</v>
      </c>
      <c r="CU1465" t="s">
        <v>102</v>
      </c>
      <c r="CV1465" t="s">
        <v>100</v>
      </c>
    </row>
    <row r="1466" spans="1:100">
      <c r="A1466" s="3" t="s">
        <v>16207</v>
      </c>
      <c r="B1466" s="4" t="s">
        <v>16208</v>
      </c>
      <c r="C1466">
        <v>33.063032003498698</v>
      </c>
      <c r="D1466">
        <v>12.6076849563411</v>
      </c>
      <c r="E1466">
        <v>1.4006084475903</v>
      </c>
      <c r="F1466">
        <v>0.17931923791605001</v>
      </c>
      <c r="G1466" t="s">
        <v>4</v>
      </c>
      <c r="H1466">
        <v>33.063032003498698</v>
      </c>
      <c r="I1466">
        <v>2.0942313558325698</v>
      </c>
      <c r="J1466">
        <v>4.0996694471861499</v>
      </c>
      <c r="K1466">
        <v>6.9627429065795699E-4</v>
      </c>
      <c r="L1466" t="s">
        <v>4</v>
      </c>
      <c r="M1466">
        <v>12.6076849563411</v>
      </c>
      <c r="N1466">
        <v>2.0942313558325698</v>
      </c>
      <c r="O1466">
        <v>2.6990609995958499</v>
      </c>
      <c r="P1466">
        <v>3.09552945149019E-2</v>
      </c>
      <c r="Q1466" t="s">
        <v>4</v>
      </c>
      <c r="R1466" s="4" t="s">
        <v>87</v>
      </c>
      <c r="S1466" t="s">
        <v>4</v>
      </c>
      <c r="T1466" t="s">
        <v>92</v>
      </c>
      <c r="U1466" t="s">
        <v>92</v>
      </c>
      <c r="V1466" t="s">
        <v>92</v>
      </c>
      <c r="W1466" t="s">
        <v>92</v>
      </c>
      <c r="X1466" t="s">
        <v>4</v>
      </c>
      <c r="Y1466" t="s">
        <v>92</v>
      </c>
      <c r="Z1466" t="s">
        <v>92</v>
      </c>
      <c r="AA1466" t="s">
        <v>92</v>
      </c>
      <c r="AB1466" t="s">
        <v>4</v>
      </c>
      <c r="AC1466" s="3" t="s">
        <v>93</v>
      </c>
      <c r="AD1466" t="s">
        <v>4</v>
      </c>
      <c r="AE1466" s="4" t="s">
        <v>94</v>
      </c>
      <c r="AZ1466" t="s">
        <v>4</v>
      </c>
      <c r="BA1466" s="3" t="s">
        <v>95</v>
      </c>
      <c r="BB1466" s="6" t="s">
        <v>95</v>
      </c>
      <c r="BC1466" s="3" t="s">
        <v>95</v>
      </c>
      <c r="BD1466" t="s">
        <v>4</v>
      </c>
      <c r="BE1466">
        <v>567</v>
      </c>
      <c r="BF1466" t="s">
        <v>322</v>
      </c>
      <c r="CK1466">
        <v>1</v>
      </c>
      <c r="CL1466" t="s">
        <v>4</v>
      </c>
      <c r="CM1466" t="s">
        <v>98</v>
      </c>
      <c r="CN1466" t="s">
        <v>98</v>
      </c>
      <c r="CO1466" t="s">
        <v>99</v>
      </c>
      <c r="CP1466" t="s">
        <v>100</v>
      </c>
      <c r="CQ1466" t="s">
        <v>100</v>
      </c>
      <c r="CR1466" t="s">
        <v>100</v>
      </c>
      <c r="CS1466" t="s">
        <v>101</v>
      </c>
      <c r="CT1466" s="7" t="s">
        <v>152</v>
      </c>
      <c r="CU1466" t="s">
        <v>102</v>
      </c>
      <c r="CV1466" t="s">
        <v>100</v>
      </c>
    </row>
    <row r="1467" spans="1:100">
      <c r="A1467" s="3" t="s">
        <v>16209</v>
      </c>
      <c r="B1467" s="4" t="s">
        <v>16210</v>
      </c>
      <c r="C1467">
        <v>30.267326451230101</v>
      </c>
      <c r="D1467">
        <v>13.171514970933099</v>
      </c>
      <c r="E1467">
        <v>1.20984672344155</v>
      </c>
      <c r="F1467">
        <v>0.35774789376890798</v>
      </c>
      <c r="G1467" t="s">
        <v>4</v>
      </c>
      <c r="H1467">
        <v>30.267326451230101</v>
      </c>
      <c r="I1467">
        <v>1.31072525361109</v>
      </c>
      <c r="J1467">
        <v>4.5103988337735403</v>
      </c>
      <c r="K1467">
        <v>2.6290880366563901E-3</v>
      </c>
      <c r="L1467" t="s">
        <v>4</v>
      </c>
      <c r="M1467">
        <v>13.171514970933099</v>
      </c>
      <c r="N1467">
        <v>1.31072525361109</v>
      </c>
      <c r="O1467">
        <v>3.3005521103319801</v>
      </c>
      <c r="P1467">
        <v>3.1347296392091099E-2</v>
      </c>
      <c r="Q1467" t="s">
        <v>4</v>
      </c>
      <c r="R1467" s="4" t="s">
        <v>87</v>
      </c>
      <c r="S1467" t="s">
        <v>4</v>
      </c>
      <c r="T1467" t="s">
        <v>92</v>
      </c>
      <c r="U1467" t="s">
        <v>92</v>
      </c>
      <c r="V1467" t="s">
        <v>92</v>
      </c>
      <c r="W1467" t="s">
        <v>92</v>
      </c>
      <c r="X1467" t="s">
        <v>4</v>
      </c>
      <c r="Y1467" t="s">
        <v>92</v>
      </c>
      <c r="Z1467" t="s">
        <v>92</v>
      </c>
      <c r="AA1467" t="s">
        <v>92</v>
      </c>
      <c r="AB1467" t="s">
        <v>4</v>
      </c>
      <c r="AC1467" s="3" t="s">
        <v>93</v>
      </c>
      <c r="AD1467" t="s">
        <v>4</v>
      </c>
      <c r="AE1467" t="s">
        <v>16211</v>
      </c>
      <c r="AF1467" t="s">
        <v>16212</v>
      </c>
      <c r="AG1467" t="s">
        <v>5565</v>
      </c>
      <c r="AH1467" t="s">
        <v>112</v>
      </c>
      <c r="AU1467" t="s">
        <v>112</v>
      </c>
      <c r="AV1467" t="s">
        <v>16213</v>
      </c>
      <c r="AW1467" t="s">
        <v>114</v>
      </c>
      <c r="AZ1467" t="s">
        <v>4</v>
      </c>
      <c r="BA1467" s="3" t="s">
        <v>95</v>
      </c>
      <c r="BB1467" s="6" t="s">
        <v>95</v>
      </c>
      <c r="BC1467" s="3" t="s">
        <v>197</v>
      </c>
      <c r="BD1467" t="s">
        <v>4</v>
      </c>
      <c r="BE1467">
        <v>3125</v>
      </c>
      <c r="BF1467" t="s">
        <v>112</v>
      </c>
      <c r="BZ1467">
        <v>28.571400000000001</v>
      </c>
      <c r="CK1467">
        <v>5</v>
      </c>
      <c r="CL1467" t="s">
        <v>4</v>
      </c>
      <c r="CM1467" t="s">
        <v>98</v>
      </c>
      <c r="CN1467" t="s">
        <v>98</v>
      </c>
      <c r="CO1467" t="s">
        <v>99</v>
      </c>
      <c r="CP1467" t="s">
        <v>100</v>
      </c>
      <c r="CQ1467" t="s">
        <v>100</v>
      </c>
      <c r="CR1467" t="s">
        <v>100</v>
      </c>
      <c r="CS1467" t="s">
        <v>101</v>
      </c>
      <c r="CT1467" s="7" t="s">
        <v>152</v>
      </c>
      <c r="CU1467" t="s">
        <v>102</v>
      </c>
      <c r="CV1467" t="s">
        <v>100</v>
      </c>
    </row>
    <row r="1468" spans="1:100">
      <c r="A1468" s="3" t="s">
        <v>16214</v>
      </c>
      <c r="B1468" s="4" t="s">
        <v>16215</v>
      </c>
      <c r="C1468">
        <v>22.314889318727701</v>
      </c>
      <c r="D1468">
        <v>8.3569087766265309</v>
      </c>
      <c r="E1468">
        <v>1.41462837774602</v>
      </c>
      <c r="F1468">
        <v>0.34525791152829599</v>
      </c>
      <c r="G1468" t="s">
        <v>4</v>
      </c>
      <c r="H1468">
        <v>22.314889318727701</v>
      </c>
      <c r="I1468">
        <v>0.63668974789924304</v>
      </c>
      <c r="J1468">
        <v>5.4659768689067301</v>
      </c>
      <c r="K1468">
        <v>3.16406475241156E-3</v>
      </c>
      <c r="L1468" t="s">
        <v>4</v>
      </c>
      <c r="M1468">
        <v>8.3569087766265309</v>
      </c>
      <c r="N1468">
        <v>0.63668974789924304</v>
      </c>
      <c r="O1468">
        <v>4.0513484911607103</v>
      </c>
      <c r="P1468">
        <v>3.2570496395558403E-2</v>
      </c>
      <c r="Q1468" t="s">
        <v>4</v>
      </c>
      <c r="R1468" s="4" t="s">
        <v>87</v>
      </c>
      <c r="S1468" t="s">
        <v>4</v>
      </c>
      <c r="T1468" t="s">
        <v>92</v>
      </c>
      <c r="U1468" t="s">
        <v>92</v>
      </c>
      <c r="V1468" t="s">
        <v>92</v>
      </c>
      <c r="W1468" t="s">
        <v>92</v>
      </c>
      <c r="X1468" t="s">
        <v>4</v>
      </c>
      <c r="Y1468" t="s">
        <v>92</v>
      </c>
      <c r="Z1468" t="s">
        <v>92</v>
      </c>
      <c r="AA1468" t="s">
        <v>92</v>
      </c>
      <c r="AB1468" t="s">
        <v>4</v>
      </c>
      <c r="AC1468" s="3" t="s">
        <v>93</v>
      </c>
      <c r="AD1468" t="s">
        <v>4</v>
      </c>
      <c r="AE1468" s="4" t="s">
        <v>94</v>
      </c>
      <c r="AZ1468" t="s">
        <v>4</v>
      </c>
      <c r="BA1468" s="3" t="s">
        <v>115</v>
      </c>
      <c r="BB1468" s="6" t="s">
        <v>95</v>
      </c>
      <c r="BC1468" s="3" t="s">
        <v>95</v>
      </c>
      <c r="BD1468" t="s">
        <v>4</v>
      </c>
      <c r="BE1468">
        <v>1064</v>
      </c>
      <c r="BF1468" t="s">
        <v>151</v>
      </c>
      <c r="BG1468" t="s">
        <v>16216</v>
      </c>
      <c r="BH1468">
        <v>100</v>
      </c>
      <c r="BJ1468">
        <v>70.212800000000001</v>
      </c>
      <c r="BK1468">
        <v>57.978700000000003</v>
      </c>
      <c r="BM1468">
        <v>55.851100000000002</v>
      </c>
      <c r="BO1468">
        <v>57.978700000000003</v>
      </c>
      <c r="CK1468">
        <v>2</v>
      </c>
      <c r="CL1468" t="s">
        <v>4</v>
      </c>
      <c r="CM1468" t="s">
        <v>98</v>
      </c>
      <c r="CN1468" t="s">
        <v>98</v>
      </c>
      <c r="CO1468" t="s">
        <v>99</v>
      </c>
      <c r="CP1468" t="s">
        <v>100</v>
      </c>
      <c r="CQ1468" t="s">
        <v>100</v>
      </c>
      <c r="CR1468" t="s">
        <v>100</v>
      </c>
      <c r="CS1468" t="s">
        <v>101</v>
      </c>
      <c r="CT1468" s="7" t="s">
        <v>152</v>
      </c>
      <c r="CU1468" t="s">
        <v>102</v>
      </c>
      <c r="CV1468" t="s">
        <v>100</v>
      </c>
    </row>
    <row r="1469" spans="1:100">
      <c r="A1469" s="3" t="s">
        <v>16217</v>
      </c>
      <c r="B1469" s="4" t="s">
        <v>16218</v>
      </c>
      <c r="C1469">
        <v>17.9990757751643</v>
      </c>
      <c r="D1469">
        <v>9.5156707273771595</v>
      </c>
      <c r="E1469">
        <v>0.92080581884315404</v>
      </c>
      <c r="F1469">
        <v>0.47242403335570099</v>
      </c>
      <c r="G1469" t="s">
        <v>4</v>
      </c>
      <c r="H1469">
        <v>17.9990757751643</v>
      </c>
      <c r="I1469">
        <v>0.67403550571184701</v>
      </c>
      <c r="J1469">
        <v>4.4149651652709698</v>
      </c>
      <c r="K1469">
        <v>5.9598133752319302E-3</v>
      </c>
      <c r="L1469" t="s">
        <v>4</v>
      </c>
      <c r="M1469">
        <v>9.5156707273771595</v>
      </c>
      <c r="N1469">
        <v>0.67403550571184701</v>
      </c>
      <c r="O1469">
        <v>3.4941593464278098</v>
      </c>
      <c r="P1469">
        <v>3.2783354612376699E-2</v>
      </c>
      <c r="Q1469" t="s">
        <v>4</v>
      </c>
      <c r="R1469" s="4" t="s">
        <v>87</v>
      </c>
      <c r="S1469" t="s">
        <v>4</v>
      </c>
      <c r="T1469" t="s">
        <v>88</v>
      </c>
      <c r="U1469" t="s">
        <v>89</v>
      </c>
      <c r="V1469" t="s">
        <v>90</v>
      </c>
      <c r="W1469" t="s">
        <v>91</v>
      </c>
      <c r="X1469" t="s">
        <v>4</v>
      </c>
      <c r="Y1469" t="s">
        <v>7298</v>
      </c>
      <c r="Z1469" t="s">
        <v>7299</v>
      </c>
      <c r="AA1469" t="s">
        <v>7300</v>
      </c>
      <c r="AB1469" t="s">
        <v>4</v>
      </c>
      <c r="AC1469" s="3" t="s">
        <v>16219</v>
      </c>
      <c r="AD1469" t="s">
        <v>4</v>
      </c>
      <c r="AE1469" t="s">
        <v>16220</v>
      </c>
      <c r="AF1469" t="s">
        <v>11111</v>
      </c>
      <c r="AG1469" t="s">
        <v>11725</v>
      </c>
      <c r="AH1469" t="s">
        <v>112</v>
      </c>
      <c r="AU1469" t="s">
        <v>112</v>
      </c>
      <c r="AV1469" t="s">
        <v>2522</v>
      </c>
      <c r="AW1469" t="s">
        <v>114</v>
      </c>
      <c r="AX1469" t="s">
        <v>1907</v>
      </c>
      <c r="AY1469" t="s">
        <v>2523</v>
      </c>
      <c r="AZ1469" t="s">
        <v>4</v>
      </c>
      <c r="BA1469" s="3" t="s">
        <v>95</v>
      </c>
      <c r="BB1469" t="s">
        <v>96</v>
      </c>
      <c r="BC1469" s="3" t="s">
        <v>95</v>
      </c>
      <c r="BD1469" t="s">
        <v>4</v>
      </c>
      <c r="BE1469">
        <v>5217</v>
      </c>
      <c r="BF1469" t="s">
        <v>282</v>
      </c>
      <c r="BJ1469">
        <v>67.266199999999998</v>
      </c>
      <c r="BR1469">
        <v>39.208599999999997</v>
      </c>
      <c r="BS1469">
        <v>38.1295</v>
      </c>
      <c r="BT1469">
        <v>42.086300000000001</v>
      </c>
      <c r="BV1469" t="s">
        <v>16221</v>
      </c>
      <c r="BW1469">
        <v>34.172699999999999</v>
      </c>
      <c r="BZ1469">
        <v>36.3309</v>
      </c>
      <c r="CA1469">
        <v>35.611499999999999</v>
      </c>
      <c r="CK1469">
        <v>6</v>
      </c>
      <c r="CL1469" t="s">
        <v>4</v>
      </c>
      <c r="CM1469" t="s">
        <v>16222</v>
      </c>
      <c r="CN1469" t="s">
        <v>16223</v>
      </c>
      <c r="CO1469" t="s">
        <v>99</v>
      </c>
      <c r="CP1469" t="s">
        <v>100</v>
      </c>
      <c r="CQ1469" t="s">
        <v>100</v>
      </c>
      <c r="CR1469" t="s">
        <v>100</v>
      </c>
      <c r="CS1469" t="s">
        <v>101</v>
      </c>
      <c r="CT1469" s="7" t="s">
        <v>152</v>
      </c>
      <c r="CU1469" t="s">
        <v>102</v>
      </c>
      <c r="CV1469" t="s">
        <v>100</v>
      </c>
    </row>
    <row r="1470" spans="1:100">
      <c r="A1470" s="3" t="s">
        <v>16224</v>
      </c>
      <c r="B1470" s="4" t="s">
        <v>16225</v>
      </c>
      <c r="C1470">
        <v>32.381898442291003</v>
      </c>
      <c r="D1470">
        <v>9.4945499907644404</v>
      </c>
      <c r="E1470">
        <v>1.7733860621564701</v>
      </c>
      <c r="F1470">
        <v>6.2319486213537202E-2</v>
      </c>
      <c r="G1470" t="s">
        <v>4</v>
      </c>
      <c r="H1470">
        <v>32.381898442291003</v>
      </c>
      <c r="I1470">
        <v>1.6043579622555699</v>
      </c>
      <c r="J1470">
        <v>4.4868033700493504</v>
      </c>
      <c r="K1470">
        <v>2.35131337149711E-4</v>
      </c>
      <c r="L1470" t="s">
        <v>4</v>
      </c>
      <c r="M1470">
        <v>9.4945499907644404</v>
      </c>
      <c r="N1470">
        <v>1.6043579622555699</v>
      </c>
      <c r="O1470">
        <v>2.7134173078928798</v>
      </c>
      <c r="P1470">
        <v>3.35726103270967E-2</v>
      </c>
      <c r="Q1470" t="s">
        <v>4</v>
      </c>
      <c r="R1470" s="4" t="s">
        <v>87</v>
      </c>
      <c r="S1470" t="s">
        <v>4</v>
      </c>
      <c r="T1470" t="s">
        <v>92</v>
      </c>
      <c r="U1470" t="s">
        <v>92</v>
      </c>
      <c r="V1470" t="s">
        <v>92</v>
      </c>
      <c r="W1470" t="s">
        <v>92</v>
      </c>
      <c r="X1470" t="s">
        <v>4</v>
      </c>
      <c r="Y1470" t="s">
        <v>92</v>
      </c>
      <c r="Z1470" t="s">
        <v>92</v>
      </c>
      <c r="AA1470" t="s">
        <v>92</v>
      </c>
      <c r="AB1470" t="s">
        <v>4</v>
      </c>
      <c r="AC1470" s="3" t="s">
        <v>93</v>
      </c>
      <c r="AD1470" t="s">
        <v>4</v>
      </c>
      <c r="AE1470" s="4" t="s">
        <v>94</v>
      </c>
      <c r="AZ1470" t="s">
        <v>4</v>
      </c>
      <c r="BA1470" s="3" t="s">
        <v>95</v>
      </c>
      <c r="BB1470" t="s">
        <v>96</v>
      </c>
      <c r="BC1470" s="3" t="s">
        <v>197</v>
      </c>
      <c r="BD1470" t="s">
        <v>4</v>
      </c>
      <c r="BE1470">
        <v>2254</v>
      </c>
      <c r="BF1470" t="s">
        <v>148</v>
      </c>
      <c r="BH1470">
        <v>54.395600000000002</v>
      </c>
      <c r="BI1470" t="s">
        <v>16226</v>
      </c>
      <c r="BJ1470">
        <v>18.6813</v>
      </c>
      <c r="BK1470">
        <v>35.1648</v>
      </c>
      <c r="BL1470">
        <v>24.725300000000001</v>
      </c>
      <c r="BM1470">
        <v>34.065899999999999</v>
      </c>
      <c r="BN1470" t="s">
        <v>16227</v>
      </c>
      <c r="BO1470" t="s">
        <v>16228</v>
      </c>
      <c r="CK1470">
        <v>3</v>
      </c>
      <c r="CL1470" t="s">
        <v>4</v>
      </c>
      <c r="CM1470" t="s">
        <v>98</v>
      </c>
      <c r="CN1470" t="s">
        <v>98</v>
      </c>
      <c r="CO1470" t="s">
        <v>99</v>
      </c>
      <c r="CP1470" t="s">
        <v>100</v>
      </c>
      <c r="CQ1470" t="s">
        <v>100</v>
      </c>
      <c r="CR1470" t="s">
        <v>100</v>
      </c>
      <c r="CS1470" t="s">
        <v>101</v>
      </c>
      <c r="CT1470" s="7" t="s">
        <v>152</v>
      </c>
      <c r="CU1470" t="s">
        <v>102</v>
      </c>
      <c r="CV1470" t="s">
        <v>100</v>
      </c>
    </row>
    <row r="1471" spans="1:100">
      <c r="A1471" s="3" t="s">
        <v>16229</v>
      </c>
      <c r="B1471" s="4" t="s">
        <v>16230</v>
      </c>
      <c r="C1471">
        <v>30.604350192795401</v>
      </c>
      <c r="D1471">
        <v>24.1914392531902</v>
      </c>
      <c r="E1471">
        <v>0.339759710052562</v>
      </c>
      <c r="F1471">
        <v>0.68414496955714499</v>
      </c>
      <c r="G1471" t="s">
        <v>4</v>
      </c>
      <c r="H1471">
        <v>30.604350192795401</v>
      </c>
      <c r="I1471">
        <v>7.4345243939888901</v>
      </c>
      <c r="J1471">
        <v>2.0905998830298902</v>
      </c>
      <c r="K1471">
        <v>9.9612205845771799E-3</v>
      </c>
      <c r="L1471" t="s">
        <v>4</v>
      </c>
      <c r="M1471">
        <v>24.1914392531902</v>
      </c>
      <c r="N1471">
        <v>7.4345243939888901</v>
      </c>
      <c r="O1471">
        <v>1.75084017297733</v>
      </c>
      <c r="P1471">
        <v>3.3718049771828101E-2</v>
      </c>
      <c r="Q1471" t="s">
        <v>4</v>
      </c>
      <c r="R1471" s="4" t="s">
        <v>87</v>
      </c>
      <c r="S1471" t="s">
        <v>4</v>
      </c>
      <c r="T1471" t="s">
        <v>88</v>
      </c>
      <c r="U1471" t="s">
        <v>89</v>
      </c>
      <c r="V1471" t="s">
        <v>90</v>
      </c>
      <c r="W1471" t="s">
        <v>91</v>
      </c>
      <c r="X1471" t="s">
        <v>4</v>
      </c>
      <c r="Y1471" t="s">
        <v>92</v>
      </c>
      <c r="Z1471" t="s">
        <v>92</v>
      </c>
      <c r="AA1471" t="s">
        <v>92</v>
      </c>
      <c r="AB1471" t="s">
        <v>4</v>
      </c>
      <c r="AC1471" s="3" t="s">
        <v>93</v>
      </c>
      <c r="AD1471" t="s">
        <v>4</v>
      </c>
      <c r="AE1471" t="s">
        <v>16231</v>
      </c>
      <c r="AF1471" t="s">
        <v>16232</v>
      </c>
      <c r="AG1471" t="s">
        <v>16233</v>
      </c>
      <c r="AH1471" t="s">
        <v>112</v>
      </c>
      <c r="AU1471" t="s">
        <v>112</v>
      </c>
      <c r="AV1471" t="s">
        <v>16234</v>
      </c>
      <c r="AW1471" t="s">
        <v>114</v>
      </c>
      <c r="AZ1471" t="s">
        <v>4</v>
      </c>
      <c r="BA1471" s="3" t="s">
        <v>95</v>
      </c>
      <c r="BB1471" t="s">
        <v>96</v>
      </c>
      <c r="BC1471" s="3" t="s">
        <v>197</v>
      </c>
      <c r="BD1471" t="s">
        <v>4</v>
      </c>
      <c r="BE1471">
        <v>3720</v>
      </c>
      <c r="BF1471" t="s">
        <v>112</v>
      </c>
      <c r="BG1471">
        <v>100</v>
      </c>
      <c r="BH1471">
        <v>71.428600000000003</v>
      </c>
      <c r="BI1471" t="s">
        <v>16235</v>
      </c>
      <c r="BJ1471">
        <v>66.165400000000005</v>
      </c>
      <c r="BK1471">
        <v>78.195499999999996</v>
      </c>
      <c r="BL1471">
        <v>47.368400000000001</v>
      </c>
      <c r="BM1471">
        <v>67.669200000000004</v>
      </c>
      <c r="BN1471">
        <v>78.195499999999996</v>
      </c>
      <c r="BO1471">
        <v>77.443600000000004</v>
      </c>
      <c r="BP1471">
        <v>46.616500000000002</v>
      </c>
      <c r="BQ1471">
        <v>68.421099999999996</v>
      </c>
      <c r="BR1471">
        <v>66.165400000000005</v>
      </c>
      <c r="BS1471">
        <v>63.909799999999997</v>
      </c>
      <c r="BU1471">
        <v>57.8947</v>
      </c>
      <c r="BV1471" t="s">
        <v>16236</v>
      </c>
      <c r="BW1471">
        <v>68.421099999999996</v>
      </c>
      <c r="BX1471">
        <v>65.413499999999999</v>
      </c>
      <c r="BZ1471">
        <v>62.405999999999999</v>
      </c>
      <c r="CA1471">
        <v>63.157899999999998</v>
      </c>
      <c r="CK1471">
        <v>5</v>
      </c>
      <c r="CL1471" t="s">
        <v>4</v>
      </c>
      <c r="CM1471" t="s">
        <v>16237</v>
      </c>
      <c r="CN1471" t="s">
        <v>16238</v>
      </c>
      <c r="CO1471" t="s">
        <v>219</v>
      </c>
      <c r="CP1471" t="s">
        <v>100</v>
      </c>
      <c r="CQ1471" t="s">
        <v>100</v>
      </c>
      <c r="CR1471" t="s">
        <v>100</v>
      </c>
      <c r="CS1471" t="s">
        <v>101</v>
      </c>
      <c r="CT1471" s="7" t="s">
        <v>152</v>
      </c>
      <c r="CU1471" t="s">
        <v>102</v>
      </c>
      <c r="CV1471" t="s">
        <v>100</v>
      </c>
    </row>
    <row r="1472" spans="1:100">
      <c r="A1472" s="3" t="s">
        <v>16239</v>
      </c>
      <c r="B1472" s="4" t="s">
        <v>16240</v>
      </c>
      <c r="C1472">
        <v>25.2986938582529</v>
      </c>
      <c r="D1472">
        <v>10.8536396365638</v>
      </c>
      <c r="E1472">
        <v>1.22514629397827</v>
      </c>
      <c r="F1472">
        <v>0.19909703300598799</v>
      </c>
      <c r="G1472" t="s">
        <v>4</v>
      </c>
      <c r="H1472">
        <v>25.2986938582529</v>
      </c>
      <c r="I1472">
        <v>1.93533642871265</v>
      </c>
      <c r="J1472">
        <v>3.7448321019386599</v>
      </c>
      <c r="K1472">
        <v>1.07152854355819E-3</v>
      </c>
      <c r="L1472" t="s">
        <v>4</v>
      </c>
      <c r="M1472">
        <v>10.8536396365638</v>
      </c>
      <c r="N1472">
        <v>1.93533642871265</v>
      </c>
      <c r="O1472">
        <v>2.5196858079603901</v>
      </c>
      <c r="P1472">
        <v>3.39710348590068E-2</v>
      </c>
      <c r="Q1472" t="s">
        <v>4</v>
      </c>
      <c r="R1472" s="4" t="s">
        <v>87</v>
      </c>
      <c r="S1472" t="s">
        <v>4</v>
      </c>
      <c r="T1472" t="s">
        <v>92</v>
      </c>
      <c r="U1472" t="s">
        <v>92</v>
      </c>
      <c r="V1472" t="s">
        <v>92</v>
      </c>
      <c r="W1472" t="s">
        <v>92</v>
      </c>
      <c r="X1472" t="s">
        <v>4</v>
      </c>
      <c r="Y1472" t="s">
        <v>92</v>
      </c>
      <c r="Z1472" t="s">
        <v>92</v>
      </c>
      <c r="AA1472" t="s">
        <v>92</v>
      </c>
      <c r="AB1472" t="s">
        <v>4</v>
      </c>
      <c r="AC1472" s="3" t="s">
        <v>93</v>
      </c>
      <c r="AD1472" t="s">
        <v>4</v>
      </c>
      <c r="AE1472" s="4" t="s">
        <v>94</v>
      </c>
      <c r="AZ1472" t="s">
        <v>4</v>
      </c>
      <c r="BA1472" s="3" t="s">
        <v>115</v>
      </c>
      <c r="BB1472" s="6" t="s">
        <v>95</v>
      </c>
      <c r="BC1472" s="3" t="s">
        <v>95</v>
      </c>
      <c r="BD1472" t="s">
        <v>4</v>
      </c>
      <c r="BE1472">
        <v>584</v>
      </c>
      <c r="BF1472" t="s">
        <v>322</v>
      </c>
      <c r="CK1472">
        <v>1</v>
      </c>
      <c r="CL1472" t="s">
        <v>4</v>
      </c>
      <c r="CM1472" t="s">
        <v>98</v>
      </c>
      <c r="CN1472" t="s">
        <v>98</v>
      </c>
      <c r="CO1472" t="s">
        <v>99</v>
      </c>
      <c r="CP1472" t="s">
        <v>100</v>
      </c>
      <c r="CQ1472" t="s">
        <v>100</v>
      </c>
      <c r="CR1472" t="s">
        <v>100</v>
      </c>
      <c r="CS1472" t="s">
        <v>101</v>
      </c>
      <c r="CT1472" s="7" t="s">
        <v>152</v>
      </c>
      <c r="CU1472" t="s">
        <v>102</v>
      </c>
      <c r="CV1472" t="s">
        <v>100</v>
      </c>
    </row>
    <row r="1473" spans="1:100">
      <c r="A1473" s="3" t="s">
        <v>16241</v>
      </c>
      <c r="B1473" s="4" t="s">
        <v>16242</v>
      </c>
      <c r="C1473">
        <v>20.442051497920801</v>
      </c>
      <c r="D1473">
        <v>11.130785261402</v>
      </c>
      <c r="E1473">
        <v>0.87151436060953802</v>
      </c>
      <c r="F1473">
        <v>0.37181905686071098</v>
      </c>
      <c r="G1473" t="s">
        <v>4</v>
      </c>
      <c r="H1473">
        <v>20.442051497920801</v>
      </c>
      <c r="I1473">
        <v>2.2410477101548101</v>
      </c>
      <c r="J1473">
        <v>3.3599231262592899</v>
      </c>
      <c r="K1473">
        <v>3.2304960287331298E-3</v>
      </c>
      <c r="L1473" t="s">
        <v>4</v>
      </c>
      <c r="M1473">
        <v>11.130785261402</v>
      </c>
      <c r="N1473">
        <v>2.2410477101548101</v>
      </c>
      <c r="O1473">
        <v>2.48840876564975</v>
      </c>
      <c r="P1473">
        <v>3.4221297762586297E-2</v>
      </c>
      <c r="Q1473" t="s">
        <v>4</v>
      </c>
      <c r="R1473" s="4" t="s">
        <v>87</v>
      </c>
      <c r="S1473" t="s">
        <v>4</v>
      </c>
      <c r="T1473" t="s">
        <v>92</v>
      </c>
      <c r="U1473" t="s">
        <v>92</v>
      </c>
      <c r="V1473" t="s">
        <v>92</v>
      </c>
      <c r="W1473" t="s">
        <v>92</v>
      </c>
      <c r="X1473" t="s">
        <v>4</v>
      </c>
      <c r="Y1473" t="s">
        <v>92</v>
      </c>
      <c r="Z1473" t="s">
        <v>92</v>
      </c>
      <c r="AA1473" t="s">
        <v>92</v>
      </c>
      <c r="AB1473" t="s">
        <v>4</v>
      </c>
      <c r="AC1473" s="3" t="s">
        <v>93</v>
      </c>
      <c r="AD1473" t="s">
        <v>4</v>
      </c>
      <c r="AE1473" s="4" t="s">
        <v>94</v>
      </c>
      <c r="AZ1473" t="s">
        <v>4</v>
      </c>
      <c r="BA1473" s="3" t="s">
        <v>115</v>
      </c>
      <c r="BB1473" s="6" t="s">
        <v>95</v>
      </c>
      <c r="BC1473" s="3" t="s">
        <v>95</v>
      </c>
      <c r="BD1473" t="s">
        <v>4</v>
      </c>
      <c r="BE1473">
        <v>1602</v>
      </c>
      <c r="BF1473" t="s">
        <v>151</v>
      </c>
      <c r="BG1473">
        <v>73.860900000000001</v>
      </c>
      <c r="CK1473">
        <v>2</v>
      </c>
      <c r="CL1473" t="s">
        <v>4</v>
      </c>
      <c r="CM1473" t="s">
        <v>98</v>
      </c>
      <c r="CN1473" t="s">
        <v>98</v>
      </c>
      <c r="CO1473" t="s">
        <v>99</v>
      </c>
      <c r="CP1473" t="s">
        <v>100</v>
      </c>
      <c r="CQ1473" t="s">
        <v>100</v>
      </c>
      <c r="CR1473" t="s">
        <v>100</v>
      </c>
      <c r="CS1473" t="s">
        <v>101</v>
      </c>
      <c r="CT1473" s="7" t="s">
        <v>152</v>
      </c>
      <c r="CU1473" t="s">
        <v>102</v>
      </c>
      <c r="CV1473" t="s">
        <v>100</v>
      </c>
    </row>
    <row r="1474" spans="1:100">
      <c r="A1474" s="3" t="s">
        <v>16243</v>
      </c>
      <c r="B1474" s="4" t="s">
        <v>16244</v>
      </c>
      <c r="C1474">
        <v>26.4394151305534</v>
      </c>
      <c r="D1474">
        <v>12.7670205320396</v>
      </c>
      <c r="E1474">
        <v>1.0573980199347099</v>
      </c>
      <c r="F1474">
        <v>0.206776629841225</v>
      </c>
      <c r="G1474" t="s">
        <v>4</v>
      </c>
      <c r="H1474">
        <v>26.4394151305534</v>
      </c>
      <c r="I1474">
        <v>2.65275697863594</v>
      </c>
      <c r="J1474">
        <v>3.15888377111383</v>
      </c>
      <c r="K1474">
        <v>1.0112804543773899E-3</v>
      </c>
      <c r="L1474" t="s">
        <v>4</v>
      </c>
      <c r="M1474">
        <v>12.7670205320396</v>
      </c>
      <c r="N1474">
        <v>2.65275697863594</v>
      </c>
      <c r="O1474">
        <v>2.1014857511791201</v>
      </c>
      <c r="P1474">
        <v>3.5764390351137598E-2</v>
      </c>
      <c r="Q1474" t="s">
        <v>4</v>
      </c>
      <c r="R1474" s="4" t="s">
        <v>87</v>
      </c>
      <c r="S1474" t="s">
        <v>4</v>
      </c>
      <c r="T1474" t="s">
        <v>200</v>
      </c>
      <c r="U1474" t="s">
        <v>201</v>
      </c>
      <c r="V1474" t="s">
        <v>202</v>
      </c>
      <c r="W1474" t="s">
        <v>203</v>
      </c>
      <c r="X1474" t="s">
        <v>4</v>
      </c>
      <c r="Y1474" t="s">
        <v>204</v>
      </c>
      <c r="Z1474" t="s">
        <v>205</v>
      </c>
      <c r="AA1474" t="s">
        <v>206</v>
      </c>
      <c r="AB1474" t="s">
        <v>4</v>
      </c>
      <c r="AC1474" s="3" t="s">
        <v>207</v>
      </c>
      <c r="AD1474" t="s">
        <v>4</v>
      </c>
      <c r="AE1474" t="s">
        <v>16245</v>
      </c>
      <c r="AF1474" t="s">
        <v>16246</v>
      </c>
      <c r="AG1474" t="s">
        <v>16247</v>
      </c>
      <c r="AH1474" t="s">
        <v>112</v>
      </c>
      <c r="AK1474" t="s">
        <v>163</v>
      </c>
      <c r="AL1474" t="s">
        <v>1645</v>
      </c>
      <c r="AQ1474" t="s">
        <v>165</v>
      </c>
      <c r="AU1474" t="s">
        <v>112</v>
      </c>
      <c r="AV1474" t="s">
        <v>16248</v>
      </c>
      <c r="AW1474" t="s">
        <v>114</v>
      </c>
      <c r="AX1474" t="s">
        <v>132</v>
      </c>
      <c r="AY1474" t="s">
        <v>212</v>
      </c>
      <c r="AZ1474" t="s">
        <v>4</v>
      </c>
      <c r="BA1474" s="3" t="s">
        <v>95</v>
      </c>
      <c r="BB1474" s="6" t="s">
        <v>95</v>
      </c>
      <c r="BC1474" s="3" t="s">
        <v>197</v>
      </c>
      <c r="BD1474" t="s">
        <v>4</v>
      </c>
      <c r="BE1474">
        <v>8107</v>
      </c>
      <c r="BF1474" t="s">
        <v>213</v>
      </c>
      <c r="BG1474">
        <v>90.2941</v>
      </c>
      <c r="BH1474">
        <v>91.764700000000005</v>
      </c>
      <c r="BI1474">
        <v>95</v>
      </c>
      <c r="BJ1474">
        <v>77.352900000000005</v>
      </c>
      <c r="BK1474">
        <v>74.411799999999999</v>
      </c>
      <c r="BN1474">
        <v>74.7059</v>
      </c>
      <c r="BO1474">
        <v>31.764700000000001</v>
      </c>
      <c r="BQ1474">
        <v>36.764699999999998</v>
      </c>
      <c r="BR1474">
        <v>38.235300000000002</v>
      </c>
      <c r="BS1474">
        <v>38.235300000000002</v>
      </c>
      <c r="BU1474">
        <v>33.529400000000003</v>
      </c>
      <c r="BV1474" t="s">
        <v>16249</v>
      </c>
      <c r="CA1474">
        <v>24.411799999999999</v>
      </c>
      <c r="CF1474">
        <v>30</v>
      </c>
      <c r="CG1474" t="s">
        <v>16250</v>
      </c>
      <c r="CH1474" t="s">
        <v>16251</v>
      </c>
      <c r="CI1474" t="s">
        <v>16252</v>
      </c>
      <c r="CJ1474" t="s">
        <v>16253</v>
      </c>
      <c r="CK1474">
        <v>8</v>
      </c>
      <c r="CL1474" t="s">
        <v>4</v>
      </c>
      <c r="CM1474" t="s">
        <v>16254</v>
      </c>
      <c r="CN1474" t="s">
        <v>16255</v>
      </c>
      <c r="CO1474" t="s">
        <v>219</v>
      </c>
      <c r="CP1474" t="s">
        <v>100</v>
      </c>
      <c r="CQ1474" t="s">
        <v>100</v>
      </c>
      <c r="CR1474" t="s">
        <v>100</v>
      </c>
      <c r="CS1474" t="s">
        <v>101</v>
      </c>
      <c r="CT1474" s="7" t="s">
        <v>152</v>
      </c>
      <c r="CU1474" t="s">
        <v>102</v>
      </c>
      <c r="CV1474" t="s">
        <v>100</v>
      </c>
    </row>
    <row r="1475" spans="1:100">
      <c r="A1475" s="3" t="s">
        <v>16256</v>
      </c>
      <c r="B1475" s="4" t="s">
        <v>16257</v>
      </c>
      <c r="C1475">
        <v>43.2723123416419</v>
      </c>
      <c r="D1475">
        <v>16.047689497184798</v>
      </c>
      <c r="E1475">
        <v>1.4354892965527299</v>
      </c>
      <c r="F1475">
        <v>5.6507408224582799E-2</v>
      </c>
      <c r="G1475" t="s">
        <v>4</v>
      </c>
      <c r="H1475">
        <v>43.2723123416419</v>
      </c>
      <c r="I1475">
        <v>4.4099705816125896</v>
      </c>
      <c r="J1475">
        <v>3.2719135867970399</v>
      </c>
      <c r="K1475" s="5">
        <v>9.0381195659423397E-5</v>
      </c>
      <c r="L1475" t="s">
        <v>4</v>
      </c>
      <c r="M1475">
        <v>16.047689497184798</v>
      </c>
      <c r="N1475">
        <v>4.4099705816125896</v>
      </c>
      <c r="O1475">
        <v>1.83642429024432</v>
      </c>
      <c r="P1475">
        <v>3.7447715603488897E-2</v>
      </c>
      <c r="Q1475" t="s">
        <v>4</v>
      </c>
      <c r="R1475" s="4" t="s">
        <v>87</v>
      </c>
      <c r="S1475" t="s">
        <v>4</v>
      </c>
      <c r="T1475" t="s">
        <v>88</v>
      </c>
      <c r="U1475" t="s">
        <v>89</v>
      </c>
      <c r="V1475" t="s">
        <v>90</v>
      </c>
      <c r="W1475" t="s">
        <v>91</v>
      </c>
      <c r="X1475" t="s">
        <v>4</v>
      </c>
      <c r="Y1475" t="s">
        <v>92</v>
      </c>
      <c r="Z1475" t="s">
        <v>92</v>
      </c>
      <c r="AA1475" t="s">
        <v>92</v>
      </c>
      <c r="AB1475" t="s">
        <v>4</v>
      </c>
      <c r="AC1475" s="3" t="s">
        <v>93</v>
      </c>
      <c r="AD1475" t="s">
        <v>4</v>
      </c>
      <c r="AE1475" s="4" t="s">
        <v>94</v>
      </c>
      <c r="AZ1475" t="s">
        <v>4</v>
      </c>
      <c r="BA1475" s="3" t="s">
        <v>95</v>
      </c>
      <c r="BB1475" t="s">
        <v>96</v>
      </c>
      <c r="BC1475" s="3" t="s">
        <v>95</v>
      </c>
      <c r="BD1475" t="s">
        <v>4</v>
      </c>
      <c r="BE1475">
        <v>2295</v>
      </c>
      <c r="BF1475" t="s">
        <v>148</v>
      </c>
      <c r="BG1475">
        <v>98.958299999999994</v>
      </c>
      <c r="BH1475">
        <v>95.486099999999993</v>
      </c>
      <c r="BI1475">
        <v>89.930599999999998</v>
      </c>
      <c r="BJ1475" t="s">
        <v>16258</v>
      </c>
      <c r="BL1475" t="s">
        <v>16259</v>
      </c>
      <c r="BM1475">
        <v>60.416699999999999</v>
      </c>
      <c r="BN1475">
        <v>60.416699999999999</v>
      </c>
      <c r="BO1475">
        <v>60.416699999999999</v>
      </c>
      <c r="CK1475">
        <v>3</v>
      </c>
      <c r="CL1475" t="s">
        <v>4</v>
      </c>
      <c r="CM1475" t="s">
        <v>98</v>
      </c>
      <c r="CN1475" t="s">
        <v>98</v>
      </c>
      <c r="CO1475" t="s">
        <v>99</v>
      </c>
      <c r="CP1475" t="s">
        <v>100</v>
      </c>
      <c r="CQ1475" t="s">
        <v>100</v>
      </c>
      <c r="CR1475" t="s">
        <v>100</v>
      </c>
      <c r="CS1475" t="s">
        <v>101</v>
      </c>
      <c r="CT1475" s="7" t="s">
        <v>152</v>
      </c>
      <c r="CU1475" t="s">
        <v>102</v>
      </c>
      <c r="CV1475" t="s">
        <v>100</v>
      </c>
    </row>
    <row r="1476" spans="1:100">
      <c r="A1476" s="3" t="s">
        <v>16260</v>
      </c>
      <c r="B1476" s="4" t="s">
        <v>16261</v>
      </c>
      <c r="C1476">
        <v>43.3634868119088</v>
      </c>
      <c r="D1476">
        <v>12.6521516106887</v>
      </c>
      <c r="E1476">
        <v>1.7814584461051499</v>
      </c>
      <c r="F1476">
        <v>8.1754578844689396E-2</v>
      </c>
      <c r="G1476" t="s">
        <v>4</v>
      </c>
      <c r="H1476">
        <v>43.3634868119088</v>
      </c>
      <c r="I1476">
        <v>2.1255378272463399</v>
      </c>
      <c r="J1476">
        <v>4.2854875677896498</v>
      </c>
      <c r="K1476">
        <v>2.4161679849193799E-4</v>
      </c>
      <c r="L1476" t="s">
        <v>4</v>
      </c>
      <c r="M1476">
        <v>12.6521516106887</v>
      </c>
      <c r="N1476">
        <v>2.1255378272463399</v>
      </c>
      <c r="O1476">
        <v>2.5040291216844999</v>
      </c>
      <c r="P1476">
        <v>4.0360826845644002E-2</v>
      </c>
      <c r="Q1476" t="s">
        <v>4</v>
      </c>
      <c r="R1476" s="4" t="s">
        <v>87</v>
      </c>
      <c r="S1476" t="s">
        <v>4</v>
      </c>
      <c r="T1476" t="s">
        <v>92</v>
      </c>
      <c r="U1476" t="s">
        <v>92</v>
      </c>
      <c r="V1476" t="s">
        <v>92</v>
      </c>
      <c r="W1476" t="s">
        <v>92</v>
      </c>
      <c r="X1476" t="s">
        <v>4</v>
      </c>
      <c r="Y1476" t="s">
        <v>92</v>
      </c>
      <c r="Z1476" t="s">
        <v>92</v>
      </c>
      <c r="AA1476" t="s">
        <v>92</v>
      </c>
      <c r="AB1476" t="s">
        <v>4</v>
      </c>
      <c r="AC1476" s="3" t="s">
        <v>93</v>
      </c>
      <c r="AD1476" t="s">
        <v>4</v>
      </c>
      <c r="AE1476" s="4" t="s">
        <v>94</v>
      </c>
      <c r="AZ1476" t="s">
        <v>4</v>
      </c>
      <c r="BA1476" s="3" t="s">
        <v>95</v>
      </c>
      <c r="BB1476" s="6" t="s">
        <v>95</v>
      </c>
      <c r="BC1476" s="3" t="s">
        <v>95</v>
      </c>
      <c r="BD1476" t="s">
        <v>4</v>
      </c>
      <c r="BE1476">
        <v>680</v>
      </c>
      <c r="BF1476" t="s">
        <v>322</v>
      </c>
      <c r="CK1476">
        <v>1</v>
      </c>
      <c r="CL1476" t="s">
        <v>4</v>
      </c>
      <c r="CM1476" t="s">
        <v>98</v>
      </c>
      <c r="CN1476" t="s">
        <v>98</v>
      </c>
      <c r="CO1476" t="s">
        <v>99</v>
      </c>
      <c r="CP1476" t="s">
        <v>100</v>
      </c>
      <c r="CQ1476" t="s">
        <v>100</v>
      </c>
      <c r="CR1476" t="s">
        <v>100</v>
      </c>
      <c r="CS1476" t="s">
        <v>101</v>
      </c>
      <c r="CT1476" s="7" t="s">
        <v>152</v>
      </c>
      <c r="CU1476" t="s">
        <v>102</v>
      </c>
      <c r="CV1476" t="s">
        <v>100</v>
      </c>
    </row>
    <row r="1477" spans="1:100">
      <c r="A1477" s="3" t="s">
        <v>16262</v>
      </c>
      <c r="B1477" s="4" t="s">
        <v>16263</v>
      </c>
      <c r="C1477">
        <v>49.885046816799999</v>
      </c>
      <c r="D1477">
        <v>14.2439202269787</v>
      </c>
      <c r="E1477">
        <v>1.8149296017927601</v>
      </c>
      <c r="F1477">
        <v>0.118804355333765</v>
      </c>
      <c r="G1477" t="s">
        <v>4</v>
      </c>
      <c r="H1477">
        <v>49.885046816799999</v>
      </c>
      <c r="I1477">
        <v>1.9787214729241001</v>
      </c>
      <c r="J1477">
        <v>4.5506381689363398</v>
      </c>
      <c r="K1477">
        <v>3.9935424157744803E-4</v>
      </c>
      <c r="L1477" t="s">
        <v>4</v>
      </c>
      <c r="M1477">
        <v>14.2439202269787</v>
      </c>
      <c r="N1477">
        <v>1.9787214729241001</v>
      </c>
      <c r="O1477">
        <v>2.7357085671435799</v>
      </c>
      <c r="P1477">
        <v>4.0742814353699898E-2</v>
      </c>
      <c r="Q1477" t="s">
        <v>4</v>
      </c>
      <c r="R1477" s="4" t="s">
        <v>87</v>
      </c>
      <c r="S1477" t="s">
        <v>4</v>
      </c>
      <c r="T1477" t="s">
        <v>16264</v>
      </c>
      <c r="U1477" t="s">
        <v>16265</v>
      </c>
      <c r="V1477" t="s">
        <v>16266</v>
      </c>
      <c r="W1477" t="s">
        <v>203</v>
      </c>
      <c r="X1477" t="s">
        <v>4</v>
      </c>
      <c r="Y1477" t="s">
        <v>16267</v>
      </c>
      <c r="Z1477" t="s">
        <v>16268</v>
      </c>
      <c r="AA1477" t="s">
        <v>16269</v>
      </c>
      <c r="AB1477" t="s">
        <v>4</v>
      </c>
      <c r="AC1477" s="3" t="s">
        <v>16270</v>
      </c>
      <c r="AD1477" t="s">
        <v>4</v>
      </c>
      <c r="AE1477" t="s">
        <v>16271</v>
      </c>
      <c r="AF1477" t="s">
        <v>16272</v>
      </c>
      <c r="AG1477" t="s">
        <v>16273</v>
      </c>
      <c r="AH1477" t="s">
        <v>112</v>
      </c>
      <c r="AJ1477" t="s">
        <v>16274</v>
      </c>
      <c r="AU1477" t="s">
        <v>112</v>
      </c>
      <c r="AV1477" t="s">
        <v>16275</v>
      </c>
      <c r="AW1477" t="s">
        <v>114</v>
      </c>
      <c r="AX1477" t="s">
        <v>536</v>
      </c>
      <c r="AY1477" t="s">
        <v>16276</v>
      </c>
      <c r="AZ1477" t="s">
        <v>4</v>
      </c>
      <c r="BA1477" s="3" t="s">
        <v>95</v>
      </c>
      <c r="BB1477" s="6" t="s">
        <v>95</v>
      </c>
      <c r="BC1477" s="3" t="s">
        <v>197</v>
      </c>
      <c r="BD1477" t="s">
        <v>4</v>
      </c>
      <c r="BE1477">
        <v>4143</v>
      </c>
      <c r="BF1477" t="s">
        <v>112</v>
      </c>
      <c r="BG1477">
        <v>98.711299999999994</v>
      </c>
      <c r="BH1477">
        <v>99.226799999999997</v>
      </c>
      <c r="BI1477">
        <v>91.237099999999998</v>
      </c>
      <c r="BJ1477" t="s">
        <v>16277</v>
      </c>
      <c r="BK1477">
        <v>69.329899999999995</v>
      </c>
      <c r="BP1477">
        <v>38.402099999999997</v>
      </c>
      <c r="BQ1477" t="s">
        <v>16278</v>
      </c>
      <c r="BR1477">
        <v>48.969099999999997</v>
      </c>
      <c r="BS1477" t="s">
        <v>16279</v>
      </c>
      <c r="BT1477">
        <v>39.1753</v>
      </c>
      <c r="BU1477">
        <v>28.866</v>
      </c>
      <c r="BV1477" t="s">
        <v>16280</v>
      </c>
      <c r="BW1477" t="s">
        <v>16281</v>
      </c>
      <c r="BX1477" t="s">
        <v>16282</v>
      </c>
      <c r="BZ1477" t="s">
        <v>16283</v>
      </c>
      <c r="CF1477" t="s">
        <v>16284</v>
      </c>
      <c r="CG1477" t="s">
        <v>16285</v>
      </c>
      <c r="CH1477" t="s">
        <v>16286</v>
      </c>
      <c r="CI1477" t="s">
        <v>16287</v>
      </c>
      <c r="CK1477">
        <v>5</v>
      </c>
      <c r="CL1477" t="s">
        <v>4</v>
      </c>
      <c r="CM1477" t="s">
        <v>98</v>
      </c>
      <c r="CN1477" t="s">
        <v>98</v>
      </c>
      <c r="CO1477" t="s">
        <v>99</v>
      </c>
      <c r="CP1477" t="s">
        <v>100</v>
      </c>
      <c r="CQ1477" t="s">
        <v>100</v>
      </c>
      <c r="CR1477" t="s">
        <v>100</v>
      </c>
      <c r="CS1477" t="s">
        <v>101</v>
      </c>
      <c r="CT1477" s="7" t="s">
        <v>152</v>
      </c>
      <c r="CU1477" t="s">
        <v>102</v>
      </c>
      <c r="CV1477" t="s">
        <v>100</v>
      </c>
    </row>
    <row r="1478" spans="1:100">
      <c r="A1478" s="3" t="s">
        <v>16288</v>
      </c>
      <c r="B1478" s="4" t="s">
        <v>16289</v>
      </c>
      <c r="C1478">
        <v>89.727079083390805</v>
      </c>
      <c r="D1478">
        <v>31.556144251387799</v>
      </c>
      <c r="E1478">
        <v>1.50858188284769</v>
      </c>
      <c r="F1478">
        <v>8.6451042069745604E-2</v>
      </c>
      <c r="G1478" t="s">
        <v>4</v>
      </c>
      <c r="H1478">
        <v>89.727079083390805</v>
      </c>
      <c r="I1478">
        <v>8.5742761476823794</v>
      </c>
      <c r="J1478">
        <v>3.3954136650671298</v>
      </c>
      <c r="K1478">
        <v>1.22507351926919E-4</v>
      </c>
      <c r="L1478" t="s">
        <v>4</v>
      </c>
      <c r="M1478">
        <v>31.556144251387799</v>
      </c>
      <c r="N1478">
        <v>8.5742761476823794</v>
      </c>
      <c r="O1478">
        <v>1.88683178221945</v>
      </c>
      <c r="P1478">
        <v>4.0795780453008197E-2</v>
      </c>
      <c r="Q1478" t="s">
        <v>4</v>
      </c>
      <c r="R1478" s="4" t="s">
        <v>87</v>
      </c>
      <c r="S1478" t="s">
        <v>4</v>
      </c>
      <c r="T1478" t="s">
        <v>16290</v>
      </c>
      <c r="U1478" t="s">
        <v>16291</v>
      </c>
      <c r="V1478" t="s">
        <v>16292</v>
      </c>
      <c r="W1478" t="s">
        <v>328</v>
      </c>
      <c r="X1478" t="s">
        <v>4</v>
      </c>
      <c r="Y1478" t="s">
        <v>16293</v>
      </c>
      <c r="Z1478" t="s">
        <v>16294</v>
      </c>
      <c r="AA1478" t="s">
        <v>16295</v>
      </c>
      <c r="AB1478" t="s">
        <v>4</v>
      </c>
      <c r="AC1478" s="3" t="s">
        <v>16296</v>
      </c>
      <c r="AD1478" t="s">
        <v>4</v>
      </c>
      <c r="AE1478" t="s">
        <v>16297</v>
      </c>
      <c r="AF1478" t="s">
        <v>16298</v>
      </c>
      <c r="AG1478" t="s">
        <v>16299</v>
      </c>
      <c r="AH1478" t="s">
        <v>112</v>
      </c>
      <c r="AJ1478" t="s">
        <v>16300</v>
      </c>
      <c r="AL1478" t="s">
        <v>16301</v>
      </c>
      <c r="AQ1478" t="s">
        <v>1003</v>
      </c>
      <c r="AU1478" t="s">
        <v>112</v>
      </c>
      <c r="AV1478" t="s">
        <v>16302</v>
      </c>
      <c r="AW1478" t="s">
        <v>114</v>
      </c>
      <c r="AX1478" t="s">
        <v>371</v>
      </c>
      <c r="AY1478" t="s">
        <v>16303</v>
      </c>
      <c r="AZ1478" t="s">
        <v>4</v>
      </c>
      <c r="BA1478" s="3" t="s">
        <v>95</v>
      </c>
      <c r="BB1478" s="6" t="s">
        <v>95</v>
      </c>
      <c r="BC1478" s="3" t="s">
        <v>95</v>
      </c>
      <c r="BD1478" t="s">
        <v>4</v>
      </c>
      <c r="BE1478">
        <v>8283</v>
      </c>
      <c r="BF1478" t="s">
        <v>213</v>
      </c>
      <c r="BG1478">
        <v>90.562200000000004</v>
      </c>
      <c r="BH1478">
        <v>100</v>
      </c>
      <c r="BI1478">
        <v>69.076300000000003</v>
      </c>
      <c r="BJ1478">
        <v>48.192799999999998</v>
      </c>
      <c r="BK1478">
        <v>71.485900000000001</v>
      </c>
      <c r="BL1478">
        <v>50.401600000000002</v>
      </c>
      <c r="BM1478">
        <v>76.506</v>
      </c>
      <c r="BN1478">
        <v>80.120500000000007</v>
      </c>
      <c r="BO1478">
        <v>78.915700000000001</v>
      </c>
      <c r="BP1478">
        <v>16.2651</v>
      </c>
      <c r="BQ1478" t="s">
        <v>16304</v>
      </c>
      <c r="BR1478">
        <v>26.305199999999999</v>
      </c>
      <c r="BS1478" t="s">
        <v>16305</v>
      </c>
      <c r="BT1478" t="s">
        <v>16306</v>
      </c>
      <c r="BU1478">
        <v>14.859400000000001</v>
      </c>
      <c r="BV1478" t="s">
        <v>16307</v>
      </c>
      <c r="BX1478">
        <v>26.907599999999999</v>
      </c>
      <c r="BY1478">
        <v>22.49</v>
      </c>
      <c r="BZ1478">
        <v>22.690799999999999</v>
      </c>
      <c r="CA1478">
        <v>25.7028</v>
      </c>
      <c r="CB1478">
        <v>19.678699999999999</v>
      </c>
      <c r="CC1478" t="s">
        <v>16308</v>
      </c>
      <c r="CD1478">
        <v>24.498000000000001</v>
      </c>
      <c r="CF1478">
        <v>24.8996</v>
      </c>
      <c r="CG1478" t="s">
        <v>16309</v>
      </c>
      <c r="CH1478" t="s">
        <v>16310</v>
      </c>
      <c r="CI1478" t="s">
        <v>16311</v>
      </c>
      <c r="CK1478">
        <v>8</v>
      </c>
      <c r="CL1478" t="s">
        <v>4</v>
      </c>
      <c r="CM1478" t="s">
        <v>16312</v>
      </c>
      <c r="CN1478" t="s">
        <v>16313</v>
      </c>
      <c r="CO1478" t="s">
        <v>99</v>
      </c>
      <c r="CP1478" t="s">
        <v>100</v>
      </c>
      <c r="CQ1478" t="s">
        <v>100</v>
      </c>
      <c r="CR1478" t="s">
        <v>100</v>
      </c>
      <c r="CS1478" t="s">
        <v>101</v>
      </c>
      <c r="CT1478" s="7" t="s">
        <v>152</v>
      </c>
      <c r="CU1478" t="s">
        <v>102</v>
      </c>
      <c r="CV1478" t="s">
        <v>100</v>
      </c>
    </row>
    <row r="1479" spans="1:100">
      <c r="A1479" s="3" t="s">
        <v>16314</v>
      </c>
      <c r="B1479" s="4" t="s">
        <v>16315</v>
      </c>
      <c r="C1479">
        <v>40.807594499943903</v>
      </c>
      <c r="D1479">
        <v>14.580237579991</v>
      </c>
      <c r="E1479">
        <v>1.4878036561246</v>
      </c>
      <c r="F1479">
        <v>0.16329087473391901</v>
      </c>
      <c r="G1479" t="s">
        <v>4</v>
      </c>
      <c r="H1479">
        <v>40.807594499943903</v>
      </c>
      <c r="I1479">
        <v>2.4625555801022601</v>
      </c>
      <c r="J1479">
        <v>3.9680690721641301</v>
      </c>
      <c r="K1479">
        <v>6.87542960662184E-4</v>
      </c>
      <c r="L1479" t="s">
        <v>4</v>
      </c>
      <c r="M1479">
        <v>14.580237579991</v>
      </c>
      <c r="N1479">
        <v>2.4625555801022601</v>
      </c>
      <c r="O1479">
        <v>2.4802654160395301</v>
      </c>
      <c r="P1479">
        <v>4.1201455649493297E-2</v>
      </c>
      <c r="Q1479" t="s">
        <v>4</v>
      </c>
      <c r="R1479" s="4" t="s">
        <v>87</v>
      </c>
      <c r="S1479" t="s">
        <v>4</v>
      </c>
      <c r="T1479" t="s">
        <v>92</v>
      </c>
      <c r="U1479" t="s">
        <v>92</v>
      </c>
      <c r="V1479" t="s">
        <v>92</v>
      </c>
      <c r="W1479" t="s">
        <v>92</v>
      </c>
      <c r="X1479" t="s">
        <v>4</v>
      </c>
      <c r="Y1479" t="s">
        <v>92</v>
      </c>
      <c r="Z1479" t="s">
        <v>92</v>
      </c>
      <c r="AA1479" t="s">
        <v>92</v>
      </c>
      <c r="AB1479" t="s">
        <v>4</v>
      </c>
      <c r="AC1479" s="3" t="s">
        <v>93</v>
      </c>
      <c r="AD1479" t="s">
        <v>4</v>
      </c>
      <c r="AE1479" s="4" t="s">
        <v>94</v>
      </c>
      <c r="AZ1479" t="s">
        <v>4</v>
      </c>
      <c r="BA1479" s="3" t="s">
        <v>95</v>
      </c>
      <c r="BB1479" s="6" t="s">
        <v>95</v>
      </c>
      <c r="BC1479" s="3" t="s">
        <v>95</v>
      </c>
      <c r="BD1479" t="s">
        <v>4</v>
      </c>
      <c r="BE1479">
        <v>794</v>
      </c>
      <c r="BF1479" t="s">
        <v>604</v>
      </c>
      <c r="BG1479">
        <v>50</v>
      </c>
      <c r="CK1479">
        <v>1.5</v>
      </c>
      <c r="CL1479" t="s">
        <v>4</v>
      </c>
      <c r="CM1479" t="s">
        <v>98</v>
      </c>
      <c r="CN1479" t="s">
        <v>98</v>
      </c>
      <c r="CO1479" t="s">
        <v>99</v>
      </c>
      <c r="CP1479" t="s">
        <v>100</v>
      </c>
      <c r="CQ1479" t="s">
        <v>100</v>
      </c>
      <c r="CR1479" t="s">
        <v>100</v>
      </c>
      <c r="CS1479" t="s">
        <v>101</v>
      </c>
      <c r="CT1479" s="7" t="s">
        <v>152</v>
      </c>
      <c r="CU1479" t="s">
        <v>102</v>
      </c>
      <c r="CV1479" t="s">
        <v>100</v>
      </c>
    </row>
    <row r="1480" spans="1:100">
      <c r="A1480" s="3" t="s">
        <v>16316</v>
      </c>
      <c r="B1480" s="4" t="s">
        <v>16317</v>
      </c>
      <c r="C1480">
        <v>15.797021810037201</v>
      </c>
      <c r="D1480">
        <v>10.1192435074442</v>
      </c>
      <c r="E1480">
        <v>0.64809605276308102</v>
      </c>
      <c r="F1480">
        <v>0.51247546768316599</v>
      </c>
      <c r="G1480" t="s">
        <v>4</v>
      </c>
      <c r="H1480">
        <v>15.797021810037201</v>
      </c>
      <c r="I1480">
        <v>2.0942313558325698</v>
      </c>
      <c r="J1480">
        <v>3.0519455258315098</v>
      </c>
      <c r="K1480">
        <v>7.8966797300645802E-3</v>
      </c>
      <c r="L1480" t="s">
        <v>4</v>
      </c>
      <c r="M1480">
        <v>10.1192435074442</v>
      </c>
      <c r="N1480">
        <v>2.0942313558325698</v>
      </c>
      <c r="O1480">
        <v>2.4038494730684299</v>
      </c>
      <c r="P1480">
        <v>4.1674989566947498E-2</v>
      </c>
      <c r="Q1480" t="s">
        <v>4</v>
      </c>
      <c r="R1480" s="4" t="s">
        <v>87</v>
      </c>
      <c r="S1480" t="s">
        <v>4</v>
      </c>
      <c r="T1480" t="s">
        <v>460</v>
      </c>
      <c r="U1480" t="s">
        <v>461</v>
      </c>
      <c r="V1480" t="s">
        <v>462</v>
      </c>
      <c r="W1480" t="s">
        <v>123</v>
      </c>
      <c r="X1480" t="s">
        <v>4</v>
      </c>
      <c r="Y1480" t="s">
        <v>463</v>
      </c>
      <c r="Z1480" t="s">
        <v>464</v>
      </c>
      <c r="AA1480" t="s">
        <v>465</v>
      </c>
      <c r="AB1480" t="s">
        <v>4</v>
      </c>
      <c r="AC1480" s="3" t="s">
        <v>16318</v>
      </c>
      <c r="AD1480" t="s">
        <v>4</v>
      </c>
      <c r="AE1480" s="4" t="s">
        <v>94</v>
      </c>
      <c r="AZ1480" t="s">
        <v>4</v>
      </c>
      <c r="BA1480" s="3" t="s">
        <v>95</v>
      </c>
      <c r="BB1480" s="6" t="s">
        <v>95</v>
      </c>
      <c r="BC1480" s="3" t="s">
        <v>95</v>
      </c>
      <c r="BD1480" t="s">
        <v>4</v>
      </c>
      <c r="BE1480">
        <v>7348</v>
      </c>
      <c r="BF1480" t="s">
        <v>213</v>
      </c>
      <c r="BP1480">
        <v>10.9589</v>
      </c>
      <c r="BQ1480">
        <v>7.3059399999999997</v>
      </c>
      <c r="BR1480">
        <v>8.9041099999999993</v>
      </c>
      <c r="BS1480">
        <v>11.187200000000001</v>
      </c>
      <c r="BW1480">
        <v>16.438400000000001</v>
      </c>
      <c r="BX1480">
        <v>10.9589</v>
      </c>
      <c r="BZ1480">
        <v>13.0137</v>
      </c>
      <c r="CB1480">
        <v>10.730600000000001</v>
      </c>
      <c r="CE1480">
        <v>13.0137</v>
      </c>
      <c r="CF1480" t="s">
        <v>16319</v>
      </c>
      <c r="CG1480" t="s">
        <v>16320</v>
      </c>
      <c r="CH1480" t="s">
        <v>16321</v>
      </c>
      <c r="CI1480">
        <v>11.4155</v>
      </c>
      <c r="CK1480">
        <v>8</v>
      </c>
      <c r="CL1480" t="s">
        <v>4</v>
      </c>
      <c r="CM1480" t="s">
        <v>98</v>
      </c>
      <c r="CN1480" t="s">
        <v>98</v>
      </c>
      <c r="CO1480" t="s">
        <v>99</v>
      </c>
      <c r="CP1480" t="s">
        <v>100</v>
      </c>
      <c r="CQ1480" t="s">
        <v>100</v>
      </c>
      <c r="CR1480" t="s">
        <v>100</v>
      </c>
      <c r="CS1480" t="s">
        <v>101</v>
      </c>
      <c r="CT1480" s="7" t="s">
        <v>152</v>
      </c>
      <c r="CU1480" t="s">
        <v>102</v>
      </c>
      <c r="CV1480" t="s">
        <v>100</v>
      </c>
    </row>
    <row r="1481" spans="1:100">
      <c r="A1481" s="3" t="s">
        <v>16322</v>
      </c>
      <c r="B1481" s="4" t="s">
        <v>16323</v>
      </c>
      <c r="C1481">
        <v>34.828212273228402</v>
      </c>
      <c r="D1481">
        <v>11.060382994398701</v>
      </c>
      <c r="E1481">
        <v>1.6538191811145699</v>
      </c>
      <c r="F1481">
        <v>0.13152440548154101</v>
      </c>
      <c r="G1481" t="s">
        <v>4</v>
      </c>
      <c r="H1481">
        <v>34.828212273228402</v>
      </c>
      <c r="I1481">
        <v>1.4948873657459301</v>
      </c>
      <c r="J1481">
        <v>4.3705262205285997</v>
      </c>
      <c r="K1481">
        <v>6.6125803430015599E-4</v>
      </c>
      <c r="L1481" t="s">
        <v>4</v>
      </c>
      <c r="M1481">
        <v>11.060382994398701</v>
      </c>
      <c r="N1481">
        <v>1.4948873657459301</v>
      </c>
      <c r="O1481">
        <v>2.7167070394140298</v>
      </c>
      <c r="P1481">
        <v>4.2197390222314002E-2</v>
      </c>
      <c r="Q1481" t="s">
        <v>4</v>
      </c>
      <c r="R1481" s="4" t="s">
        <v>87</v>
      </c>
      <c r="S1481" t="s">
        <v>4</v>
      </c>
      <c r="T1481" t="s">
        <v>16324</v>
      </c>
      <c r="U1481" t="s">
        <v>16325</v>
      </c>
      <c r="V1481" t="s">
        <v>16326</v>
      </c>
      <c r="W1481" t="s">
        <v>328</v>
      </c>
      <c r="X1481" t="s">
        <v>4</v>
      </c>
      <c r="Y1481" t="s">
        <v>16327</v>
      </c>
      <c r="Z1481" t="s">
        <v>16328</v>
      </c>
      <c r="AA1481" t="s">
        <v>16329</v>
      </c>
      <c r="AB1481" t="s">
        <v>4</v>
      </c>
      <c r="AC1481" s="3" t="s">
        <v>16330</v>
      </c>
      <c r="AD1481" t="s">
        <v>4</v>
      </c>
      <c r="AE1481" t="s">
        <v>16331</v>
      </c>
      <c r="AF1481" t="s">
        <v>16332</v>
      </c>
      <c r="AG1481" t="s">
        <v>4852</v>
      </c>
      <c r="AH1481" t="s">
        <v>112</v>
      </c>
      <c r="AU1481" t="s">
        <v>112</v>
      </c>
      <c r="AV1481" t="s">
        <v>16333</v>
      </c>
      <c r="AW1481" t="s">
        <v>114</v>
      </c>
      <c r="AX1481" t="s">
        <v>371</v>
      </c>
      <c r="AY1481" t="s">
        <v>16334</v>
      </c>
      <c r="AZ1481" t="s">
        <v>4</v>
      </c>
      <c r="BA1481" s="3" t="s">
        <v>95</v>
      </c>
      <c r="BB1481" s="6" t="s">
        <v>95</v>
      </c>
      <c r="BC1481" s="3" t="s">
        <v>95</v>
      </c>
      <c r="BD1481" t="s">
        <v>4</v>
      </c>
      <c r="BE1481">
        <v>3898</v>
      </c>
      <c r="BF1481" t="s">
        <v>112</v>
      </c>
      <c r="BG1481">
        <v>98.705500000000001</v>
      </c>
      <c r="BH1481">
        <v>99.676400000000001</v>
      </c>
      <c r="BI1481">
        <v>81.553399999999996</v>
      </c>
      <c r="BJ1481">
        <v>72.168300000000002</v>
      </c>
      <c r="BL1481">
        <v>46.278300000000002</v>
      </c>
      <c r="BM1481">
        <v>67.637500000000003</v>
      </c>
      <c r="BN1481">
        <v>68.608400000000003</v>
      </c>
      <c r="BO1481">
        <v>57.605200000000004</v>
      </c>
      <c r="BP1481">
        <v>33.656999999999996</v>
      </c>
      <c r="BQ1481">
        <v>29.4498</v>
      </c>
      <c r="BS1481">
        <v>30.4207</v>
      </c>
      <c r="BT1481">
        <v>35.275100000000002</v>
      </c>
      <c r="BU1481">
        <v>31.068000000000001</v>
      </c>
      <c r="BV1481" t="s">
        <v>16335</v>
      </c>
      <c r="BW1481">
        <v>28.1553</v>
      </c>
      <c r="BX1481">
        <v>33.980600000000003</v>
      </c>
      <c r="BY1481">
        <v>29.4498</v>
      </c>
      <c r="BZ1481">
        <v>30.4207</v>
      </c>
      <c r="CA1481">
        <v>30.097100000000001</v>
      </c>
      <c r="CF1481">
        <v>9.0614899999999992</v>
      </c>
      <c r="CG1481" t="s">
        <v>16336</v>
      </c>
      <c r="CH1481" t="s">
        <v>16337</v>
      </c>
      <c r="CI1481" t="s">
        <v>16338</v>
      </c>
      <c r="CK1481">
        <v>5</v>
      </c>
      <c r="CL1481" t="s">
        <v>4</v>
      </c>
      <c r="CM1481" t="s">
        <v>16339</v>
      </c>
      <c r="CN1481" t="s">
        <v>16340</v>
      </c>
      <c r="CO1481" t="s">
        <v>99</v>
      </c>
      <c r="CP1481" t="s">
        <v>100</v>
      </c>
      <c r="CQ1481" t="s">
        <v>100</v>
      </c>
      <c r="CR1481" t="s">
        <v>100</v>
      </c>
      <c r="CS1481" t="s">
        <v>101</v>
      </c>
      <c r="CT1481" s="7" t="s">
        <v>152</v>
      </c>
      <c r="CU1481" t="s">
        <v>102</v>
      </c>
      <c r="CV1481" t="s">
        <v>100</v>
      </c>
    </row>
    <row r="1482" spans="1:100">
      <c r="A1482" s="3" t="s">
        <v>16341</v>
      </c>
      <c r="B1482" s="4" t="s">
        <v>16342</v>
      </c>
      <c r="C1482">
        <v>42.705512547873099</v>
      </c>
      <c r="D1482">
        <v>16.5787258162967</v>
      </c>
      <c r="E1482">
        <v>1.37297358211632</v>
      </c>
      <c r="F1482">
        <v>6.0572016247126603E-2</v>
      </c>
      <c r="G1482" t="s">
        <v>4</v>
      </c>
      <c r="H1482">
        <v>42.705512547873099</v>
      </c>
      <c r="I1482">
        <v>4.8877654023919197</v>
      </c>
      <c r="J1482">
        <v>3.10137833445877</v>
      </c>
      <c r="K1482">
        <v>1.17097716589905E-4</v>
      </c>
      <c r="L1482" t="s">
        <v>4</v>
      </c>
      <c r="M1482">
        <v>16.5787258162967</v>
      </c>
      <c r="N1482">
        <v>4.8877654023919197</v>
      </c>
      <c r="O1482">
        <v>1.7284047523424599</v>
      </c>
      <c r="P1482">
        <v>4.2472165963245601E-2</v>
      </c>
      <c r="Q1482" t="s">
        <v>4</v>
      </c>
      <c r="R1482" s="4" t="s">
        <v>87</v>
      </c>
      <c r="S1482" t="s">
        <v>4</v>
      </c>
      <c r="T1482" t="s">
        <v>92</v>
      </c>
      <c r="U1482" t="s">
        <v>92</v>
      </c>
      <c r="V1482" t="s">
        <v>92</v>
      </c>
      <c r="W1482" t="s">
        <v>92</v>
      </c>
      <c r="X1482" t="s">
        <v>4</v>
      </c>
      <c r="Y1482" t="s">
        <v>92</v>
      </c>
      <c r="Z1482" t="s">
        <v>92</v>
      </c>
      <c r="AA1482" t="s">
        <v>92</v>
      </c>
      <c r="AB1482" t="s">
        <v>4</v>
      </c>
      <c r="AC1482" s="3" t="s">
        <v>93</v>
      </c>
      <c r="AD1482" t="s">
        <v>4</v>
      </c>
      <c r="AE1482" s="4" t="s">
        <v>94</v>
      </c>
      <c r="AZ1482" t="s">
        <v>4</v>
      </c>
      <c r="BA1482" s="3" t="s">
        <v>95</v>
      </c>
      <c r="BB1482" s="6" t="s">
        <v>95</v>
      </c>
      <c r="BC1482" s="3" t="s">
        <v>95</v>
      </c>
      <c r="BD1482" t="s">
        <v>4</v>
      </c>
      <c r="BE1482">
        <v>1633</v>
      </c>
      <c r="BF1482" t="s">
        <v>151</v>
      </c>
      <c r="BG1482" t="s">
        <v>16159</v>
      </c>
      <c r="BI1482">
        <v>51.2821</v>
      </c>
      <c r="CK1482">
        <v>2</v>
      </c>
      <c r="CL1482" t="s">
        <v>4</v>
      </c>
      <c r="CM1482" t="s">
        <v>98</v>
      </c>
      <c r="CN1482" t="s">
        <v>98</v>
      </c>
      <c r="CO1482" t="s">
        <v>99</v>
      </c>
      <c r="CP1482" t="s">
        <v>100</v>
      </c>
      <c r="CQ1482" t="s">
        <v>100</v>
      </c>
      <c r="CR1482" t="s">
        <v>100</v>
      </c>
      <c r="CS1482" t="s">
        <v>101</v>
      </c>
      <c r="CT1482" s="7" t="s">
        <v>152</v>
      </c>
      <c r="CU1482" t="s">
        <v>102</v>
      </c>
      <c r="CV1482" t="s">
        <v>100</v>
      </c>
    </row>
    <row r="1483" spans="1:100">
      <c r="A1483" s="3" t="s">
        <v>16343</v>
      </c>
      <c r="B1483" s="4" t="s">
        <v>16344</v>
      </c>
      <c r="C1483">
        <v>29.257571390878699</v>
      </c>
      <c r="D1483">
        <v>5.97594475904737</v>
      </c>
      <c r="E1483">
        <v>2.3057274105383398</v>
      </c>
      <c r="F1483">
        <v>5.8475912002939702E-2</v>
      </c>
      <c r="G1483" t="s">
        <v>4</v>
      </c>
      <c r="H1483">
        <v>29.257571390878699</v>
      </c>
      <c r="I1483">
        <v>0.337017752855924</v>
      </c>
      <c r="J1483">
        <v>5.8564995511564604</v>
      </c>
      <c r="K1483">
        <v>4.6306869466474301E-4</v>
      </c>
      <c r="L1483" t="s">
        <v>4</v>
      </c>
      <c r="M1483">
        <v>5.97594475904737</v>
      </c>
      <c r="N1483">
        <v>0.337017752855924</v>
      </c>
      <c r="O1483">
        <v>3.5507721406181099</v>
      </c>
      <c r="P1483">
        <v>4.2714991558675197E-2</v>
      </c>
      <c r="Q1483" t="s">
        <v>4</v>
      </c>
      <c r="R1483" s="4" t="s">
        <v>95</v>
      </c>
      <c r="S1483" t="s">
        <v>4</v>
      </c>
      <c r="X1483" t="s">
        <v>4</v>
      </c>
      <c r="AB1483" t="s">
        <v>4</v>
      </c>
      <c r="AC1483" s="3" t="s">
        <v>93</v>
      </c>
      <c r="AD1483" t="s">
        <v>4</v>
      </c>
      <c r="AE1483" s="4" t="s">
        <v>94</v>
      </c>
      <c r="AZ1483" t="s">
        <v>4</v>
      </c>
      <c r="BA1483" s="3" t="s">
        <v>812</v>
      </c>
      <c r="BB1483" s="3" t="s">
        <v>812</v>
      </c>
      <c r="BC1483" s="3" t="s">
        <v>812</v>
      </c>
      <c r="BD1483" t="s">
        <v>4</v>
      </c>
      <c r="BE1483" s="3" t="s">
        <v>812</v>
      </c>
      <c r="BF1483" s="3" t="s">
        <v>812</v>
      </c>
      <c r="BG1483" s="3" t="s">
        <v>812</v>
      </c>
      <c r="BH1483" s="3" t="s">
        <v>812</v>
      </c>
      <c r="BI1483" s="3" t="s">
        <v>812</v>
      </c>
      <c r="BJ1483" s="3" t="s">
        <v>812</v>
      </c>
      <c r="BK1483" s="3" t="s">
        <v>812</v>
      </c>
      <c r="BL1483" s="3" t="s">
        <v>812</v>
      </c>
      <c r="BM1483" s="3" t="s">
        <v>812</v>
      </c>
      <c r="BN1483" s="3" t="s">
        <v>812</v>
      </c>
      <c r="BO1483" s="3" t="s">
        <v>812</v>
      </c>
      <c r="BP1483" s="3" t="s">
        <v>812</v>
      </c>
      <c r="BQ1483" s="3" t="s">
        <v>812</v>
      </c>
      <c r="BR1483" s="3" t="s">
        <v>812</v>
      </c>
      <c r="BS1483" s="3" t="s">
        <v>812</v>
      </c>
      <c r="BT1483" s="3" t="s">
        <v>812</v>
      </c>
      <c r="BU1483" s="3" t="s">
        <v>812</v>
      </c>
      <c r="BV1483" s="3" t="s">
        <v>812</v>
      </c>
      <c r="BW1483" s="3" t="s">
        <v>812</v>
      </c>
      <c r="BX1483" s="3" t="s">
        <v>812</v>
      </c>
      <c r="BY1483" s="3" t="s">
        <v>812</v>
      </c>
      <c r="BZ1483" s="3" t="s">
        <v>812</v>
      </c>
      <c r="CA1483" s="3" t="s">
        <v>812</v>
      </c>
      <c r="CB1483" s="3" t="s">
        <v>812</v>
      </c>
      <c r="CC1483" s="3" t="s">
        <v>812</v>
      </c>
      <c r="CD1483" s="3" t="s">
        <v>812</v>
      </c>
      <c r="CE1483" s="3" t="s">
        <v>812</v>
      </c>
      <c r="CF1483" s="3" t="s">
        <v>812</v>
      </c>
      <c r="CG1483" s="3" t="s">
        <v>812</v>
      </c>
      <c r="CH1483" s="3" t="s">
        <v>812</v>
      </c>
      <c r="CI1483" s="3" t="s">
        <v>812</v>
      </c>
      <c r="CJ1483" s="3" t="s">
        <v>812</v>
      </c>
      <c r="CK1483" s="3" t="s">
        <v>812</v>
      </c>
      <c r="CL1483" t="s">
        <v>4</v>
      </c>
      <c r="CM1483" t="s">
        <v>5486</v>
      </c>
      <c r="CP1483" t="s">
        <v>100</v>
      </c>
      <c r="CQ1483" t="s">
        <v>100</v>
      </c>
      <c r="CR1483" t="s">
        <v>100</v>
      </c>
      <c r="CS1483" t="s">
        <v>101</v>
      </c>
      <c r="CT1483" s="7" t="s">
        <v>152</v>
      </c>
      <c r="CU1483" t="s">
        <v>102</v>
      </c>
      <c r="CV1483" t="s">
        <v>100</v>
      </c>
    </row>
    <row r="1484" spans="1:100">
      <c r="A1484" s="3" t="s">
        <v>16345</v>
      </c>
      <c r="B1484" s="4" t="s">
        <v>16346</v>
      </c>
      <c r="C1484">
        <v>28.653082946140501</v>
      </c>
      <c r="D1484">
        <v>5.8481535249537897</v>
      </c>
      <c r="E1484">
        <v>2.3018417878323798</v>
      </c>
      <c r="F1484">
        <v>6.26268126228888E-2</v>
      </c>
      <c r="G1484" t="s">
        <v>4</v>
      </c>
      <c r="H1484">
        <v>28.653082946140501</v>
      </c>
      <c r="I1484">
        <v>0.483834107178163</v>
      </c>
      <c r="J1484">
        <v>5.8274074587561797</v>
      </c>
      <c r="K1484">
        <v>5.3872779292328304E-4</v>
      </c>
      <c r="L1484" t="s">
        <v>4</v>
      </c>
      <c r="M1484">
        <v>5.8481535249537897</v>
      </c>
      <c r="N1484">
        <v>0.483834107178163</v>
      </c>
      <c r="O1484">
        <v>3.5255656709237901</v>
      </c>
      <c r="P1484">
        <v>4.5814218279055102E-2</v>
      </c>
      <c r="Q1484" t="s">
        <v>4</v>
      </c>
      <c r="R1484" s="4" t="s">
        <v>87</v>
      </c>
      <c r="S1484" t="s">
        <v>4</v>
      </c>
      <c r="T1484" t="s">
        <v>92</v>
      </c>
      <c r="U1484" t="s">
        <v>92</v>
      </c>
      <c r="V1484" t="s">
        <v>92</v>
      </c>
      <c r="W1484" t="s">
        <v>92</v>
      </c>
      <c r="X1484" t="s">
        <v>4</v>
      </c>
      <c r="Y1484" t="s">
        <v>92</v>
      </c>
      <c r="Z1484" t="s">
        <v>92</v>
      </c>
      <c r="AA1484" t="s">
        <v>92</v>
      </c>
      <c r="AB1484" t="s">
        <v>4</v>
      </c>
      <c r="AC1484" s="3" t="s">
        <v>93</v>
      </c>
      <c r="AD1484" t="s">
        <v>4</v>
      </c>
      <c r="AE1484" s="4" t="s">
        <v>94</v>
      </c>
      <c r="AZ1484" t="s">
        <v>4</v>
      </c>
      <c r="BA1484" s="3" t="s">
        <v>95</v>
      </c>
      <c r="BB1484" s="6" t="s">
        <v>95</v>
      </c>
      <c r="BC1484" s="3" t="s">
        <v>95</v>
      </c>
      <c r="BD1484" t="s">
        <v>4</v>
      </c>
      <c r="BE1484">
        <v>931</v>
      </c>
      <c r="BF1484" t="s">
        <v>604</v>
      </c>
      <c r="BG1484">
        <v>53.424700000000001</v>
      </c>
      <c r="CK1484">
        <v>1.5</v>
      </c>
      <c r="CL1484" t="s">
        <v>4</v>
      </c>
      <c r="CM1484" t="s">
        <v>98</v>
      </c>
      <c r="CN1484" t="s">
        <v>98</v>
      </c>
      <c r="CO1484" t="s">
        <v>99</v>
      </c>
      <c r="CP1484" t="s">
        <v>100</v>
      </c>
      <c r="CQ1484" t="s">
        <v>100</v>
      </c>
      <c r="CR1484" t="s">
        <v>100</v>
      </c>
      <c r="CS1484" t="s">
        <v>101</v>
      </c>
      <c r="CT1484" s="7" t="s">
        <v>152</v>
      </c>
      <c r="CU1484" t="s">
        <v>102</v>
      </c>
      <c r="CV1484" t="s">
        <v>100</v>
      </c>
    </row>
    <row r="1485" spans="1:100">
      <c r="A1485" s="3" t="s">
        <v>16347</v>
      </c>
      <c r="B1485" s="4" t="s">
        <v>16348</v>
      </c>
      <c r="C1485">
        <v>26.298515554013399</v>
      </c>
      <c r="D1485">
        <v>15.2179443965837</v>
      </c>
      <c r="E1485">
        <v>0.79602586593317004</v>
      </c>
      <c r="F1485">
        <v>0.338721230462526</v>
      </c>
      <c r="G1485" t="s">
        <v>4</v>
      </c>
      <c r="H1485">
        <v>26.298515554013399</v>
      </c>
      <c r="I1485">
        <v>4.2137298966800696</v>
      </c>
      <c r="J1485">
        <v>2.6521803612120198</v>
      </c>
      <c r="K1485">
        <v>3.1050027036168401E-3</v>
      </c>
      <c r="L1485" t="s">
        <v>4</v>
      </c>
      <c r="M1485">
        <v>15.2179443965837</v>
      </c>
      <c r="N1485">
        <v>4.2137298966800696</v>
      </c>
      <c r="O1485">
        <v>1.85615449527885</v>
      </c>
      <c r="P1485">
        <v>4.6181090995706199E-2</v>
      </c>
      <c r="Q1485" t="s">
        <v>4</v>
      </c>
      <c r="R1485" s="4" t="s">
        <v>87</v>
      </c>
      <c r="S1485" t="s">
        <v>4</v>
      </c>
      <c r="T1485" t="s">
        <v>92</v>
      </c>
      <c r="U1485" t="s">
        <v>92</v>
      </c>
      <c r="V1485" t="s">
        <v>92</v>
      </c>
      <c r="W1485" t="s">
        <v>92</v>
      </c>
      <c r="X1485" t="s">
        <v>4</v>
      </c>
      <c r="Y1485" t="s">
        <v>16349</v>
      </c>
      <c r="Z1485" t="s">
        <v>16350</v>
      </c>
      <c r="AA1485" t="s">
        <v>16351</v>
      </c>
      <c r="AB1485" t="s">
        <v>4</v>
      </c>
      <c r="AC1485" s="3" t="s">
        <v>127</v>
      </c>
      <c r="AD1485" t="s">
        <v>4</v>
      </c>
      <c r="AE1485" t="s">
        <v>16352</v>
      </c>
      <c r="AF1485" t="s">
        <v>8694</v>
      </c>
      <c r="AG1485" t="s">
        <v>9492</v>
      </c>
      <c r="AH1485" t="s">
        <v>1936</v>
      </c>
      <c r="AU1485" t="s">
        <v>112</v>
      </c>
      <c r="AV1485" t="s">
        <v>16353</v>
      </c>
      <c r="AW1485" t="s">
        <v>114</v>
      </c>
      <c r="AX1485" t="s">
        <v>6071</v>
      </c>
      <c r="AY1485" t="s">
        <v>16354</v>
      </c>
      <c r="AZ1485" t="s">
        <v>4</v>
      </c>
      <c r="BA1485" s="3" t="s">
        <v>95</v>
      </c>
      <c r="BB1485" s="6" t="s">
        <v>95</v>
      </c>
      <c r="BC1485" s="3" t="s">
        <v>95</v>
      </c>
      <c r="BD1485" t="s">
        <v>4</v>
      </c>
      <c r="BE1485">
        <v>3020</v>
      </c>
      <c r="BF1485" t="s">
        <v>97</v>
      </c>
      <c r="BH1485">
        <v>97.457599999999999</v>
      </c>
      <c r="BI1485">
        <v>90.677999999999997</v>
      </c>
      <c r="BJ1485">
        <v>35.593200000000003</v>
      </c>
      <c r="BL1485">
        <v>66.949200000000005</v>
      </c>
      <c r="BP1485">
        <v>42.372900000000001</v>
      </c>
      <c r="CK1485">
        <v>4</v>
      </c>
      <c r="CL1485" t="s">
        <v>4</v>
      </c>
      <c r="CM1485" t="s">
        <v>98</v>
      </c>
      <c r="CN1485" t="s">
        <v>98</v>
      </c>
      <c r="CO1485" t="s">
        <v>99</v>
      </c>
      <c r="CP1485" t="s">
        <v>100</v>
      </c>
      <c r="CQ1485" t="s">
        <v>100</v>
      </c>
      <c r="CR1485" t="s">
        <v>100</v>
      </c>
      <c r="CS1485" t="s">
        <v>101</v>
      </c>
      <c r="CT1485" s="7" t="s">
        <v>152</v>
      </c>
      <c r="CU1485" t="s">
        <v>102</v>
      </c>
      <c r="CV1485" t="s">
        <v>100</v>
      </c>
    </row>
    <row r="1486" spans="1:100">
      <c r="A1486" s="3" t="s">
        <v>16355</v>
      </c>
      <c r="B1486" s="4" t="s">
        <v>16356</v>
      </c>
      <c r="C1486">
        <v>92.557466702910304</v>
      </c>
      <c r="D1486">
        <v>31.844962835093401</v>
      </c>
      <c r="E1486">
        <v>1.5390146133823599</v>
      </c>
      <c r="F1486">
        <v>0.107154187285413</v>
      </c>
      <c r="G1486" t="s">
        <v>4</v>
      </c>
      <c r="H1486">
        <v>92.557466702910304</v>
      </c>
      <c r="I1486">
        <v>8.3588075641337696</v>
      </c>
      <c r="J1486">
        <v>3.5133453535950498</v>
      </c>
      <c r="K1486">
        <v>2.27041114945317E-4</v>
      </c>
      <c r="L1486" t="s">
        <v>4</v>
      </c>
      <c r="M1486">
        <v>31.844962835093401</v>
      </c>
      <c r="N1486">
        <v>8.3588075641337696</v>
      </c>
      <c r="O1486">
        <v>1.9743307402126899</v>
      </c>
      <c r="P1486">
        <v>4.6773066427611198E-2</v>
      </c>
      <c r="Q1486" t="s">
        <v>4</v>
      </c>
      <c r="R1486" s="4" t="s">
        <v>87</v>
      </c>
      <c r="S1486" t="s">
        <v>4</v>
      </c>
      <c r="T1486" t="s">
        <v>16357</v>
      </c>
      <c r="U1486" t="s">
        <v>16358</v>
      </c>
      <c r="V1486" t="s">
        <v>16359</v>
      </c>
      <c r="W1486" t="s">
        <v>7033</v>
      </c>
      <c r="X1486" t="s">
        <v>4</v>
      </c>
      <c r="Y1486" t="s">
        <v>16360</v>
      </c>
      <c r="Z1486" t="s">
        <v>16361</v>
      </c>
      <c r="AA1486" t="s">
        <v>16362</v>
      </c>
      <c r="AB1486" t="s">
        <v>4</v>
      </c>
      <c r="AC1486" s="3" t="s">
        <v>16363</v>
      </c>
      <c r="AD1486" t="s">
        <v>4</v>
      </c>
      <c r="AE1486" t="s">
        <v>16364</v>
      </c>
      <c r="AF1486" t="s">
        <v>16365</v>
      </c>
      <c r="AG1486" t="s">
        <v>16366</v>
      </c>
      <c r="AH1486" t="s">
        <v>112</v>
      </c>
      <c r="AU1486" t="s">
        <v>112</v>
      </c>
      <c r="AV1486" t="s">
        <v>16367</v>
      </c>
      <c r="AW1486" t="s">
        <v>114</v>
      </c>
      <c r="AX1486" t="s">
        <v>144</v>
      </c>
      <c r="AY1486" t="s">
        <v>16368</v>
      </c>
      <c r="AZ1486" t="s">
        <v>4</v>
      </c>
      <c r="BA1486" s="3" t="s">
        <v>95</v>
      </c>
      <c r="BB1486" s="6" t="s">
        <v>95</v>
      </c>
      <c r="BC1486" s="3" t="s">
        <v>95</v>
      </c>
      <c r="BD1486" t="s">
        <v>4</v>
      </c>
      <c r="BE1486">
        <v>3206</v>
      </c>
      <c r="BF1486" t="s">
        <v>112</v>
      </c>
      <c r="BG1486">
        <v>97.137</v>
      </c>
      <c r="BH1486">
        <v>99.386499999999998</v>
      </c>
      <c r="BI1486">
        <v>93.456000000000003</v>
      </c>
      <c r="BK1486">
        <v>74.437600000000003</v>
      </c>
      <c r="BM1486">
        <v>76.278099999999995</v>
      </c>
      <c r="BN1486">
        <v>76.073599999999999</v>
      </c>
      <c r="BP1486">
        <v>50.511200000000002</v>
      </c>
      <c r="CA1486">
        <v>24.1309</v>
      </c>
      <c r="CK1486">
        <v>5</v>
      </c>
      <c r="CL1486" t="s">
        <v>4</v>
      </c>
      <c r="CM1486" t="s">
        <v>16369</v>
      </c>
      <c r="CN1486" t="s">
        <v>16370</v>
      </c>
      <c r="CO1486" t="s">
        <v>663</v>
      </c>
      <c r="CP1486" t="s">
        <v>100</v>
      </c>
      <c r="CQ1486" t="s">
        <v>100</v>
      </c>
      <c r="CR1486" t="s">
        <v>100</v>
      </c>
      <c r="CS1486" t="s">
        <v>101</v>
      </c>
      <c r="CT1486" s="7" t="s">
        <v>152</v>
      </c>
      <c r="CU1486" t="s">
        <v>102</v>
      </c>
      <c r="CV1486" t="s">
        <v>100</v>
      </c>
    </row>
    <row r="1487" spans="1:100">
      <c r="A1487" s="3" t="s">
        <v>16371</v>
      </c>
      <c r="B1487" s="4" t="s">
        <v>16372</v>
      </c>
      <c r="C1487">
        <v>35.152432687056098</v>
      </c>
      <c r="D1487">
        <v>10.5794351395144</v>
      </c>
      <c r="E1487">
        <v>1.74212215915723</v>
      </c>
      <c r="F1487">
        <v>0.221227114761025</v>
      </c>
      <c r="G1487" t="s">
        <v>4</v>
      </c>
      <c r="H1487">
        <v>35.152432687056098</v>
      </c>
      <c r="I1487">
        <v>0.967668214356326</v>
      </c>
      <c r="J1487">
        <v>5.2126350599140503</v>
      </c>
      <c r="K1487">
        <v>2.1164056067779799E-3</v>
      </c>
      <c r="L1487" t="s">
        <v>4</v>
      </c>
      <c r="M1487">
        <v>10.5794351395144</v>
      </c>
      <c r="N1487">
        <v>0.967668214356326</v>
      </c>
      <c r="O1487">
        <v>3.4705129007568201</v>
      </c>
      <c r="P1487">
        <v>4.7575205949467701E-2</v>
      </c>
      <c r="Q1487" t="s">
        <v>4</v>
      </c>
      <c r="R1487" s="4" t="s">
        <v>87</v>
      </c>
      <c r="S1487" t="s">
        <v>4</v>
      </c>
      <c r="T1487" t="s">
        <v>92</v>
      </c>
      <c r="U1487" t="s">
        <v>92</v>
      </c>
      <c r="V1487" t="s">
        <v>92</v>
      </c>
      <c r="W1487" t="s">
        <v>92</v>
      </c>
      <c r="X1487" t="s">
        <v>4</v>
      </c>
      <c r="Y1487" t="s">
        <v>92</v>
      </c>
      <c r="Z1487" t="s">
        <v>92</v>
      </c>
      <c r="AA1487" t="s">
        <v>92</v>
      </c>
      <c r="AB1487" t="s">
        <v>4</v>
      </c>
      <c r="AC1487" s="3" t="s">
        <v>93</v>
      </c>
      <c r="AD1487" t="s">
        <v>4</v>
      </c>
      <c r="AE1487" s="4" t="s">
        <v>94</v>
      </c>
      <c r="AZ1487" t="s">
        <v>4</v>
      </c>
      <c r="BA1487" s="3" t="s">
        <v>115</v>
      </c>
      <c r="BB1487" s="6" t="s">
        <v>95</v>
      </c>
      <c r="BC1487" s="3" t="s">
        <v>95</v>
      </c>
      <c r="BD1487" t="s">
        <v>4</v>
      </c>
      <c r="BE1487">
        <v>143</v>
      </c>
      <c r="BF1487" t="s">
        <v>322</v>
      </c>
      <c r="CK1487">
        <v>1</v>
      </c>
      <c r="CL1487" t="s">
        <v>4</v>
      </c>
      <c r="CM1487" t="s">
        <v>98</v>
      </c>
      <c r="CN1487" t="s">
        <v>98</v>
      </c>
      <c r="CO1487" t="s">
        <v>99</v>
      </c>
      <c r="CP1487" t="s">
        <v>100</v>
      </c>
      <c r="CQ1487" t="s">
        <v>100</v>
      </c>
      <c r="CR1487" t="s">
        <v>100</v>
      </c>
      <c r="CS1487" t="s">
        <v>101</v>
      </c>
      <c r="CT1487" s="7" t="s">
        <v>152</v>
      </c>
      <c r="CU1487" t="s">
        <v>102</v>
      </c>
      <c r="CV1487" t="s">
        <v>100</v>
      </c>
    </row>
    <row r="1488" spans="1:100">
      <c r="A1488" s="3" t="s">
        <v>16373</v>
      </c>
      <c r="B1488" s="8" t="s">
        <v>811</v>
      </c>
      <c r="C1488">
        <v>37.261391251965897</v>
      </c>
      <c r="D1488">
        <v>11.887993901048</v>
      </c>
      <c r="E1488">
        <v>1.6552619328860501</v>
      </c>
      <c r="F1488">
        <v>0.14637485497782099</v>
      </c>
      <c r="G1488" t="s">
        <v>4</v>
      </c>
      <c r="H1488">
        <v>37.261391251965897</v>
      </c>
      <c r="I1488">
        <v>1.9413757151114901</v>
      </c>
      <c r="J1488">
        <v>4.30667217151814</v>
      </c>
      <c r="K1488">
        <v>8.5013209723882601E-4</v>
      </c>
      <c r="L1488" t="s">
        <v>4</v>
      </c>
      <c r="M1488">
        <v>11.887993901048</v>
      </c>
      <c r="N1488">
        <v>1.9413757151114901</v>
      </c>
      <c r="O1488">
        <v>2.6514102386320899</v>
      </c>
      <c r="P1488">
        <v>4.88581083899726E-2</v>
      </c>
      <c r="Q1488" t="s">
        <v>4</v>
      </c>
      <c r="R1488" s="4" t="s">
        <v>95</v>
      </c>
      <c r="S1488" t="s">
        <v>4</v>
      </c>
      <c r="T1488" t="s">
        <v>92</v>
      </c>
      <c r="U1488" t="s">
        <v>92</v>
      </c>
      <c r="V1488" t="s">
        <v>92</v>
      </c>
      <c r="W1488" t="s">
        <v>92</v>
      </c>
      <c r="X1488" t="s">
        <v>4</v>
      </c>
      <c r="Y1488" t="s">
        <v>92</v>
      </c>
      <c r="Z1488" t="s">
        <v>92</v>
      </c>
      <c r="AA1488" t="s">
        <v>92</v>
      </c>
      <c r="AB1488" t="s">
        <v>4</v>
      </c>
      <c r="AC1488" s="3" t="s">
        <v>93</v>
      </c>
      <c r="AD1488" t="s">
        <v>4</v>
      </c>
      <c r="AE1488" s="4" t="s">
        <v>94</v>
      </c>
      <c r="AZ1488" t="s">
        <v>4</v>
      </c>
      <c r="BA1488" s="3" t="s">
        <v>812</v>
      </c>
      <c r="BB1488" s="3" t="s">
        <v>812</v>
      </c>
      <c r="BC1488" s="3" t="s">
        <v>812</v>
      </c>
      <c r="BD1488" t="s">
        <v>4</v>
      </c>
      <c r="BE1488" s="3" t="s">
        <v>812</v>
      </c>
      <c r="BF1488" s="3" t="s">
        <v>812</v>
      </c>
      <c r="BG1488" s="3" t="s">
        <v>812</v>
      </c>
      <c r="BH1488" s="3" t="s">
        <v>812</v>
      </c>
      <c r="BI1488" s="3" t="s">
        <v>812</v>
      </c>
      <c r="BJ1488" s="3" t="s">
        <v>812</v>
      </c>
      <c r="BK1488" s="3" t="s">
        <v>812</v>
      </c>
      <c r="BL1488" s="3" t="s">
        <v>812</v>
      </c>
      <c r="BM1488" s="3" t="s">
        <v>812</v>
      </c>
      <c r="BN1488" s="3" t="s">
        <v>812</v>
      </c>
      <c r="BO1488" s="3" t="s">
        <v>812</v>
      </c>
      <c r="BP1488" s="3" t="s">
        <v>812</v>
      </c>
      <c r="BQ1488" s="3" t="s">
        <v>812</v>
      </c>
      <c r="BR1488" s="3" t="s">
        <v>812</v>
      </c>
      <c r="BS1488" s="3" t="s">
        <v>812</v>
      </c>
      <c r="BT1488" s="3" t="s">
        <v>812</v>
      </c>
      <c r="BU1488" s="3" t="s">
        <v>812</v>
      </c>
      <c r="BV1488" s="3" t="s">
        <v>812</v>
      </c>
      <c r="BW1488" s="3" t="s">
        <v>812</v>
      </c>
      <c r="BX1488" s="3" t="s">
        <v>812</v>
      </c>
      <c r="BY1488" s="3" t="s">
        <v>812</v>
      </c>
      <c r="BZ1488" s="3" t="s">
        <v>812</v>
      </c>
      <c r="CA1488" s="3" t="s">
        <v>812</v>
      </c>
      <c r="CB1488" s="3" t="s">
        <v>812</v>
      </c>
      <c r="CC1488" s="3" t="s">
        <v>812</v>
      </c>
      <c r="CD1488" s="3" t="s">
        <v>812</v>
      </c>
      <c r="CE1488" s="3" t="s">
        <v>812</v>
      </c>
      <c r="CF1488" s="3" t="s">
        <v>812</v>
      </c>
      <c r="CG1488" s="3" t="s">
        <v>812</v>
      </c>
      <c r="CH1488" s="3" t="s">
        <v>812</v>
      </c>
      <c r="CI1488" s="3" t="s">
        <v>812</v>
      </c>
      <c r="CJ1488" s="3" t="s">
        <v>812</v>
      </c>
      <c r="CK1488" s="3" t="s">
        <v>812</v>
      </c>
      <c r="CL1488" t="s">
        <v>4</v>
      </c>
      <c r="CM1488" s="3" t="s">
        <v>812</v>
      </c>
      <c r="CN1488" s="3" t="s">
        <v>812</v>
      </c>
      <c r="CO1488" s="3" t="s">
        <v>812</v>
      </c>
      <c r="CP1488" t="s">
        <v>100</v>
      </c>
      <c r="CQ1488" t="s">
        <v>100</v>
      </c>
      <c r="CR1488" t="s">
        <v>100</v>
      </c>
      <c r="CS1488" t="s">
        <v>101</v>
      </c>
      <c r="CT1488" s="7" t="s">
        <v>152</v>
      </c>
      <c r="CU1488" t="s">
        <v>102</v>
      </c>
      <c r="CV1488" t="s">
        <v>100</v>
      </c>
    </row>
    <row r="1489" spans="1:100">
      <c r="A1489" s="3" t="s">
        <v>16374</v>
      </c>
      <c r="B1489" s="4" t="s">
        <v>16375</v>
      </c>
      <c r="C1489">
        <v>23.8790761930819</v>
      </c>
      <c r="D1489">
        <v>13.174989505930499</v>
      </c>
      <c r="E1489">
        <v>0.86591912282102201</v>
      </c>
      <c r="F1489">
        <v>0.35901316567892599</v>
      </c>
      <c r="G1489" t="s">
        <v>4</v>
      </c>
      <c r="H1489">
        <v>23.8790761930819</v>
      </c>
      <c r="I1489">
        <v>2.9584682600780998</v>
      </c>
      <c r="J1489">
        <v>2.96578608891974</v>
      </c>
      <c r="K1489">
        <v>4.0766742855935104E-3</v>
      </c>
      <c r="L1489" t="s">
        <v>4</v>
      </c>
      <c r="M1489">
        <v>13.174989505930499</v>
      </c>
      <c r="N1489">
        <v>2.9584682600780998</v>
      </c>
      <c r="O1489">
        <v>2.0998669660987201</v>
      </c>
      <c r="P1489">
        <v>4.9614112763766698E-2</v>
      </c>
      <c r="Q1489" t="s">
        <v>4</v>
      </c>
      <c r="R1489" s="4" t="s">
        <v>87</v>
      </c>
      <c r="S1489" t="s">
        <v>4</v>
      </c>
      <c r="T1489" t="s">
        <v>92</v>
      </c>
      <c r="U1489" t="s">
        <v>92</v>
      </c>
      <c r="V1489" t="s">
        <v>92</v>
      </c>
      <c r="W1489" t="s">
        <v>92</v>
      </c>
      <c r="X1489" t="s">
        <v>4</v>
      </c>
      <c r="Y1489" t="s">
        <v>92</v>
      </c>
      <c r="Z1489" t="s">
        <v>92</v>
      </c>
      <c r="AA1489" t="s">
        <v>92</v>
      </c>
      <c r="AB1489" t="s">
        <v>4</v>
      </c>
      <c r="AC1489" s="3" t="s">
        <v>93</v>
      </c>
      <c r="AD1489" t="s">
        <v>4</v>
      </c>
      <c r="AE1489" s="4" t="s">
        <v>94</v>
      </c>
      <c r="AZ1489" t="s">
        <v>4</v>
      </c>
      <c r="BA1489" s="3" t="s">
        <v>95</v>
      </c>
      <c r="BB1489" s="6" t="s">
        <v>95</v>
      </c>
      <c r="BC1489" s="3" t="s">
        <v>197</v>
      </c>
      <c r="BD1489" t="s">
        <v>4</v>
      </c>
      <c r="BE1489">
        <v>1240</v>
      </c>
      <c r="BF1489" t="s">
        <v>151</v>
      </c>
      <c r="BG1489" t="s">
        <v>16376</v>
      </c>
      <c r="BH1489">
        <v>68.796099999999996</v>
      </c>
      <c r="BI1489">
        <v>86.240799999999993</v>
      </c>
      <c r="BJ1489">
        <v>41.0319</v>
      </c>
      <c r="BL1489" t="s">
        <v>16377</v>
      </c>
      <c r="BM1489">
        <v>37.592100000000002</v>
      </c>
      <c r="BN1489" t="s">
        <v>16378</v>
      </c>
      <c r="BO1489" t="s">
        <v>16379</v>
      </c>
      <c r="CK1489">
        <v>2</v>
      </c>
      <c r="CL1489" t="s">
        <v>4</v>
      </c>
      <c r="CM1489" t="s">
        <v>98</v>
      </c>
      <c r="CN1489" t="s">
        <v>98</v>
      </c>
      <c r="CO1489" t="s">
        <v>99</v>
      </c>
      <c r="CP1489" t="s">
        <v>100</v>
      </c>
      <c r="CQ1489" t="s">
        <v>100</v>
      </c>
      <c r="CR1489" t="s">
        <v>100</v>
      </c>
      <c r="CS1489" t="s">
        <v>101</v>
      </c>
      <c r="CT1489" s="7" t="s">
        <v>152</v>
      </c>
      <c r="CU1489" t="s">
        <v>102</v>
      </c>
      <c r="CV1489" t="s">
        <v>100</v>
      </c>
    </row>
    <row r="1490" spans="1:100">
      <c r="A1490" s="3" t="s">
        <v>16380</v>
      </c>
      <c r="B1490" s="4" t="s">
        <v>16381</v>
      </c>
      <c r="C1490">
        <v>64.382157711174997</v>
      </c>
      <c r="D1490">
        <v>38.285640575625699</v>
      </c>
      <c r="E1490">
        <v>0.74622684594896405</v>
      </c>
      <c r="F1490">
        <v>0.22947667879974301</v>
      </c>
      <c r="G1490" t="s">
        <v>4</v>
      </c>
      <c r="H1490">
        <v>64.382157711174997</v>
      </c>
      <c r="I1490">
        <v>16.3578968673249</v>
      </c>
      <c r="J1490">
        <v>2.0013092285353</v>
      </c>
      <c r="K1490">
        <v>1.17369968081258E-3</v>
      </c>
      <c r="L1490" t="s">
        <v>4</v>
      </c>
      <c r="M1490">
        <v>38.285640575625699</v>
      </c>
      <c r="N1490">
        <v>16.3578968673249</v>
      </c>
      <c r="O1490">
        <v>1.25508238258633</v>
      </c>
      <c r="P1490">
        <v>5.0674635219119503E-2</v>
      </c>
      <c r="Q1490" t="s">
        <v>4</v>
      </c>
      <c r="R1490" s="4" t="s">
        <v>87</v>
      </c>
      <c r="S1490" t="s">
        <v>4</v>
      </c>
      <c r="T1490" t="s">
        <v>92</v>
      </c>
      <c r="U1490" t="s">
        <v>92</v>
      </c>
      <c r="V1490" t="s">
        <v>92</v>
      </c>
      <c r="W1490" t="s">
        <v>92</v>
      </c>
      <c r="X1490" t="s">
        <v>4</v>
      </c>
      <c r="Y1490" t="s">
        <v>92</v>
      </c>
      <c r="Z1490" t="s">
        <v>92</v>
      </c>
      <c r="AA1490" t="s">
        <v>92</v>
      </c>
      <c r="AB1490" t="s">
        <v>4</v>
      </c>
      <c r="AC1490" s="3" t="s">
        <v>93</v>
      </c>
      <c r="AD1490" t="s">
        <v>4</v>
      </c>
      <c r="AE1490" s="4" t="s">
        <v>94</v>
      </c>
      <c r="AZ1490" t="s">
        <v>4</v>
      </c>
      <c r="BA1490" s="3" t="s">
        <v>95</v>
      </c>
      <c r="BB1490" t="s">
        <v>96</v>
      </c>
      <c r="BC1490" s="3" t="s">
        <v>197</v>
      </c>
      <c r="BD1490" t="s">
        <v>4</v>
      </c>
      <c r="BE1490">
        <v>2241</v>
      </c>
      <c r="BF1490" t="s">
        <v>148</v>
      </c>
      <c r="BG1490">
        <v>97.584500000000006</v>
      </c>
      <c r="BH1490">
        <v>99.516900000000007</v>
      </c>
      <c r="BI1490" t="s">
        <v>16382</v>
      </c>
      <c r="BJ1490">
        <v>64.734300000000005</v>
      </c>
      <c r="BK1490">
        <v>50.724600000000002</v>
      </c>
      <c r="BL1490">
        <v>57.487900000000003</v>
      </c>
      <c r="BM1490">
        <v>55.555599999999998</v>
      </c>
      <c r="BN1490">
        <v>55.555599999999998</v>
      </c>
      <c r="BO1490">
        <v>52.656999999999996</v>
      </c>
      <c r="CK1490">
        <v>3</v>
      </c>
      <c r="CL1490" t="s">
        <v>4</v>
      </c>
      <c r="CM1490" t="s">
        <v>98</v>
      </c>
      <c r="CN1490" t="s">
        <v>98</v>
      </c>
      <c r="CO1490" t="s">
        <v>99</v>
      </c>
      <c r="CP1490" t="s">
        <v>100</v>
      </c>
      <c r="CQ1490" t="s">
        <v>100</v>
      </c>
      <c r="CR1490" t="s">
        <v>100</v>
      </c>
      <c r="CS1490" t="s">
        <v>101</v>
      </c>
      <c r="CT1490" t="s">
        <v>100</v>
      </c>
      <c r="CU1490" t="s">
        <v>102</v>
      </c>
      <c r="CV1490" t="s">
        <v>100</v>
      </c>
    </row>
    <row r="1491" spans="1:100">
      <c r="A1491" s="3" t="s">
        <v>16383</v>
      </c>
      <c r="B1491" s="4" t="s">
        <v>16384</v>
      </c>
      <c r="C1491">
        <v>81.7429209271654</v>
      </c>
      <c r="D1491">
        <v>31.8168930284859</v>
      </c>
      <c r="E1491">
        <v>1.36089164902363</v>
      </c>
      <c r="F1491">
        <v>0.13396280330202101</v>
      </c>
      <c r="G1491" t="s">
        <v>4</v>
      </c>
      <c r="H1491">
        <v>81.7429209271654</v>
      </c>
      <c r="I1491">
        <v>8.71047056671555</v>
      </c>
      <c r="J1491">
        <v>3.1938863664189401</v>
      </c>
      <c r="K1491">
        <v>4.1131379126040102E-4</v>
      </c>
      <c r="L1491" t="s">
        <v>4</v>
      </c>
      <c r="M1491">
        <v>31.8168930284859</v>
      </c>
      <c r="N1491">
        <v>8.71047056671555</v>
      </c>
      <c r="O1491">
        <v>1.8329947173953101</v>
      </c>
      <c r="P1491">
        <v>5.1742782750363099E-2</v>
      </c>
      <c r="Q1491" t="s">
        <v>4</v>
      </c>
      <c r="R1491" s="4" t="s">
        <v>87</v>
      </c>
      <c r="S1491" t="s">
        <v>4</v>
      </c>
      <c r="T1491" t="s">
        <v>88</v>
      </c>
      <c r="U1491" t="s">
        <v>89</v>
      </c>
      <c r="V1491" t="s">
        <v>90</v>
      </c>
      <c r="W1491" t="s">
        <v>91</v>
      </c>
      <c r="X1491" t="s">
        <v>4</v>
      </c>
      <c r="Y1491" t="s">
        <v>92</v>
      </c>
      <c r="Z1491" t="s">
        <v>92</v>
      </c>
      <c r="AA1491" t="s">
        <v>92</v>
      </c>
      <c r="AB1491" t="s">
        <v>4</v>
      </c>
      <c r="AC1491" s="3" t="s">
        <v>93</v>
      </c>
      <c r="AD1491" t="s">
        <v>4</v>
      </c>
      <c r="AE1491" s="4" t="s">
        <v>94</v>
      </c>
      <c r="AZ1491" t="s">
        <v>4</v>
      </c>
      <c r="BA1491" s="3" t="s">
        <v>95</v>
      </c>
      <c r="BB1491" t="s">
        <v>96</v>
      </c>
      <c r="BC1491" s="3" t="s">
        <v>95</v>
      </c>
      <c r="BD1491" t="s">
        <v>4</v>
      </c>
      <c r="BE1491">
        <v>2249</v>
      </c>
      <c r="BF1491" t="s">
        <v>148</v>
      </c>
      <c r="BG1491">
        <v>84.758399999999995</v>
      </c>
      <c r="BH1491">
        <v>89.962800000000001</v>
      </c>
      <c r="BJ1491">
        <v>19.3309</v>
      </c>
      <c r="BL1491">
        <v>15.2416</v>
      </c>
      <c r="BM1491">
        <v>30.4833</v>
      </c>
      <c r="BN1491">
        <v>44.981400000000001</v>
      </c>
      <c r="CK1491">
        <v>3</v>
      </c>
      <c r="CL1491" t="s">
        <v>4</v>
      </c>
      <c r="CM1491" t="s">
        <v>98</v>
      </c>
      <c r="CN1491" t="s">
        <v>98</v>
      </c>
      <c r="CO1491" t="s">
        <v>99</v>
      </c>
      <c r="CP1491" t="s">
        <v>100</v>
      </c>
      <c r="CQ1491" t="s">
        <v>100</v>
      </c>
      <c r="CR1491" t="s">
        <v>100</v>
      </c>
      <c r="CS1491" t="s">
        <v>101</v>
      </c>
      <c r="CT1491" t="s">
        <v>100</v>
      </c>
      <c r="CU1491" t="s">
        <v>102</v>
      </c>
      <c r="CV1491" t="s">
        <v>100</v>
      </c>
    </row>
    <row r="1492" spans="1:100">
      <c r="A1492" s="3" t="s">
        <v>16385</v>
      </c>
      <c r="B1492" s="4" t="s">
        <v>16386</v>
      </c>
      <c r="C1492">
        <v>22.532206310784002</v>
      </c>
      <c r="D1492">
        <v>9.5126386124180797</v>
      </c>
      <c r="E1492">
        <v>1.2417841437963</v>
      </c>
      <c r="F1492">
        <v>0.40588651664731501</v>
      </c>
      <c r="G1492" t="s">
        <v>4</v>
      </c>
      <c r="H1492">
        <v>22.532206310784002</v>
      </c>
      <c r="I1492">
        <v>0.67403550571184701</v>
      </c>
      <c r="J1492">
        <v>4.7669339897122702</v>
      </c>
      <c r="K1492">
        <v>6.9350835346240003E-3</v>
      </c>
      <c r="L1492" t="s">
        <v>4</v>
      </c>
      <c r="M1492">
        <v>9.5126386124180797</v>
      </c>
      <c r="N1492">
        <v>0.67403550571184701</v>
      </c>
      <c r="O1492">
        <v>3.52514984591597</v>
      </c>
      <c r="P1492">
        <v>5.1816435038333303E-2</v>
      </c>
      <c r="Q1492" t="s">
        <v>4</v>
      </c>
      <c r="R1492" s="4" t="s">
        <v>87</v>
      </c>
      <c r="S1492" t="s">
        <v>4</v>
      </c>
      <c r="T1492" t="s">
        <v>92</v>
      </c>
      <c r="U1492" t="s">
        <v>92</v>
      </c>
      <c r="V1492" t="s">
        <v>92</v>
      </c>
      <c r="W1492" t="s">
        <v>92</v>
      </c>
      <c r="X1492" t="s">
        <v>4</v>
      </c>
      <c r="Y1492" t="s">
        <v>7298</v>
      </c>
      <c r="Z1492" t="s">
        <v>7299</v>
      </c>
      <c r="AA1492" t="s">
        <v>7300</v>
      </c>
      <c r="AB1492" t="s">
        <v>4</v>
      </c>
      <c r="AC1492" s="3" t="s">
        <v>9067</v>
      </c>
      <c r="AD1492" t="s">
        <v>4</v>
      </c>
      <c r="AE1492" s="4" t="s">
        <v>94</v>
      </c>
      <c r="AZ1492" t="s">
        <v>4</v>
      </c>
      <c r="BA1492" s="3" t="s">
        <v>95</v>
      </c>
      <c r="BB1492" s="6" t="s">
        <v>95</v>
      </c>
      <c r="BC1492" s="3" t="s">
        <v>95</v>
      </c>
      <c r="BD1492" t="s">
        <v>4</v>
      </c>
      <c r="BE1492">
        <v>317</v>
      </c>
      <c r="BF1492" t="s">
        <v>322</v>
      </c>
      <c r="CK1492">
        <v>1</v>
      </c>
      <c r="CL1492" t="s">
        <v>4</v>
      </c>
      <c r="CM1492" t="s">
        <v>98</v>
      </c>
      <c r="CN1492" t="s">
        <v>98</v>
      </c>
      <c r="CO1492" t="s">
        <v>99</v>
      </c>
      <c r="CP1492" t="s">
        <v>100</v>
      </c>
      <c r="CQ1492" t="s">
        <v>100</v>
      </c>
      <c r="CR1492" t="s">
        <v>100</v>
      </c>
      <c r="CS1492" t="s">
        <v>101</v>
      </c>
      <c r="CT1492" t="s">
        <v>100</v>
      </c>
      <c r="CU1492" t="s">
        <v>102</v>
      </c>
      <c r="CV1492" t="s">
        <v>100</v>
      </c>
    </row>
    <row r="1493" spans="1:100">
      <c r="A1493" s="3" t="s">
        <v>16387</v>
      </c>
      <c r="B1493" s="4" t="s">
        <v>16388</v>
      </c>
      <c r="C1493">
        <v>28.071285653540102</v>
      </c>
      <c r="D1493">
        <v>10.1965038572719</v>
      </c>
      <c r="E1493">
        <v>1.4568092845898</v>
      </c>
      <c r="F1493">
        <v>0.181437193879676</v>
      </c>
      <c r="G1493" t="s">
        <v>4</v>
      </c>
      <c r="H1493">
        <v>28.071285653540102</v>
      </c>
      <c r="I1493">
        <v>1.64774300646701</v>
      </c>
      <c r="J1493">
        <v>4.0176871961876204</v>
      </c>
      <c r="K1493">
        <v>1.53627389866188E-3</v>
      </c>
      <c r="L1493" t="s">
        <v>4</v>
      </c>
      <c r="M1493">
        <v>10.1965038572719</v>
      </c>
      <c r="N1493">
        <v>1.64774300646701</v>
      </c>
      <c r="O1493">
        <v>2.5608779115978302</v>
      </c>
      <c r="P1493">
        <v>5.3198390830901103E-2</v>
      </c>
      <c r="Q1493" t="s">
        <v>4</v>
      </c>
      <c r="R1493" s="4" t="s">
        <v>87</v>
      </c>
      <c r="S1493" t="s">
        <v>4</v>
      </c>
      <c r="T1493" t="s">
        <v>92</v>
      </c>
      <c r="U1493" t="s">
        <v>92</v>
      </c>
      <c r="V1493" t="s">
        <v>92</v>
      </c>
      <c r="W1493" t="s">
        <v>92</v>
      </c>
      <c r="X1493" t="s">
        <v>4</v>
      </c>
      <c r="Y1493" t="s">
        <v>92</v>
      </c>
      <c r="Z1493" t="s">
        <v>92</v>
      </c>
      <c r="AA1493" t="s">
        <v>92</v>
      </c>
      <c r="AB1493" t="s">
        <v>4</v>
      </c>
      <c r="AC1493" s="3" t="s">
        <v>93</v>
      </c>
      <c r="AD1493" t="s">
        <v>4</v>
      </c>
      <c r="AE1493" s="4" t="s">
        <v>94</v>
      </c>
      <c r="AZ1493" t="s">
        <v>4</v>
      </c>
      <c r="BA1493" s="3" t="s">
        <v>95</v>
      </c>
      <c r="BB1493" s="6" t="s">
        <v>95</v>
      </c>
      <c r="BC1493" s="3" t="s">
        <v>95</v>
      </c>
      <c r="BD1493" t="s">
        <v>4</v>
      </c>
      <c r="BE1493">
        <v>848</v>
      </c>
      <c r="BF1493" t="s">
        <v>604</v>
      </c>
      <c r="BH1493">
        <v>100</v>
      </c>
      <c r="CK1493">
        <v>1.5</v>
      </c>
      <c r="CL1493" t="s">
        <v>4</v>
      </c>
      <c r="CM1493" t="s">
        <v>98</v>
      </c>
      <c r="CN1493" t="s">
        <v>98</v>
      </c>
      <c r="CO1493" t="s">
        <v>99</v>
      </c>
      <c r="CP1493" t="s">
        <v>100</v>
      </c>
      <c r="CQ1493" t="s">
        <v>100</v>
      </c>
      <c r="CR1493" t="s">
        <v>100</v>
      </c>
      <c r="CS1493" t="s">
        <v>101</v>
      </c>
      <c r="CT1493" t="s">
        <v>100</v>
      </c>
      <c r="CU1493" t="s">
        <v>102</v>
      </c>
      <c r="CV1493" t="s">
        <v>100</v>
      </c>
    </row>
    <row r="1494" spans="1:100">
      <c r="A1494" s="3" t="s">
        <v>16389</v>
      </c>
      <c r="B1494" s="4" t="s">
        <v>16390</v>
      </c>
      <c r="C1494">
        <v>18.610113936121898</v>
      </c>
      <c r="D1494">
        <v>6.4072596506731596</v>
      </c>
      <c r="E1494">
        <v>1.5481103975198101</v>
      </c>
      <c r="F1494">
        <v>9.6217967800147394E-2</v>
      </c>
      <c r="G1494" t="s">
        <v>4</v>
      </c>
      <c r="H1494">
        <v>18.610113936121898</v>
      </c>
      <c r="I1494">
        <v>1.1205238550774099</v>
      </c>
      <c r="J1494">
        <v>4.29009373914361</v>
      </c>
      <c r="K1494">
        <v>1.4769110456901899E-3</v>
      </c>
      <c r="L1494" t="s">
        <v>4</v>
      </c>
      <c r="M1494">
        <v>6.4072596506731596</v>
      </c>
      <c r="N1494">
        <v>1.1205238550774099</v>
      </c>
      <c r="O1494">
        <v>2.7419833416238002</v>
      </c>
      <c r="P1494">
        <v>5.3461012434254801E-2</v>
      </c>
      <c r="Q1494" t="s">
        <v>4</v>
      </c>
      <c r="R1494" s="4" t="s">
        <v>87</v>
      </c>
      <c r="S1494" t="s">
        <v>4</v>
      </c>
      <c r="T1494" t="s">
        <v>11488</v>
      </c>
      <c r="U1494" t="s">
        <v>11489</v>
      </c>
      <c r="V1494" t="s">
        <v>11490</v>
      </c>
      <c r="W1494" t="s">
        <v>328</v>
      </c>
      <c r="X1494" t="s">
        <v>4</v>
      </c>
      <c r="Y1494" t="s">
        <v>2676</v>
      </c>
      <c r="Z1494" t="s">
        <v>2677</v>
      </c>
      <c r="AA1494" t="s">
        <v>2678</v>
      </c>
      <c r="AB1494" t="s">
        <v>4</v>
      </c>
      <c r="AC1494" s="3" t="s">
        <v>93</v>
      </c>
      <c r="AD1494" t="s">
        <v>4</v>
      </c>
      <c r="AE1494" t="s">
        <v>16391</v>
      </c>
      <c r="AF1494" t="s">
        <v>16392</v>
      </c>
      <c r="AG1494" t="s">
        <v>6437</v>
      </c>
      <c r="AH1494" t="s">
        <v>314</v>
      </c>
      <c r="AU1494" t="s">
        <v>112</v>
      </c>
      <c r="AV1494" t="s">
        <v>12344</v>
      </c>
      <c r="AW1494" t="s">
        <v>114</v>
      </c>
      <c r="AX1494" t="s">
        <v>596</v>
      </c>
      <c r="AY1494" t="s">
        <v>12345</v>
      </c>
      <c r="AZ1494" t="s">
        <v>4</v>
      </c>
      <c r="BA1494" s="3" t="s">
        <v>95</v>
      </c>
      <c r="BB1494" t="s">
        <v>96</v>
      </c>
      <c r="BC1494" s="3" t="s">
        <v>95</v>
      </c>
      <c r="BD1494" t="s">
        <v>4</v>
      </c>
      <c r="BE1494">
        <v>8487</v>
      </c>
      <c r="BF1494" t="s">
        <v>213</v>
      </c>
      <c r="BG1494">
        <v>82.939599999999999</v>
      </c>
      <c r="BI1494">
        <v>61.942300000000003</v>
      </c>
      <c r="BK1494">
        <v>49.343800000000002</v>
      </c>
      <c r="BL1494">
        <v>48.556399999999996</v>
      </c>
      <c r="BO1494">
        <v>60.3675</v>
      </c>
      <c r="BR1494">
        <v>19.422599999999999</v>
      </c>
      <c r="BS1494">
        <v>18.897600000000001</v>
      </c>
      <c r="BU1494">
        <v>17.322800000000001</v>
      </c>
      <c r="BV1494" t="s">
        <v>16393</v>
      </c>
      <c r="BW1494">
        <v>16.0105</v>
      </c>
      <c r="CB1494">
        <v>19.1601</v>
      </c>
      <c r="CC1494">
        <v>12.860900000000001</v>
      </c>
      <c r="CD1494">
        <v>15.223100000000001</v>
      </c>
      <c r="CF1494">
        <v>18.897600000000001</v>
      </c>
      <c r="CK1494">
        <v>8</v>
      </c>
      <c r="CL1494" t="s">
        <v>4</v>
      </c>
      <c r="CM1494" t="s">
        <v>98</v>
      </c>
      <c r="CN1494" t="s">
        <v>98</v>
      </c>
      <c r="CO1494" t="s">
        <v>99</v>
      </c>
      <c r="CP1494" t="s">
        <v>100</v>
      </c>
      <c r="CQ1494" t="s">
        <v>100</v>
      </c>
      <c r="CR1494" t="s">
        <v>100</v>
      </c>
      <c r="CS1494" t="s">
        <v>101</v>
      </c>
      <c r="CT1494" t="s">
        <v>100</v>
      </c>
      <c r="CU1494" t="s">
        <v>102</v>
      </c>
      <c r="CV1494" t="s">
        <v>100</v>
      </c>
    </row>
    <row r="1495" spans="1:100">
      <c r="A1495" s="3" t="s">
        <v>16394</v>
      </c>
      <c r="B1495" s="4" t="s">
        <v>16395</v>
      </c>
      <c r="C1495">
        <v>28.799332641192901</v>
      </c>
      <c r="D1495">
        <v>14.1273595317142</v>
      </c>
      <c r="E1495">
        <v>1.0373262354861901</v>
      </c>
      <c r="F1495">
        <v>0.36695791065528199</v>
      </c>
      <c r="G1495" t="s">
        <v>4</v>
      </c>
      <c r="H1495">
        <v>28.799332641192901</v>
      </c>
      <c r="I1495">
        <v>2.4625555801022601</v>
      </c>
      <c r="J1495">
        <v>3.4703673084461601</v>
      </c>
      <c r="K1495">
        <v>4.6012732124508498E-3</v>
      </c>
      <c r="L1495" t="s">
        <v>4</v>
      </c>
      <c r="M1495">
        <v>14.1273595317142</v>
      </c>
      <c r="N1495">
        <v>2.4625555801022601</v>
      </c>
      <c r="O1495">
        <v>2.4330410729599699</v>
      </c>
      <c r="P1495">
        <v>5.43420086269229E-2</v>
      </c>
      <c r="Q1495" t="s">
        <v>4</v>
      </c>
      <c r="R1495" s="4" t="s">
        <v>87</v>
      </c>
      <c r="S1495" t="s">
        <v>4</v>
      </c>
      <c r="T1495" t="s">
        <v>460</v>
      </c>
      <c r="U1495" t="s">
        <v>461</v>
      </c>
      <c r="V1495" t="s">
        <v>462</v>
      </c>
      <c r="W1495" t="s">
        <v>123</v>
      </c>
      <c r="X1495" t="s">
        <v>4</v>
      </c>
      <c r="Y1495" t="s">
        <v>463</v>
      </c>
      <c r="Z1495" t="s">
        <v>464</v>
      </c>
      <c r="AA1495" t="s">
        <v>465</v>
      </c>
      <c r="AB1495" t="s">
        <v>4</v>
      </c>
      <c r="AC1495" s="3" t="s">
        <v>9260</v>
      </c>
      <c r="AD1495" t="s">
        <v>4</v>
      </c>
      <c r="AE1495" t="s">
        <v>6411</v>
      </c>
      <c r="AF1495" t="s">
        <v>16396</v>
      </c>
      <c r="AG1495" t="s">
        <v>3726</v>
      </c>
      <c r="AH1495" t="s">
        <v>169</v>
      </c>
      <c r="AU1495" t="s">
        <v>112</v>
      </c>
      <c r="AV1495" t="s">
        <v>470</v>
      </c>
      <c r="AW1495" t="s">
        <v>114</v>
      </c>
      <c r="AX1495" t="s">
        <v>144</v>
      </c>
      <c r="AY1495" t="s">
        <v>471</v>
      </c>
      <c r="AZ1495" t="s">
        <v>4</v>
      </c>
      <c r="BA1495" s="3" t="s">
        <v>95</v>
      </c>
      <c r="BB1495" s="6" t="s">
        <v>95</v>
      </c>
      <c r="BC1495" s="3" t="s">
        <v>197</v>
      </c>
      <c r="BD1495" t="s">
        <v>4</v>
      </c>
      <c r="BE1495">
        <v>1424</v>
      </c>
      <c r="BF1495" t="s">
        <v>151</v>
      </c>
      <c r="BH1495">
        <v>34.770099999999999</v>
      </c>
      <c r="BI1495" t="s">
        <v>16397</v>
      </c>
      <c r="CK1495">
        <v>2</v>
      </c>
      <c r="CL1495" t="s">
        <v>4</v>
      </c>
      <c r="CM1495" t="s">
        <v>98</v>
      </c>
      <c r="CN1495" t="s">
        <v>98</v>
      </c>
      <c r="CO1495" t="s">
        <v>99</v>
      </c>
      <c r="CP1495" t="s">
        <v>100</v>
      </c>
      <c r="CQ1495" t="s">
        <v>100</v>
      </c>
      <c r="CR1495" t="s">
        <v>100</v>
      </c>
      <c r="CS1495" t="s">
        <v>101</v>
      </c>
      <c r="CT1495" t="s">
        <v>100</v>
      </c>
      <c r="CU1495" t="s">
        <v>102</v>
      </c>
      <c r="CV1495" t="s">
        <v>100</v>
      </c>
    </row>
    <row r="1496" spans="1:100">
      <c r="A1496" s="3" t="s">
        <v>16398</v>
      </c>
      <c r="B1496" s="4" t="s">
        <v>16399</v>
      </c>
      <c r="C1496">
        <v>34.966014185668598</v>
      </c>
      <c r="D1496">
        <v>8.26797546793129</v>
      </c>
      <c r="E1496">
        <v>2.0897982690263102</v>
      </c>
      <c r="F1496">
        <v>9.5689254731380805E-2</v>
      </c>
      <c r="G1496" t="s">
        <v>4</v>
      </c>
      <c r="H1496">
        <v>34.966014185668598</v>
      </c>
      <c r="I1496">
        <v>0.97370750075516699</v>
      </c>
      <c r="J1496">
        <v>5.2466498059119102</v>
      </c>
      <c r="K1496">
        <v>9.1176778077967698E-4</v>
      </c>
      <c r="L1496" t="s">
        <v>4</v>
      </c>
      <c r="M1496">
        <v>8.26797546793129</v>
      </c>
      <c r="N1496">
        <v>0.97370750075516699</v>
      </c>
      <c r="O1496">
        <v>3.1568515368856001</v>
      </c>
      <c r="P1496">
        <v>5.6407890189075299E-2</v>
      </c>
      <c r="Q1496" t="s">
        <v>4</v>
      </c>
      <c r="R1496" s="4" t="s">
        <v>87</v>
      </c>
      <c r="S1496" t="s">
        <v>4</v>
      </c>
      <c r="T1496" t="s">
        <v>92</v>
      </c>
      <c r="U1496" t="s">
        <v>92</v>
      </c>
      <c r="V1496" t="s">
        <v>92</v>
      </c>
      <c r="W1496" t="s">
        <v>92</v>
      </c>
      <c r="X1496" t="s">
        <v>4</v>
      </c>
      <c r="Y1496" t="s">
        <v>92</v>
      </c>
      <c r="Z1496" t="s">
        <v>92</v>
      </c>
      <c r="AA1496" t="s">
        <v>92</v>
      </c>
      <c r="AB1496" t="s">
        <v>4</v>
      </c>
      <c r="AC1496" s="3" t="s">
        <v>93</v>
      </c>
      <c r="AD1496" t="s">
        <v>4</v>
      </c>
      <c r="AE1496" s="4" t="s">
        <v>94</v>
      </c>
      <c r="AZ1496" t="s">
        <v>4</v>
      </c>
      <c r="BA1496" s="3" t="s">
        <v>95</v>
      </c>
      <c r="BB1496" s="6" t="s">
        <v>95</v>
      </c>
      <c r="BC1496" s="3" t="s">
        <v>95</v>
      </c>
      <c r="BD1496" t="s">
        <v>4</v>
      </c>
      <c r="BE1496">
        <v>1617</v>
      </c>
      <c r="BF1496" t="s">
        <v>151</v>
      </c>
      <c r="CK1496">
        <v>2</v>
      </c>
      <c r="CL1496" t="s">
        <v>4</v>
      </c>
      <c r="CM1496" t="s">
        <v>98</v>
      </c>
      <c r="CN1496" t="s">
        <v>98</v>
      </c>
      <c r="CO1496" t="s">
        <v>99</v>
      </c>
      <c r="CP1496" t="s">
        <v>100</v>
      </c>
      <c r="CQ1496" t="s">
        <v>100</v>
      </c>
      <c r="CR1496" t="s">
        <v>100</v>
      </c>
      <c r="CS1496" t="s">
        <v>101</v>
      </c>
      <c r="CT1496" t="s">
        <v>100</v>
      </c>
      <c r="CU1496" t="s">
        <v>102</v>
      </c>
      <c r="CV1496" t="s">
        <v>100</v>
      </c>
    </row>
    <row r="1497" spans="1:100">
      <c r="A1497" s="3" t="s">
        <v>16400</v>
      </c>
      <c r="B1497" s="4" t="s">
        <v>16401</v>
      </c>
      <c r="C1497">
        <v>38.157052988959499</v>
      </c>
      <c r="D1497">
        <v>14.7098115751685</v>
      </c>
      <c r="E1497">
        <v>1.37800095331712</v>
      </c>
      <c r="F1497">
        <v>0.13020105225943401</v>
      </c>
      <c r="G1497" t="s">
        <v>4</v>
      </c>
      <c r="H1497">
        <v>38.157052988959499</v>
      </c>
      <c r="I1497">
        <v>3.7238565031030699</v>
      </c>
      <c r="J1497">
        <v>3.3539523430724998</v>
      </c>
      <c r="K1497">
        <v>6.7302230426266596E-4</v>
      </c>
      <c r="L1497" t="s">
        <v>4</v>
      </c>
      <c r="M1497">
        <v>14.7098115751685</v>
      </c>
      <c r="N1497">
        <v>3.7238565031030699</v>
      </c>
      <c r="O1497">
        <v>1.97595138975538</v>
      </c>
      <c r="P1497">
        <v>5.6526461299400803E-2</v>
      </c>
      <c r="Q1497" t="s">
        <v>4</v>
      </c>
      <c r="R1497" s="4" t="s">
        <v>87</v>
      </c>
      <c r="S1497" t="s">
        <v>4</v>
      </c>
      <c r="T1497" t="s">
        <v>460</v>
      </c>
      <c r="U1497" t="s">
        <v>461</v>
      </c>
      <c r="V1497" t="s">
        <v>462</v>
      </c>
      <c r="W1497" t="s">
        <v>123</v>
      </c>
      <c r="X1497" t="s">
        <v>4</v>
      </c>
      <c r="Y1497" t="s">
        <v>463</v>
      </c>
      <c r="Z1497" t="s">
        <v>464</v>
      </c>
      <c r="AA1497" t="s">
        <v>465</v>
      </c>
      <c r="AB1497" t="s">
        <v>4</v>
      </c>
      <c r="AC1497" s="3" t="s">
        <v>93</v>
      </c>
      <c r="AD1497" t="s">
        <v>4</v>
      </c>
      <c r="AE1497" s="4" t="s">
        <v>94</v>
      </c>
      <c r="AZ1497" t="s">
        <v>4</v>
      </c>
      <c r="BA1497" s="3" t="s">
        <v>95</v>
      </c>
      <c r="BB1497" s="6" t="s">
        <v>95</v>
      </c>
      <c r="BC1497" s="3" t="s">
        <v>197</v>
      </c>
      <c r="BD1497" t="s">
        <v>4</v>
      </c>
      <c r="BE1497">
        <v>1592</v>
      </c>
      <c r="BF1497" t="s">
        <v>151</v>
      </c>
      <c r="BG1497">
        <v>62.944200000000002</v>
      </c>
      <c r="CK1497">
        <v>2</v>
      </c>
      <c r="CL1497" t="s">
        <v>4</v>
      </c>
      <c r="CM1497" t="s">
        <v>98</v>
      </c>
      <c r="CN1497" t="s">
        <v>98</v>
      </c>
      <c r="CO1497" t="s">
        <v>99</v>
      </c>
      <c r="CP1497" t="s">
        <v>100</v>
      </c>
      <c r="CQ1497" t="s">
        <v>100</v>
      </c>
      <c r="CR1497" t="s">
        <v>100</v>
      </c>
      <c r="CS1497" t="s">
        <v>101</v>
      </c>
      <c r="CT1497" t="s">
        <v>100</v>
      </c>
      <c r="CU1497" t="s">
        <v>102</v>
      </c>
      <c r="CV1497" t="s">
        <v>100</v>
      </c>
    </row>
    <row r="1498" spans="1:100">
      <c r="A1498" s="3" t="s">
        <v>16402</v>
      </c>
      <c r="B1498" s="4" t="s">
        <v>16403</v>
      </c>
      <c r="C1498">
        <v>123.33093990365801</v>
      </c>
      <c r="D1498">
        <v>74.694273119471404</v>
      </c>
      <c r="E1498">
        <v>0.72487587750868598</v>
      </c>
      <c r="F1498">
        <v>0.44582400738113798</v>
      </c>
      <c r="G1498" t="s">
        <v>4</v>
      </c>
      <c r="H1498">
        <v>123.33093990365801</v>
      </c>
      <c r="I1498">
        <v>22.392563349228698</v>
      </c>
      <c r="J1498">
        <v>2.4550588578066601</v>
      </c>
      <c r="K1498">
        <v>5.6537013270971399E-3</v>
      </c>
      <c r="L1498" t="s">
        <v>4</v>
      </c>
      <c r="M1498">
        <v>74.694273119471404</v>
      </c>
      <c r="N1498">
        <v>22.392563349228698</v>
      </c>
      <c r="O1498">
        <v>1.73018298029797</v>
      </c>
      <c r="P1498">
        <v>5.6957181730318801E-2</v>
      </c>
      <c r="Q1498" t="s">
        <v>4</v>
      </c>
      <c r="R1498" s="4" t="s">
        <v>87</v>
      </c>
      <c r="S1498" t="s">
        <v>4</v>
      </c>
      <c r="T1498" t="s">
        <v>460</v>
      </c>
      <c r="U1498" t="s">
        <v>461</v>
      </c>
      <c r="V1498" t="s">
        <v>462</v>
      </c>
      <c r="W1498" t="s">
        <v>123</v>
      </c>
      <c r="X1498" t="s">
        <v>4</v>
      </c>
      <c r="Y1498" t="s">
        <v>463</v>
      </c>
      <c r="Z1498" t="s">
        <v>464</v>
      </c>
      <c r="AA1498" t="s">
        <v>465</v>
      </c>
      <c r="AB1498" t="s">
        <v>4</v>
      </c>
      <c r="AC1498" s="3" t="s">
        <v>93</v>
      </c>
      <c r="AD1498" t="s">
        <v>4</v>
      </c>
      <c r="AE1498" t="s">
        <v>6411</v>
      </c>
      <c r="AF1498" t="s">
        <v>16404</v>
      </c>
      <c r="AG1498" t="s">
        <v>1598</v>
      </c>
      <c r="AH1498" t="s">
        <v>169</v>
      </c>
      <c r="AU1498" t="s">
        <v>112</v>
      </c>
      <c r="AV1498" t="s">
        <v>470</v>
      </c>
      <c r="AW1498" t="s">
        <v>114</v>
      </c>
      <c r="AX1498" t="s">
        <v>144</v>
      </c>
      <c r="AY1498" t="s">
        <v>471</v>
      </c>
      <c r="AZ1498" t="s">
        <v>4</v>
      </c>
      <c r="BA1498" s="3" t="s">
        <v>95</v>
      </c>
      <c r="BB1498" s="6" t="s">
        <v>95</v>
      </c>
      <c r="BC1498" s="3" t="s">
        <v>95</v>
      </c>
      <c r="BD1498" t="s">
        <v>4</v>
      </c>
      <c r="BE1498">
        <v>1662</v>
      </c>
      <c r="BF1498" t="s">
        <v>151</v>
      </c>
      <c r="CK1498">
        <v>2</v>
      </c>
      <c r="CL1498" t="s">
        <v>4</v>
      </c>
      <c r="CM1498" t="s">
        <v>98</v>
      </c>
      <c r="CN1498" t="s">
        <v>98</v>
      </c>
      <c r="CO1498" t="s">
        <v>99</v>
      </c>
      <c r="CP1498" t="s">
        <v>100</v>
      </c>
      <c r="CQ1498" t="s">
        <v>100</v>
      </c>
      <c r="CR1498" t="s">
        <v>100</v>
      </c>
      <c r="CS1498" t="s">
        <v>101</v>
      </c>
      <c r="CT1498" t="s">
        <v>100</v>
      </c>
      <c r="CU1498" t="s">
        <v>102</v>
      </c>
      <c r="CV1498" t="s">
        <v>100</v>
      </c>
    </row>
    <row r="1499" spans="1:100">
      <c r="A1499" s="3" t="s">
        <v>16405</v>
      </c>
      <c r="B1499" s="4" t="s">
        <v>16406</v>
      </c>
      <c r="C1499">
        <v>25.643970478539799</v>
      </c>
      <c r="D1499">
        <v>11.119112302534599</v>
      </c>
      <c r="E1499">
        <v>1.2148580236181501</v>
      </c>
      <c r="F1499">
        <v>0.15942916608445901</v>
      </c>
      <c r="G1499" t="s">
        <v>4</v>
      </c>
      <c r="H1499">
        <v>25.643970478539799</v>
      </c>
      <c r="I1499">
        <v>2.9150832158666602</v>
      </c>
      <c r="J1499">
        <v>3.19247951151864</v>
      </c>
      <c r="K1499">
        <v>1.28122321607835E-3</v>
      </c>
      <c r="L1499" t="s">
        <v>4</v>
      </c>
      <c r="M1499">
        <v>11.119112302534599</v>
      </c>
      <c r="N1499">
        <v>2.9150832158666602</v>
      </c>
      <c r="O1499">
        <v>1.9776214879005001</v>
      </c>
      <c r="P1499">
        <v>5.8345752569007203E-2</v>
      </c>
      <c r="Q1499" t="s">
        <v>4</v>
      </c>
      <c r="R1499" s="4" t="s">
        <v>87</v>
      </c>
      <c r="S1499" t="s">
        <v>4</v>
      </c>
      <c r="T1499" t="s">
        <v>88</v>
      </c>
      <c r="U1499" t="s">
        <v>89</v>
      </c>
      <c r="V1499" t="s">
        <v>90</v>
      </c>
      <c r="W1499" t="s">
        <v>91</v>
      </c>
      <c r="X1499" t="s">
        <v>4</v>
      </c>
      <c r="Y1499" t="s">
        <v>16407</v>
      </c>
      <c r="Z1499" t="s">
        <v>16408</v>
      </c>
      <c r="AA1499" t="s">
        <v>16409</v>
      </c>
      <c r="AB1499" t="s">
        <v>4</v>
      </c>
      <c r="AC1499" s="3" t="s">
        <v>93</v>
      </c>
      <c r="AD1499" t="s">
        <v>4</v>
      </c>
      <c r="AE1499" s="4" t="s">
        <v>94</v>
      </c>
      <c r="AZ1499" t="s">
        <v>4</v>
      </c>
      <c r="BA1499" s="3" t="s">
        <v>95</v>
      </c>
      <c r="BB1499" t="s">
        <v>96</v>
      </c>
      <c r="BC1499" s="3" t="s">
        <v>95</v>
      </c>
      <c r="BD1499" t="s">
        <v>4</v>
      </c>
      <c r="BE1499">
        <v>895</v>
      </c>
      <c r="BF1499" t="s">
        <v>604</v>
      </c>
      <c r="BH1499">
        <v>80.113600000000005</v>
      </c>
      <c r="CK1499">
        <v>1.5</v>
      </c>
      <c r="CL1499" t="s">
        <v>4</v>
      </c>
      <c r="CM1499" t="s">
        <v>98</v>
      </c>
      <c r="CN1499" t="s">
        <v>98</v>
      </c>
      <c r="CO1499" t="s">
        <v>99</v>
      </c>
      <c r="CP1499" t="s">
        <v>100</v>
      </c>
      <c r="CQ1499" t="s">
        <v>100</v>
      </c>
      <c r="CR1499" t="s">
        <v>100</v>
      </c>
      <c r="CS1499" t="s">
        <v>101</v>
      </c>
      <c r="CT1499" t="s">
        <v>100</v>
      </c>
      <c r="CU1499" t="s">
        <v>102</v>
      </c>
      <c r="CV1499" t="s">
        <v>100</v>
      </c>
    </row>
    <row r="1500" spans="1:100">
      <c r="A1500" s="3" t="s">
        <v>16410</v>
      </c>
      <c r="B1500" s="4" t="s">
        <v>16411</v>
      </c>
      <c r="C1500">
        <v>26.905438613926801</v>
      </c>
      <c r="D1500">
        <v>15.926404913047699</v>
      </c>
      <c r="E1500">
        <v>0.76043625222395905</v>
      </c>
      <c r="F1500">
        <v>0.29261929161313199</v>
      </c>
      <c r="G1500" t="s">
        <v>4</v>
      </c>
      <c r="H1500">
        <v>26.905438613926801</v>
      </c>
      <c r="I1500">
        <v>5.5365337230888398</v>
      </c>
      <c r="J1500">
        <v>2.29940359959659</v>
      </c>
      <c r="K1500">
        <v>3.07291430644722E-3</v>
      </c>
      <c r="L1500" t="s">
        <v>4</v>
      </c>
      <c r="M1500">
        <v>15.926404913047699</v>
      </c>
      <c r="N1500">
        <v>5.5365337230888398</v>
      </c>
      <c r="O1500">
        <v>1.53896734737263</v>
      </c>
      <c r="P1500">
        <v>5.8418674647672399E-2</v>
      </c>
      <c r="Q1500" t="s">
        <v>4</v>
      </c>
      <c r="R1500" s="4" t="s">
        <v>87</v>
      </c>
      <c r="S1500" t="s">
        <v>4</v>
      </c>
      <c r="T1500" t="s">
        <v>92</v>
      </c>
      <c r="U1500" t="s">
        <v>92</v>
      </c>
      <c r="V1500" t="s">
        <v>92</v>
      </c>
      <c r="W1500" t="s">
        <v>92</v>
      </c>
      <c r="X1500" t="s">
        <v>4</v>
      </c>
      <c r="Y1500" t="s">
        <v>92</v>
      </c>
      <c r="Z1500" t="s">
        <v>92</v>
      </c>
      <c r="AA1500" t="s">
        <v>92</v>
      </c>
      <c r="AB1500" t="s">
        <v>4</v>
      </c>
      <c r="AC1500" s="3" t="s">
        <v>93</v>
      </c>
      <c r="AD1500" t="s">
        <v>4</v>
      </c>
      <c r="AE1500" s="4" t="s">
        <v>94</v>
      </c>
      <c r="AZ1500" t="s">
        <v>4</v>
      </c>
      <c r="BA1500" s="3" t="s">
        <v>95</v>
      </c>
      <c r="BB1500" s="6" t="s">
        <v>95</v>
      </c>
      <c r="BC1500" s="3" t="s">
        <v>95</v>
      </c>
      <c r="BD1500" t="s">
        <v>4</v>
      </c>
      <c r="BE1500">
        <v>66</v>
      </c>
      <c r="BF1500" t="s">
        <v>322</v>
      </c>
      <c r="CK1500">
        <v>1</v>
      </c>
      <c r="CL1500" t="s">
        <v>4</v>
      </c>
      <c r="CM1500" t="s">
        <v>98</v>
      </c>
      <c r="CN1500" t="s">
        <v>98</v>
      </c>
      <c r="CO1500" t="s">
        <v>99</v>
      </c>
      <c r="CP1500" t="s">
        <v>100</v>
      </c>
      <c r="CQ1500" t="s">
        <v>100</v>
      </c>
      <c r="CR1500" t="s">
        <v>100</v>
      </c>
      <c r="CS1500" t="s">
        <v>101</v>
      </c>
      <c r="CT1500" t="s">
        <v>100</v>
      </c>
      <c r="CU1500" t="s">
        <v>102</v>
      </c>
      <c r="CV1500" t="s">
        <v>100</v>
      </c>
    </row>
    <row r="1501" spans="1:100">
      <c r="A1501" s="3" t="s">
        <v>16412</v>
      </c>
      <c r="B1501" s="4" t="s">
        <v>16413</v>
      </c>
      <c r="C1501">
        <v>24.8183359249727</v>
      </c>
      <c r="D1501">
        <v>8.4519063152399507</v>
      </c>
      <c r="E1501">
        <v>1.54851024004941</v>
      </c>
      <c r="F1501">
        <v>9.1984137024459303E-2</v>
      </c>
      <c r="G1501" t="s">
        <v>4</v>
      </c>
      <c r="H1501">
        <v>24.8183359249727</v>
      </c>
      <c r="I1501">
        <v>1.6417037200681699</v>
      </c>
      <c r="J1501">
        <v>3.8087729546142901</v>
      </c>
      <c r="K1501">
        <v>7.9635110241604802E-4</v>
      </c>
      <c r="L1501" t="s">
        <v>4</v>
      </c>
      <c r="M1501">
        <v>8.4519063152399507</v>
      </c>
      <c r="N1501">
        <v>1.6417037200681699</v>
      </c>
      <c r="O1501">
        <v>2.2602627145648801</v>
      </c>
      <c r="P1501">
        <v>6.0001172145994298E-2</v>
      </c>
      <c r="Q1501" t="s">
        <v>4</v>
      </c>
      <c r="R1501" s="4" t="s">
        <v>87</v>
      </c>
      <c r="S1501" t="s">
        <v>4</v>
      </c>
      <c r="T1501" t="s">
        <v>16414</v>
      </c>
      <c r="U1501" t="s">
        <v>16415</v>
      </c>
      <c r="V1501" t="s">
        <v>16416</v>
      </c>
      <c r="W1501" t="s">
        <v>328</v>
      </c>
      <c r="X1501" t="s">
        <v>4</v>
      </c>
      <c r="Y1501" t="s">
        <v>1044</v>
      </c>
      <c r="Z1501" t="s">
        <v>1045</v>
      </c>
      <c r="AA1501" t="s">
        <v>1046</v>
      </c>
      <c r="AB1501" t="s">
        <v>4</v>
      </c>
      <c r="AC1501" s="3" t="s">
        <v>16417</v>
      </c>
      <c r="AD1501" t="s">
        <v>4</v>
      </c>
      <c r="AE1501" t="s">
        <v>16418</v>
      </c>
      <c r="AF1501" t="s">
        <v>16419</v>
      </c>
      <c r="AG1501" t="s">
        <v>16420</v>
      </c>
      <c r="AH1501" t="s">
        <v>112</v>
      </c>
      <c r="AI1501" t="s">
        <v>16421</v>
      </c>
      <c r="AJ1501" t="s">
        <v>16422</v>
      </c>
      <c r="AL1501" t="s">
        <v>16423</v>
      </c>
      <c r="AM1501" t="s">
        <v>16424</v>
      </c>
      <c r="AQ1501" t="s">
        <v>1584</v>
      </c>
      <c r="AU1501" t="s">
        <v>112</v>
      </c>
      <c r="AV1501" t="s">
        <v>16425</v>
      </c>
      <c r="AW1501" t="s">
        <v>114</v>
      </c>
      <c r="AX1501" t="s">
        <v>371</v>
      </c>
      <c r="AY1501" t="s">
        <v>573</v>
      </c>
      <c r="AZ1501" t="s">
        <v>4</v>
      </c>
      <c r="BA1501" s="3" t="s">
        <v>95</v>
      </c>
      <c r="BB1501" s="6" t="s">
        <v>95</v>
      </c>
      <c r="BC1501" s="3" t="s">
        <v>95</v>
      </c>
      <c r="BD1501" t="s">
        <v>4</v>
      </c>
      <c r="BE1501">
        <v>6975</v>
      </c>
      <c r="BF1501" t="s">
        <v>213</v>
      </c>
      <c r="BG1501">
        <v>98.029600000000002</v>
      </c>
      <c r="BH1501">
        <v>100</v>
      </c>
      <c r="BI1501">
        <v>83.251199999999997</v>
      </c>
      <c r="BJ1501">
        <v>80.295599999999993</v>
      </c>
      <c r="BK1501">
        <v>67.9803</v>
      </c>
      <c r="BL1501">
        <v>76.847300000000004</v>
      </c>
      <c r="BM1501">
        <v>80.788200000000003</v>
      </c>
      <c r="BN1501">
        <v>78.325100000000006</v>
      </c>
      <c r="BO1501">
        <v>66.502499999999998</v>
      </c>
      <c r="BP1501">
        <v>35.960599999999999</v>
      </c>
      <c r="BQ1501">
        <v>46.305399999999999</v>
      </c>
      <c r="BR1501">
        <v>39.408900000000003</v>
      </c>
      <c r="BS1501">
        <v>32.512300000000003</v>
      </c>
      <c r="BT1501">
        <v>29.064</v>
      </c>
      <c r="BU1501">
        <v>29.556699999999999</v>
      </c>
      <c r="BV1501" t="s">
        <v>16426</v>
      </c>
      <c r="BX1501">
        <v>40.394100000000002</v>
      </c>
      <c r="CA1501">
        <v>38.4236</v>
      </c>
      <c r="CB1501">
        <v>35.960599999999999</v>
      </c>
      <c r="CF1501">
        <v>26.600999999999999</v>
      </c>
      <c r="CH1501">
        <v>29.556699999999999</v>
      </c>
      <c r="CI1501">
        <v>20.689699999999998</v>
      </c>
      <c r="CK1501">
        <v>8</v>
      </c>
      <c r="CL1501" t="s">
        <v>4</v>
      </c>
      <c r="CM1501" t="s">
        <v>16427</v>
      </c>
      <c r="CN1501" t="s">
        <v>16428</v>
      </c>
      <c r="CO1501" t="s">
        <v>99</v>
      </c>
      <c r="CP1501" t="s">
        <v>100</v>
      </c>
      <c r="CQ1501" t="s">
        <v>100</v>
      </c>
      <c r="CR1501" t="s">
        <v>100</v>
      </c>
      <c r="CS1501" t="s">
        <v>101</v>
      </c>
      <c r="CT1501" t="s">
        <v>100</v>
      </c>
      <c r="CU1501" t="s">
        <v>102</v>
      </c>
      <c r="CV1501" t="s">
        <v>100</v>
      </c>
    </row>
    <row r="1502" spans="1:100">
      <c r="A1502" s="3" t="s">
        <v>16429</v>
      </c>
      <c r="B1502" s="4" t="s">
        <v>16430</v>
      </c>
      <c r="C1502">
        <v>81.413967903559296</v>
      </c>
      <c r="D1502">
        <v>28.991249386499899</v>
      </c>
      <c r="E1502">
        <v>1.4927413974670001</v>
      </c>
      <c r="F1502">
        <v>9.9018381310973597E-2</v>
      </c>
      <c r="G1502" t="s">
        <v>4</v>
      </c>
      <c r="H1502">
        <v>81.413967903559296</v>
      </c>
      <c r="I1502">
        <v>8.5863547204800597</v>
      </c>
      <c r="J1502">
        <v>3.25819446680502</v>
      </c>
      <c r="K1502">
        <v>3.2423789381278697E-4</v>
      </c>
      <c r="L1502" t="s">
        <v>4</v>
      </c>
      <c r="M1502">
        <v>28.991249386499899</v>
      </c>
      <c r="N1502">
        <v>8.5863547204800597</v>
      </c>
      <c r="O1502">
        <v>1.7654530693380199</v>
      </c>
      <c r="P1502">
        <v>6.3356397752289406E-2</v>
      </c>
      <c r="Q1502" t="s">
        <v>4</v>
      </c>
      <c r="R1502" s="4" t="s">
        <v>87</v>
      </c>
      <c r="S1502" t="s">
        <v>4</v>
      </c>
      <c r="T1502" t="s">
        <v>92</v>
      </c>
      <c r="U1502" t="s">
        <v>92</v>
      </c>
      <c r="V1502" t="s">
        <v>92</v>
      </c>
      <c r="W1502" t="s">
        <v>92</v>
      </c>
      <c r="X1502" t="s">
        <v>4</v>
      </c>
      <c r="Y1502" t="s">
        <v>92</v>
      </c>
      <c r="Z1502" t="s">
        <v>92</v>
      </c>
      <c r="AA1502" t="s">
        <v>92</v>
      </c>
      <c r="AB1502" t="s">
        <v>4</v>
      </c>
      <c r="AC1502" s="3" t="s">
        <v>93</v>
      </c>
      <c r="AD1502" t="s">
        <v>4</v>
      </c>
      <c r="AE1502" s="4" t="s">
        <v>94</v>
      </c>
      <c r="AZ1502" t="s">
        <v>4</v>
      </c>
      <c r="BA1502" s="3" t="s">
        <v>95</v>
      </c>
      <c r="BB1502" s="6" t="s">
        <v>95</v>
      </c>
      <c r="BC1502" s="3" t="s">
        <v>95</v>
      </c>
      <c r="BD1502" t="s">
        <v>4</v>
      </c>
      <c r="BE1502">
        <v>607</v>
      </c>
      <c r="BF1502" t="s">
        <v>322</v>
      </c>
      <c r="CK1502">
        <v>1</v>
      </c>
      <c r="CL1502" t="s">
        <v>4</v>
      </c>
      <c r="CM1502" t="s">
        <v>98</v>
      </c>
      <c r="CN1502" t="s">
        <v>98</v>
      </c>
      <c r="CO1502" t="s">
        <v>99</v>
      </c>
      <c r="CP1502" t="s">
        <v>100</v>
      </c>
      <c r="CQ1502" t="s">
        <v>100</v>
      </c>
      <c r="CR1502" t="s">
        <v>100</v>
      </c>
      <c r="CS1502" t="s">
        <v>101</v>
      </c>
      <c r="CT1502" t="s">
        <v>100</v>
      </c>
      <c r="CU1502" t="s">
        <v>102</v>
      </c>
      <c r="CV1502" t="s">
        <v>100</v>
      </c>
    </row>
    <row r="1503" spans="1:100">
      <c r="A1503" s="3" t="s">
        <v>16431</v>
      </c>
      <c r="B1503" s="4" t="s">
        <v>16432</v>
      </c>
      <c r="C1503">
        <v>34.435690702034101</v>
      </c>
      <c r="D1503">
        <v>21.317398920890401</v>
      </c>
      <c r="E1503">
        <v>0.688533917910926</v>
      </c>
      <c r="F1503">
        <v>0.32778423220971897</v>
      </c>
      <c r="G1503" t="s">
        <v>4</v>
      </c>
      <c r="H1503">
        <v>34.435690702034101</v>
      </c>
      <c r="I1503">
        <v>8.2432976812252896</v>
      </c>
      <c r="J1503">
        <v>2.0908782355221902</v>
      </c>
      <c r="K1503">
        <v>3.8801894830236701E-3</v>
      </c>
      <c r="L1503" t="s">
        <v>4</v>
      </c>
      <c r="M1503">
        <v>21.317398920890401</v>
      </c>
      <c r="N1503">
        <v>8.2432976812252896</v>
      </c>
      <c r="O1503">
        <v>1.40234431761127</v>
      </c>
      <c r="P1503">
        <v>6.3425755530539002E-2</v>
      </c>
      <c r="Q1503" t="s">
        <v>4</v>
      </c>
      <c r="R1503" s="4" t="s">
        <v>87</v>
      </c>
      <c r="S1503" t="s">
        <v>4</v>
      </c>
      <c r="T1503" t="s">
        <v>16433</v>
      </c>
      <c r="U1503" t="s">
        <v>16434</v>
      </c>
      <c r="V1503" t="s">
        <v>16435</v>
      </c>
      <c r="W1503" t="s">
        <v>328</v>
      </c>
      <c r="X1503" t="s">
        <v>4</v>
      </c>
      <c r="Y1503" t="s">
        <v>16436</v>
      </c>
      <c r="Z1503" t="s">
        <v>16437</v>
      </c>
      <c r="AA1503" t="s">
        <v>16438</v>
      </c>
      <c r="AB1503" t="s">
        <v>4</v>
      </c>
      <c r="AC1503" s="3" t="s">
        <v>16439</v>
      </c>
      <c r="AD1503" t="s">
        <v>4</v>
      </c>
      <c r="AE1503" t="s">
        <v>16440</v>
      </c>
      <c r="AF1503" t="s">
        <v>16441</v>
      </c>
      <c r="AG1503" t="s">
        <v>16442</v>
      </c>
      <c r="AH1503" t="s">
        <v>314</v>
      </c>
      <c r="AU1503" t="s">
        <v>112</v>
      </c>
      <c r="AV1503" t="s">
        <v>16443</v>
      </c>
      <c r="AW1503" t="s">
        <v>114</v>
      </c>
      <c r="AX1503" t="s">
        <v>881</v>
      </c>
      <c r="AY1503" t="s">
        <v>16444</v>
      </c>
      <c r="AZ1503" t="s">
        <v>4</v>
      </c>
      <c r="BA1503" s="3" t="s">
        <v>95</v>
      </c>
      <c r="BB1503" t="s">
        <v>96</v>
      </c>
      <c r="BC1503" s="3" t="s">
        <v>95</v>
      </c>
      <c r="BD1503" t="s">
        <v>4</v>
      </c>
      <c r="BE1503">
        <v>2440</v>
      </c>
      <c r="BF1503" t="s">
        <v>97</v>
      </c>
      <c r="BG1503">
        <v>77.951599999999999</v>
      </c>
      <c r="BH1503">
        <v>15.505000000000001</v>
      </c>
      <c r="BI1503">
        <v>73.257499999999993</v>
      </c>
      <c r="BJ1503">
        <v>59.744</v>
      </c>
      <c r="BK1503">
        <v>52.631599999999999</v>
      </c>
      <c r="BM1503">
        <v>55.761000000000003</v>
      </c>
      <c r="BN1503">
        <v>66.571799999999996</v>
      </c>
      <c r="BO1503">
        <v>65.860600000000005</v>
      </c>
      <c r="BP1503">
        <v>28.0228</v>
      </c>
      <c r="CK1503">
        <v>4</v>
      </c>
      <c r="CL1503" t="s">
        <v>4</v>
      </c>
      <c r="CM1503" t="s">
        <v>98</v>
      </c>
      <c r="CN1503" t="s">
        <v>98</v>
      </c>
      <c r="CO1503" t="s">
        <v>99</v>
      </c>
      <c r="CP1503" t="s">
        <v>100</v>
      </c>
      <c r="CQ1503" t="s">
        <v>100</v>
      </c>
      <c r="CR1503" t="s">
        <v>100</v>
      </c>
      <c r="CS1503" t="s">
        <v>101</v>
      </c>
      <c r="CT1503" t="s">
        <v>100</v>
      </c>
      <c r="CU1503" t="s">
        <v>102</v>
      </c>
      <c r="CV1503" t="s">
        <v>100</v>
      </c>
    </row>
    <row r="1504" spans="1:100">
      <c r="A1504" s="3" t="s">
        <v>16445</v>
      </c>
      <c r="B1504" s="4" t="s">
        <v>16446</v>
      </c>
      <c r="C1504">
        <v>23.723224657901</v>
      </c>
      <c r="D1504">
        <v>10.816031065040701</v>
      </c>
      <c r="E1504">
        <v>1.13033952303915</v>
      </c>
      <c r="F1504">
        <v>0.299703603635181</v>
      </c>
      <c r="G1504" t="s">
        <v>4</v>
      </c>
      <c r="H1504">
        <v>23.723224657901</v>
      </c>
      <c r="I1504">
        <v>1.9847607593229399</v>
      </c>
      <c r="J1504">
        <v>3.4767753080960602</v>
      </c>
      <c r="K1504">
        <v>4.2721041745298902E-3</v>
      </c>
      <c r="L1504" t="s">
        <v>4</v>
      </c>
      <c r="M1504">
        <v>10.816031065040701</v>
      </c>
      <c r="N1504">
        <v>1.9847607593229399</v>
      </c>
      <c r="O1504">
        <v>2.3464357850569102</v>
      </c>
      <c r="P1504">
        <v>6.3958264301634996E-2</v>
      </c>
      <c r="Q1504" t="s">
        <v>4</v>
      </c>
      <c r="R1504" s="4" t="s">
        <v>87</v>
      </c>
      <c r="S1504" t="s">
        <v>4</v>
      </c>
      <c r="T1504" t="s">
        <v>92</v>
      </c>
      <c r="U1504" t="s">
        <v>92</v>
      </c>
      <c r="V1504" t="s">
        <v>92</v>
      </c>
      <c r="W1504" t="s">
        <v>92</v>
      </c>
      <c r="X1504" t="s">
        <v>4</v>
      </c>
      <c r="Y1504" t="s">
        <v>92</v>
      </c>
      <c r="Z1504" t="s">
        <v>92</v>
      </c>
      <c r="AA1504" t="s">
        <v>92</v>
      </c>
      <c r="AB1504" t="s">
        <v>4</v>
      </c>
      <c r="AC1504" s="3" t="s">
        <v>93</v>
      </c>
      <c r="AD1504" t="s">
        <v>4</v>
      </c>
      <c r="AE1504" s="4" t="s">
        <v>94</v>
      </c>
      <c r="AZ1504" t="s">
        <v>4</v>
      </c>
      <c r="BA1504" s="3" t="s">
        <v>95</v>
      </c>
      <c r="BB1504" s="6" t="s">
        <v>95</v>
      </c>
      <c r="BC1504" s="3" t="s">
        <v>95</v>
      </c>
      <c r="BD1504" t="s">
        <v>4</v>
      </c>
      <c r="BE1504">
        <v>688</v>
      </c>
      <c r="BF1504" t="s">
        <v>322</v>
      </c>
      <c r="CK1504">
        <v>1</v>
      </c>
      <c r="CL1504" t="s">
        <v>4</v>
      </c>
      <c r="CM1504" t="s">
        <v>98</v>
      </c>
      <c r="CN1504" t="s">
        <v>98</v>
      </c>
      <c r="CO1504" t="s">
        <v>99</v>
      </c>
      <c r="CP1504" t="s">
        <v>100</v>
      </c>
      <c r="CQ1504" t="s">
        <v>100</v>
      </c>
      <c r="CR1504" t="s">
        <v>100</v>
      </c>
      <c r="CS1504" t="s">
        <v>101</v>
      </c>
      <c r="CT1504" t="s">
        <v>100</v>
      </c>
      <c r="CU1504" t="s">
        <v>102</v>
      </c>
      <c r="CV1504" t="s">
        <v>100</v>
      </c>
    </row>
    <row r="1505" spans="1:100">
      <c r="A1505" s="3" t="s">
        <v>16447</v>
      </c>
      <c r="B1505" s="4" t="s">
        <v>16448</v>
      </c>
      <c r="C1505">
        <v>14.5757224809854</v>
      </c>
      <c r="D1505">
        <v>5.8481535249537897</v>
      </c>
      <c r="E1505">
        <v>1.3255217657485601</v>
      </c>
      <c r="F1505">
        <v>0.37951501370058399</v>
      </c>
      <c r="G1505" t="s">
        <v>4</v>
      </c>
      <c r="H1505">
        <v>14.5757224809854</v>
      </c>
      <c r="I1505">
        <v>0.337017752855924</v>
      </c>
      <c r="J1505">
        <v>4.8529907050078602</v>
      </c>
      <c r="K1505">
        <v>8.8651706877467193E-3</v>
      </c>
      <c r="L1505" t="s">
        <v>4</v>
      </c>
      <c r="M1505">
        <v>5.8481535249537897</v>
      </c>
      <c r="N1505">
        <v>0.337017752855924</v>
      </c>
      <c r="O1505">
        <v>3.5274689392593102</v>
      </c>
      <c r="P1505">
        <v>6.60687202645414E-2</v>
      </c>
      <c r="Q1505" t="s">
        <v>4</v>
      </c>
      <c r="R1505" s="4" t="s">
        <v>87</v>
      </c>
      <c r="S1505" t="s">
        <v>4</v>
      </c>
      <c r="T1505" t="s">
        <v>88</v>
      </c>
      <c r="U1505" t="s">
        <v>89</v>
      </c>
      <c r="V1505" t="s">
        <v>90</v>
      </c>
      <c r="W1505" t="s">
        <v>91</v>
      </c>
      <c r="X1505" t="s">
        <v>4</v>
      </c>
      <c r="Y1505" t="s">
        <v>92</v>
      </c>
      <c r="Z1505" t="s">
        <v>92</v>
      </c>
      <c r="AA1505" t="s">
        <v>92</v>
      </c>
      <c r="AB1505" t="s">
        <v>4</v>
      </c>
      <c r="AC1505" s="3" t="s">
        <v>16449</v>
      </c>
      <c r="AD1505" t="s">
        <v>4</v>
      </c>
      <c r="AE1505" s="4" t="s">
        <v>94</v>
      </c>
      <c r="AZ1505" t="s">
        <v>4</v>
      </c>
      <c r="BA1505" s="3" t="s">
        <v>95</v>
      </c>
      <c r="BB1505" t="s">
        <v>96</v>
      </c>
      <c r="BC1505" s="3" t="s">
        <v>95</v>
      </c>
      <c r="BD1505" t="s">
        <v>4</v>
      </c>
      <c r="BE1505">
        <v>1125</v>
      </c>
      <c r="BF1505" t="s">
        <v>151</v>
      </c>
      <c r="BG1505">
        <v>90.816299999999998</v>
      </c>
      <c r="BH1505">
        <v>92.857100000000003</v>
      </c>
      <c r="BJ1505" t="s">
        <v>16450</v>
      </c>
      <c r="BK1505">
        <v>52.040799999999997</v>
      </c>
      <c r="BO1505">
        <v>51.020400000000002</v>
      </c>
      <c r="CK1505">
        <v>2</v>
      </c>
      <c r="CL1505" t="s">
        <v>4</v>
      </c>
      <c r="CM1505" t="s">
        <v>98</v>
      </c>
      <c r="CN1505" t="s">
        <v>98</v>
      </c>
      <c r="CO1505" t="s">
        <v>99</v>
      </c>
      <c r="CP1505" t="s">
        <v>100</v>
      </c>
      <c r="CQ1505" t="s">
        <v>100</v>
      </c>
      <c r="CR1505" t="s">
        <v>100</v>
      </c>
      <c r="CS1505" t="s">
        <v>101</v>
      </c>
      <c r="CT1505" t="s">
        <v>100</v>
      </c>
      <c r="CU1505" t="s">
        <v>102</v>
      </c>
      <c r="CV1505" t="s">
        <v>100</v>
      </c>
    </row>
    <row r="1506" spans="1:100">
      <c r="A1506" s="3" t="s">
        <v>16451</v>
      </c>
      <c r="B1506" s="4" t="s">
        <v>16452</v>
      </c>
      <c r="C1506">
        <v>21.5089393335798</v>
      </c>
      <c r="D1506">
        <v>9.7876500433044207</v>
      </c>
      <c r="E1506">
        <v>1.1469599020069099</v>
      </c>
      <c r="F1506">
        <v>0.39189151258136701</v>
      </c>
      <c r="G1506" t="s">
        <v>4</v>
      </c>
      <c r="H1506">
        <v>21.5089393335798</v>
      </c>
      <c r="I1506">
        <v>1.3046859672122499</v>
      </c>
      <c r="J1506">
        <v>3.9953393928479999</v>
      </c>
      <c r="K1506">
        <v>8.2587477740961694E-3</v>
      </c>
      <c r="L1506" t="s">
        <v>4</v>
      </c>
      <c r="M1506">
        <v>9.7876500433044207</v>
      </c>
      <c r="N1506">
        <v>1.3046859672122499</v>
      </c>
      <c r="O1506">
        <v>2.8483794908411002</v>
      </c>
      <c r="P1506">
        <v>6.8670550060303301E-2</v>
      </c>
      <c r="Q1506" t="s">
        <v>4</v>
      </c>
      <c r="R1506" s="4" t="s">
        <v>87</v>
      </c>
      <c r="S1506" t="s">
        <v>4</v>
      </c>
      <c r="T1506" t="s">
        <v>88</v>
      </c>
      <c r="U1506" t="s">
        <v>89</v>
      </c>
      <c r="V1506" t="s">
        <v>90</v>
      </c>
      <c r="W1506" t="s">
        <v>91</v>
      </c>
      <c r="X1506" t="s">
        <v>4</v>
      </c>
      <c r="Y1506" t="s">
        <v>2979</v>
      </c>
      <c r="Z1506" t="s">
        <v>2980</v>
      </c>
      <c r="AA1506" t="s">
        <v>2981</v>
      </c>
      <c r="AB1506" t="s">
        <v>4</v>
      </c>
      <c r="AC1506" s="3" t="s">
        <v>3189</v>
      </c>
      <c r="AD1506" t="s">
        <v>4</v>
      </c>
      <c r="AE1506" s="4" t="s">
        <v>94</v>
      </c>
      <c r="AZ1506" t="s">
        <v>4</v>
      </c>
      <c r="BA1506" s="3" t="s">
        <v>95</v>
      </c>
      <c r="BB1506" t="s">
        <v>96</v>
      </c>
      <c r="BC1506" s="3" t="s">
        <v>197</v>
      </c>
      <c r="BD1506" t="s">
        <v>4</v>
      </c>
      <c r="BE1506">
        <v>1788</v>
      </c>
      <c r="BF1506" t="s">
        <v>148</v>
      </c>
      <c r="BG1506">
        <v>73.003799999999998</v>
      </c>
      <c r="BH1506">
        <v>76.806100000000001</v>
      </c>
      <c r="BJ1506">
        <v>26.235700000000001</v>
      </c>
      <c r="BK1506">
        <v>28.517099999999999</v>
      </c>
      <c r="BM1506">
        <v>20.152100000000001</v>
      </c>
      <c r="BN1506">
        <v>27.3764</v>
      </c>
      <c r="BO1506">
        <v>16.349799999999998</v>
      </c>
      <c r="CK1506">
        <v>3</v>
      </c>
      <c r="CL1506" t="s">
        <v>4</v>
      </c>
      <c r="CM1506" t="s">
        <v>98</v>
      </c>
      <c r="CN1506" t="s">
        <v>98</v>
      </c>
      <c r="CO1506" t="s">
        <v>99</v>
      </c>
      <c r="CP1506" t="s">
        <v>100</v>
      </c>
      <c r="CQ1506" t="s">
        <v>100</v>
      </c>
      <c r="CR1506" t="s">
        <v>100</v>
      </c>
      <c r="CS1506" t="s">
        <v>101</v>
      </c>
      <c r="CT1506" t="s">
        <v>100</v>
      </c>
      <c r="CU1506" t="s">
        <v>102</v>
      </c>
      <c r="CV1506" t="s">
        <v>100</v>
      </c>
    </row>
    <row r="1507" spans="1:100">
      <c r="A1507" s="3" t="s">
        <v>16453</v>
      </c>
      <c r="B1507" s="4" t="s">
        <v>16454</v>
      </c>
      <c r="C1507">
        <v>40.535111202720898</v>
      </c>
      <c r="D1507">
        <v>25.091053213586001</v>
      </c>
      <c r="E1507">
        <v>0.69774009416475002</v>
      </c>
      <c r="F1507">
        <v>0.36423470203964903</v>
      </c>
      <c r="G1507" t="s">
        <v>4</v>
      </c>
      <c r="H1507">
        <v>40.535111202720898</v>
      </c>
      <c r="I1507">
        <v>9.1135738718696704</v>
      </c>
      <c r="J1507">
        <v>2.15172721399734</v>
      </c>
      <c r="K1507">
        <v>5.2077982777974496E-3</v>
      </c>
      <c r="L1507" t="s">
        <v>4</v>
      </c>
      <c r="M1507">
        <v>25.091053213586001</v>
      </c>
      <c r="N1507">
        <v>9.1135738718696704</v>
      </c>
      <c r="O1507">
        <v>1.45398711983259</v>
      </c>
      <c r="P1507">
        <v>6.9349510046352703E-2</v>
      </c>
      <c r="Q1507" t="s">
        <v>4</v>
      </c>
      <c r="R1507" s="4" t="s">
        <v>87</v>
      </c>
      <c r="S1507" t="s">
        <v>4</v>
      </c>
      <c r="T1507" t="s">
        <v>92</v>
      </c>
      <c r="U1507" t="s">
        <v>92</v>
      </c>
      <c r="V1507" t="s">
        <v>92</v>
      </c>
      <c r="W1507" t="s">
        <v>92</v>
      </c>
      <c r="X1507" t="s">
        <v>4</v>
      </c>
      <c r="Y1507" t="s">
        <v>92</v>
      </c>
      <c r="Z1507" t="s">
        <v>92</v>
      </c>
      <c r="AA1507" t="s">
        <v>92</v>
      </c>
      <c r="AB1507" t="s">
        <v>4</v>
      </c>
      <c r="AC1507" s="3" t="s">
        <v>93</v>
      </c>
      <c r="AD1507" t="s">
        <v>4</v>
      </c>
      <c r="AE1507" s="4" t="s">
        <v>94</v>
      </c>
      <c r="AZ1507" t="s">
        <v>4</v>
      </c>
      <c r="BA1507" s="3" t="s">
        <v>95</v>
      </c>
      <c r="BB1507" s="6" t="s">
        <v>95</v>
      </c>
      <c r="BC1507" s="3" t="s">
        <v>95</v>
      </c>
      <c r="BD1507" t="s">
        <v>4</v>
      </c>
      <c r="BE1507">
        <v>1384</v>
      </c>
      <c r="BF1507" t="s">
        <v>151</v>
      </c>
      <c r="BH1507">
        <v>96.703299999999999</v>
      </c>
      <c r="CK1507">
        <v>2</v>
      </c>
      <c r="CL1507" t="s">
        <v>4</v>
      </c>
      <c r="CM1507" t="s">
        <v>98</v>
      </c>
      <c r="CN1507" t="s">
        <v>98</v>
      </c>
      <c r="CO1507" t="s">
        <v>99</v>
      </c>
      <c r="CP1507" t="s">
        <v>100</v>
      </c>
      <c r="CQ1507" t="s">
        <v>100</v>
      </c>
      <c r="CR1507" t="s">
        <v>100</v>
      </c>
      <c r="CS1507" t="s">
        <v>101</v>
      </c>
      <c r="CT1507" t="s">
        <v>100</v>
      </c>
      <c r="CU1507" t="s">
        <v>102</v>
      </c>
      <c r="CV1507" t="s">
        <v>100</v>
      </c>
    </row>
    <row r="1508" spans="1:100">
      <c r="A1508" s="3" t="s">
        <v>16455</v>
      </c>
      <c r="B1508" s="4" t="s">
        <v>16456</v>
      </c>
      <c r="C1508">
        <v>73.012676280975995</v>
      </c>
      <c r="D1508">
        <v>33.866445556265901</v>
      </c>
      <c r="E1508">
        <v>1.10890477463057</v>
      </c>
      <c r="F1508">
        <v>9.9533548231208399E-2</v>
      </c>
      <c r="G1508" t="s">
        <v>4</v>
      </c>
      <c r="H1508">
        <v>73.012676280975995</v>
      </c>
      <c r="I1508">
        <v>14.0926920115747</v>
      </c>
      <c r="J1508">
        <v>2.3779751004440302</v>
      </c>
      <c r="K1508">
        <v>4.1675053958616602E-4</v>
      </c>
      <c r="L1508" t="s">
        <v>4</v>
      </c>
      <c r="M1508">
        <v>33.866445556265901</v>
      </c>
      <c r="N1508">
        <v>14.0926920115747</v>
      </c>
      <c r="O1508">
        <v>1.2690703258134699</v>
      </c>
      <c r="P1508">
        <v>7.4447435752147906E-2</v>
      </c>
      <c r="Q1508" t="s">
        <v>4</v>
      </c>
      <c r="R1508" s="4" t="s">
        <v>87</v>
      </c>
      <c r="S1508" t="s">
        <v>4</v>
      </c>
      <c r="T1508" t="s">
        <v>2243</v>
      </c>
      <c r="U1508" t="s">
        <v>2244</v>
      </c>
      <c r="V1508" t="s">
        <v>2245</v>
      </c>
      <c r="W1508" t="s">
        <v>123</v>
      </c>
      <c r="X1508" t="s">
        <v>4</v>
      </c>
      <c r="Y1508" t="s">
        <v>3541</v>
      </c>
      <c r="Z1508" t="s">
        <v>3542</v>
      </c>
      <c r="AA1508" t="s">
        <v>3543</v>
      </c>
      <c r="AB1508" t="s">
        <v>4</v>
      </c>
      <c r="AC1508" s="3" t="s">
        <v>93</v>
      </c>
      <c r="AD1508" t="s">
        <v>4</v>
      </c>
      <c r="AE1508" t="s">
        <v>16457</v>
      </c>
      <c r="AF1508" t="s">
        <v>16458</v>
      </c>
      <c r="AG1508" t="s">
        <v>16459</v>
      </c>
      <c r="AH1508" t="s">
        <v>112</v>
      </c>
      <c r="AJ1508" t="s">
        <v>876</v>
      </c>
      <c r="AU1508" t="s">
        <v>112</v>
      </c>
      <c r="AV1508" t="s">
        <v>16460</v>
      </c>
      <c r="AW1508" t="s">
        <v>114</v>
      </c>
      <c r="AZ1508" t="s">
        <v>4</v>
      </c>
      <c r="BA1508" s="3" t="s">
        <v>95</v>
      </c>
      <c r="BB1508" s="6" t="s">
        <v>95</v>
      </c>
      <c r="BC1508" s="3" t="s">
        <v>95</v>
      </c>
      <c r="BD1508" t="s">
        <v>4</v>
      </c>
      <c r="BE1508">
        <v>3175</v>
      </c>
      <c r="BF1508" t="s">
        <v>112</v>
      </c>
      <c r="BG1508">
        <v>98.771900000000002</v>
      </c>
      <c r="BH1508">
        <v>71.578900000000004</v>
      </c>
      <c r="BI1508">
        <v>92.807000000000002</v>
      </c>
      <c r="BJ1508">
        <v>64.912300000000002</v>
      </c>
      <c r="BK1508">
        <v>74.0351</v>
      </c>
      <c r="BL1508">
        <v>55.087699999999998</v>
      </c>
      <c r="BM1508">
        <v>80.350899999999996</v>
      </c>
      <c r="BN1508">
        <v>80.526300000000006</v>
      </c>
      <c r="BO1508">
        <v>74.912300000000002</v>
      </c>
      <c r="BP1508">
        <v>52.1053</v>
      </c>
      <c r="BR1508">
        <v>28.947399999999998</v>
      </c>
      <c r="BS1508" t="s">
        <v>16461</v>
      </c>
      <c r="BU1508">
        <v>22.631599999999999</v>
      </c>
      <c r="BV1508" t="s">
        <v>16462</v>
      </c>
      <c r="BW1508" t="s">
        <v>16463</v>
      </c>
      <c r="BX1508">
        <v>25.263200000000001</v>
      </c>
      <c r="BY1508">
        <v>25.087700000000002</v>
      </c>
      <c r="BZ1508">
        <v>24.561399999999999</v>
      </c>
      <c r="CA1508">
        <v>25.263200000000001</v>
      </c>
      <c r="CK1508">
        <v>5</v>
      </c>
      <c r="CL1508" t="s">
        <v>4</v>
      </c>
      <c r="CM1508" t="s">
        <v>16464</v>
      </c>
      <c r="CN1508" t="s">
        <v>16465</v>
      </c>
      <c r="CO1508" t="s">
        <v>663</v>
      </c>
      <c r="CP1508" t="s">
        <v>100</v>
      </c>
      <c r="CQ1508" t="s">
        <v>100</v>
      </c>
      <c r="CR1508" t="s">
        <v>100</v>
      </c>
      <c r="CS1508" t="s">
        <v>101</v>
      </c>
      <c r="CT1508" t="s">
        <v>100</v>
      </c>
      <c r="CU1508" t="s">
        <v>102</v>
      </c>
      <c r="CV1508" t="s">
        <v>100</v>
      </c>
    </row>
    <row r="1509" spans="1:100">
      <c r="A1509" s="3" t="s">
        <v>16466</v>
      </c>
      <c r="B1509" s="4" t="s">
        <v>16467</v>
      </c>
      <c r="C1509">
        <v>33.067719073086501</v>
      </c>
      <c r="D1509">
        <v>12.6638245695562</v>
      </c>
      <c r="E1509">
        <v>1.38481761870731</v>
      </c>
      <c r="F1509">
        <v>0.13567978205163</v>
      </c>
      <c r="G1509" t="s">
        <v>4</v>
      </c>
      <c r="H1509">
        <v>33.067719073086501</v>
      </c>
      <c r="I1509">
        <v>3.54573367736706</v>
      </c>
      <c r="J1509">
        <v>3.2896017376968798</v>
      </c>
      <c r="K1509">
        <v>1.1766677474305601E-3</v>
      </c>
      <c r="L1509" t="s">
        <v>4</v>
      </c>
      <c r="M1509">
        <v>12.6638245695562</v>
      </c>
      <c r="N1509">
        <v>3.54573367736706</v>
      </c>
      <c r="O1509">
        <v>1.90478411898957</v>
      </c>
      <c r="P1509">
        <v>7.5492863814234007E-2</v>
      </c>
      <c r="Q1509" t="s">
        <v>4</v>
      </c>
      <c r="R1509" s="4" t="s">
        <v>87</v>
      </c>
      <c r="S1509" t="s">
        <v>4</v>
      </c>
      <c r="T1509" t="s">
        <v>504</v>
      </c>
      <c r="U1509" t="s">
        <v>505</v>
      </c>
      <c r="V1509" t="s">
        <v>506</v>
      </c>
      <c r="W1509" t="s">
        <v>507</v>
      </c>
      <c r="X1509" t="s">
        <v>4</v>
      </c>
      <c r="Y1509" t="s">
        <v>508</v>
      </c>
      <c r="Z1509" t="s">
        <v>509</v>
      </c>
      <c r="AA1509" t="s">
        <v>510</v>
      </c>
      <c r="AB1509" t="s">
        <v>4</v>
      </c>
      <c r="AC1509" s="3" t="s">
        <v>511</v>
      </c>
      <c r="AD1509" t="s">
        <v>4</v>
      </c>
      <c r="AE1509" t="s">
        <v>16468</v>
      </c>
      <c r="AF1509" t="s">
        <v>16469</v>
      </c>
      <c r="AG1509" t="s">
        <v>16470</v>
      </c>
      <c r="AH1509" t="s">
        <v>112</v>
      </c>
      <c r="AJ1509" t="s">
        <v>16471</v>
      </c>
      <c r="AU1509" t="s">
        <v>112</v>
      </c>
      <c r="AV1509" t="s">
        <v>16472</v>
      </c>
      <c r="AW1509" t="s">
        <v>114</v>
      </c>
      <c r="AX1509" t="s">
        <v>1907</v>
      </c>
      <c r="AY1509" t="s">
        <v>2523</v>
      </c>
      <c r="AZ1509" t="s">
        <v>4</v>
      </c>
      <c r="BA1509" s="3" t="s">
        <v>95</v>
      </c>
      <c r="BB1509" t="s">
        <v>96</v>
      </c>
      <c r="BC1509" s="3" t="s">
        <v>95</v>
      </c>
      <c r="BD1509" t="s">
        <v>4</v>
      </c>
      <c r="BE1509">
        <v>4420</v>
      </c>
      <c r="BF1509" t="s">
        <v>112</v>
      </c>
      <c r="BG1509">
        <v>98.295500000000004</v>
      </c>
      <c r="BH1509">
        <v>36.931800000000003</v>
      </c>
      <c r="BJ1509">
        <v>70.454499999999996</v>
      </c>
      <c r="BM1509">
        <v>36.363599999999998</v>
      </c>
      <c r="BN1509">
        <v>57.954500000000003</v>
      </c>
      <c r="BO1509">
        <v>54.829500000000003</v>
      </c>
      <c r="BT1509">
        <v>25.284099999999999</v>
      </c>
      <c r="CA1509">
        <v>37.215899999999998</v>
      </c>
      <c r="CK1509">
        <v>5</v>
      </c>
      <c r="CL1509" t="s">
        <v>4</v>
      </c>
      <c r="CM1509" t="s">
        <v>16473</v>
      </c>
      <c r="CN1509" t="s">
        <v>16474</v>
      </c>
      <c r="CO1509" t="s">
        <v>99</v>
      </c>
      <c r="CP1509" t="s">
        <v>100</v>
      </c>
      <c r="CQ1509" t="s">
        <v>100</v>
      </c>
      <c r="CR1509" t="s">
        <v>100</v>
      </c>
      <c r="CS1509" t="s">
        <v>101</v>
      </c>
      <c r="CT1509" t="s">
        <v>100</v>
      </c>
      <c r="CU1509" t="s">
        <v>102</v>
      </c>
      <c r="CV1509" t="s">
        <v>100</v>
      </c>
    </row>
    <row r="1510" spans="1:100">
      <c r="A1510" s="3" t="s">
        <v>16475</v>
      </c>
      <c r="B1510" s="4" t="s">
        <v>16476</v>
      </c>
      <c r="C1510">
        <v>40.130953104433502</v>
      </c>
      <c r="D1510">
        <v>13.9702491371379</v>
      </c>
      <c r="E1510">
        <v>1.53067270562005</v>
      </c>
      <c r="F1510">
        <v>0.1034918201597</v>
      </c>
      <c r="G1510" t="s">
        <v>4</v>
      </c>
      <c r="H1510">
        <v>40.130953104433502</v>
      </c>
      <c r="I1510">
        <v>3.7238565031030699</v>
      </c>
      <c r="J1510">
        <v>3.4284338069412401</v>
      </c>
      <c r="K1510">
        <v>7.0221355768740996E-4</v>
      </c>
      <c r="L1510" t="s">
        <v>4</v>
      </c>
      <c r="M1510">
        <v>13.9702491371379</v>
      </c>
      <c r="N1510">
        <v>3.7238565031030699</v>
      </c>
      <c r="O1510">
        <v>1.8977611013211799</v>
      </c>
      <c r="P1510">
        <v>7.6252204030635096E-2</v>
      </c>
      <c r="Q1510" t="s">
        <v>4</v>
      </c>
      <c r="R1510" s="4" t="s">
        <v>87</v>
      </c>
      <c r="S1510" t="s">
        <v>4</v>
      </c>
      <c r="T1510" t="s">
        <v>16477</v>
      </c>
      <c r="U1510" t="s">
        <v>16478</v>
      </c>
      <c r="V1510" t="s">
        <v>16479</v>
      </c>
      <c r="W1510" t="s">
        <v>328</v>
      </c>
      <c r="X1510" t="s">
        <v>4</v>
      </c>
      <c r="Y1510" t="s">
        <v>12678</v>
      </c>
      <c r="Z1510" t="s">
        <v>12679</v>
      </c>
      <c r="AA1510" t="s">
        <v>12680</v>
      </c>
      <c r="AB1510" t="s">
        <v>4</v>
      </c>
      <c r="AC1510" s="3" t="s">
        <v>16480</v>
      </c>
      <c r="AD1510" t="s">
        <v>4</v>
      </c>
      <c r="AE1510" t="s">
        <v>16481</v>
      </c>
      <c r="AF1510" t="s">
        <v>16482</v>
      </c>
      <c r="AG1510" t="s">
        <v>16483</v>
      </c>
      <c r="AH1510" t="s">
        <v>112</v>
      </c>
      <c r="AU1510" t="s">
        <v>112</v>
      </c>
      <c r="AV1510" t="s">
        <v>5658</v>
      </c>
      <c r="AW1510" t="s">
        <v>114</v>
      </c>
      <c r="AX1510" t="s">
        <v>536</v>
      </c>
      <c r="AY1510" t="s">
        <v>5659</v>
      </c>
      <c r="AZ1510" t="s">
        <v>4</v>
      </c>
      <c r="BA1510" s="3" t="s">
        <v>95</v>
      </c>
      <c r="BB1510" t="s">
        <v>96</v>
      </c>
      <c r="BC1510" s="3" t="s">
        <v>95</v>
      </c>
      <c r="BD1510" t="s">
        <v>4</v>
      </c>
      <c r="BE1510">
        <v>5302</v>
      </c>
      <c r="BF1510" t="s">
        <v>386</v>
      </c>
      <c r="BG1510">
        <v>95.354500000000002</v>
      </c>
      <c r="BH1510">
        <v>59.657699999999998</v>
      </c>
      <c r="BK1510">
        <v>61.613700000000001</v>
      </c>
      <c r="BL1510">
        <v>50.366700000000002</v>
      </c>
      <c r="BO1510">
        <v>17.848400000000002</v>
      </c>
      <c r="BP1510" t="s">
        <v>16484</v>
      </c>
      <c r="BQ1510" t="s">
        <v>16485</v>
      </c>
      <c r="BR1510" t="s">
        <v>16486</v>
      </c>
      <c r="BS1510" t="s">
        <v>16487</v>
      </c>
      <c r="BT1510" t="s">
        <v>16488</v>
      </c>
      <c r="BU1510">
        <v>7.8239599999999996</v>
      </c>
      <c r="BV1510" t="s">
        <v>16489</v>
      </c>
      <c r="BW1510" t="s">
        <v>16490</v>
      </c>
      <c r="BX1510" t="s">
        <v>16491</v>
      </c>
      <c r="BY1510" t="s">
        <v>16492</v>
      </c>
      <c r="BZ1510" t="s">
        <v>16493</v>
      </c>
      <c r="CA1510" t="s">
        <v>16494</v>
      </c>
      <c r="CB1510">
        <v>9.5354500000000009</v>
      </c>
      <c r="CD1510">
        <v>18.0929</v>
      </c>
      <c r="CF1510" t="s">
        <v>16495</v>
      </c>
      <c r="CG1510">
        <v>34.474299999999999</v>
      </c>
      <c r="CH1510">
        <v>33.985300000000002</v>
      </c>
      <c r="CI1510">
        <v>33.496299999999998</v>
      </c>
      <c r="CK1510">
        <v>7</v>
      </c>
      <c r="CL1510" t="s">
        <v>4</v>
      </c>
      <c r="CM1510" t="s">
        <v>5672</v>
      </c>
      <c r="CN1510" t="s">
        <v>16496</v>
      </c>
      <c r="CO1510" t="s">
        <v>5674</v>
      </c>
      <c r="CP1510" t="s">
        <v>100</v>
      </c>
      <c r="CQ1510" t="s">
        <v>100</v>
      </c>
      <c r="CR1510" t="s">
        <v>100</v>
      </c>
      <c r="CS1510" t="s">
        <v>101</v>
      </c>
      <c r="CT1510" t="s">
        <v>100</v>
      </c>
      <c r="CU1510" t="s">
        <v>102</v>
      </c>
      <c r="CV1510" t="s">
        <v>100</v>
      </c>
    </row>
    <row r="1511" spans="1:100">
      <c r="A1511" s="3" t="s">
        <v>16497</v>
      </c>
      <c r="B1511" s="4" t="s">
        <v>16498</v>
      </c>
      <c r="C1511">
        <v>13.052321921700401</v>
      </c>
      <c r="D1511">
        <v>3.0199201880470801</v>
      </c>
      <c r="E1511">
        <v>2.13300556452177</v>
      </c>
      <c r="F1511">
        <v>0.174315608616889</v>
      </c>
      <c r="G1511" t="s">
        <v>4</v>
      </c>
      <c r="H1511">
        <v>13.052321921700401</v>
      </c>
      <c r="I1511">
        <v>0</v>
      </c>
      <c r="J1511">
        <v>5.6544909927947797</v>
      </c>
      <c r="K1511">
        <v>2.5924626302850202E-3</v>
      </c>
      <c r="L1511" t="s">
        <v>4</v>
      </c>
      <c r="M1511">
        <v>3.0199201880470801</v>
      </c>
      <c r="N1511">
        <v>0</v>
      </c>
      <c r="O1511">
        <v>3.5214854282730199</v>
      </c>
      <c r="P1511">
        <v>7.7566192290538793E-2</v>
      </c>
      <c r="Q1511" t="s">
        <v>4</v>
      </c>
      <c r="R1511" s="4" t="s">
        <v>87</v>
      </c>
      <c r="S1511" t="s">
        <v>4</v>
      </c>
      <c r="T1511" t="s">
        <v>92</v>
      </c>
      <c r="U1511" t="s">
        <v>92</v>
      </c>
      <c r="V1511" t="s">
        <v>92</v>
      </c>
      <c r="W1511" t="s">
        <v>92</v>
      </c>
      <c r="X1511" t="s">
        <v>4</v>
      </c>
      <c r="Y1511" t="s">
        <v>92</v>
      </c>
      <c r="Z1511" t="s">
        <v>92</v>
      </c>
      <c r="AA1511" t="s">
        <v>92</v>
      </c>
      <c r="AB1511" t="s">
        <v>4</v>
      </c>
      <c r="AC1511" s="3" t="s">
        <v>93</v>
      </c>
      <c r="AD1511" t="s">
        <v>4</v>
      </c>
      <c r="AE1511" s="4" t="s">
        <v>94</v>
      </c>
      <c r="AZ1511" t="s">
        <v>4</v>
      </c>
      <c r="BA1511" s="3" t="s">
        <v>95</v>
      </c>
      <c r="BB1511" s="6" t="s">
        <v>95</v>
      </c>
      <c r="BC1511" s="3" t="s">
        <v>95</v>
      </c>
      <c r="BD1511" t="s">
        <v>4</v>
      </c>
      <c r="BE1511">
        <v>604</v>
      </c>
      <c r="BF1511" t="s">
        <v>322</v>
      </c>
      <c r="CK1511">
        <v>1</v>
      </c>
      <c r="CL1511" t="s">
        <v>4</v>
      </c>
      <c r="CM1511" t="s">
        <v>98</v>
      </c>
      <c r="CN1511" t="s">
        <v>98</v>
      </c>
      <c r="CO1511" t="s">
        <v>99</v>
      </c>
      <c r="CP1511" t="s">
        <v>100</v>
      </c>
      <c r="CQ1511" t="s">
        <v>100</v>
      </c>
      <c r="CR1511" t="s">
        <v>100</v>
      </c>
      <c r="CS1511" t="s">
        <v>101</v>
      </c>
      <c r="CT1511" t="s">
        <v>100</v>
      </c>
      <c r="CU1511" t="s">
        <v>102</v>
      </c>
      <c r="CV1511" t="s">
        <v>100</v>
      </c>
    </row>
    <row r="1512" spans="1:100">
      <c r="A1512" s="3" t="s">
        <v>16499</v>
      </c>
      <c r="B1512" s="4" t="s">
        <v>16500</v>
      </c>
      <c r="C1512">
        <v>63.432083798320598</v>
      </c>
      <c r="D1512">
        <v>31.497063510383899</v>
      </c>
      <c r="E1512">
        <v>1.01120156664817</v>
      </c>
      <c r="F1512">
        <v>0.16790229272578699</v>
      </c>
      <c r="G1512" t="s">
        <v>4</v>
      </c>
      <c r="H1512">
        <v>63.432083798320598</v>
      </c>
      <c r="I1512">
        <v>12.4509882915065</v>
      </c>
      <c r="J1512">
        <v>2.3593645367783602</v>
      </c>
      <c r="K1512">
        <v>1.24863715567154E-3</v>
      </c>
      <c r="L1512" t="s">
        <v>4</v>
      </c>
      <c r="M1512">
        <v>31.497063510383899</v>
      </c>
      <c r="N1512">
        <v>12.4509882915065</v>
      </c>
      <c r="O1512">
        <v>1.34816297013019</v>
      </c>
      <c r="P1512">
        <v>7.9373686941181104E-2</v>
      </c>
      <c r="Q1512" t="s">
        <v>4</v>
      </c>
      <c r="R1512" s="4" t="s">
        <v>87</v>
      </c>
      <c r="S1512" t="s">
        <v>4</v>
      </c>
      <c r="T1512" t="s">
        <v>92</v>
      </c>
      <c r="U1512" t="s">
        <v>92</v>
      </c>
      <c r="V1512" t="s">
        <v>92</v>
      </c>
      <c r="W1512" t="s">
        <v>92</v>
      </c>
      <c r="X1512" t="s">
        <v>4</v>
      </c>
      <c r="Y1512" t="s">
        <v>92</v>
      </c>
      <c r="Z1512" t="s">
        <v>92</v>
      </c>
      <c r="AA1512" t="s">
        <v>92</v>
      </c>
      <c r="AB1512" t="s">
        <v>4</v>
      </c>
      <c r="AC1512" s="3" t="s">
        <v>93</v>
      </c>
      <c r="AD1512" t="s">
        <v>4</v>
      </c>
      <c r="AE1512" s="4" t="s">
        <v>94</v>
      </c>
      <c r="AZ1512" t="s">
        <v>4</v>
      </c>
      <c r="BA1512" s="3" t="s">
        <v>95</v>
      </c>
      <c r="BB1512" t="s">
        <v>96</v>
      </c>
      <c r="BC1512" s="3" t="s">
        <v>95</v>
      </c>
      <c r="BD1512" t="s">
        <v>4</v>
      </c>
      <c r="BE1512">
        <v>952</v>
      </c>
      <c r="BF1512" t="s">
        <v>604</v>
      </c>
      <c r="BG1512">
        <v>36.363599999999998</v>
      </c>
      <c r="CK1512">
        <v>1.5</v>
      </c>
      <c r="CL1512" t="s">
        <v>4</v>
      </c>
      <c r="CM1512" t="s">
        <v>98</v>
      </c>
      <c r="CN1512" t="s">
        <v>98</v>
      </c>
      <c r="CO1512" t="s">
        <v>99</v>
      </c>
      <c r="CP1512" t="s">
        <v>100</v>
      </c>
      <c r="CQ1512" t="s">
        <v>100</v>
      </c>
      <c r="CR1512" t="s">
        <v>100</v>
      </c>
      <c r="CS1512" t="s">
        <v>101</v>
      </c>
      <c r="CT1512" t="s">
        <v>100</v>
      </c>
      <c r="CU1512" t="s">
        <v>102</v>
      </c>
      <c r="CV1512" t="s">
        <v>100</v>
      </c>
    </row>
    <row r="1513" spans="1:100">
      <c r="A1513" s="3" t="s">
        <v>16501</v>
      </c>
      <c r="B1513" s="4" t="s">
        <v>16502</v>
      </c>
      <c r="C1513">
        <v>70.743510635759904</v>
      </c>
      <c r="D1513">
        <v>31.0566653548115</v>
      </c>
      <c r="E1513">
        <v>1.19535768300601</v>
      </c>
      <c r="F1513">
        <v>0.15394895988308099</v>
      </c>
      <c r="G1513" t="s">
        <v>4</v>
      </c>
      <c r="H1513">
        <v>70.743510635759904</v>
      </c>
      <c r="I1513">
        <v>10.999485969972</v>
      </c>
      <c r="J1513">
        <v>2.6952241701770601</v>
      </c>
      <c r="K1513">
        <v>1.1943503358423601E-3</v>
      </c>
      <c r="L1513" t="s">
        <v>4</v>
      </c>
      <c r="M1513">
        <v>31.0566653548115</v>
      </c>
      <c r="N1513">
        <v>10.999485969972</v>
      </c>
      <c r="O1513">
        <v>1.4998664871710501</v>
      </c>
      <c r="P1513">
        <v>8.6298084431556496E-2</v>
      </c>
      <c r="Q1513" t="s">
        <v>4</v>
      </c>
      <c r="R1513" s="4" t="s">
        <v>87</v>
      </c>
      <c r="S1513" t="s">
        <v>4</v>
      </c>
      <c r="T1513" t="s">
        <v>16503</v>
      </c>
      <c r="U1513" t="s">
        <v>16504</v>
      </c>
      <c r="V1513" t="s">
        <v>16505</v>
      </c>
      <c r="W1513" t="s">
        <v>328</v>
      </c>
      <c r="X1513" t="s">
        <v>4</v>
      </c>
      <c r="Y1513" t="s">
        <v>16506</v>
      </c>
      <c r="Z1513" t="s">
        <v>16507</v>
      </c>
      <c r="AA1513" t="s">
        <v>16508</v>
      </c>
      <c r="AB1513" t="s">
        <v>4</v>
      </c>
      <c r="AC1513" s="3" t="s">
        <v>16509</v>
      </c>
      <c r="AD1513" t="s">
        <v>4</v>
      </c>
      <c r="AE1513" t="s">
        <v>16510</v>
      </c>
      <c r="AF1513" t="s">
        <v>16511</v>
      </c>
      <c r="AG1513" t="s">
        <v>16512</v>
      </c>
      <c r="AH1513" t="s">
        <v>112</v>
      </c>
      <c r="AI1513" t="s">
        <v>16513</v>
      </c>
      <c r="AU1513" t="s">
        <v>112</v>
      </c>
      <c r="AV1513" t="s">
        <v>16514</v>
      </c>
      <c r="AW1513" t="s">
        <v>114</v>
      </c>
      <c r="AX1513" t="s">
        <v>144</v>
      </c>
      <c r="AY1513" t="s">
        <v>16515</v>
      </c>
      <c r="AZ1513" t="s">
        <v>4</v>
      </c>
      <c r="BA1513" s="3" t="s">
        <v>95</v>
      </c>
      <c r="BB1513" t="s">
        <v>96</v>
      </c>
      <c r="BC1513" s="3" t="s">
        <v>95</v>
      </c>
      <c r="BD1513" t="s">
        <v>4</v>
      </c>
      <c r="BE1513">
        <v>3476</v>
      </c>
      <c r="BF1513" t="s">
        <v>112</v>
      </c>
      <c r="BG1513" t="s">
        <v>16516</v>
      </c>
      <c r="BJ1513">
        <v>45.833300000000001</v>
      </c>
      <c r="BL1513">
        <v>47.222200000000001</v>
      </c>
      <c r="BM1513">
        <v>51.851900000000001</v>
      </c>
      <c r="BN1513" t="s">
        <v>16517</v>
      </c>
      <c r="BO1513">
        <v>53.240699999999997</v>
      </c>
      <c r="BS1513" t="s">
        <v>16518</v>
      </c>
      <c r="BW1513">
        <v>18.055599999999998</v>
      </c>
      <c r="BZ1513">
        <v>14.351900000000001</v>
      </c>
      <c r="CA1513" t="s">
        <v>16519</v>
      </c>
      <c r="CK1513">
        <v>5</v>
      </c>
      <c r="CL1513" t="s">
        <v>4</v>
      </c>
      <c r="CM1513" t="s">
        <v>16520</v>
      </c>
      <c r="CN1513" t="s">
        <v>16521</v>
      </c>
      <c r="CO1513" t="s">
        <v>99</v>
      </c>
      <c r="CP1513" t="s">
        <v>100</v>
      </c>
      <c r="CQ1513" t="s">
        <v>100</v>
      </c>
      <c r="CR1513" t="s">
        <v>100</v>
      </c>
      <c r="CS1513" t="s">
        <v>101</v>
      </c>
      <c r="CT1513" t="s">
        <v>100</v>
      </c>
      <c r="CU1513" t="s">
        <v>102</v>
      </c>
      <c r="CV1513" t="s">
        <v>100</v>
      </c>
    </row>
    <row r="1514" spans="1:100">
      <c r="A1514" s="3" t="s">
        <v>16522</v>
      </c>
      <c r="B1514" s="4" t="s">
        <v>16523</v>
      </c>
      <c r="C1514">
        <v>18.9251095744739</v>
      </c>
      <c r="D1514">
        <v>4.7757482689082096</v>
      </c>
      <c r="E1514">
        <v>2.0068912552462801</v>
      </c>
      <c r="F1514">
        <v>0.14864887534808299</v>
      </c>
      <c r="G1514" t="s">
        <v>4</v>
      </c>
      <c r="H1514">
        <v>18.9251095744739</v>
      </c>
      <c r="I1514">
        <v>0.63668974789924304</v>
      </c>
      <c r="J1514">
        <v>5.2270273488446</v>
      </c>
      <c r="K1514">
        <v>3.33959145288335E-3</v>
      </c>
      <c r="L1514" t="s">
        <v>4</v>
      </c>
      <c r="M1514">
        <v>4.7757482689082096</v>
      </c>
      <c r="N1514">
        <v>0.63668974789924304</v>
      </c>
      <c r="O1514">
        <v>3.2201360935983199</v>
      </c>
      <c r="P1514">
        <v>8.6591364022578096E-2</v>
      </c>
      <c r="Q1514" t="s">
        <v>4</v>
      </c>
      <c r="R1514" s="4" t="s">
        <v>87</v>
      </c>
      <c r="S1514" t="s">
        <v>4</v>
      </c>
      <c r="T1514" t="s">
        <v>92</v>
      </c>
      <c r="U1514" t="s">
        <v>92</v>
      </c>
      <c r="V1514" t="s">
        <v>92</v>
      </c>
      <c r="W1514" t="s">
        <v>92</v>
      </c>
      <c r="X1514" t="s">
        <v>4</v>
      </c>
      <c r="Y1514" t="s">
        <v>92</v>
      </c>
      <c r="Z1514" t="s">
        <v>92</v>
      </c>
      <c r="AA1514" t="s">
        <v>92</v>
      </c>
      <c r="AB1514" t="s">
        <v>4</v>
      </c>
      <c r="AC1514" s="3" t="s">
        <v>93</v>
      </c>
      <c r="AD1514" t="s">
        <v>4</v>
      </c>
      <c r="AE1514" t="s">
        <v>16524</v>
      </c>
      <c r="AF1514" t="s">
        <v>16525</v>
      </c>
      <c r="AG1514" t="s">
        <v>16526</v>
      </c>
      <c r="AH1514" t="s">
        <v>112</v>
      </c>
      <c r="AJ1514" t="s">
        <v>16527</v>
      </c>
      <c r="AU1514" t="s">
        <v>112</v>
      </c>
      <c r="AV1514" t="s">
        <v>6214</v>
      </c>
      <c r="AW1514" t="s">
        <v>114</v>
      </c>
      <c r="AX1514" t="s">
        <v>144</v>
      </c>
      <c r="AY1514" t="s">
        <v>6215</v>
      </c>
      <c r="AZ1514" t="s">
        <v>4</v>
      </c>
      <c r="BA1514" s="3" t="s">
        <v>95</v>
      </c>
      <c r="BB1514" s="6" t="s">
        <v>95</v>
      </c>
      <c r="BC1514" s="3" t="s">
        <v>95</v>
      </c>
      <c r="BD1514" t="s">
        <v>4</v>
      </c>
      <c r="BE1514">
        <v>1966</v>
      </c>
      <c r="BF1514" t="s">
        <v>148</v>
      </c>
      <c r="BG1514">
        <v>84.357500000000002</v>
      </c>
      <c r="BK1514">
        <v>32.402200000000001</v>
      </c>
      <c r="BO1514">
        <v>50.838000000000001</v>
      </c>
      <c r="CK1514">
        <v>3</v>
      </c>
      <c r="CL1514" t="s">
        <v>4</v>
      </c>
      <c r="CM1514" t="s">
        <v>98</v>
      </c>
      <c r="CN1514" t="s">
        <v>98</v>
      </c>
      <c r="CO1514" t="s">
        <v>99</v>
      </c>
      <c r="CP1514" t="s">
        <v>100</v>
      </c>
      <c r="CQ1514" t="s">
        <v>100</v>
      </c>
      <c r="CR1514" t="s">
        <v>100</v>
      </c>
      <c r="CS1514" t="s">
        <v>101</v>
      </c>
      <c r="CT1514" t="s">
        <v>100</v>
      </c>
      <c r="CU1514" t="s">
        <v>102</v>
      </c>
      <c r="CV1514" t="s">
        <v>100</v>
      </c>
    </row>
    <row r="1515" spans="1:100">
      <c r="A1515" s="3" t="s">
        <v>16528</v>
      </c>
      <c r="B1515" s="4" t="s">
        <v>16529</v>
      </c>
      <c r="C1515">
        <v>45.417256395018903</v>
      </c>
      <c r="D1515">
        <v>16.316636698153001</v>
      </c>
      <c r="E1515">
        <v>1.4795804541078601</v>
      </c>
      <c r="F1515">
        <v>0.162224179848941</v>
      </c>
      <c r="G1515" t="s">
        <v>4</v>
      </c>
      <c r="H1515">
        <v>45.417256395018903</v>
      </c>
      <c r="I1515">
        <v>3.9634822322470402</v>
      </c>
      <c r="J1515">
        <v>3.4451213220901402</v>
      </c>
      <c r="K1515">
        <v>1.6852812551934699E-3</v>
      </c>
      <c r="L1515" t="s">
        <v>4</v>
      </c>
      <c r="M1515">
        <v>16.316636698153001</v>
      </c>
      <c r="N1515">
        <v>3.9634822322470402</v>
      </c>
      <c r="O1515">
        <v>1.9655408679822799</v>
      </c>
      <c r="P1515">
        <v>8.8685173592288197E-2</v>
      </c>
      <c r="Q1515" t="s">
        <v>4</v>
      </c>
      <c r="R1515" s="4" t="s">
        <v>87</v>
      </c>
      <c r="S1515" t="s">
        <v>4</v>
      </c>
      <c r="T1515" t="s">
        <v>88</v>
      </c>
      <c r="U1515" t="s">
        <v>89</v>
      </c>
      <c r="V1515" t="s">
        <v>90</v>
      </c>
      <c r="W1515" t="s">
        <v>91</v>
      </c>
      <c r="X1515" t="s">
        <v>4</v>
      </c>
      <c r="Y1515" t="s">
        <v>92</v>
      </c>
      <c r="Z1515" t="s">
        <v>92</v>
      </c>
      <c r="AA1515" t="s">
        <v>92</v>
      </c>
      <c r="AB1515" t="s">
        <v>4</v>
      </c>
      <c r="AC1515" s="3" t="s">
        <v>93</v>
      </c>
      <c r="AD1515" t="s">
        <v>4</v>
      </c>
      <c r="AE1515" s="4" t="s">
        <v>94</v>
      </c>
      <c r="AZ1515" t="s">
        <v>4</v>
      </c>
      <c r="BA1515" s="3" t="s">
        <v>95</v>
      </c>
      <c r="BB1515" t="s">
        <v>96</v>
      </c>
      <c r="BC1515" s="3" t="s">
        <v>197</v>
      </c>
      <c r="BD1515" t="s">
        <v>4</v>
      </c>
      <c r="BE1515">
        <v>2819</v>
      </c>
      <c r="BF1515" t="s">
        <v>97</v>
      </c>
      <c r="BG1515">
        <v>91.143900000000002</v>
      </c>
      <c r="BH1515">
        <v>47.232500000000002</v>
      </c>
      <c r="BJ1515">
        <v>68.265699999999995</v>
      </c>
      <c r="BK1515">
        <v>58.487099999999998</v>
      </c>
      <c r="CK1515">
        <v>4</v>
      </c>
      <c r="CL1515" t="s">
        <v>4</v>
      </c>
      <c r="CM1515" t="s">
        <v>98</v>
      </c>
      <c r="CN1515" t="s">
        <v>98</v>
      </c>
      <c r="CO1515" t="s">
        <v>99</v>
      </c>
      <c r="CP1515" t="s">
        <v>100</v>
      </c>
      <c r="CQ1515" t="s">
        <v>100</v>
      </c>
      <c r="CR1515" t="s">
        <v>100</v>
      </c>
      <c r="CS1515" t="s">
        <v>101</v>
      </c>
      <c r="CT1515" t="s">
        <v>100</v>
      </c>
      <c r="CU1515" t="s">
        <v>102</v>
      </c>
      <c r="CV1515" t="s">
        <v>100</v>
      </c>
    </row>
    <row r="1516" spans="1:100">
      <c r="A1516" s="3" t="s">
        <v>16530</v>
      </c>
      <c r="B1516" s="4" t="s">
        <v>16531</v>
      </c>
      <c r="C1516">
        <v>20.481511715140599</v>
      </c>
      <c r="D1516">
        <v>9.4435766864603305</v>
      </c>
      <c r="E1516">
        <v>1.1225834827262</v>
      </c>
      <c r="F1516">
        <v>0.33689978256141601</v>
      </c>
      <c r="G1516" t="s">
        <v>4</v>
      </c>
      <c r="H1516">
        <v>20.481511715140599</v>
      </c>
      <c r="I1516">
        <v>1.93533642871265</v>
      </c>
      <c r="J1516">
        <v>3.4276833067057799</v>
      </c>
      <c r="K1516">
        <v>8.34598592359523E-3</v>
      </c>
      <c r="L1516" t="s">
        <v>4</v>
      </c>
      <c r="M1516">
        <v>9.4435766864603305</v>
      </c>
      <c r="N1516">
        <v>1.93533642871265</v>
      </c>
      <c r="O1516">
        <v>2.3050998239795799</v>
      </c>
      <c r="P1516">
        <v>8.9593564578290805E-2</v>
      </c>
      <c r="Q1516" t="s">
        <v>4</v>
      </c>
      <c r="R1516" s="4" t="s">
        <v>87</v>
      </c>
      <c r="S1516" t="s">
        <v>4</v>
      </c>
      <c r="T1516" t="s">
        <v>92</v>
      </c>
      <c r="U1516" t="s">
        <v>92</v>
      </c>
      <c r="V1516" t="s">
        <v>92</v>
      </c>
      <c r="W1516" t="s">
        <v>92</v>
      </c>
      <c r="X1516" t="s">
        <v>4</v>
      </c>
      <c r="Y1516" t="s">
        <v>92</v>
      </c>
      <c r="Z1516" t="s">
        <v>92</v>
      </c>
      <c r="AA1516" t="s">
        <v>92</v>
      </c>
      <c r="AB1516" t="s">
        <v>4</v>
      </c>
      <c r="AC1516" s="3" t="s">
        <v>93</v>
      </c>
      <c r="AD1516" t="s">
        <v>4</v>
      </c>
      <c r="AE1516" s="4" t="s">
        <v>94</v>
      </c>
      <c r="AZ1516" t="s">
        <v>4</v>
      </c>
      <c r="BA1516" s="3" t="s">
        <v>95</v>
      </c>
      <c r="BB1516" s="6" t="s">
        <v>95</v>
      </c>
      <c r="BC1516" s="3" t="s">
        <v>95</v>
      </c>
      <c r="BD1516" t="s">
        <v>4</v>
      </c>
      <c r="BE1516">
        <v>527</v>
      </c>
      <c r="BF1516" t="s">
        <v>322</v>
      </c>
      <c r="CK1516">
        <v>1</v>
      </c>
      <c r="CL1516" t="s">
        <v>4</v>
      </c>
      <c r="CM1516" t="s">
        <v>98</v>
      </c>
      <c r="CN1516" t="s">
        <v>98</v>
      </c>
      <c r="CO1516" t="s">
        <v>99</v>
      </c>
      <c r="CP1516" t="s">
        <v>100</v>
      </c>
      <c r="CQ1516" t="s">
        <v>100</v>
      </c>
      <c r="CR1516" t="s">
        <v>100</v>
      </c>
      <c r="CS1516" t="s">
        <v>101</v>
      </c>
      <c r="CT1516" t="s">
        <v>100</v>
      </c>
      <c r="CU1516" t="s">
        <v>102</v>
      </c>
      <c r="CV1516" t="s">
        <v>100</v>
      </c>
    </row>
    <row r="1517" spans="1:100">
      <c r="A1517" s="3" t="s">
        <v>16532</v>
      </c>
      <c r="B1517" s="4" t="s">
        <v>16533</v>
      </c>
      <c r="C1517">
        <v>26.449543399034798</v>
      </c>
      <c r="D1517">
        <v>10.5073410985975</v>
      </c>
      <c r="E1517">
        <v>1.3454066929185899</v>
      </c>
      <c r="F1517">
        <v>0.234866002821845</v>
      </c>
      <c r="G1517" t="s">
        <v>4</v>
      </c>
      <c r="H1517">
        <v>26.449543399034798</v>
      </c>
      <c r="I1517">
        <v>2.2783934679674198</v>
      </c>
      <c r="J1517">
        <v>3.53611149886363</v>
      </c>
      <c r="K1517">
        <v>4.39086891458148E-3</v>
      </c>
      <c r="L1517" t="s">
        <v>4</v>
      </c>
      <c r="M1517">
        <v>10.5073410985975</v>
      </c>
      <c r="N1517">
        <v>2.2783934679674198</v>
      </c>
      <c r="O1517">
        <v>2.1907048059450398</v>
      </c>
      <c r="P1517">
        <v>9.2926114046776906E-2</v>
      </c>
      <c r="Q1517" t="s">
        <v>4</v>
      </c>
      <c r="R1517" s="4" t="s">
        <v>87</v>
      </c>
      <c r="S1517" t="s">
        <v>4</v>
      </c>
      <c r="T1517" t="s">
        <v>189</v>
      </c>
      <c r="U1517" t="s">
        <v>190</v>
      </c>
      <c r="V1517" t="s">
        <v>191</v>
      </c>
      <c r="W1517" t="s">
        <v>192</v>
      </c>
      <c r="X1517" t="s">
        <v>4</v>
      </c>
      <c r="Y1517" t="s">
        <v>92</v>
      </c>
      <c r="Z1517" t="s">
        <v>92</v>
      </c>
      <c r="AA1517" t="s">
        <v>92</v>
      </c>
      <c r="AB1517" t="s">
        <v>4</v>
      </c>
      <c r="AC1517" s="3" t="s">
        <v>93</v>
      </c>
      <c r="AD1517" t="s">
        <v>4</v>
      </c>
      <c r="AE1517" s="4" t="s">
        <v>94</v>
      </c>
      <c r="AZ1517" t="s">
        <v>4</v>
      </c>
      <c r="BA1517" s="3" t="s">
        <v>95</v>
      </c>
      <c r="BB1517" t="s">
        <v>96</v>
      </c>
      <c r="BC1517" s="3" t="s">
        <v>95</v>
      </c>
      <c r="BD1517" t="s">
        <v>4</v>
      </c>
      <c r="BE1517">
        <v>815</v>
      </c>
      <c r="BF1517" t="s">
        <v>604</v>
      </c>
      <c r="BG1517">
        <v>69.841300000000004</v>
      </c>
      <c r="CK1517">
        <v>1.5</v>
      </c>
      <c r="CL1517" t="s">
        <v>4</v>
      </c>
      <c r="CM1517" t="s">
        <v>98</v>
      </c>
      <c r="CN1517" t="s">
        <v>98</v>
      </c>
      <c r="CO1517" t="s">
        <v>99</v>
      </c>
      <c r="CP1517" t="s">
        <v>100</v>
      </c>
      <c r="CQ1517" t="s">
        <v>100</v>
      </c>
      <c r="CR1517" t="s">
        <v>100</v>
      </c>
      <c r="CS1517" t="s">
        <v>101</v>
      </c>
      <c r="CT1517" t="s">
        <v>100</v>
      </c>
      <c r="CU1517" t="s">
        <v>102</v>
      </c>
      <c r="CV1517" t="s">
        <v>100</v>
      </c>
    </row>
    <row r="1518" spans="1:100">
      <c r="A1518" s="3" t="s">
        <v>16534</v>
      </c>
      <c r="B1518" s="4" t="s">
        <v>16535</v>
      </c>
      <c r="C1518">
        <v>44.613318420202603</v>
      </c>
      <c r="D1518">
        <v>18.6018093242124</v>
      </c>
      <c r="E1518">
        <v>1.27198324014639</v>
      </c>
      <c r="F1518">
        <v>9.5476528123639395E-2</v>
      </c>
      <c r="G1518" t="s">
        <v>4</v>
      </c>
      <c r="H1518">
        <v>44.613318420202603</v>
      </c>
      <c r="I1518">
        <v>6.98199675822449</v>
      </c>
      <c r="J1518">
        <v>2.6873682235189702</v>
      </c>
      <c r="K1518">
        <v>7.3863232274970004E-4</v>
      </c>
      <c r="L1518" t="s">
        <v>4</v>
      </c>
      <c r="M1518">
        <v>18.6018093242124</v>
      </c>
      <c r="N1518">
        <v>6.98199675822449</v>
      </c>
      <c r="O1518">
        <v>1.41538498337259</v>
      </c>
      <c r="P1518">
        <v>9.5506692945498198E-2</v>
      </c>
      <c r="Q1518" t="s">
        <v>4</v>
      </c>
      <c r="R1518" s="4" t="s">
        <v>87</v>
      </c>
      <c r="S1518" t="s">
        <v>4</v>
      </c>
      <c r="T1518" t="s">
        <v>88</v>
      </c>
      <c r="U1518" t="s">
        <v>89</v>
      </c>
      <c r="V1518" t="s">
        <v>90</v>
      </c>
      <c r="W1518" t="s">
        <v>91</v>
      </c>
      <c r="X1518" t="s">
        <v>4</v>
      </c>
      <c r="Y1518" t="s">
        <v>92</v>
      </c>
      <c r="Z1518" t="s">
        <v>92</v>
      </c>
      <c r="AA1518" t="s">
        <v>92</v>
      </c>
      <c r="AB1518" t="s">
        <v>4</v>
      </c>
      <c r="AC1518" s="3" t="s">
        <v>93</v>
      </c>
      <c r="AD1518" t="s">
        <v>4</v>
      </c>
      <c r="AE1518" s="4" t="s">
        <v>94</v>
      </c>
      <c r="AZ1518" t="s">
        <v>4</v>
      </c>
      <c r="BA1518" s="3" t="s">
        <v>95</v>
      </c>
      <c r="BB1518" t="s">
        <v>96</v>
      </c>
      <c r="BC1518" s="3" t="s">
        <v>95</v>
      </c>
      <c r="BD1518" t="s">
        <v>4</v>
      </c>
      <c r="BE1518">
        <v>1055</v>
      </c>
      <c r="BF1518" t="s">
        <v>151</v>
      </c>
      <c r="BG1518">
        <v>87.121200000000002</v>
      </c>
      <c r="BH1518">
        <v>91.666700000000006</v>
      </c>
      <c r="BI1518">
        <v>80.302999999999997</v>
      </c>
      <c r="BJ1518">
        <v>37.121200000000002</v>
      </c>
      <c r="BK1518">
        <v>64.393900000000002</v>
      </c>
      <c r="BM1518">
        <v>63.636400000000002</v>
      </c>
      <c r="BN1518">
        <v>63.636400000000002</v>
      </c>
      <c r="BO1518">
        <v>61.363599999999998</v>
      </c>
      <c r="CK1518">
        <v>2</v>
      </c>
      <c r="CL1518" t="s">
        <v>4</v>
      </c>
      <c r="CM1518" t="s">
        <v>98</v>
      </c>
      <c r="CN1518" t="s">
        <v>98</v>
      </c>
      <c r="CO1518" t="s">
        <v>99</v>
      </c>
      <c r="CP1518" t="s">
        <v>100</v>
      </c>
      <c r="CQ1518" t="s">
        <v>100</v>
      </c>
      <c r="CR1518" t="s">
        <v>100</v>
      </c>
      <c r="CS1518" t="s">
        <v>101</v>
      </c>
      <c r="CT1518" t="s">
        <v>100</v>
      </c>
      <c r="CU1518" t="s">
        <v>102</v>
      </c>
      <c r="CV1518" t="s">
        <v>100</v>
      </c>
    </row>
    <row r="1519" spans="1:100">
      <c r="A1519" s="3" t="s">
        <v>16536</v>
      </c>
      <c r="B1519" s="4" t="s">
        <v>16537</v>
      </c>
      <c r="C1519">
        <v>22.483544181646099</v>
      </c>
      <c r="D1519">
        <v>7.0073578957427403</v>
      </c>
      <c r="E1519">
        <v>1.68324293084821</v>
      </c>
      <c r="F1519">
        <v>7.0186405300294893E-2</v>
      </c>
      <c r="G1519" t="s">
        <v>4</v>
      </c>
      <c r="H1519">
        <v>22.483544181646099</v>
      </c>
      <c r="I1519">
        <v>1.4948873657459301</v>
      </c>
      <c r="J1519">
        <v>3.7123737648483099</v>
      </c>
      <c r="K1519">
        <v>1.2162635325901701E-3</v>
      </c>
      <c r="L1519" t="s">
        <v>4</v>
      </c>
      <c r="M1519">
        <v>7.0073578957427403</v>
      </c>
      <c r="N1519">
        <v>1.4948873657459301</v>
      </c>
      <c r="O1519">
        <v>2.0291308340001</v>
      </c>
      <c r="P1519">
        <v>0.10022705246104099</v>
      </c>
      <c r="Q1519" t="s">
        <v>4</v>
      </c>
      <c r="R1519" s="4" t="s">
        <v>87</v>
      </c>
      <c r="S1519" t="s">
        <v>4</v>
      </c>
      <c r="T1519" t="s">
        <v>88</v>
      </c>
      <c r="U1519" t="s">
        <v>89</v>
      </c>
      <c r="V1519" t="s">
        <v>90</v>
      </c>
      <c r="W1519" t="s">
        <v>91</v>
      </c>
      <c r="X1519" t="s">
        <v>4</v>
      </c>
      <c r="Y1519" t="s">
        <v>423</v>
      </c>
      <c r="Z1519" t="s">
        <v>424</v>
      </c>
      <c r="AA1519" t="s">
        <v>425</v>
      </c>
      <c r="AB1519" t="s">
        <v>4</v>
      </c>
      <c r="AC1519" s="3" t="s">
        <v>426</v>
      </c>
      <c r="AD1519" t="s">
        <v>4</v>
      </c>
      <c r="AE1519" t="s">
        <v>427</v>
      </c>
      <c r="AF1519" t="s">
        <v>16538</v>
      </c>
      <c r="AG1519" t="s">
        <v>8789</v>
      </c>
      <c r="AH1519" t="s">
        <v>112</v>
      </c>
      <c r="AU1519" t="s">
        <v>112</v>
      </c>
      <c r="AV1519" t="s">
        <v>430</v>
      </c>
      <c r="AW1519" t="s">
        <v>114</v>
      </c>
      <c r="AX1519" t="s">
        <v>144</v>
      </c>
      <c r="AY1519" t="s">
        <v>431</v>
      </c>
      <c r="AZ1519" t="s">
        <v>4</v>
      </c>
      <c r="BA1519" s="3" t="s">
        <v>95</v>
      </c>
      <c r="BB1519" t="s">
        <v>96</v>
      </c>
      <c r="BC1519" s="3" t="s">
        <v>95</v>
      </c>
      <c r="BD1519" t="s">
        <v>4</v>
      </c>
      <c r="BE1519">
        <v>4524</v>
      </c>
      <c r="BF1519" t="s">
        <v>112</v>
      </c>
      <c r="BJ1519">
        <v>43.692300000000003</v>
      </c>
      <c r="BM1519">
        <v>53.538499999999999</v>
      </c>
      <c r="BN1519">
        <v>58.153799999999997</v>
      </c>
      <c r="BO1519">
        <v>50.769199999999998</v>
      </c>
      <c r="BP1519">
        <v>21.8462</v>
      </c>
      <c r="BQ1519" t="s">
        <v>16539</v>
      </c>
      <c r="BW1519" t="s">
        <v>16540</v>
      </c>
      <c r="CK1519">
        <v>5</v>
      </c>
      <c r="CL1519" t="s">
        <v>4</v>
      </c>
      <c r="CM1519" t="s">
        <v>98</v>
      </c>
      <c r="CN1519" t="s">
        <v>98</v>
      </c>
      <c r="CO1519" t="s">
        <v>99</v>
      </c>
      <c r="CP1519" t="s">
        <v>100</v>
      </c>
      <c r="CQ1519" t="s">
        <v>100</v>
      </c>
      <c r="CR1519" t="s">
        <v>100</v>
      </c>
      <c r="CS1519" t="s">
        <v>101</v>
      </c>
      <c r="CT1519" t="s">
        <v>100</v>
      </c>
      <c r="CU1519" t="s">
        <v>102</v>
      </c>
      <c r="CV1519" t="s">
        <v>100</v>
      </c>
    </row>
    <row r="1520" spans="1:100">
      <c r="A1520" s="3" t="s">
        <v>16541</v>
      </c>
      <c r="B1520" s="4" t="s">
        <v>16542</v>
      </c>
      <c r="C1520">
        <v>49.872860997796501</v>
      </c>
      <c r="D1520">
        <v>18.372513901548899</v>
      </c>
      <c r="E1520">
        <v>1.44312032505913</v>
      </c>
      <c r="F1520">
        <v>0.22839965738307799</v>
      </c>
      <c r="G1520" t="s">
        <v>4</v>
      </c>
      <c r="H1520">
        <v>49.872860997796501</v>
      </c>
      <c r="I1520">
        <v>4.6349510610307103</v>
      </c>
      <c r="J1520">
        <v>3.5290492260903799</v>
      </c>
      <c r="K1520">
        <v>3.5672091692896101E-3</v>
      </c>
      <c r="L1520" t="s">
        <v>4</v>
      </c>
      <c r="M1520">
        <v>18.372513901548899</v>
      </c>
      <c r="N1520">
        <v>4.6349510610307103</v>
      </c>
      <c r="O1520">
        <v>2.0859289010312501</v>
      </c>
      <c r="P1520">
        <v>0.10022705246104099</v>
      </c>
      <c r="Q1520" t="s">
        <v>4</v>
      </c>
      <c r="R1520" s="4" t="s">
        <v>87</v>
      </c>
      <c r="S1520" t="s">
        <v>4</v>
      </c>
      <c r="T1520" t="s">
        <v>92</v>
      </c>
      <c r="U1520" t="s">
        <v>92</v>
      </c>
      <c r="V1520" t="s">
        <v>92</v>
      </c>
      <c r="W1520" t="s">
        <v>92</v>
      </c>
      <c r="X1520" t="s">
        <v>4</v>
      </c>
      <c r="Y1520" t="s">
        <v>92</v>
      </c>
      <c r="Z1520" t="s">
        <v>92</v>
      </c>
      <c r="AA1520" t="s">
        <v>92</v>
      </c>
      <c r="AB1520" t="s">
        <v>4</v>
      </c>
      <c r="AC1520" s="3" t="s">
        <v>93</v>
      </c>
      <c r="AD1520" t="s">
        <v>4</v>
      </c>
      <c r="AE1520" s="4" t="s">
        <v>94</v>
      </c>
      <c r="AZ1520" t="s">
        <v>4</v>
      </c>
      <c r="BA1520" s="3" t="s">
        <v>95</v>
      </c>
      <c r="BB1520" s="6" t="s">
        <v>95</v>
      </c>
      <c r="BC1520" s="3" t="s">
        <v>95</v>
      </c>
      <c r="BD1520" t="s">
        <v>4</v>
      </c>
      <c r="BE1520">
        <v>977</v>
      </c>
      <c r="BF1520" t="s">
        <v>151</v>
      </c>
      <c r="BG1520">
        <v>95.617500000000007</v>
      </c>
      <c r="BI1520" t="s">
        <v>16543</v>
      </c>
      <c r="CK1520">
        <v>2</v>
      </c>
      <c r="CL1520" t="s">
        <v>4</v>
      </c>
      <c r="CM1520" t="s">
        <v>98</v>
      </c>
      <c r="CN1520" t="s">
        <v>98</v>
      </c>
      <c r="CO1520" t="s">
        <v>99</v>
      </c>
      <c r="CP1520" t="s">
        <v>100</v>
      </c>
      <c r="CQ1520" t="s">
        <v>100</v>
      </c>
      <c r="CR1520" t="s">
        <v>100</v>
      </c>
      <c r="CS1520" t="s">
        <v>101</v>
      </c>
      <c r="CT1520" t="s">
        <v>100</v>
      </c>
      <c r="CU1520" t="s">
        <v>102</v>
      </c>
      <c r="CV1520" t="s">
        <v>100</v>
      </c>
    </row>
    <row r="1521" spans="1:100">
      <c r="A1521" s="3" t="s">
        <v>16544</v>
      </c>
      <c r="B1521" s="4" t="s">
        <v>16545</v>
      </c>
      <c r="C1521">
        <v>11.6142775691357</v>
      </c>
      <c r="D1521">
        <v>3.9874377076956602</v>
      </c>
      <c r="E1521">
        <v>1.53137828937283</v>
      </c>
      <c r="F1521">
        <v>0.24506260692846099</v>
      </c>
      <c r="G1521" t="s">
        <v>4</v>
      </c>
      <c r="H1521">
        <v>11.6142775691357</v>
      </c>
      <c r="I1521">
        <v>0.63668974789924304</v>
      </c>
      <c r="J1521">
        <v>4.5225698941619701</v>
      </c>
      <c r="K1521">
        <v>8.6798280489726997E-3</v>
      </c>
      <c r="L1521" t="s">
        <v>4</v>
      </c>
      <c r="M1521">
        <v>3.9874377076956602</v>
      </c>
      <c r="N1521">
        <v>0.63668974789924304</v>
      </c>
      <c r="O1521">
        <v>2.9911916047891398</v>
      </c>
      <c r="P1521">
        <v>0.10032390151967201</v>
      </c>
      <c r="Q1521" t="s">
        <v>4</v>
      </c>
      <c r="R1521" s="4" t="s">
        <v>87</v>
      </c>
      <c r="S1521" t="s">
        <v>4</v>
      </c>
      <c r="T1521" t="s">
        <v>92</v>
      </c>
      <c r="U1521" t="s">
        <v>92</v>
      </c>
      <c r="V1521" t="s">
        <v>92</v>
      </c>
      <c r="W1521" t="s">
        <v>92</v>
      </c>
      <c r="X1521" t="s">
        <v>4</v>
      </c>
      <c r="Y1521" t="s">
        <v>92</v>
      </c>
      <c r="Z1521" t="s">
        <v>92</v>
      </c>
      <c r="AA1521" t="s">
        <v>92</v>
      </c>
      <c r="AB1521" t="s">
        <v>4</v>
      </c>
      <c r="AC1521" s="3" t="s">
        <v>93</v>
      </c>
      <c r="AD1521" t="s">
        <v>4</v>
      </c>
      <c r="AE1521" s="4" t="s">
        <v>94</v>
      </c>
      <c r="AZ1521" t="s">
        <v>4</v>
      </c>
      <c r="BA1521" s="3" t="s">
        <v>95</v>
      </c>
      <c r="BB1521" s="6" t="s">
        <v>95</v>
      </c>
      <c r="BC1521" s="3" t="s">
        <v>95</v>
      </c>
      <c r="BD1521" t="s">
        <v>4</v>
      </c>
      <c r="BE1521">
        <v>1169</v>
      </c>
      <c r="BF1521" t="s">
        <v>151</v>
      </c>
      <c r="BG1521">
        <v>74.698800000000006</v>
      </c>
      <c r="CK1521">
        <v>2</v>
      </c>
      <c r="CL1521" t="s">
        <v>4</v>
      </c>
      <c r="CM1521" t="s">
        <v>98</v>
      </c>
      <c r="CN1521" t="s">
        <v>98</v>
      </c>
      <c r="CO1521" t="s">
        <v>99</v>
      </c>
      <c r="CP1521" t="s">
        <v>100</v>
      </c>
      <c r="CQ1521" t="s">
        <v>100</v>
      </c>
      <c r="CR1521" t="s">
        <v>100</v>
      </c>
      <c r="CS1521" t="s">
        <v>101</v>
      </c>
      <c r="CT1521" t="s">
        <v>100</v>
      </c>
      <c r="CU1521" t="s">
        <v>102</v>
      </c>
      <c r="CV1521" t="s">
        <v>100</v>
      </c>
    </row>
    <row r="1522" spans="1:100">
      <c r="A1522" s="3" t="s">
        <v>16546</v>
      </c>
      <c r="B1522" s="4" t="s">
        <v>16547</v>
      </c>
      <c r="C1522">
        <v>22.6087376702393</v>
      </c>
      <c r="D1522">
        <v>9.7159984224258995</v>
      </c>
      <c r="E1522">
        <v>1.21862563564055</v>
      </c>
      <c r="F1522">
        <v>0.27825067214502602</v>
      </c>
      <c r="G1522" t="s">
        <v>4</v>
      </c>
      <c r="H1522">
        <v>22.6087376702393</v>
      </c>
      <c r="I1522">
        <v>2.1255378272463399</v>
      </c>
      <c r="J1522">
        <v>3.3510712943582002</v>
      </c>
      <c r="K1522">
        <v>6.6795105881942698E-3</v>
      </c>
      <c r="L1522" t="s">
        <v>4</v>
      </c>
      <c r="M1522">
        <v>9.7159984224258995</v>
      </c>
      <c r="N1522">
        <v>2.1255378272463399</v>
      </c>
      <c r="O1522">
        <v>2.1324456587176601</v>
      </c>
      <c r="P1522">
        <v>0.10070788324454499</v>
      </c>
      <c r="Q1522" t="s">
        <v>4</v>
      </c>
      <c r="R1522" s="4" t="s">
        <v>87</v>
      </c>
      <c r="S1522" t="s">
        <v>4</v>
      </c>
      <c r="T1522" t="s">
        <v>92</v>
      </c>
      <c r="U1522" t="s">
        <v>92</v>
      </c>
      <c r="V1522" t="s">
        <v>92</v>
      </c>
      <c r="W1522" t="s">
        <v>92</v>
      </c>
      <c r="X1522" t="s">
        <v>4</v>
      </c>
      <c r="Y1522" t="s">
        <v>92</v>
      </c>
      <c r="Z1522" t="s">
        <v>92</v>
      </c>
      <c r="AA1522" t="s">
        <v>92</v>
      </c>
      <c r="AB1522" t="s">
        <v>4</v>
      </c>
      <c r="AC1522" s="3" t="s">
        <v>93</v>
      </c>
      <c r="AD1522" t="s">
        <v>4</v>
      </c>
      <c r="AE1522" s="4" t="s">
        <v>94</v>
      </c>
      <c r="AZ1522" t="s">
        <v>4</v>
      </c>
      <c r="BA1522" s="3" t="s">
        <v>95</v>
      </c>
      <c r="BB1522" s="6" t="s">
        <v>95</v>
      </c>
      <c r="BC1522" s="3" t="s">
        <v>197</v>
      </c>
      <c r="BD1522" t="s">
        <v>4</v>
      </c>
      <c r="BE1522">
        <v>1373</v>
      </c>
      <c r="BF1522" t="s">
        <v>151</v>
      </c>
      <c r="BG1522" t="s">
        <v>16548</v>
      </c>
      <c r="CK1522">
        <v>2</v>
      </c>
      <c r="CL1522" t="s">
        <v>4</v>
      </c>
      <c r="CM1522" t="s">
        <v>98</v>
      </c>
      <c r="CN1522" t="s">
        <v>98</v>
      </c>
      <c r="CO1522" t="s">
        <v>99</v>
      </c>
      <c r="CP1522" t="s">
        <v>100</v>
      </c>
      <c r="CQ1522" t="s">
        <v>100</v>
      </c>
      <c r="CR1522" t="s">
        <v>100</v>
      </c>
      <c r="CS1522" t="s">
        <v>101</v>
      </c>
      <c r="CT1522" t="s">
        <v>100</v>
      </c>
      <c r="CU1522" t="s">
        <v>102</v>
      </c>
      <c r="CV1522" t="s">
        <v>100</v>
      </c>
    </row>
    <row r="1523" spans="1:100">
      <c r="A1523" s="3" t="s">
        <v>16549</v>
      </c>
      <c r="B1523" s="4" t="s">
        <v>16550</v>
      </c>
      <c r="C1523">
        <v>15.280941695928499</v>
      </c>
      <c r="D1523">
        <v>3.7119838567709902</v>
      </c>
      <c r="E1523">
        <v>2.0341457902586702</v>
      </c>
      <c r="F1523">
        <v>8.9838035785073295E-2</v>
      </c>
      <c r="G1523" t="s">
        <v>4</v>
      </c>
      <c r="H1523">
        <v>15.280941695928499</v>
      </c>
      <c r="I1523">
        <v>0.63668974789924304</v>
      </c>
      <c r="J1523">
        <v>4.9207663071868604</v>
      </c>
      <c r="K1523">
        <v>2.8084603783224602E-3</v>
      </c>
      <c r="L1523" t="s">
        <v>4</v>
      </c>
      <c r="M1523">
        <v>3.7119838567709902</v>
      </c>
      <c r="N1523">
        <v>0.63668974789924304</v>
      </c>
      <c r="O1523">
        <v>2.88662051692818</v>
      </c>
      <c r="P1523">
        <v>0.101534291256502</v>
      </c>
      <c r="Q1523" t="s">
        <v>4</v>
      </c>
      <c r="R1523" s="4" t="s">
        <v>87</v>
      </c>
      <c r="S1523" t="s">
        <v>4</v>
      </c>
      <c r="T1523" t="s">
        <v>92</v>
      </c>
      <c r="U1523" t="s">
        <v>92</v>
      </c>
      <c r="V1523" t="s">
        <v>92</v>
      </c>
      <c r="W1523" t="s">
        <v>92</v>
      </c>
      <c r="X1523" t="s">
        <v>4</v>
      </c>
      <c r="Y1523" t="s">
        <v>16551</v>
      </c>
      <c r="Z1523" t="s">
        <v>16552</v>
      </c>
      <c r="AA1523" t="s">
        <v>16553</v>
      </c>
      <c r="AB1523" t="s">
        <v>4</v>
      </c>
      <c r="AC1523" s="3" t="s">
        <v>16554</v>
      </c>
      <c r="AD1523" t="s">
        <v>4</v>
      </c>
      <c r="AE1523" s="4" t="s">
        <v>94</v>
      </c>
      <c r="AZ1523" t="s">
        <v>4</v>
      </c>
      <c r="BA1523" s="3" t="s">
        <v>95</v>
      </c>
      <c r="BB1523" s="6" t="s">
        <v>95</v>
      </c>
      <c r="BC1523" s="3" t="s">
        <v>197</v>
      </c>
      <c r="BD1523" t="s">
        <v>4</v>
      </c>
      <c r="BE1523">
        <v>3606</v>
      </c>
      <c r="BF1523" t="s">
        <v>112</v>
      </c>
      <c r="BG1523">
        <v>71.493200000000002</v>
      </c>
      <c r="BJ1523" t="s">
        <v>16555</v>
      </c>
      <c r="BK1523">
        <v>76.018100000000004</v>
      </c>
      <c r="BN1523" t="s">
        <v>16556</v>
      </c>
      <c r="BP1523">
        <v>35.746600000000001</v>
      </c>
      <c r="BR1523" t="s">
        <v>16557</v>
      </c>
      <c r="BS1523">
        <v>31.221699999999998</v>
      </c>
      <c r="BU1523" t="s">
        <v>16558</v>
      </c>
      <c r="BV1523" t="s">
        <v>16559</v>
      </c>
      <c r="BW1523" t="s">
        <v>16560</v>
      </c>
      <c r="BX1523" t="s">
        <v>16561</v>
      </c>
      <c r="BZ1523" t="s">
        <v>16562</v>
      </c>
      <c r="CA1523">
        <v>30.769200000000001</v>
      </c>
      <c r="CF1523" t="s">
        <v>16563</v>
      </c>
      <c r="CG1523" t="s">
        <v>16564</v>
      </c>
      <c r="CH1523" t="s">
        <v>16565</v>
      </c>
      <c r="CI1523" t="s">
        <v>16566</v>
      </c>
      <c r="CK1523">
        <v>5</v>
      </c>
      <c r="CL1523" t="s">
        <v>4</v>
      </c>
      <c r="CM1523" t="s">
        <v>11959</v>
      </c>
      <c r="CN1523" t="s">
        <v>16567</v>
      </c>
      <c r="CO1523" t="s">
        <v>99</v>
      </c>
      <c r="CP1523" t="s">
        <v>100</v>
      </c>
      <c r="CQ1523" t="s">
        <v>100</v>
      </c>
      <c r="CR1523" t="s">
        <v>100</v>
      </c>
      <c r="CS1523" t="s">
        <v>101</v>
      </c>
      <c r="CT1523" t="s">
        <v>100</v>
      </c>
      <c r="CU1523" t="s">
        <v>102</v>
      </c>
      <c r="CV1523" t="s">
        <v>100</v>
      </c>
    </row>
    <row r="1524" spans="1:100">
      <c r="A1524" s="3" t="s">
        <v>16568</v>
      </c>
      <c r="B1524" s="4" t="s">
        <v>16569</v>
      </c>
      <c r="C1524">
        <v>31.6327723846215</v>
      </c>
      <c r="D1524">
        <v>11.088010380968001</v>
      </c>
      <c r="E1524">
        <v>1.5169702132382199</v>
      </c>
      <c r="F1524">
        <v>0.17396910047448999</v>
      </c>
      <c r="G1524" t="s">
        <v>4</v>
      </c>
      <c r="H1524">
        <v>31.6327723846215</v>
      </c>
      <c r="I1524">
        <v>2.4625555801022601</v>
      </c>
      <c r="J1524">
        <v>3.6027459916367599</v>
      </c>
      <c r="K1524">
        <v>2.86632224589953E-3</v>
      </c>
      <c r="L1524" t="s">
        <v>4</v>
      </c>
      <c r="M1524">
        <v>11.088010380968001</v>
      </c>
      <c r="N1524">
        <v>2.4625555801022601</v>
      </c>
      <c r="O1524">
        <v>2.0857757783985398</v>
      </c>
      <c r="P1524">
        <v>0.102357757015189</v>
      </c>
      <c r="Q1524" t="s">
        <v>4</v>
      </c>
      <c r="R1524" s="4" t="s">
        <v>87</v>
      </c>
      <c r="S1524" t="s">
        <v>4</v>
      </c>
      <c r="T1524" t="s">
        <v>92</v>
      </c>
      <c r="U1524" t="s">
        <v>92</v>
      </c>
      <c r="V1524" t="s">
        <v>92</v>
      </c>
      <c r="W1524" t="s">
        <v>92</v>
      </c>
      <c r="X1524" t="s">
        <v>4</v>
      </c>
      <c r="Y1524" t="s">
        <v>92</v>
      </c>
      <c r="Z1524" t="s">
        <v>92</v>
      </c>
      <c r="AA1524" t="s">
        <v>92</v>
      </c>
      <c r="AB1524" t="s">
        <v>4</v>
      </c>
      <c r="AC1524" s="3" t="s">
        <v>93</v>
      </c>
      <c r="AD1524" t="s">
        <v>4</v>
      </c>
      <c r="AE1524" s="4" t="s">
        <v>94</v>
      </c>
      <c r="AZ1524" t="s">
        <v>4</v>
      </c>
      <c r="BA1524" s="3" t="s">
        <v>95</v>
      </c>
      <c r="BB1524" s="6" t="s">
        <v>95</v>
      </c>
      <c r="BC1524" s="3" t="s">
        <v>95</v>
      </c>
      <c r="BD1524" t="s">
        <v>4</v>
      </c>
      <c r="BE1524">
        <v>1321</v>
      </c>
      <c r="BF1524" t="s">
        <v>151</v>
      </c>
      <c r="BG1524">
        <v>91.525400000000005</v>
      </c>
      <c r="BH1524">
        <v>100</v>
      </c>
      <c r="CK1524">
        <v>2</v>
      </c>
      <c r="CL1524" t="s">
        <v>4</v>
      </c>
      <c r="CM1524" t="s">
        <v>98</v>
      </c>
      <c r="CN1524" t="s">
        <v>98</v>
      </c>
      <c r="CO1524" t="s">
        <v>99</v>
      </c>
      <c r="CP1524" t="s">
        <v>100</v>
      </c>
      <c r="CQ1524" t="s">
        <v>100</v>
      </c>
      <c r="CR1524" t="s">
        <v>100</v>
      </c>
      <c r="CS1524" t="s">
        <v>101</v>
      </c>
      <c r="CT1524" t="s">
        <v>100</v>
      </c>
      <c r="CU1524" t="s">
        <v>102</v>
      </c>
      <c r="CV1524" t="s">
        <v>100</v>
      </c>
    </row>
    <row r="1525" spans="1:100">
      <c r="A1525" s="3" t="s">
        <v>16570</v>
      </c>
      <c r="B1525" s="4" t="s">
        <v>16571</v>
      </c>
      <c r="C1525">
        <v>14.4349139848267</v>
      </c>
      <c r="D1525">
        <v>2.52818421437191</v>
      </c>
      <c r="E1525">
        <v>2.5158628176216902</v>
      </c>
      <c r="F1525">
        <v>0.114574220480466</v>
      </c>
      <c r="G1525" t="s">
        <v>4</v>
      </c>
      <c r="H1525">
        <v>14.4349139848267</v>
      </c>
      <c r="I1525">
        <v>0</v>
      </c>
      <c r="J1525">
        <v>5.8009697393987603</v>
      </c>
      <c r="K1525">
        <v>2.1241760531146301E-3</v>
      </c>
      <c r="L1525" t="s">
        <v>4</v>
      </c>
      <c r="M1525">
        <v>2.52818421437191</v>
      </c>
      <c r="N1525">
        <v>0</v>
      </c>
      <c r="O1525">
        <v>3.2851069217770799</v>
      </c>
      <c r="P1525">
        <v>0.107095558945711</v>
      </c>
      <c r="Q1525" t="s">
        <v>4</v>
      </c>
      <c r="R1525" s="4" t="s">
        <v>87</v>
      </c>
      <c r="S1525" t="s">
        <v>4</v>
      </c>
      <c r="T1525" t="s">
        <v>92</v>
      </c>
      <c r="U1525" t="s">
        <v>92</v>
      </c>
      <c r="V1525" t="s">
        <v>92</v>
      </c>
      <c r="W1525" t="s">
        <v>92</v>
      </c>
      <c r="X1525" t="s">
        <v>4</v>
      </c>
      <c r="Y1525" t="s">
        <v>92</v>
      </c>
      <c r="Z1525" t="s">
        <v>92</v>
      </c>
      <c r="AA1525" t="s">
        <v>92</v>
      </c>
      <c r="AB1525" t="s">
        <v>4</v>
      </c>
      <c r="AC1525" s="3" t="s">
        <v>93</v>
      </c>
      <c r="AD1525" t="s">
        <v>4</v>
      </c>
      <c r="AE1525" s="4" t="s">
        <v>94</v>
      </c>
      <c r="AZ1525" t="s">
        <v>4</v>
      </c>
      <c r="BA1525" s="3" t="s">
        <v>95</v>
      </c>
      <c r="BB1525" s="6" t="s">
        <v>95</v>
      </c>
      <c r="BC1525" s="3" t="s">
        <v>95</v>
      </c>
      <c r="BD1525" t="s">
        <v>4</v>
      </c>
      <c r="BE1525">
        <v>411</v>
      </c>
      <c r="BF1525" t="s">
        <v>322</v>
      </c>
      <c r="CK1525">
        <v>1</v>
      </c>
      <c r="CL1525" t="s">
        <v>4</v>
      </c>
      <c r="CM1525" t="s">
        <v>98</v>
      </c>
      <c r="CN1525" t="s">
        <v>98</v>
      </c>
      <c r="CO1525" t="s">
        <v>99</v>
      </c>
      <c r="CP1525" t="s">
        <v>100</v>
      </c>
      <c r="CQ1525" t="s">
        <v>100</v>
      </c>
      <c r="CR1525" t="s">
        <v>100</v>
      </c>
      <c r="CS1525" t="s">
        <v>101</v>
      </c>
      <c r="CT1525" t="s">
        <v>100</v>
      </c>
      <c r="CU1525" t="s">
        <v>102</v>
      </c>
      <c r="CV1525" t="s">
        <v>100</v>
      </c>
    </row>
    <row r="1526" spans="1:100">
      <c r="A1526" s="3" t="s">
        <v>16572</v>
      </c>
      <c r="B1526" s="4" t="s">
        <v>16573</v>
      </c>
      <c r="C1526">
        <v>41.544775182690998</v>
      </c>
      <c r="D1526">
        <v>11.232640882839901</v>
      </c>
      <c r="E1526">
        <v>1.8835997830145501</v>
      </c>
      <c r="F1526">
        <v>5.1391116969715399E-2</v>
      </c>
      <c r="G1526" t="s">
        <v>4</v>
      </c>
      <c r="H1526">
        <v>41.544775182690998</v>
      </c>
      <c r="I1526">
        <v>3.2460616823237398</v>
      </c>
      <c r="J1526">
        <v>3.6827495025650099</v>
      </c>
      <c r="K1526">
        <v>4.8206834399371502E-4</v>
      </c>
      <c r="L1526" t="s">
        <v>4</v>
      </c>
      <c r="M1526">
        <v>11.232640882839901</v>
      </c>
      <c r="N1526">
        <v>3.2460616823237398</v>
      </c>
      <c r="O1526">
        <v>1.79914971955047</v>
      </c>
      <c r="P1526">
        <v>0.11286448460547099</v>
      </c>
      <c r="Q1526" t="s">
        <v>4</v>
      </c>
      <c r="R1526" s="4" t="s">
        <v>87</v>
      </c>
      <c r="S1526" t="s">
        <v>4</v>
      </c>
      <c r="T1526" t="s">
        <v>92</v>
      </c>
      <c r="U1526" t="s">
        <v>92</v>
      </c>
      <c r="V1526" t="s">
        <v>92</v>
      </c>
      <c r="W1526" t="s">
        <v>92</v>
      </c>
      <c r="X1526" t="s">
        <v>4</v>
      </c>
      <c r="Y1526" t="s">
        <v>92</v>
      </c>
      <c r="Z1526" t="s">
        <v>92</v>
      </c>
      <c r="AA1526" t="s">
        <v>92</v>
      </c>
      <c r="AB1526" t="s">
        <v>4</v>
      </c>
      <c r="AC1526" s="3" t="s">
        <v>93</v>
      </c>
      <c r="AD1526" t="s">
        <v>4</v>
      </c>
      <c r="AE1526" s="4" t="s">
        <v>94</v>
      </c>
      <c r="AZ1526" t="s">
        <v>4</v>
      </c>
      <c r="BA1526" s="3" t="s">
        <v>95</v>
      </c>
      <c r="BB1526" s="6" t="s">
        <v>95</v>
      </c>
      <c r="BC1526" s="3" t="s">
        <v>197</v>
      </c>
      <c r="BD1526" t="s">
        <v>4</v>
      </c>
      <c r="BE1526">
        <v>2160</v>
      </c>
      <c r="BF1526" t="s">
        <v>148</v>
      </c>
      <c r="BG1526">
        <v>97.718599999999995</v>
      </c>
      <c r="BH1526">
        <v>79.847899999999996</v>
      </c>
      <c r="BI1526">
        <v>67.300399999999996</v>
      </c>
      <c r="BJ1526">
        <v>66.159700000000001</v>
      </c>
      <c r="BK1526">
        <v>64.258600000000001</v>
      </c>
      <c r="BL1526">
        <v>58.174900000000001</v>
      </c>
      <c r="BM1526">
        <v>55.893500000000003</v>
      </c>
      <c r="BN1526">
        <v>53.992400000000004</v>
      </c>
      <c r="BO1526">
        <v>48.289000000000001</v>
      </c>
      <c r="CK1526">
        <v>3</v>
      </c>
      <c r="CL1526" t="s">
        <v>4</v>
      </c>
      <c r="CM1526" t="s">
        <v>98</v>
      </c>
      <c r="CN1526" t="s">
        <v>98</v>
      </c>
      <c r="CO1526" t="s">
        <v>99</v>
      </c>
      <c r="CP1526" t="s">
        <v>100</v>
      </c>
      <c r="CQ1526" t="s">
        <v>100</v>
      </c>
      <c r="CR1526" t="s">
        <v>100</v>
      </c>
      <c r="CS1526" t="s">
        <v>101</v>
      </c>
      <c r="CT1526" t="s">
        <v>100</v>
      </c>
      <c r="CU1526" t="s">
        <v>102</v>
      </c>
      <c r="CV1526" t="s">
        <v>100</v>
      </c>
    </row>
    <row r="1527" spans="1:100">
      <c r="A1527" s="3" t="s">
        <v>16574</v>
      </c>
      <c r="B1527" s="4" t="s">
        <v>16575</v>
      </c>
      <c r="C1527">
        <v>26.049523078424698</v>
      </c>
      <c r="D1527">
        <v>10.343724054064699</v>
      </c>
      <c r="E1527">
        <v>1.33790522418028</v>
      </c>
      <c r="F1527">
        <v>0.194007882957457</v>
      </c>
      <c r="G1527" t="s">
        <v>4</v>
      </c>
      <c r="H1527">
        <v>26.049523078424698</v>
      </c>
      <c r="I1527">
        <v>2.7561882887467402</v>
      </c>
      <c r="J1527">
        <v>3.22968924640948</v>
      </c>
      <c r="K1527">
        <v>4.1302342653993102E-3</v>
      </c>
      <c r="L1527" t="s">
        <v>4</v>
      </c>
      <c r="M1527">
        <v>10.343724054064699</v>
      </c>
      <c r="N1527">
        <v>2.7561882887467402</v>
      </c>
      <c r="O1527">
        <v>1.89178402222919</v>
      </c>
      <c r="P1527">
        <v>0.113268579869636</v>
      </c>
      <c r="Q1527" t="s">
        <v>4</v>
      </c>
      <c r="R1527" s="4" t="s">
        <v>87</v>
      </c>
      <c r="S1527" t="s">
        <v>4</v>
      </c>
      <c r="T1527" t="s">
        <v>92</v>
      </c>
      <c r="U1527" t="s">
        <v>92</v>
      </c>
      <c r="V1527" t="s">
        <v>92</v>
      </c>
      <c r="W1527" t="s">
        <v>92</v>
      </c>
      <c r="X1527" t="s">
        <v>4</v>
      </c>
      <c r="Y1527" t="s">
        <v>92</v>
      </c>
      <c r="Z1527" t="s">
        <v>92</v>
      </c>
      <c r="AA1527" t="s">
        <v>92</v>
      </c>
      <c r="AB1527" t="s">
        <v>4</v>
      </c>
      <c r="AC1527" s="3" t="s">
        <v>93</v>
      </c>
      <c r="AD1527" t="s">
        <v>4</v>
      </c>
      <c r="AE1527" s="4" t="s">
        <v>94</v>
      </c>
      <c r="AZ1527" t="s">
        <v>4</v>
      </c>
      <c r="BA1527" s="3" t="s">
        <v>95</v>
      </c>
      <c r="BB1527" s="6" t="s">
        <v>95</v>
      </c>
      <c r="BC1527" s="3" t="s">
        <v>197</v>
      </c>
      <c r="BD1527" t="s">
        <v>4</v>
      </c>
      <c r="BE1527">
        <v>968</v>
      </c>
      <c r="BF1527" t="s">
        <v>151</v>
      </c>
      <c r="BH1527">
        <v>98.648700000000005</v>
      </c>
      <c r="BN1527">
        <v>58.1081</v>
      </c>
      <c r="CK1527">
        <v>2</v>
      </c>
      <c r="CL1527" t="s">
        <v>4</v>
      </c>
      <c r="CM1527" t="s">
        <v>98</v>
      </c>
      <c r="CN1527" t="s">
        <v>98</v>
      </c>
      <c r="CO1527" t="s">
        <v>99</v>
      </c>
      <c r="CP1527" t="s">
        <v>100</v>
      </c>
      <c r="CQ1527" t="s">
        <v>100</v>
      </c>
      <c r="CR1527" t="s">
        <v>100</v>
      </c>
      <c r="CS1527" t="s">
        <v>101</v>
      </c>
      <c r="CT1527" t="s">
        <v>100</v>
      </c>
      <c r="CU1527" t="s">
        <v>102</v>
      </c>
      <c r="CV1527" t="s">
        <v>100</v>
      </c>
    </row>
    <row r="1528" spans="1:100">
      <c r="A1528" s="3" t="s">
        <v>16576</v>
      </c>
      <c r="B1528" s="4" t="s">
        <v>16577</v>
      </c>
      <c r="C1528">
        <v>65.741236089109407</v>
      </c>
      <c r="D1528">
        <v>21.996006869662999</v>
      </c>
      <c r="E1528">
        <v>1.58038087828802</v>
      </c>
      <c r="F1528">
        <v>5.8974687095638502E-2</v>
      </c>
      <c r="G1528" t="s">
        <v>4</v>
      </c>
      <c r="H1528">
        <v>65.741236089109407</v>
      </c>
      <c r="I1528">
        <v>7.98097144399458</v>
      </c>
      <c r="J1528">
        <v>3.0198620038123698</v>
      </c>
      <c r="K1528">
        <v>3.9361998269215101E-4</v>
      </c>
      <c r="L1528" t="s">
        <v>4</v>
      </c>
      <c r="M1528">
        <v>21.996006869662999</v>
      </c>
      <c r="N1528">
        <v>7.98097144399458</v>
      </c>
      <c r="O1528">
        <v>1.43948112552435</v>
      </c>
      <c r="P1528">
        <v>0.114425539582799</v>
      </c>
      <c r="Q1528" t="s">
        <v>4</v>
      </c>
      <c r="R1528" s="4" t="s">
        <v>87</v>
      </c>
      <c r="S1528" t="s">
        <v>4</v>
      </c>
      <c r="T1528" t="s">
        <v>92</v>
      </c>
      <c r="U1528" t="s">
        <v>92</v>
      </c>
      <c r="V1528" t="s">
        <v>92</v>
      </c>
      <c r="W1528" t="s">
        <v>92</v>
      </c>
      <c r="X1528" t="s">
        <v>4</v>
      </c>
      <c r="Y1528" t="s">
        <v>9380</v>
      </c>
      <c r="Z1528" t="s">
        <v>9381</v>
      </c>
      <c r="AA1528" t="s">
        <v>9381</v>
      </c>
      <c r="AB1528" t="s">
        <v>4</v>
      </c>
      <c r="AC1528" s="3" t="s">
        <v>9355</v>
      </c>
      <c r="AD1528" t="s">
        <v>4</v>
      </c>
      <c r="AE1528" t="s">
        <v>16578</v>
      </c>
      <c r="AF1528" t="s">
        <v>16579</v>
      </c>
      <c r="AG1528" t="s">
        <v>3113</v>
      </c>
      <c r="AH1528" t="s">
        <v>112</v>
      </c>
      <c r="AU1528" t="s">
        <v>112</v>
      </c>
      <c r="AV1528" t="s">
        <v>9359</v>
      </c>
      <c r="AW1528" t="s">
        <v>114</v>
      </c>
      <c r="AX1528" t="s">
        <v>144</v>
      </c>
      <c r="AY1528" t="s">
        <v>1908</v>
      </c>
      <c r="AZ1528" t="s">
        <v>4</v>
      </c>
      <c r="BA1528" s="3" t="s">
        <v>95</v>
      </c>
      <c r="BB1528" s="6" t="s">
        <v>95</v>
      </c>
      <c r="BC1528" s="3" t="s">
        <v>95</v>
      </c>
      <c r="BD1528" t="s">
        <v>4</v>
      </c>
      <c r="BE1528">
        <v>792</v>
      </c>
      <c r="BF1528" t="s">
        <v>604</v>
      </c>
      <c r="BH1528">
        <v>61.403500000000001</v>
      </c>
      <c r="CK1528">
        <v>1.5</v>
      </c>
      <c r="CL1528" t="s">
        <v>4</v>
      </c>
      <c r="CM1528" t="s">
        <v>98</v>
      </c>
      <c r="CN1528" t="s">
        <v>98</v>
      </c>
      <c r="CO1528" t="s">
        <v>99</v>
      </c>
      <c r="CP1528" t="s">
        <v>100</v>
      </c>
      <c r="CQ1528" t="s">
        <v>100</v>
      </c>
      <c r="CR1528" t="s">
        <v>100</v>
      </c>
      <c r="CS1528" t="s">
        <v>101</v>
      </c>
      <c r="CT1528" t="s">
        <v>100</v>
      </c>
      <c r="CU1528" t="s">
        <v>102</v>
      </c>
      <c r="CV1528" t="s">
        <v>100</v>
      </c>
    </row>
    <row r="1529" spans="1:100">
      <c r="A1529" s="3" t="s">
        <v>16580</v>
      </c>
      <c r="B1529" s="4" t="s">
        <v>16581</v>
      </c>
      <c r="C1529">
        <v>11.465684339289499</v>
      </c>
      <c r="D1529">
        <v>2.3395294781906202</v>
      </c>
      <c r="E1529">
        <v>2.32359871952089</v>
      </c>
      <c r="F1529">
        <v>0.13222872730729399</v>
      </c>
      <c r="G1529" t="s">
        <v>4</v>
      </c>
      <c r="H1529">
        <v>11.465684339289499</v>
      </c>
      <c r="I1529">
        <v>0</v>
      </c>
      <c r="J1529">
        <v>5.4722853150821997</v>
      </c>
      <c r="K1529">
        <v>2.98015231653579E-3</v>
      </c>
      <c r="L1529" t="s">
        <v>4</v>
      </c>
      <c r="M1529">
        <v>2.3395294781906202</v>
      </c>
      <c r="N1529">
        <v>0</v>
      </c>
      <c r="O1529">
        <v>3.1486865955613101</v>
      </c>
      <c r="P1529">
        <v>0.115394776015386</v>
      </c>
      <c r="Q1529" t="s">
        <v>4</v>
      </c>
      <c r="R1529" s="4" t="s">
        <v>87</v>
      </c>
      <c r="S1529" t="s">
        <v>4</v>
      </c>
      <c r="T1529" t="s">
        <v>92</v>
      </c>
      <c r="U1529" t="s">
        <v>92</v>
      </c>
      <c r="V1529" t="s">
        <v>92</v>
      </c>
      <c r="W1529" t="s">
        <v>92</v>
      </c>
      <c r="X1529" t="s">
        <v>4</v>
      </c>
      <c r="Y1529" t="s">
        <v>92</v>
      </c>
      <c r="Z1529" t="s">
        <v>92</v>
      </c>
      <c r="AA1529" t="s">
        <v>92</v>
      </c>
      <c r="AB1529" t="s">
        <v>4</v>
      </c>
      <c r="AC1529" s="3" t="s">
        <v>93</v>
      </c>
      <c r="AD1529" t="s">
        <v>4</v>
      </c>
      <c r="AE1529" s="4" t="s">
        <v>94</v>
      </c>
      <c r="AZ1529" t="s">
        <v>4</v>
      </c>
      <c r="BA1529" s="3" t="s">
        <v>95</v>
      </c>
      <c r="BB1529" s="6" t="s">
        <v>95</v>
      </c>
      <c r="BC1529" s="3" t="s">
        <v>197</v>
      </c>
      <c r="BD1529" t="s">
        <v>4</v>
      </c>
      <c r="BE1529">
        <v>1943</v>
      </c>
      <c r="BF1529" t="s">
        <v>148</v>
      </c>
      <c r="BG1529">
        <v>97.986599999999996</v>
      </c>
      <c r="BH1529">
        <v>99.328900000000004</v>
      </c>
      <c r="BJ1529">
        <v>59.060400000000001</v>
      </c>
      <c r="BK1529">
        <v>46.979900000000001</v>
      </c>
      <c r="CK1529">
        <v>3</v>
      </c>
      <c r="CL1529" t="s">
        <v>4</v>
      </c>
      <c r="CM1529" t="s">
        <v>98</v>
      </c>
      <c r="CN1529" t="s">
        <v>98</v>
      </c>
      <c r="CO1529" t="s">
        <v>99</v>
      </c>
      <c r="CP1529" t="s">
        <v>100</v>
      </c>
      <c r="CQ1529" t="s">
        <v>100</v>
      </c>
      <c r="CR1529" t="s">
        <v>100</v>
      </c>
      <c r="CS1529" t="s">
        <v>101</v>
      </c>
      <c r="CT1529" t="s">
        <v>100</v>
      </c>
      <c r="CU1529" t="s">
        <v>102</v>
      </c>
      <c r="CV1529" t="s">
        <v>100</v>
      </c>
    </row>
    <row r="1530" spans="1:100">
      <c r="A1530" s="3" t="s">
        <v>16582</v>
      </c>
      <c r="B1530" s="4" t="s">
        <v>16583</v>
      </c>
      <c r="C1530">
        <v>15.8300233914189</v>
      </c>
      <c r="D1530">
        <v>4.1117544067918397</v>
      </c>
      <c r="E1530">
        <v>1.9699956544217601</v>
      </c>
      <c r="F1530">
        <v>0.16680510835165099</v>
      </c>
      <c r="G1530" t="s">
        <v>4</v>
      </c>
      <c r="H1530">
        <v>15.8300233914189</v>
      </c>
      <c r="I1530">
        <v>0.483834107178163</v>
      </c>
      <c r="J1530">
        <v>4.9707273188772696</v>
      </c>
      <c r="K1530">
        <v>5.7889971679024E-3</v>
      </c>
      <c r="L1530" t="s">
        <v>4</v>
      </c>
      <c r="M1530">
        <v>4.1117544067918397</v>
      </c>
      <c r="N1530">
        <v>0.483834107178163</v>
      </c>
      <c r="O1530">
        <v>3.0007316644555102</v>
      </c>
      <c r="P1530">
        <v>0.117357730256403</v>
      </c>
      <c r="Q1530" t="s">
        <v>4</v>
      </c>
      <c r="R1530" s="4" t="s">
        <v>87</v>
      </c>
      <c r="S1530" t="s">
        <v>4</v>
      </c>
      <c r="T1530" t="s">
        <v>92</v>
      </c>
      <c r="U1530" t="s">
        <v>92</v>
      </c>
      <c r="V1530" t="s">
        <v>92</v>
      </c>
      <c r="W1530" t="s">
        <v>92</v>
      </c>
      <c r="X1530" t="s">
        <v>4</v>
      </c>
      <c r="Y1530" t="s">
        <v>92</v>
      </c>
      <c r="Z1530" t="s">
        <v>92</v>
      </c>
      <c r="AA1530" t="s">
        <v>92</v>
      </c>
      <c r="AB1530" t="s">
        <v>4</v>
      </c>
      <c r="AC1530" s="3" t="s">
        <v>93</v>
      </c>
      <c r="AD1530" t="s">
        <v>4</v>
      </c>
      <c r="AE1530" s="4" t="s">
        <v>94</v>
      </c>
      <c r="AZ1530" t="s">
        <v>4</v>
      </c>
      <c r="BA1530" s="3" t="s">
        <v>95</v>
      </c>
      <c r="BB1530" s="6" t="s">
        <v>95</v>
      </c>
      <c r="BC1530" s="3" t="s">
        <v>95</v>
      </c>
      <c r="BD1530" t="s">
        <v>4</v>
      </c>
      <c r="BE1530">
        <v>1811</v>
      </c>
      <c r="BF1530" t="s">
        <v>148</v>
      </c>
      <c r="BG1530">
        <v>97.5</v>
      </c>
      <c r="BI1530">
        <v>89.583299999999994</v>
      </c>
      <c r="BJ1530">
        <v>75</v>
      </c>
      <c r="BK1530">
        <v>69.166700000000006</v>
      </c>
      <c r="BL1530">
        <v>10.833299999999999</v>
      </c>
      <c r="BM1530">
        <v>68.333299999999994</v>
      </c>
      <c r="BN1530">
        <v>68.333299999999994</v>
      </c>
      <c r="CK1530">
        <v>3</v>
      </c>
      <c r="CL1530" t="s">
        <v>4</v>
      </c>
      <c r="CM1530" t="s">
        <v>98</v>
      </c>
      <c r="CN1530" t="s">
        <v>98</v>
      </c>
      <c r="CO1530" t="s">
        <v>99</v>
      </c>
      <c r="CP1530" t="s">
        <v>100</v>
      </c>
      <c r="CQ1530" t="s">
        <v>100</v>
      </c>
      <c r="CR1530" t="s">
        <v>100</v>
      </c>
      <c r="CS1530" t="s">
        <v>101</v>
      </c>
      <c r="CT1530" t="s">
        <v>100</v>
      </c>
      <c r="CU1530" t="s">
        <v>102</v>
      </c>
      <c r="CV1530" t="s">
        <v>100</v>
      </c>
    </row>
    <row r="1531" spans="1:100">
      <c r="A1531" s="3" t="s">
        <v>16584</v>
      </c>
      <c r="B1531" s="4" t="s">
        <v>16585</v>
      </c>
      <c r="C1531">
        <v>88.537009769470203</v>
      </c>
      <c r="D1531">
        <v>26.451834633298901</v>
      </c>
      <c r="E1531">
        <v>1.7460319506969899</v>
      </c>
      <c r="F1531">
        <v>5.8146117159861399E-2</v>
      </c>
      <c r="G1531" t="s">
        <v>4</v>
      </c>
      <c r="H1531">
        <v>88.537009769470203</v>
      </c>
      <c r="I1531">
        <v>9.2170051819804595</v>
      </c>
      <c r="J1531">
        <v>3.2805043753291701</v>
      </c>
      <c r="K1531">
        <v>3.6742582837714102E-4</v>
      </c>
      <c r="L1531" t="s">
        <v>4</v>
      </c>
      <c r="M1531">
        <v>26.451834633298901</v>
      </c>
      <c r="N1531">
        <v>9.2170051819804595</v>
      </c>
      <c r="O1531">
        <v>1.5344724246321799</v>
      </c>
      <c r="P1531">
        <v>0.118252506268618</v>
      </c>
      <c r="Q1531" t="s">
        <v>4</v>
      </c>
      <c r="R1531" s="4" t="s">
        <v>87</v>
      </c>
      <c r="S1531" t="s">
        <v>4</v>
      </c>
      <c r="T1531" t="s">
        <v>3889</v>
      </c>
      <c r="U1531" t="s">
        <v>3890</v>
      </c>
      <c r="V1531" t="s">
        <v>3891</v>
      </c>
      <c r="W1531" t="s">
        <v>328</v>
      </c>
      <c r="X1531" t="s">
        <v>4</v>
      </c>
      <c r="Y1531" t="s">
        <v>7672</v>
      </c>
      <c r="Z1531" t="s">
        <v>7673</v>
      </c>
      <c r="AA1531" t="s">
        <v>7674</v>
      </c>
      <c r="AB1531" t="s">
        <v>4</v>
      </c>
      <c r="AC1531" s="3" t="s">
        <v>16586</v>
      </c>
      <c r="AD1531" t="s">
        <v>4</v>
      </c>
      <c r="AE1531" t="s">
        <v>16587</v>
      </c>
      <c r="AF1531" t="s">
        <v>16588</v>
      </c>
      <c r="AG1531" t="s">
        <v>16589</v>
      </c>
      <c r="AH1531" t="s">
        <v>112</v>
      </c>
      <c r="AJ1531" t="s">
        <v>16590</v>
      </c>
      <c r="AU1531" t="s">
        <v>112</v>
      </c>
      <c r="AV1531" t="s">
        <v>16591</v>
      </c>
      <c r="AW1531" t="s">
        <v>114</v>
      </c>
      <c r="AX1531" t="s">
        <v>371</v>
      </c>
      <c r="AY1531" t="s">
        <v>1275</v>
      </c>
      <c r="AZ1531" t="s">
        <v>4</v>
      </c>
      <c r="BA1531" s="3" t="s">
        <v>95</v>
      </c>
      <c r="BB1531" s="6" t="s">
        <v>95</v>
      </c>
      <c r="BC1531" s="3" t="s">
        <v>95</v>
      </c>
      <c r="BD1531" t="s">
        <v>4</v>
      </c>
      <c r="BE1531">
        <v>5417</v>
      </c>
      <c r="BF1531" t="s">
        <v>386</v>
      </c>
      <c r="BG1531" t="s">
        <v>16592</v>
      </c>
      <c r="BH1531">
        <v>40.1434</v>
      </c>
      <c r="BJ1531">
        <v>95.698899999999995</v>
      </c>
      <c r="BK1531">
        <v>78.136200000000002</v>
      </c>
      <c r="BL1531">
        <v>16.487500000000001</v>
      </c>
      <c r="BM1531">
        <v>78.494600000000005</v>
      </c>
      <c r="BN1531">
        <v>94.623699999999999</v>
      </c>
      <c r="BO1531">
        <v>91.935500000000005</v>
      </c>
      <c r="BP1531">
        <v>18.8172</v>
      </c>
      <c r="BQ1531">
        <v>48.207900000000002</v>
      </c>
      <c r="BS1531">
        <v>35.842300000000002</v>
      </c>
      <c r="BT1531">
        <v>36.200699999999998</v>
      </c>
      <c r="BV1531" t="s">
        <v>16593</v>
      </c>
      <c r="BW1531">
        <v>40.1434</v>
      </c>
      <c r="BX1531" t="s">
        <v>16594</v>
      </c>
      <c r="BY1531" t="s">
        <v>16595</v>
      </c>
      <c r="BZ1531" t="s">
        <v>16596</v>
      </c>
      <c r="CA1531">
        <v>40.680999999999997</v>
      </c>
      <c r="CC1531">
        <v>11.2903</v>
      </c>
      <c r="CD1531" t="s">
        <v>16597</v>
      </c>
      <c r="CE1531">
        <v>23.118300000000001</v>
      </c>
      <c r="CF1531">
        <v>19.892499999999998</v>
      </c>
      <c r="CG1531" t="s">
        <v>16598</v>
      </c>
      <c r="CH1531" t="s">
        <v>16599</v>
      </c>
      <c r="CI1531" t="s">
        <v>16600</v>
      </c>
      <c r="CK1531">
        <v>7</v>
      </c>
      <c r="CL1531" t="s">
        <v>4</v>
      </c>
      <c r="CM1531" t="s">
        <v>16601</v>
      </c>
      <c r="CN1531" t="s">
        <v>16602</v>
      </c>
      <c r="CO1531" t="s">
        <v>99</v>
      </c>
      <c r="CP1531" t="s">
        <v>100</v>
      </c>
      <c r="CQ1531" t="s">
        <v>100</v>
      </c>
      <c r="CR1531" t="s">
        <v>100</v>
      </c>
      <c r="CS1531" t="s">
        <v>101</v>
      </c>
      <c r="CT1531" t="s">
        <v>100</v>
      </c>
      <c r="CU1531" t="s">
        <v>102</v>
      </c>
      <c r="CV1531" t="s">
        <v>100</v>
      </c>
    </row>
    <row r="1532" spans="1:100">
      <c r="A1532" s="3" t="s">
        <v>16603</v>
      </c>
      <c r="B1532" s="4" t="s">
        <v>16604</v>
      </c>
      <c r="C1532">
        <v>25.9263871403538</v>
      </c>
      <c r="D1532">
        <v>9.28771564575921</v>
      </c>
      <c r="E1532">
        <v>1.4893213075979199</v>
      </c>
      <c r="F1532">
        <v>0.238890291158464</v>
      </c>
      <c r="G1532" t="s">
        <v>4</v>
      </c>
      <c r="H1532">
        <v>25.9263871403538</v>
      </c>
      <c r="I1532">
        <v>1.93533642871265</v>
      </c>
      <c r="J1532">
        <v>3.7633677026180599</v>
      </c>
      <c r="K1532">
        <v>6.4712390932206796E-3</v>
      </c>
      <c r="L1532" t="s">
        <v>4</v>
      </c>
      <c r="M1532">
        <v>9.28771564575921</v>
      </c>
      <c r="N1532">
        <v>1.93533642871265</v>
      </c>
      <c r="O1532">
        <v>2.2740463950201399</v>
      </c>
      <c r="P1532">
        <v>0.11903948430778501</v>
      </c>
      <c r="Q1532" t="s">
        <v>4</v>
      </c>
      <c r="R1532" s="4" t="s">
        <v>87</v>
      </c>
      <c r="S1532" t="s">
        <v>4</v>
      </c>
      <c r="T1532" t="s">
        <v>92</v>
      </c>
      <c r="U1532" t="s">
        <v>92</v>
      </c>
      <c r="V1532" t="s">
        <v>92</v>
      </c>
      <c r="W1532" t="s">
        <v>92</v>
      </c>
      <c r="X1532" t="s">
        <v>4</v>
      </c>
      <c r="Y1532" t="s">
        <v>92</v>
      </c>
      <c r="Z1532" t="s">
        <v>92</v>
      </c>
      <c r="AA1532" t="s">
        <v>92</v>
      </c>
      <c r="AB1532" t="s">
        <v>4</v>
      </c>
      <c r="AC1532" s="3" t="s">
        <v>93</v>
      </c>
      <c r="AD1532" t="s">
        <v>4</v>
      </c>
      <c r="AE1532" s="4" t="s">
        <v>94</v>
      </c>
      <c r="AZ1532" t="s">
        <v>4</v>
      </c>
      <c r="BA1532" s="3" t="s">
        <v>95</v>
      </c>
      <c r="BB1532" t="s">
        <v>96</v>
      </c>
      <c r="BC1532" s="3" t="s">
        <v>95</v>
      </c>
      <c r="BD1532" t="s">
        <v>4</v>
      </c>
      <c r="BE1532">
        <v>23</v>
      </c>
      <c r="BF1532" t="s">
        <v>322</v>
      </c>
      <c r="CK1532">
        <v>1</v>
      </c>
      <c r="CL1532" t="s">
        <v>4</v>
      </c>
      <c r="CM1532" t="s">
        <v>98</v>
      </c>
      <c r="CN1532" t="s">
        <v>98</v>
      </c>
      <c r="CO1532" t="s">
        <v>99</v>
      </c>
      <c r="CP1532" t="s">
        <v>100</v>
      </c>
      <c r="CQ1532" t="s">
        <v>100</v>
      </c>
      <c r="CR1532" t="s">
        <v>100</v>
      </c>
      <c r="CS1532" t="s">
        <v>101</v>
      </c>
      <c r="CT1532" t="s">
        <v>100</v>
      </c>
      <c r="CU1532" t="s">
        <v>102</v>
      </c>
      <c r="CV1532" t="s">
        <v>100</v>
      </c>
    </row>
    <row r="1533" spans="1:100">
      <c r="A1533" s="3" t="s">
        <v>16605</v>
      </c>
      <c r="B1533" s="4" t="s">
        <v>16606</v>
      </c>
      <c r="C1533">
        <v>46.396548312672998</v>
      </c>
      <c r="D1533">
        <v>15.738192596904801</v>
      </c>
      <c r="E1533">
        <v>1.5548576485391901</v>
      </c>
      <c r="F1533">
        <v>7.7723253573166895E-2</v>
      </c>
      <c r="G1533" t="s">
        <v>4</v>
      </c>
      <c r="H1533">
        <v>46.396548312672998</v>
      </c>
      <c r="I1533">
        <v>5.3715995095700801</v>
      </c>
      <c r="J1533">
        <v>3.0921143956186299</v>
      </c>
      <c r="K1533">
        <v>7.8479380030132097E-4</v>
      </c>
      <c r="L1533" t="s">
        <v>4</v>
      </c>
      <c r="M1533">
        <v>15.738192596904801</v>
      </c>
      <c r="N1533">
        <v>5.3715995095700801</v>
      </c>
      <c r="O1533">
        <v>1.53725674707944</v>
      </c>
      <c r="P1533">
        <v>0.119334211785751</v>
      </c>
      <c r="Q1533" t="s">
        <v>4</v>
      </c>
      <c r="R1533" s="4" t="s">
        <v>87</v>
      </c>
      <c r="S1533" t="s">
        <v>4</v>
      </c>
      <c r="T1533" t="s">
        <v>88</v>
      </c>
      <c r="U1533" t="s">
        <v>89</v>
      </c>
      <c r="V1533" t="s">
        <v>90</v>
      </c>
      <c r="W1533" t="s">
        <v>91</v>
      </c>
      <c r="X1533" t="s">
        <v>4</v>
      </c>
      <c r="Y1533" t="s">
        <v>13888</v>
      </c>
      <c r="Z1533" t="s">
        <v>13889</v>
      </c>
      <c r="AA1533" t="s">
        <v>13890</v>
      </c>
      <c r="AB1533" t="s">
        <v>4</v>
      </c>
      <c r="AC1533" s="3" t="s">
        <v>16607</v>
      </c>
      <c r="AD1533" t="s">
        <v>4</v>
      </c>
      <c r="AE1533" t="s">
        <v>16608</v>
      </c>
      <c r="AF1533" t="s">
        <v>16609</v>
      </c>
      <c r="AG1533" t="s">
        <v>16610</v>
      </c>
      <c r="AH1533" t="s">
        <v>386</v>
      </c>
      <c r="AU1533" t="s">
        <v>112</v>
      </c>
      <c r="AV1533" t="s">
        <v>16611</v>
      </c>
      <c r="AW1533" t="s">
        <v>114</v>
      </c>
      <c r="AX1533" t="s">
        <v>1096</v>
      </c>
      <c r="AY1533" t="s">
        <v>16612</v>
      </c>
      <c r="AZ1533" t="s">
        <v>4</v>
      </c>
      <c r="BA1533" s="3" t="s">
        <v>95</v>
      </c>
      <c r="BB1533" t="s">
        <v>96</v>
      </c>
      <c r="BC1533" s="3" t="s">
        <v>95</v>
      </c>
      <c r="BD1533" t="s">
        <v>4</v>
      </c>
      <c r="BE1533">
        <v>8041</v>
      </c>
      <c r="BF1533" t="s">
        <v>213</v>
      </c>
      <c r="BG1533">
        <v>98.181799999999996</v>
      </c>
      <c r="BH1533">
        <v>99.393900000000002</v>
      </c>
      <c r="BI1533">
        <v>82.121200000000002</v>
      </c>
      <c r="BJ1533">
        <v>69.697000000000003</v>
      </c>
      <c r="BK1533">
        <v>40.606099999999998</v>
      </c>
      <c r="BP1533">
        <v>16.666699999999999</v>
      </c>
      <c r="BQ1533">
        <v>26.9697</v>
      </c>
      <c r="BR1533">
        <v>30</v>
      </c>
      <c r="BS1533">
        <v>27.878799999999998</v>
      </c>
      <c r="BT1533">
        <v>28.7879</v>
      </c>
      <c r="BU1533">
        <v>26.666699999999999</v>
      </c>
      <c r="BV1533" t="s">
        <v>16613</v>
      </c>
      <c r="BW1533" t="s">
        <v>16614</v>
      </c>
      <c r="BX1533">
        <v>30</v>
      </c>
      <c r="BY1533">
        <v>19.696999999999999</v>
      </c>
      <c r="BZ1533">
        <v>16.666699999999999</v>
      </c>
      <c r="CA1533">
        <v>32.121200000000002</v>
      </c>
      <c r="CB1533">
        <v>16.9697</v>
      </c>
      <c r="CC1533">
        <v>24.848500000000001</v>
      </c>
      <c r="CD1533" t="s">
        <v>16615</v>
      </c>
      <c r="CE1533">
        <v>15.1515</v>
      </c>
      <c r="CF1533">
        <v>23.939399999999999</v>
      </c>
      <c r="CG1533" t="s">
        <v>16616</v>
      </c>
      <c r="CH1533" t="s">
        <v>16617</v>
      </c>
      <c r="CI1533" t="s">
        <v>16618</v>
      </c>
      <c r="CK1533">
        <v>8</v>
      </c>
      <c r="CL1533" t="s">
        <v>4</v>
      </c>
      <c r="CM1533" t="s">
        <v>16619</v>
      </c>
      <c r="CN1533" t="s">
        <v>16620</v>
      </c>
      <c r="CO1533" t="s">
        <v>1218</v>
      </c>
      <c r="CP1533" t="s">
        <v>100</v>
      </c>
      <c r="CQ1533" t="s">
        <v>100</v>
      </c>
      <c r="CR1533" t="s">
        <v>100</v>
      </c>
      <c r="CS1533" t="s">
        <v>101</v>
      </c>
      <c r="CT1533" t="s">
        <v>100</v>
      </c>
      <c r="CU1533" t="s">
        <v>102</v>
      </c>
      <c r="CV1533" t="s">
        <v>100</v>
      </c>
    </row>
    <row r="1534" spans="1:100">
      <c r="A1534" s="3" t="s">
        <v>16621</v>
      </c>
      <c r="B1534" s="4" t="s">
        <v>16622</v>
      </c>
      <c r="C1534">
        <v>10.9747299924936</v>
      </c>
      <c r="D1534">
        <v>2.52818421437191</v>
      </c>
      <c r="E1534">
        <v>2.1183913250234401</v>
      </c>
      <c r="F1534">
        <v>0.21604789500586899</v>
      </c>
      <c r="G1534" t="s">
        <v>4</v>
      </c>
      <c r="H1534">
        <v>10.9747299924936</v>
      </c>
      <c r="I1534">
        <v>0</v>
      </c>
      <c r="J1534">
        <v>5.40351153445026</v>
      </c>
      <c r="K1534">
        <v>6.1891253986874201E-3</v>
      </c>
      <c r="L1534" t="s">
        <v>4</v>
      </c>
      <c r="M1534">
        <v>2.52818421437191</v>
      </c>
      <c r="N1534">
        <v>0</v>
      </c>
      <c r="O1534">
        <v>3.2851202094268199</v>
      </c>
      <c r="P1534">
        <v>0.12091020804809</v>
      </c>
      <c r="Q1534" t="s">
        <v>4</v>
      </c>
      <c r="R1534" s="4" t="s">
        <v>87</v>
      </c>
      <c r="S1534" t="s">
        <v>4</v>
      </c>
      <c r="T1534" t="s">
        <v>92</v>
      </c>
      <c r="U1534" t="s">
        <v>92</v>
      </c>
      <c r="V1534" t="s">
        <v>92</v>
      </c>
      <c r="W1534" t="s">
        <v>92</v>
      </c>
      <c r="X1534" t="s">
        <v>4</v>
      </c>
      <c r="Y1534" t="s">
        <v>92</v>
      </c>
      <c r="Z1534" t="s">
        <v>92</v>
      </c>
      <c r="AA1534" t="s">
        <v>92</v>
      </c>
      <c r="AB1534" t="s">
        <v>4</v>
      </c>
      <c r="AC1534" s="3" t="s">
        <v>93</v>
      </c>
      <c r="AD1534" t="s">
        <v>4</v>
      </c>
      <c r="AE1534" s="4" t="s">
        <v>94</v>
      </c>
      <c r="AZ1534" t="s">
        <v>4</v>
      </c>
      <c r="BA1534" s="3" t="s">
        <v>95</v>
      </c>
      <c r="BB1534" s="6" t="s">
        <v>95</v>
      </c>
      <c r="BC1534" s="3" t="s">
        <v>95</v>
      </c>
      <c r="BD1534" t="s">
        <v>4</v>
      </c>
      <c r="BE1534">
        <v>747</v>
      </c>
      <c r="BF1534" t="s">
        <v>604</v>
      </c>
      <c r="BH1534">
        <v>93.75</v>
      </c>
      <c r="CK1534">
        <v>1.5</v>
      </c>
      <c r="CL1534" t="s">
        <v>4</v>
      </c>
      <c r="CM1534" t="s">
        <v>98</v>
      </c>
      <c r="CN1534" t="s">
        <v>98</v>
      </c>
      <c r="CO1534" t="s">
        <v>99</v>
      </c>
      <c r="CP1534" t="s">
        <v>100</v>
      </c>
      <c r="CQ1534" t="s">
        <v>100</v>
      </c>
      <c r="CR1534" t="s">
        <v>100</v>
      </c>
      <c r="CS1534" t="s">
        <v>101</v>
      </c>
      <c r="CT1534" t="s">
        <v>100</v>
      </c>
      <c r="CU1534" t="s">
        <v>102</v>
      </c>
      <c r="CV1534" t="s">
        <v>100</v>
      </c>
    </row>
    <row r="1535" spans="1:100">
      <c r="A1535" s="3" t="s">
        <v>16623</v>
      </c>
      <c r="B1535" s="4" t="s">
        <v>16624</v>
      </c>
      <c r="C1535">
        <v>29.4566893964945</v>
      </c>
      <c r="D1535">
        <v>8.3435440438455295</v>
      </c>
      <c r="E1535">
        <v>1.82804312812255</v>
      </c>
      <c r="F1535">
        <v>6.3130381411464306E-2</v>
      </c>
      <c r="G1535" t="s">
        <v>4</v>
      </c>
      <c r="H1535">
        <v>29.4566893964945</v>
      </c>
      <c r="I1535">
        <v>2.2723541815685802</v>
      </c>
      <c r="J1535">
        <v>3.6826131501441899</v>
      </c>
      <c r="K1535">
        <v>1.0490810704909101E-3</v>
      </c>
      <c r="L1535" t="s">
        <v>4</v>
      </c>
      <c r="M1535">
        <v>8.3435440438455295</v>
      </c>
      <c r="N1535">
        <v>2.2723541815685802</v>
      </c>
      <c r="O1535">
        <v>1.8545700220216399</v>
      </c>
      <c r="P1535">
        <v>0.126710494955946</v>
      </c>
      <c r="Q1535" t="s">
        <v>4</v>
      </c>
      <c r="R1535" s="4" t="s">
        <v>87</v>
      </c>
      <c r="S1535" t="s">
        <v>4</v>
      </c>
      <c r="T1535" t="s">
        <v>2243</v>
      </c>
      <c r="U1535" t="s">
        <v>2244</v>
      </c>
      <c r="V1535" t="s">
        <v>2245</v>
      </c>
      <c r="W1535" t="s">
        <v>123</v>
      </c>
      <c r="X1535" t="s">
        <v>4</v>
      </c>
      <c r="Y1535" t="s">
        <v>3541</v>
      </c>
      <c r="Z1535" t="s">
        <v>3542</v>
      </c>
      <c r="AA1535" t="s">
        <v>3543</v>
      </c>
      <c r="AB1535" t="s">
        <v>4</v>
      </c>
      <c r="AC1535" s="3" t="s">
        <v>93</v>
      </c>
      <c r="AD1535" t="s">
        <v>4</v>
      </c>
      <c r="AE1535" t="s">
        <v>16625</v>
      </c>
      <c r="AF1535" t="s">
        <v>16626</v>
      </c>
      <c r="AG1535" t="s">
        <v>16627</v>
      </c>
      <c r="AH1535" t="s">
        <v>112</v>
      </c>
      <c r="AJ1535" t="s">
        <v>876</v>
      </c>
      <c r="AU1535" t="s">
        <v>112</v>
      </c>
      <c r="AV1535" t="s">
        <v>16460</v>
      </c>
      <c r="AW1535" t="s">
        <v>114</v>
      </c>
      <c r="AZ1535" t="s">
        <v>4</v>
      </c>
      <c r="BA1535" s="3" t="s">
        <v>95</v>
      </c>
      <c r="BB1535" s="6" t="s">
        <v>95</v>
      </c>
      <c r="BC1535" s="3" t="s">
        <v>95</v>
      </c>
      <c r="BD1535" t="s">
        <v>4</v>
      </c>
      <c r="BE1535">
        <v>4268</v>
      </c>
      <c r="BF1535" t="s">
        <v>112</v>
      </c>
      <c r="BG1535">
        <v>99.2958</v>
      </c>
      <c r="BI1535">
        <v>87.5</v>
      </c>
      <c r="BJ1535">
        <v>59.859200000000001</v>
      </c>
      <c r="BK1535">
        <v>75.528199999999998</v>
      </c>
      <c r="BL1535">
        <v>46.654899999999998</v>
      </c>
      <c r="BM1535">
        <v>48.591500000000003</v>
      </c>
      <c r="BN1535">
        <v>73.5916</v>
      </c>
      <c r="BO1535">
        <v>77.288700000000006</v>
      </c>
      <c r="BP1535">
        <v>42.605600000000003</v>
      </c>
      <c r="BR1535">
        <v>30.985900000000001</v>
      </c>
      <c r="BS1535" t="s">
        <v>16628</v>
      </c>
      <c r="BU1535">
        <v>23.9437</v>
      </c>
      <c r="BV1535" t="s">
        <v>16629</v>
      </c>
      <c r="BW1535" t="s">
        <v>16630</v>
      </c>
      <c r="BX1535">
        <v>26.4085</v>
      </c>
      <c r="BY1535">
        <v>24.823899999999998</v>
      </c>
      <c r="BZ1535">
        <v>23.2394</v>
      </c>
      <c r="CA1535">
        <v>26.232399999999998</v>
      </c>
      <c r="CK1535">
        <v>5</v>
      </c>
      <c r="CL1535" t="s">
        <v>4</v>
      </c>
      <c r="CM1535" t="s">
        <v>16464</v>
      </c>
      <c r="CN1535" t="s">
        <v>16631</v>
      </c>
      <c r="CO1535" t="s">
        <v>663</v>
      </c>
      <c r="CP1535" t="s">
        <v>100</v>
      </c>
      <c r="CQ1535" t="s">
        <v>100</v>
      </c>
      <c r="CR1535" t="s">
        <v>100</v>
      </c>
      <c r="CS1535" t="s">
        <v>101</v>
      </c>
      <c r="CT1535" t="s">
        <v>100</v>
      </c>
      <c r="CU1535" t="s">
        <v>102</v>
      </c>
      <c r="CV1535" t="s">
        <v>100</v>
      </c>
    </row>
    <row r="1536" spans="1:100">
      <c r="A1536" s="3" t="s">
        <v>16632</v>
      </c>
      <c r="B1536" s="4" t="s">
        <v>16633</v>
      </c>
      <c r="C1536">
        <v>66.334601691979302</v>
      </c>
      <c r="D1536">
        <v>30.719007660753501</v>
      </c>
      <c r="E1536">
        <v>1.1149411793097601</v>
      </c>
      <c r="F1536">
        <v>0.32417636196606497</v>
      </c>
      <c r="G1536" t="s">
        <v>4</v>
      </c>
      <c r="H1536">
        <v>66.334601691979302</v>
      </c>
      <c r="I1536">
        <v>9.3264757784900993</v>
      </c>
      <c r="J1536">
        <v>2.85946516427108</v>
      </c>
      <c r="K1536">
        <v>8.8454759369250603E-3</v>
      </c>
      <c r="L1536" t="s">
        <v>4</v>
      </c>
      <c r="M1536">
        <v>30.719007660753501</v>
      </c>
      <c r="N1536">
        <v>9.3264757784900993</v>
      </c>
      <c r="O1536">
        <v>1.7445239849613201</v>
      </c>
      <c r="P1536">
        <v>0.12679929451053301</v>
      </c>
      <c r="Q1536" t="s">
        <v>4</v>
      </c>
      <c r="R1536" s="4" t="s">
        <v>87</v>
      </c>
      <c r="S1536" t="s">
        <v>4</v>
      </c>
      <c r="T1536" t="s">
        <v>1223</v>
      </c>
      <c r="U1536" t="s">
        <v>1224</v>
      </c>
      <c r="V1536" t="s">
        <v>1225</v>
      </c>
      <c r="W1536" t="s">
        <v>123</v>
      </c>
      <c r="X1536" t="s">
        <v>4</v>
      </c>
      <c r="Y1536" t="s">
        <v>16634</v>
      </c>
      <c r="Z1536" t="s">
        <v>16635</v>
      </c>
      <c r="AA1536" t="s">
        <v>16636</v>
      </c>
      <c r="AB1536" t="s">
        <v>4</v>
      </c>
      <c r="AC1536" s="3" t="s">
        <v>16637</v>
      </c>
      <c r="AD1536" t="s">
        <v>4</v>
      </c>
      <c r="AE1536" t="s">
        <v>16638</v>
      </c>
      <c r="AF1536" t="s">
        <v>16639</v>
      </c>
      <c r="AG1536" t="s">
        <v>16640</v>
      </c>
      <c r="AH1536" t="s">
        <v>638</v>
      </c>
      <c r="AU1536" t="s">
        <v>112</v>
      </c>
      <c r="AV1536" t="s">
        <v>16641</v>
      </c>
      <c r="AW1536" t="s">
        <v>114</v>
      </c>
      <c r="AX1536" t="s">
        <v>144</v>
      </c>
      <c r="AY1536" t="s">
        <v>16642</v>
      </c>
      <c r="AZ1536" t="s">
        <v>4</v>
      </c>
      <c r="BA1536" s="3" t="s">
        <v>95</v>
      </c>
      <c r="BB1536" s="6" t="s">
        <v>95</v>
      </c>
      <c r="BC1536" s="3" t="s">
        <v>95</v>
      </c>
      <c r="BD1536" t="s">
        <v>4</v>
      </c>
      <c r="BE1536">
        <v>1890</v>
      </c>
      <c r="BF1536" t="s">
        <v>148</v>
      </c>
      <c r="BG1536">
        <v>17.132899999999999</v>
      </c>
      <c r="BI1536">
        <v>46.853099999999998</v>
      </c>
      <c r="BK1536">
        <v>15.035</v>
      </c>
      <c r="BL1536">
        <v>12.3543</v>
      </c>
      <c r="BM1536">
        <v>30.652699999999999</v>
      </c>
      <c r="BN1536">
        <v>32.983699999999999</v>
      </c>
      <c r="BO1536">
        <v>4.3123500000000003</v>
      </c>
      <c r="CK1536">
        <v>3</v>
      </c>
      <c r="CL1536" t="s">
        <v>4</v>
      </c>
      <c r="CM1536" t="s">
        <v>98</v>
      </c>
      <c r="CN1536" t="s">
        <v>98</v>
      </c>
      <c r="CO1536" t="s">
        <v>99</v>
      </c>
      <c r="CP1536" t="s">
        <v>100</v>
      </c>
      <c r="CQ1536" t="s">
        <v>100</v>
      </c>
      <c r="CR1536" t="s">
        <v>100</v>
      </c>
      <c r="CS1536" t="s">
        <v>101</v>
      </c>
      <c r="CT1536" t="s">
        <v>100</v>
      </c>
      <c r="CU1536" t="s">
        <v>102</v>
      </c>
      <c r="CV1536" t="s">
        <v>100</v>
      </c>
    </row>
    <row r="1537" spans="1:100">
      <c r="A1537" s="3" t="s">
        <v>16643</v>
      </c>
      <c r="B1537" s="4" t="s">
        <v>16644</v>
      </c>
      <c r="C1537">
        <v>107.706093225483</v>
      </c>
      <c r="D1537">
        <v>29.327124319473999</v>
      </c>
      <c r="E1537">
        <v>1.88157781377372</v>
      </c>
      <c r="F1537">
        <v>5.0812886459293702E-2</v>
      </c>
      <c r="G1537" t="s">
        <v>4</v>
      </c>
      <c r="H1537">
        <v>107.706093225483</v>
      </c>
      <c r="I1537">
        <v>9.9223471591060708</v>
      </c>
      <c r="J1537">
        <v>3.4304457905619401</v>
      </c>
      <c r="K1537">
        <v>3.2423789381278697E-4</v>
      </c>
      <c r="L1537" t="s">
        <v>4</v>
      </c>
      <c r="M1537">
        <v>29.327124319473999</v>
      </c>
      <c r="N1537">
        <v>9.9223471591060708</v>
      </c>
      <c r="O1537">
        <v>1.5488679767882201</v>
      </c>
      <c r="P1537">
        <v>0.12862311010441499</v>
      </c>
      <c r="Q1537" t="s">
        <v>4</v>
      </c>
      <c r="R1537" s="4" t="s">
        <v>87</v>
      </c>
      <c r="S1537" t="s">
        <v>4</v>
      </c>
      <c r="T1537" t="s">
        <v>460</v>
      </c>
      <c r="U1537" t="s">
        <v>461</v>
      </c>
      <c r="V1537" t="s">
        <v>462</v>
      </c>
      <c r="W1537" t="s">
        <v>123</v>
      </c>
      <c r="X1537" t="s">
        <v>4</v>
      </c>
      <c r="Y1537" t="s">
        <v>463</v>
      </c>
      <c r="Z1537" t="s">
        <v>464</v>
      </c>
      <c r="AA1537" t="s">
        <v>465</v>
      </c>
      <c r="AB1537" t="s">
        <v>4</v>
      </c>
      <c r="AC1537" s="3" t="s">
        <v>16645</v>
      </c>
      <c r="AD1537" t="s">
        <v>4</v>
      </c>
      <c r="AE1537" t="s">
        <v>6411</v>
      </c>
      <c r="AF1537" t="s">
        <v>16646</v>
      </c>
      <c r="AG1537" t="s">
        <v>13757</v>
      </c>
      <c r="AH1537" t="s">
        <v>169</v>
      </c>
      <c r="AU1537" t="s">
        <v>112</v>
      </c>
      <c r="AV1537" t="s">
        <v>470</v>
      </c>
      <c r="AW1537" t="s">
        <v>114</v>
      </c>
      <c r="AX1537" t="s">
        <v>144</v>
      </c>
      <c r="AY1537" t="s">
        <v>471</v>
      </c>
      <c r="AZ1537" t="s">
        <v>4</v>
      </c>
      <c r="BA1537" s="3" t="s">
        <v>95</v>
      </c>
      <c r="BB1537" s="6" t="s">
        <v>95</v>
      </c>
      <c r="BC1537" s="3" t="s">
        <v>197</v>
      </c>
      <c r="BD1537" t="s">
        <v>4</v>
      </c>
      <c r="BE1537">
        <v>8116</v>
      </c>
      <c r="BF1537" t="s">
        <v>213</v>
      </c>
      <c r="BI1537">
        <v>32.494300000000003</v>
      </c>
      <c r="BP1537">
        <v>10.755100000000001</v>
      </c>
      <c r="BQ1537">
        <v>6.8649899999999997</v>
      </c>
      <c r="BR1537">
        <v>9.3821499999999993</v>
      </c>
      <c r="BS1537">
        <v>13.2723</v>
      </c>
      <c r="BW1537">
        <v>15.560600000000001</v>
      </c>
      <c r="BX1537">
        <v>14.1876</v>
      </c>
      <c r="BZ1537">
        <v>11.670500000000001</v>
      </c>
      <c r="CB1537">
        <v>9.8398199999999996</v>
      </c>
      <c r="CE1537">
        <v>13.0435</v>
      </c>
      <c r="CF1537" t="s">
        <v>16647</v>
      </c>
      <c r="CG1537" t="s">
        <v>16648</v>
      </c>
      <c r="CH1537" t="s">
        <v>16649</v>
      </c>
      <c r="CI1537">
        <v>13.0435</v>
      </c>
      <c r="CK1537">
        <v>8</v>
      </c>
      <c r="CL1537" t="s">
        <v>4</v>
      </c>
      <c r="CM1537" t="s">
        <v>98</v>
      </c>
      <c r="CN1537" t="s">
        <v>98</v>
      </c>
      <c r="CO1537" t="s">
        <v>99</v>
      </c>
      <c r="CP1537" t="s">
        <v>100</v>
      </c>
      <c r="CQ1537" t="s">
        <v>100</v>
      </c>
      <c r="CR1537" t="s">
        <v>100</v>
      </c>
      <c r="CS1537" t="s">
        <v>101</v>
      </c>
      <c r="CT1537" t="s">
        <v>100</v>
      </c>
      <c r="CU1537" t="s">
        <v>102</v>
      </c>
      <c r="CV1537" t="s">
        <v>100</v>
      </c>
    </row>
    <row r="1538" spans="1:100">
      <c r="A1538" s="3" t="s">
        <v>16650</v>
      </c>
      <c r="B1538" s="4" t="s">
        <v>16651</v>
      </c>
      <c r="C1538">
        <v>38.839867036036402</v>
      </c>
      <c r="D1538">
        <v>17.803608565216301</v>
      </c>
      <c r="E1538">
        <v>1.1271718256565699</v>
      </c>
      <c r="F1538">
        <v>0.16499481989852299</v>
      </c>
      <c r="G1538" t="s">
        <v>4</v>
      </c>
      <c r="H1538">
        <v>38.839867036036402</v>
      </c>
      <c r="I1538">
        <v>6.9699181854268097</v>
      </c>
      <c r="J1538">
        <v>2.4766829594342998</v>
      </c>
      <c r="K1538">
        <v>3.04425407133249E-3</v>
      </c>
      <c r="L1538" t="s">
        <v>4</v>
      </c>
      <c r="M1538">
        <v>17.803608565216301</v>
      </c>
      <c r="N1538">
        <v>6.9699181854268097</v>
      </c>
      <c r="O1538">
        <v>1.3495111337777299</v>
      </c>
      <c r="P1538">
        <v>0.13030818013644799</v>
      </c>
      <c r="Q1538" t="s">
        <v>4</v>
      </c>
      <c r="R1538" s="4" t="s">
        <v>87</v>
      </c>
      <c r="S1538" t="s">
        <v>4</v>
      </c>
      <c r="T1538" t="s">
        <v>92</v>
      </c>
      <c r="U1538" t="s">
        <v>92</v>
      </c>
      <c r="V1538" t="s">
        <v>92</v>
      </c>
      <c r="W1538" t="s">
        <v>92</v>
      </c>
      <c r="X1538" t="s">
        <v>4</v>
      </c>
      <c r="Y1538" t="s">
        <v>92</v>
      </c>
      <c r="Z1538" t="s">
        <v>92</v>
      </c>
      <c r="AA1538" t="s">
        <v>92</v>
      </c>
      <c r="AB1538" t="s">
        <v>4</v>
      </c>
      <c r="AC1538" s="3" t="s">
        <v>93</v>
      </c>
      <c r="AD1538" t="s">
        <v>4</v>
      </c>
      <c r="AE1538" s="4" t="s">
        <v>94</v>
      </c>
      <c r="AZ1538" t="s">
        <v>4</v>
      </c>
      <c r="BA1538" s="3" t="s">
        <v>95</v>
      </c>
      <c r="BB1538" s="6" t="s">
        <v>95</v>
      </c>
      <c r="BC1538" s="3" t="s">
        <v>95</v>
      </c>
      <c r="BD1538" t="s">
        <v>4</v>
      </c>
      <c r="BE1538">
        <v>1363</v>
      </c>
      <c r="BF1538" t="s">
        <v>151</v>
      </c>
      <c r="BG1538" t="s">
        <v>16652</v>
      </c>
      <c r="BJ1538">
        <v>42.410699999999999</v>
      </c>
      <c r="BK1538" t="s">
        <v>16653</v>
      </c>
      <c r="BO1538">
        <v>32.589300000000001</v>
      </c>
      <c r="CK1538">
        <v>2</v>
      </c>
      <c r="CL1538" t="s">
        <v>4</v>
      </c>
      <c r="CM1538" t="s">
        <v>98</v>
      </c>
      <c r="CN1538" t="s">
        <v>98</v>
      </c>
      <c r="CO1538" t="s">
        <v>99</v>
      </c>
      <c r="CP1538" t="s">
        <v>100</v>
      </c>
      <c r="CQ1538" t="s">
        <v>100</v>
      </c>
      <c r="CR1538" t="s">
        <v>100</v>
      </c>
      <c r="CS1538" t="s">
        <v>101</v>
      </c>
      <c r="CT1538" t="s">
        <v>100</v>
      </c>
      <c r="CU1538" t="s">
        <v>102</v>
      </c>
      <c r="CV1538" t="s">
        <v>100</v>
      </c>
    </row>
    <row r="1539" spans="1:100">
      <c r="A1539" s="3" t="s">
        <v>16654</v>
      </c>
      <c r="B1539" s="4" t="s">
        <v>16655</v>
      </c>
      <c r="C1539">
        <v>26.251888111840099</v>
      </c>
      <c r="D1539">
        <v>7.9269342260462903</v>
      </c>
      <c r="E1539">
        <v>1.7358786332318099</v>
      </c>
      <c r="F1539">
        <v>7.9716379653917105E-2</v>
      </c>
      <c r="G1539" t="s">
        <v>4</v>
      </c>
      <c r="H1539">
        <v>26.251888111840099</v>
      </c>
      <c r="I1539">
        <v>1.9787214729241001</v>
      </c>
      <c r="J1539">
        <v>3.59950345146193</v>
      </c>
      <c r="K1539">
        <v>1.60317248421777E-3</v>
      </c>
      <c r="L1539" t="s">
        <v>4</v>
      </c>
      <c r="M1539">
        <v>7.9269342260462903</v>
      </c>
      <c r="N1539">
        <v>1.9787214729241001</v>
      </c>
      <c r="O1539">
        <v>1.8636248182301201</v>
      </c>
      <c r="P1539">
        <v>0.13044637013079399</v>
      </c>
      <c r="Q1539" t="s">
        <v>4</v>
      </c>
      <c r="R1539" s="4" t="s">
        <v>87</v>
      </c>
      <c r="S1539" t="s">
        <v>4</v>
      </c>
      <c r="T1539" t="s">
        <v>16324</v>
      </c>
      <c r="U1539" t="s">
        <v>16325</v>
      </c>
      <c r="V1539" t="s">
        <v>16326</v>
      </c>
      <c r="W1539" t="s">
        <v>328</v>
      </c>
      <c r="X1539" t="s">
        <v>4</v>
      </c>
      <c r="Y1539" t="s">
        <v>16327</v>
      </c>
      <c r="Z1539" t="s">
        <v>16328</v>
      </c>
      <c r="AA1539" t="s">
        <v>16329</v>
      </c>
      <c r="AB1539" t="s">
        <v>4</v>
      </c>
      <c r="AC1539" s="3" t="s">
        <v>16656</v>
      </c>
      <c r="AD1539" t="s">
        <v>4</v>
      </c>
      <c r="AE1539" t="s">
        <v>16657</v>
      </c>
      <c r="AF1539" t="s">
        <v>16658</v>
      </c>
      <c r="AG1539" t="s">
        <v>16659</v>
      </c>
      <c r="AH1539" t="s">
        <v>112</v>
      </c>
      <c r="AJ1539" t="s">
        <v>16660</v>
      </c>
      <c r="AL1539" t="s">
        <v>16661</v>
      </c>
      <c r="AQ1539" t="s">
        <v>1003</v>
      </c>
      <c r="AU1539" t="s">
        <v>112</v>
      </c>
      <c r="AV1539" t="s">
        <v>16662</v>
      </c>
      <c r="AW1539" t="s">
        <v>114</v>
      </c>
      <c r="AX1539" t="s">
        <v>371</v>
      </c>
      <c r="AY1539" t="s">
        <v>16334</v>
      </c>
      <c r="AZ1539" t="s">
        <v>4</v>
      </c>
      <c r="BA1539" s="3" t="s">
        <v>95</v>
      </c>
      <c r="BB1539" s="6" t="s">
        <v>95</v>
      </c>
      <c r="BC1539" s="3" t="s">
        <v>95</v>
      </c>
      <c r="BD1539" t="s">
        <v>4</v>
      </c>
      <c r="BE1539">
        <v>5069</v>
      </c>
      <c r="BF1539" t="s">
        <v>282</v>
      </c>
      <c r="BG1539">
        <v>88.650300000000001</v>
      </c>
      <c r="BH1539">
        <v>23.619599999999998</v>
      </c>
      <c r="BI1539" t="s">
        <v>16663</v>
      </c>
      <c r="BJ1539">
        <v>74.539900000000003</v>
      </c>
      <c r="BM1539">
        <v>61.963200000000001</v>
      </c>
      <c r="BN1539">
        <v>74.233099999999993</v>
      </c>
      <c r="BO1539">
        <v>42.637999999999998</v>
      </c>
      <c r="BP1539">
        <v>45.705500000000001</v>
      </c>
      <c r="BQ1539">
        <v>29.7546</v>
      </c>
      <c r="BR1539">
        <v>28.834399999999999</v>
      </c>
      <c r="BS1539">
        <v>15.337400000000001</v>
      </c>
      <c r="BX1539">
        <v>36.503100000000003</v>
      </c>
      <c r="BY1539">
        <v>37.7301</v>
      </c>
      <c r="BZ1539">
        <v>21.7791</v>
      </c>
      <c r="CA1539">
        <v>39.570599999999999</v>
      </c>
      <c r="CB1539">
        <v>20.552099999999999</v>
      </c>
      <c r="CD1539">
        <v>21.4724</v>
      </c>
      <c r="CF1539">
        <v>11.3497</v>
      </c>
      <c r="CG1539" t="s">
        <v>16664</v>
      </c>
      <c r="CH1539" t="s">
        <v>16665</v>
      </c>
      <c r="CI1539" t="s">
        <v>16666</v>
      </c>
      <c r="CK1539">
        <v>6</v>
      </c>
      <c r="CL1539" t="s">
        <v>4</v>
      </c>
      <c r="CM1539" t="s">
        <v>16667</v>
      </c>
      <c r="CN1539" t="s">
        <v>16668</v>
      </c>
      <c r="CO1539" t="s">
        <v>99</v>
      </c>
      <c r="CP1539" t="s">
        <v>100</v>
      </c>
      <c r="CQ1539" t="s">
        <v>100</v>
      </c>
      <c r="CR1539" t="s">
        <v>100</v>
      </c>
      <c r="CS1539" t="s">
        <v>101</v>
      </c>
      <c r="CT1539" t="s">
        <v>100</v>
      </c>
      <c r="CU1539" t="s">
        <v>102</v>
      </c>
      <c r="CV1539" t="s">
        <v>100</v>
      </c>
    </row>
    <row r="1540" spans="1:100">
      <c r="A1540" s="3" t="s">
        <v>16669</v>
      </c>
      <c r="B1540" s="4" t="s">
        <v>16670</v>
      </c>
      <c r="C1540">
        <v>54.257684287841698</v>
      </c>
      <c r="D1540">
        <v>30.8671126976229</v>
      </c>
      <c r="E1540">
        <v>0.81863078759657404</v>
      </c>
      <c r="F1540">
        <v>0.28114044910219799</v>
      </c>
      <c r="G1540" t="s">
        <v>4</v>
      </c>
      <c r="H1540">
        <v>54.257684287841698</v>
      </c>
      <c r="I1540">
        <v>13.6450936227896</v>
      </c>
      <c r="J1540">
        <v>2.0071557191821401</v>
      </c>
      <c r="K1540">
        <v>7.1312030428482501E-3</v>
      </c>
      <c r="L1540" t="s">
        <v>4</v>
      </c>
      <c r="M1540">
        <v>30.8671126976229</v>
      </c>
      <c r="N1540">
        <v>13.6450936227896</v>
      </c>
      <c r="O1540">
        <v>1.1885249315855699</v>
      </c>
      <c r="P1540">
        <v>0.13088921625331901</v>
      </c>
      <c r="Q1540" t="s">
        <v>4</v>
      </c>
      <c r="R1540" s="4" t="s">
        <v>87</v>
      </c>
      <c r="S1540" t="s">
        <v>4</v>
      </c>
      <c r="T1540" t="s">
        <v>16671</v>
      </c>
      <c r="U1540" t="s">
        <v>16672</v>
      </c>
      <c r="V1540" t="s">
        <v>16673</v>
      </c>
      <c r="W1540" t="s">
        <v>203</v>
      </c>
      <c r="X1540" t="s">
        <v>4</v>
      </c>
      <c r="Y1540" t="s">
        <v>16674</v>
      </c>
      <c r="Z1540" t="s">
        <v>16675</v>
      </c>
      <c r="AA1540" t="s">
        <v>16676</v>
      </c>
      <c r="AB1540" t="s">
        <v>4</v>
      </c>
      <c r="AC1540" s="3" t="s">
        <v>93</v>
      </c>
      <c r="AD1540" t="s">
        <v>4</v>
      </c>
      <c r="AE1540" t="s">
        <v>16677</v>
      </c>
      <c r="AF1540" t="s">
        <v>834</v>
      </c>
      <c r="AG1540" t="s">
        <v>16678</v>
      </c>
      <c r="AH1540" t="s">
        <v>112</v>
      </c>
      <c r="AJ1540" t="s">
        <v>16679</v>
      </c>
      <c r="AL1540" t="s">
        <v>16680</v>
      </c>
      <c r="AQ1540" t="s">
        <v>16681</v>
      </c>
      <c r="AU1540" t="s">
        <v>112</v>
      </c>
      <c r="AV1540" t="s">
        <v>16682</v>
      </c>
      <c r="AW1540" t="s">
        <v>114</v>
      </c>
      <c r="AX1540" t="s">
        <v>1879</v>
      </c>
      <c r="AY1540" t="s">
        <v>16683</v>
      </c>
      <c r="AZ1540" t="s">
        <v>4</v>
      </c>
      <c r="BA1540" s="3" t="s">
        <v>95</v>
      </c>
      <c r="BB1540" s="6" t="s">
        <v>95</v>
      </c>
      <c r="BC1540" s="3" t="s">
        <v>95</v>
      </c>
      <c r="BD1540" t="s">
        <v>4</v>
      </c>
      <c r="BE1540">
        <v>5238</v>
      </c>
      <c r="BF1540" t="s">
        <v>282</v>
      </c>
      <c r="BG1540">
        <v>41.342399999999998</v>
      </c>
      <c r="BH1540">
        <v>84.922200000000004</v>
      </c>
      <c r="BI1540" t="s">
        <v>16684</v>
      </c>
      <c r="BJ1540">
        <v>85.894900000000007</v>
      </c>
      <c r="BK1540">
        <v>84.922200000000004</v>
      </c>
      <c r="BL1540">
        <v>33.463000000000001</v>
      </c>
      <c r="BM1540">
        <v>39.980499999999999</v>
      </c>
      <c r="BN1540">
        <v>88.813199999999995</v>
      </c>
      <c r="BO1540">
        <v>86.381299999999996</v>
      </c>
      <c r="BP1540" t="s">
        <v>16685</v>
      </c>
      <c r="BQ1540">
        <v>45.817100000000003</v>
      </c>
      <c r="BS1540">
        <v>47.762599999999999</v>
      </c>
      <c r="BW1540">
        <v>61.089500000000001</v>
      </c>
      <c r="BX1540" t="s">
        <v>16686</v>
      </c>
      <c r="BZ1540">
        <v>39.786000000000001</v>
      </c>
      <c r="CA1540" t="s">
        <v>16687</v>
      </c>
      <c r="CC1540">
        <v>7.2957200000000002</v>
      </c>
      <c r="CK1540">
        <v>6</v>
      </c>
      <c r="CL1540" t="s">
        <v>4</v>
      </c>
      <c r="CM1540" t="s">
        <v>16688</v>
      </c>
      <c r="CN1540" t="s">
        <v>16689</v>
      </c>
      <c r="CO1540" t="s">
        <v>1467</v>
      </c>
      <c r="CP1540" t="s">
        <v>100</v>
      </c>
      <c r="CQ1540" t="s">
        <v>100</v>
      </c>
      <c r="CR1540" t="s">
        <v>100</v>
      </c>
      <c r="CS1540" t="s">
        <v>101</v>
      </c>
      <c r="CT1540" t="s">
        <v>100</v>
      </c>
      <c r="CU1540" t="s">
        <v>102</v>
      </c>
      <c r="CV1540" t="s">
        <v>100</v>
      </c>
    </row>
    <row r="1541" spans="1:100">
      <c r="A1541" s="3" t="s">
        <v>16690</v>
      </c>
      <c r="B1541" s="4" t="s">
        <v>16691</v>
      </c>
      <c r="C1541">
        <v>29.9750675052065</v>
      </c>
      <c r="D1541">
        <v>13.3718426659818</v>
      </c>
      <c r="E1541">
        <v>1.17199362641934</v>
      </c>
      <c r="F1541">
        <v>0.27540837659960199</v>
      </c>
      <c r="G1541" t="s">
        <v>4</v>
      </c>
      <c r="H1541">
        <v>29.9750675052065</v>
      </c>
      <c r="I1541">
        <v>3.76724154731451</v>
      </c>
      <c r="J1541">
        <v>2.9364806024424701</v>
      </c>
      <c r="K1541">
        <v>8.1808914429898193E-3</v>
      </c>
      <c r="L1541" t="s">
        <v>4</v>
      </c>
      <c r="M1541">
        <v>13.3718426659818</v>
      </c>
      <c r="N1541">
        <v>3.76724154731451</v>
      </c>
      <c r="O1541">
        <v>1.7644869760231301</v>
      </c>
      <c r="P1541">
        <v>0.132890359463778</v>
      </c>
      <c r="Q1541" t="s">
        <v>4</v>
      </c>
      <c r="R1541" s="4" t="s">
        <v>87</v>
      </c>
      <c r="S1541" t="s">
        <v>4</v>
      </c>
      <c r="T1541" t="s">
        <v>2243</v>
      </c>
      <c r="U1541" t="s">
        <v>2244</v>
      </c>
      <c r="V1541" t="s">
        <v>2245</v>
      </c>
      <c r="W1541" t="s">
        <v>123</v>
      </c>
      <c r="X1541" t="s">
        <v>4</v>
      </c>
      <c r="Y1541" t="s">
        <v>12715</v>
      </c>
      <c r="Z1541" t="s">
        <v>12716</v>
      </c>
      <c r="AA1541" t="s">
        <v>12717</v>
      </c>
      <c r="AB1541" t="s">
        <v>4</v>
      </c>
      <c r="AC1541" s="3" t="s">
        <v>93</v>
      </c>
      <c r="AD1541" t="s">
        <v>4</v>
      </c>
      <c r="AE1541" t="s">
        <v>16692</v>
      </c>
      <c r="AF1541" t="s">
        <v>16693</v>
      </c>
      <c r="AG1541" t="s">
        <v>16694</v>
      </c>
      <c r="AH1541" t="s">
        <v>112</v>
      </c>
      <c r="AL1541" t="s">
        <v>12721</v>
      </c>
      <c r="AQ1541" t="s">
        <v>2177</v>
      </c>
      <c r="AU1541" t="s">
        <v>112</v>
      </c>
      <c r="AV1541" t="s">
        <v>16695</v>
      </c>
      <c r="AW1541" t="s">
        <v>114</v>
      </c>
      <c r="AX1541" t="s">
        <v>132</v>
      </c>
      <c r="AY1541" t="s">
        <v>16696</v>
      </c>
      <c r="AZ1541" t="s">
        <v>4</v>
      </c>
      <c r="BA1541" s="3" t="s">
        <v>95</v>
      </c>
      <c r="BB1541" s="6" t="s">
        <v>95</v>
      </c>
      <c r="BC1541" s="3" t="s">
        <v>95</v>
      </c>
      <c r="BD1541" t="s">
        <v>4</v>
      </c>
      <c r="BE1541">
        <v>5771</v>
      </c>
      <c r="BF1541" t="s">
        <v>386</v>
      </c>
      <c r="BG1541">
        <v>62.751199999999997</v>
      </c>
      <c r="BI1541">
        <v>23.183900000000001</v>
      </c>
      <c r="BJ1541">
        <v>76.043300000000002</v>
      </c>
      <c r="BK1541">
        <v>72.179299999999998</v>
      </c>
      <c r="BL1541">
        <v>75.424999999999997</v>
      </c>
      <c r="BM1541">
        <v>73.261200000000002</v>
      </c>
      <c r="BN1541">
        <v>73.261200000000002</v>
      </c>
      <c r="BO1541">
        <v>72.797499999999999</v>
      </c>
      <c r="BP1541">
        <v>43.740299999999998</v>
      </c>
      <c r="BR1541">
        <v>27.356999999999999</v>
      </c>
      <c r="BS1541">
        <v>26.584199999999999</v>
      </c>
      <c r="BX1541">
        <v>27.975300000000001</v>
      </c>
      <c r="BY1541">
        <v>24.265799999999999</v>
      </c>
      <c r="CA1541" t="s">
        <v>16697</v>
      </c>
      <c r="CB1541">
        <v>15.456</v>
      </c>
      <c r="CE1541">
        <v>19.7836</v>
      </c>
      <c r="CF1541">
        <v>25.193200000000001</v>
      </c>
      <c r="CG1541">
        <v>21.483799999999999</v>
      </c>
      <c r="CH1541">
        <v>21.174700000000001</v>
      </c>
      <c r="CI1541" t="s">
        <v>16698</v>
      </c>
      <c r="CK1541">
        <v>7</v>
      </c>
      <c r="CL1541" t="s">
        <v>4</v>
      </c>
      <c r="CM1541" t="s">
        <v>16699</v>
      </c>
      <c r="CN1541" t="s">
        <v>16700</v>
      </c>
      <c r="CO1541" t="s">
        <v>1467</v>
      </c>
      <c r="CP1541" t="s">
        <v>100</v>
      </c>
      <c r="CQ1541" t="s">
        <v>100</v>
      </c>
      <c r="CR1541" t="s">
        <v>100</v>
      </c>
      <c r="CS1541" t="s">
        <v>101</v>
      </c>
      <c r="CT1541" t="s">
        <v>100</v>
      </c>
      <c r="CU1541" t="s">
        <v>102</v>
      </c>
      <c r="CV1541" t="s">
        <v>100</v>
      </c>
    </row>
    <row r="1542" spans="1:100">
      <c r="A1542" s="3" t="s">
        <v>16701</v>
      </c>
      <c r="B1542" s="4" t="s">
        <v>16702</v>
      </c>
      <c r="C1542">
        <v>29.816872435231701</v>
      </c>
      <c r="D1542">
        <v>8.6042928209436607</v>
      </c>
      <c r="E1542">
        <v>1.7950053590228501</v>
      </c>
      <c r="F1542">
        <v>0.14634869238109499</v>
      </c>
      <c r="G1542" t="s">
        <v>4</v>
      </c>
      <c r="H1542">
        <v>29.816872435231701</v>
      </c>
      <c r="I1542">
        <v>1.93533642871265</v>
      </c>
      <c r="J1542">
        <v>3.9664655200171399</v>
      </c>
      <c r="K1542">
        <v>3.6320524749723299E-3</v>
      </c>
      <c r="L1542" t="s">
        <v>4</v>
      </c>
      <c r="M1542">
        <v>8.6042928209436607</v>
      </c>
      <c r="N1542">
        <v>1.93533642871265</v>
      </c>
      <c r="O1542">
        <v>2.1714601609942998</v>
      </c>
      <c r="P1542">
        <v>0.135369652586735</v>
      </c>
      <c r="Q1542" t="s">
        <v>4</v>
      </c>
      <c r="R1542" s="4" t="s">
        <v>87</v>
      </c>
      <c r="S1542" t="s">
        <v>4</v>
      </c>
      <c r="T1542" t="s">
        <v>92</v>
      </c>
      <c r="U1542" t="s">
        <v>92</v>
      </c>
      <c r="V1542" t="s">
        <v>92</v>
      </c>
      <c r="W1542" t="s">
        <v>92</v>
      </c>
      <c r="X1542" t="s">
        <v>4</v>
      </c>
      <c r="Y1542" t="s">
        <v>92</v>
      </c>
      <c r="Z1542" t="s">
        <v>92</v>
      </c>
      <c r="AA1542" t="s">
        <v>92</v>
      </c>
      <c r="AB1542" t="s">
        <v>4</v>
      </c>
      <c r="AC1542" s="3" t="s">
        <v>93</v>
      </c>
      <c r="AD1542" t="s">
        <v>4</v>
      </c>
      <c r="AE1542" s="4" t="s">
        <v>94</v>
      </c>
      <c r="AZ1542" t="s">
        <v>4</v>
      </c>
      <c r="BA1542" s="3" t="s">
        <v>95</v>
      </c>
      <c r="BB1542" s="6" t="s">
        <v>95</v>
      </c>
      <c r="BC1542" s="3" t="s">
        <v>197</v>
      </c>
      <c r="BD1542" t="s">
        <v>4</v>
      </c>
      <c r="BE1542">
        <v>1104</v>
      </c>
      <c r="BF1542" t="s">
        <v>151</v>
      </c>
      <c r="BH1542">
        <v>100</v>
      </c>
      <c r="BI1542">
        <v>93.023300000000006</v>
      </c>
      <c r="BN1542">
        <v>57.674399999999999</v>
      </c>
      <c r="BO1542">
        <v>59.5349</v>
      </c>
      <c r="CK1542">
        <v>2</v>
      </c>
      <c r="CL1542" t="s">
        <v>4</v>
      </c>
      <c r="CM1542" t="s">
        <v>98</v>
      </c>
      <c r="CN1542" t="s">
        <v>98</v>
      </c>
      <c r="CO1542" t="s">
        <v>99</v>
      </c>
      <c r="CP1542" t="s">
        <v>100</v>
      </c>
      <c r="CQ1542" t="s">
        <v>100</v>
      </c>
      <c r="CR1542" t="s">
        <v>100</v>
      </c>
      <c r="CS1542" t="s">
        <v>101</v>
      </c>
      <c r="CT1542" t="s">
        <v>100</v>
      </c>
      <c r="CU1542" t="s">
        <v>102</v>
      </c>
      <c r="CV1542" t="s">
        <v>100</v>
      </c>
    </row>
    <row r="1543" spans="1:100">
      <c r="A1543" s="3" t="s">
        <v>16703</v>
      </c>
      <c r="B1543" s="4" t="s">
        <v>16704</v>
      </c>
      <c r="C1543">
        <v>12.1382334973132</v>
      </c>
      <c r="D1543">
        <v>3.4201331581062502</v>
      </c>
      <c r="E1543">
        <v>1.8242808295884601</v>
      </c>
      <c r="F1543">
        <v>0.17501953337631401</v>
      </c>
      <c r="G1543" t="s">
        <v>4</v>
      </c>
      <c r="H1543">
        <v>12.1382334973132</v>
      </c>
      <c r="I1543">
        <v>0.483834107178163</v>
      </c>
      <c r="J1543">
        <v>4.5899162230536703</v>
      </c>
      <c r="K1543">
        <v>8.3434206470605708E-3</v>
      </c>
      <c r="L1543" t="s">
        <v>4</v>
      </c>
      <c r="M1543">
        <v>3.4201331581062502</v>
      </c>
      <c r="N1543">
        <v>0.483834107178163</v>
      </c>
      <c r="O1543">
        <v>2.7656353934652098</v>
      </c>
      <c r="P1543">
        <v>0.13861130441943001</v>
      </c>
      <c r="Q1543" t="s">
        <v>4</v>
      </c>
      <c r="R1543" s="4" t="s">
        <v>87</v>
      </c>
      <c r="S1543" t="s">
        <v>4</v>
      </c>
      <c r="T1543" t="s">
        <v>92</v>
      </c>
      <c r="U1543" t="s">
        <v>92</v>
      </c>
      <c r="V1543" t="s">
        <v>92</v>
      </c>
      <c r="W1543" t="s">
        <v>92</v>
      </c>
      <c r="X1543" t="s">
        <v>4</v>
      </c>
      <c r="Y1543" t="s">
        <v>92</v>
      </c>
      <c r="Z1543" t="s">
        <v>92</v>
      </c>
      <c r="AA1543" t="s">
        <v>92</v>
      </c>
      <c r="AB1543" t="s">
        <v>4</v>
      </c>
      <c r="AC1543" s="3" t="s">
        <v>93</v>
      </c>
      <c r="AD1543" t="s">
        <v>4</v>
      </c>
      <c r="AE1543" s="4" t="s">
        <v>94</v>
      </c>
      <c r="AZ1543" t="s">
        <v>4</v>
      </c>
      <c r="BA1543" s="3" t="s">
        <v>95</v>
      </c>
      <c r="BB1543" s="6" t="s">
        <v>95</v>
      </c>
      <c r="BC1543" s="3" t="s">
        <v>95</v>
      </c>
      <c r="BD1543" t="s">
        <v>4</v>
      </c>
      <c r="BE1543">
        <v>468</v>
      </c>
      <c r="BF1543" t="s">
        <v>322</v>
      </c>
      <c r="CK1543">
        <v>1</v>
      </c>
      <c r="CL1543" t="s">
        <v>4</v>
      </c>
      <c r="CM1543" t="s">
        <v>98</v>
      </c>
      <c r="CN1543" t="s">
        <v>98</v>
      </c>
      <c r="CO1543" t="s">
        <v>99</v>
      </c>
      <c r="CP1543" t="s">
        <v>100</v>
      </c>
      <c r="CQ1543" t="s">
        <v>100</v>
      </c>
      <c r="CR1543" t="s">
        <v>100</v>
      </c>
      <c r="CS1543" t="s">
        <v>101</v>
      </c>
      <c r="CT1543" t="s">
        <v>100</v>
      </c>
      <c r="CU1543" t="s">
        <v>102</v>
      </c>
      <c r="CV1543" t="s">
        <v>100</v>
      </c>
    </row>
    <row r="1544" spans="1:100">
      <c r="A1544" s="3" t="s">
        <v>16705</v>
      </c>
      <c r="B1544" s="4" t="s">
        <v>16706</v>
      </c>
      <c r="C1544">
        <v>96.7690391408305</v>
      </c>
      <c r="D1544">
        <v>38.487048731139602</v>
      </c>
      <c r="E1544">
        <v>1.3348532290725801</v>
      </c>
      <c r="F1544">
        <v>0.13567978205163</v>
      </c>
      <c r="G1544" t="s">
        <v>4</v>
      </c>
      <c r="H1544">
        <v>96.7690391408305</v>
      </c>
      <c r="I1544">
        <v>15.065289472910299</v>
      </c>
      <c r="J1544">
        <v>2.70247607380244</v>
      </c>
      <c r="K1544">
        <v>1.93156058521804E-3</v>
      </c>
      <c r="L1544" t="s">
        <v>4</v>
      </c>
      <c r="M1544">
        <v>38.487048731139602</v>
      </c>
      <c r="N1544">
        <v>15.065289472910299</v>
      </c>
      <c r="O1544">
        <v>1.36762284472986</v>
      </c>
      <c r="P1544">
        <v>0.13924300451707899</v>
      </c>
      <c r="Q1544" t="s">
        <v>4</v>
      </c>
      <c r="R1544" s="4" t="s">
        <v>87</v>
      </c>
      <c r="S1544" t="s">
        <v>4</v>
      </c>
      <c r="T1544" t="s">
        <v>92</v>
      </c>
      <c r="U1544" t="s">
        <v>92</v>
      </c>
      <c r="V1544" t="s">
        <v>92</v>
      </c>
      <c r="W1544" t="s">
        <v>92</v>
      </c>
      <c r="X1544" t="s">
        <v>4</v>
      </c>
      <c r="Y1544" t="s">
        <v>92</v>
      </c>
      <c r="Z1544" t="s">
        <v>92</v>
      </c>
      <c r="AA1544" t="s">
        <v>92</v>
      </c>
      <c r="AB1544" t="s">
        <v>4</v>
      </c>
      <c r="AC1544" s="3" t="s">
        <v>93</v>
      </c>
      <c r="AD1544" t="s">
        <v>4</v>
      </c>
      <c r="AE1544" s="4" t="s">
        <v>94</v>
      </c>
      <c r="AZ1544" t="s">
        <v>4</v>
      </c>
      <c r="BA1544" s="3" t="s">
        <v>115</v>
      </c>
      <c r="BB1544" s="6" t="s">
        <v>95</v>
      </c>
      <c r="BC1544" s="3" t="s">
        <v>95</v>
      </c>
      <c r="BD1544" t="s">
        <v>4</v>
      </c>
      <c r="BE1544">
        <v>1962</v>
      </c>
      <c r="BF1544" t="s">
        <v>148</v>
      </c>
      <c r="BG1544">
        <v>74.315799999999996</v>
      </c>
      <c r="BH1544">
        <v>56.842100000000002</v>
      </c>
      <c r="BI1544">
        <v>75.368399999999994</v>
      </c>
      <c r="BJ1544">
        <v>39.368400000000001</v>
      </c>
      <c r="BK1544">
        <v>17.263200000000001</v>
      </c>
      <c r="BO1544">
        <v>14.1053</v>
      </c>
      <c r="CK1544">
        <v>3</v>
      </c>
      <c r="CL1544" t="s">
        <v>4</v>
      </c>
      <c r="CM1544" t="s">
        <v>98</v>
      </c>
      <c r="CN1544" t="s">
        <v>98</v>
      </c>
      <c r="CO1544" t="s">
        <v>99</v>
      </c>
      <c r="CP1544" t="s">
        <v>100</v>
      </c>
      <c r="CQ1544" t="s">
        <v>100</v>
      </c>
      <c r="CR1544" t="s">
        <v>100</v>
      </c>
      <c r="CS1544" t="s">
        <v>101</v>
      </c>
      <c r="CT1544" t="s">
        <v>100</v>
      </c>
      <c r="CU1544" t="s">
        <v>102</v>
      </c>
      <c r="CV1544" t="s">
        <v>100</v>
      </c>
    </row>
    <row r="1545" spans="1:100">
      <c r="A1545" s="3" t="s">
        <v>16707</v>
      </c>
      <c r="B1545" s="4" t="s">
        <v>16708</v>
      </c>
      <c r="C1545">
        <v>39.544423202054801</v>
      </c>
      <c r="D1545">
        <v>15.178644051147099</v>
      </c>
      <c r="E1545">
        <v>1.38822699154125</v>
      </c>
      <c r="F1545">
        <v>0.106016994793422</v>
      </c>
      <c r="G1545" t="s">
        <v>4</v>
      </c>
      <c r="H1545">
        <v>39.544423202054801</v>
      </c>
      <c r="I1545">
        <v>5.6652322182145598</v>
      </c>
      <c r="J1545">
        <v>2.8126591907283398</v>
      </c>
      <c r="K1545">
        <v>1.69691889400266E-3</v>
      </c>
      <c r="L1545" t="s">
        <v>4</v>
      </c>
      <c r="M1545">
        <v>15.178644051147099</v>
      </c>
      <c r="N1545">
        <v>5.6652322182145598</v>
      </c>
      <c r="O1545">
        <v>1.4244321991871001</v>
      </c>
      <c r="P1545">
        <v>0.13949966584922399</v>
      </c>
      <c r="Q1545" t="s">
        <v>4</v>
      </c>
      <c r="R1545" s="4" t="s">
        <v>87</v>
      </c>
      <c r="S1545" t="s">
        <v>4</v>
      </c>
      <c r="T1545" t="s">
        <v>16709</v>
      </c>
      <c r="U1545" t="s">
        <v>16710</v>
      </c>
      <c r="V1545" t="s">
        <v>16711</v>
      </c>
      <c r="W1545" t="s">
        <v>328</v>
      </c>
      <c r="X1545" t="s">
        <v>4</v>
      </c>
      <c r="Y1545" t="s">
        <v>16712</v>
      </c>
      <c r="Z1545" t="s">
        <v>16713</v>
      </c>
      <c r="AA1545" t="s">
        <v>16714</v>
      </c>
      <c r="AB1545" t="s">
        <v>4</v>
      </c>
      <c r="AC1545" s="3" t="s">
        <v>16715</v>
      </c>
      <c r="AD1545" t="s">
        <v>4</v>
      </c>
      <c r="AE1545" t="s">
        <v>16716</v>
      </c>
      <c r="AF1545" t="s">
        <v>16717</v>
      </c>
      <c r="AG1545" t="s">
        <v>16718</v>
      </c>
      <c r="AH1545" t="s">
        <v>112</v>
      </c>
      <c r="AJ1545" t="s">
        <v>16719</v>
      </c>
      <c r="AU1545" t="s">
        <v>112</v>
      </c>
      <c r="AV1545" t="s">
        <v>16720</v>
      </c>
      <c r="AW1545" t="s">
        <v>114</v>
      </c>
      <c r="AX1545" t="s">
        <v>2669</v>
      </c>
      <c r="AY1545" t="s">
        <v>16721</v>
      </c>
      <c r="AZ1545" t="s">
        <v>4</v>
      </c>
      <c r="BA1545" s="3" t="s">
        <v>95</v>
      </c>
      <c r="BB1545" s="6" t="s">
        <v>95</v>
      </c>
      <c r="BC1545" s="3" t="s">
        <v>95</v>
      </c>
      <c r="BD1545" t="s">
        <v>4</v>
      </c>
      <c r="BE1545">
        <v>6828</v>
      </c>
      <c r="BF1545" t="s">
        <v>213</v>
      </c>
      <c r="BG1545">
        <v>97.268900000000002</v>
      </c>
      <c r="BH1545">
        <v>21.848700000000001</v>
      </c>
      <c r="BI1545">
        <v>82.142899999999997</v>
      </c>
      <c r="BJ1545">
        <v>74.369799999999998</v>
      </c>
      <c r="BK1545">
        <v>61.134500000000003</v>
      </c>
      <c r="BL1545" t="s">
        <v>16722</v>
      </c>
      <c r="BM1545">
        <v>17.647099999999998</v>
      </c>
      <c r="BN1545">
        <v>52.310899999999997</v>
      </c>
      <c r="BO1545">
        <v>68.0672</v>
      </c>
      <c r="BP1545" t="s">
        <v>16723</v>
      </c>
      <c r="BQ1545">
        <v>55.882399999999997</v>
      </c>
      <c r="BR1545">
        <v>57.142899999999997</v>
      </c>
      <c r="BS1545" t="s">
        <v>16724</v>
      </c>
      <c r="BT1545" t="s">
        <v>16725</v>
      </c>
      <c r="BU1545">
        <v>47.268900000000002</v>
      </c>
      <c r="BV1545" t="s">
        <v>16726</v>
      </c>
      <c r="BW1545">
        <v>58.613399999999999</v>
      </c>
      <c r="BX1545">
        <v>57.142899999999997</v>
      </c>
      <c r="BZ1545">
        <v>23.9496</v>
      </c>
      <c r="CA1545">
        <v>56.092399999999998</v>
      </c>
      <c r="CB1545">
        <v>7.9831899999999996</v>
      </c>
      <c r="CF1545" t="s">
        <v>16727</v>
      </c>
      <c r="CG1545" t="s">
        <v>16728</v>
      </c>
      <c r="CH1545" t="s">
        <v>16729</v>
      </c>
      <c r="CI1545" t="s">
        <v>16730</v>
      </c>
      <c r="CK1545">
        <v>8</v>
      </c>
      <c r="CL1545" t="s">
        <v>4</v>
      </c>
      <c r="CM1545" t="s">
        <v>16731</v>
      </c>
      <c r="CN1545" t="s">
        <v>16732</v>
      </c>
      <c r="CO1545" t="s">
        <v>99</v>
      </c>
      <c r="CP1545" t="s">
        <v>100</v>
      </c>
      <c r="CQ1545" t="s">
        <v>100</v>
      </c>
      <c r="CR1545" t="s">
        <v>100</v>
      </c>
      <c r="CS1545" t="s">
        <v>101</v>
      </c>
      <c r="CT1545" t="s">
        <v>100</v>
      </c>
      <c r="CU1545" t="s">
        <v>102</v>
      </c>
      <c r="CV1545" t="s">
        <v>100</v>
      </c>
    </row>
    <row r="1546" spans="1:100">
      <c r="A1546" s="3" t="s">
        <v>16733</v>
      </c>
      <c r="B1546" s="4" t="s">
        <v>16734</v>
      </c>
      <c r="C1546">
        <v>102.509615443757</v>
      </c>
      <c r="D1546">
        <v>44.237263589691203</v>
      </c>
      <c r="E1546">
        <v>1.21358708172725</v>
      </c>
      <c r="F1546">
        <v>0.246188600795816</v>
      </c>
      <c r="G1546" t="s">
        <v>4</v>
      </c>
      <c r="H1546">
        <v>102.509615443757</v>
      </c>
      <c r="I1546">
        <v>15.157752249643</v>
      </c>
      <c r="J1546">
        <v>2.7621231230160999</v>
      </c>
      <c r="K1546">
        <v>5.8862983320964396E-3</v>
      </c>
      <c r="L1546" t="s">
        <v>4</v>
      </c>
      <c r="M1546">
        <v>44.237263589691203</v>
      </c>
      <c r="N1546">
        <v>15.157752249643</v>
      </c>
      <c r="O1546">
        <v>1.54853604128884</v>
      </c>
      <c r="P1546">
        <v>0.142383712751325</v>
      </c>
      <c r="Q1546" t="s">
        <v>4</v>
      </c>
      <c r="R1546" s="4" t="s">
        <v>87</v>
      </c>
      <c r="S1546" t="s">
        <v>4</v>
      </c>
      <c r="T1546" t="s">
        <v>92</v>
      </c>
      <c r="U1546" t="s">
        <v>92</v>
      </c>
      <c r="V1546" t="s">
        <v>92</v>
      </c>
      <c r="W1546" t="s">
        <v>92</v>
      </c>
      <c r="X1546" t="s">
        <v>4</v>
      </c>
      <c r="Y1546" t="s">
        <v>92</v>
      </c>
      <c r="Z1546" t="s">
        <v>92</v>
      </c>
      <c r="AA1546" t="s">
        <v>92</v>
      </c>
      <c r="AB1546" t="s">
        <v>4</v>
      </c>
      <c r="AC1546" s="3" t="s">
        <v>93</v>
      </c>
      <c r="AD1546" t="s">
        <v>4</v>
      </c>
      <c r="AE1546" s="4" t="s">
        <v>94</v>
      </c>
      <c r="AZ1546" t="s">
        <v>4</v>
      </c>
      <c r="BA1546" s="3" t="s">
        <v>95</v>
      </c>
      <c r="BB1546" t="s">
        <v>96</v>
      </c>
      <c r="BC1546" s="3" t="s">
        <v>197</v>
      </c>
      <c r="BD1546" t="s">
        <v>4</v>
      </c>
      <c r="BE1546">
        <v>1114</v>
      </c>
      <c r="BF1546" t="s">
        <v>151</v>
      </c>
      <c r="BH1546">
        <v>44.444400000000002</v>
      </c>
      <c r="BI1546">
        <v>35.265700000000002</v>
      </c>
      <c r="BJ1546">
        <v>21.256</v>
      </c>
      <c r="BL1546">
        <v>10.628</v>
      </c>
      <c r="BM1546">
        <v>15.4589</v>
      </c>
      <c r="BN1546">
        <v>38.164200000000001</v>
      </c>
      <c r="BO1546">
        <v>38.647300000000001</v>
      </c>
      <c r="CK1546">
        <v>2</v>
      </c>
      <c r="CL1546" t="s">
        <v>4</v>
      </c>
      <c r="CM1546" t="s">
        <v>98</v>
      </c>
      <c r="CN1546" t="s">
        <v>98</v>
      </c>
      <c r="CO1546" t="s">
        <v>99</v>
      </c>
      <c r="CP1546" t="s">
        <v>100</v>
      </c>
      <c r="CQ1546" t="s">
        <v>100</v>
      </c>
      <c r="CR1546" t="s">
        <v>100</v>
      </c>
      <c r="CS1546" t="s">
        <v>101</v>
      </c>
      <c r="CT1546" t="s">
        <v>100</v>
      </c>
      <c r="CU1546" t="s">
        <v>102</v>
      </c>
      <c r="CV1546" t="s">
        <v>100</v>
      </c>
    </row>
    <row r="1547" spans="1:100">
      <c r="A1547" s="3" t="s">
        <v>16735</v>
      </c>
      <c r="B1547" s="4" t="s">
        <v>16736</v>
      </c>
      <c r="C1547">
        <v>35.6767656798865</v>
      </c>
      <c r="D1547">
        <v>12.463496874507401</v>
      </c>
      <c r="E1547">
        <v>1.5289179474479699</v>
      </c>
      <c r="F1547">
        <v>7.5542293453165099E-2</v>
      </c>
      <c r="G1547" t="s">
        <v>4</v>
      </c>
      <c r="H1547">
        <v>35.6767656798865</v>
      </c>
      <c r="I1547">
        <v>4.4039312952137504</v>
      </c>
      <c r="J1547">
        <v>2.9912139383043601</v>
      </c>
      <c r="K1547">
        <v>1.1636085127560501E-3</v>
      </c>
      <c r="L1547" t="s">
        <v>4</v>
      </c>
      <c r="M1547">
        <v>12.463496874507401</v>
      </c>
      <c r="N1547">
        <v>4.4039312952137504</v>
      </c>
      <c r="O1547">
        <v>1.4622959908563899</v>
      </c>
      <c r="P1547">
        <v>0.14275354517484001</v>
      </c>
      <c r="Q1547" t="s">
        <v>4</v>
      </c>
      <c r="R1547" s="4" t="s">
        <v>87</v>
      </c>
      <c r="S1547" t="s">
        <v>4</v>
      </c>
      <c r="T1547" t="s">
        <v>92</v>
      </c>
      <c r="U1547" t="s">
        <v>92</v>
      </c>
      <c r="V1547" t="s">
        <v>92</v>
      </c>
      <c r="W1547" t="s">
        <v>92</v>
      </c>
      <c r="X1547" t="s">
        <v>4</v>
      </c>
      <c r="Y1547" t="s">
        <v>2979</v>
      </c>
      <c r="Z1547" t="s">
        <v>2980</v>
      </c>
      <c r="AA1547" t="s">
        <v>2981</v>
      </c>
      <c r="AB1547" t="s">
        <v>4</v>
      </c>
      <c r="AC1547" s="3" t="s">
        <v>93</v>
      </c>
      <c r="AD1547" t="s">
        <v>4</v>
      </c>
      <c r="AE1547" s="4" t="s">
        <v>94</v>
      </c>
      <c r="AZ1547" t="s">
        <v>4</v>
      </c>
      <c r="BA1547" s="3" t="s">
        <v>95</v>
      </c>
      <c r="BB1547" s="6" t="s">
        <v>95</v>
      </c>
      <c r="BC1547" s="3" t="s">
        <v>95</v>
      </c>
      <c r="BD1547" t="s">
        <v>4</v>
      </c>
      <c r="BE1547">
        <v>1176</v>
      </c>
      <c r="BF1547" t="s">
        <v>151</v>
      </c>
      <c r="BG1547">
        <v>95.468299999999999</v>
      </c>
      <c r="BH1547">
        <v>20.241700000000002</v>
      </c>
      <c r="BI1547">
        <v>43.806600000000003</v>
      </c>
      <c r="BL1547">
        <v>20.8459</v>
      </c>
      <c r="BO1547">
        <v>34.441099999999999</v>
      </c>
      <c r="CK1547">
        <v>2</v>
      </c>
      <c r="CL1547" t="s">
        <v>4</v>
      </c>
      <c r="CM1547" t="s">
        <v>98</v>
      </c>
      <c r="CN1547" t="s">
        <v>98</v>
      </c>
      <c r="CO1547" t="s">
        <v>99</v>
      </c>
      <c r="CP1547" t="s">
        <v>100</v>
      </c>
      <c r="CQ1547" t="s">
        <v>100</v>
      </c>
      <c r="CR1547" t="s">
        <v>100</v>
      </c>
      <c r="CS1547" t="s">
        <v>101</v>
      </c>
      <c r="CT1547" t="s">
        <v>100</v>
      </c>
      <c r="CU1547" t="s">
        <v>102</v>
      </c>
      <c r="CV1547" t="s">
        <v>100</v>
      </c>
    </row>
    <row r="1548" spans="1:100">
      <c r="A1548" s="3" t="s">
        <v>16737</v>
      </c>
      <c r="B1548" s="4" t="s">
        <v>16738</v>
      </c>
      <c r="C1548">
        <v>31.9947725297998</v>
      </c>
      <c r="D1548">
        <v>12.8227177252164</v>
      </c>
      <c r="E1548">
        <v>1.3258225468686999</v>
      </c>
      <c r="F1548">
        <v>7.7151531686075206E-2</v>
      </c>
      <c r="G1548" t="s">
        <v>4</v>
      </c>
      <c r="H1548">
        <v>31.9947725297998</v>
      </c>
      <c r="I1548">
        <v>5.4991879652762403</v>
      </c>
      <c r="J1548">
        <v>2.6165736142915801</v>
      </c>
      <c r="K1548">
        <v>1.2418141385042E-3</v>
      </c>
      <c r="L1548" t="s">
        <v>4</v>
      </c>
      <c r="M1548">
        <v>12.8227177252164</v>
      </c>
      <c r="N1548">
        <v>5.4991879652762403</v>
      </c>
      <c r="O1548">
        <v>1.2907510674228799</v>
      </c>
      <c r="P1548">
        <v>0.143242390443486</v>
      </c>
      <c r="Q1548" t="s">
        <v>4</v>
      </c>
      <c r="R1548" s="4" t="s">
        <v>87</v>
      </c>
      <c r="S1548" t="s">
        <v>4</v>
      </c>
      <c r="T1548" t="s">
        <v>16739</v>
      </c>
      <c r="U1548" t="s">
        <v>16740</v>
      </c>
      <c r="V1548" t="s">
        <v>16741</v>
      </c>
      <c r="W1548" t="s">
        <v>976</v>
      </c>
      <c r="X1548" t="s">
        <v>4</v>
      </c>
      <c r="Y1548" t="s">
        <v>16742</v>
      </c>
      <c r="Z1548" t="s">
        <v>16743</v>
      </c>
      <c r="AA1548" t="s">
        <v>16744</v>
      </c>
      <c r="AB1548" t="s">
        <v>4</v>
      </c>
      <c r="AC1548" s="3" t="s">
        <v>16745</v>
      </c>
      <c r="AD1548" t="s">
        <v>4</v>
      </c>
      <c r="AE1548" t="s">
        <v>16746</v>
      </c>
      <c r="AF1548" t="s">
        <v>16747</v>
      </c>
      <c r="AG1548" t="s">
        <v>765</v>
      </c>
      <c r="AH1548" t="s">
        <v>638</v>
      </c>
      <c r="AU1548" t="s">
        <v>112</v>
      </c>
      <c r="AV1548" t="s">
        <v>16748</v>
      </c>
      <c r="AW1548" t="s">
        <v>114</v>
      </c>
      <c r="AX1548" t="s">
        <v>909</v>
      </c>
      <c r="AY1548" t="s">
        <v>16749</v>
      </c>
      <c r="AZ1548" t="s">
        <v>4</v>
      </c>
      <c r="BA1548" s="3" t="s">
        <v>95</v>
      </c>
      <c r="BB1548" s="6" t="s">
        <v>95</v>
      </c>
      <c r="BC1548" s="3" t="s">
        <v>95</v>
      </c>
      <c r="BD1548" t="s">
        <v>4</v>
      </c>
      <c r="BE1548">
        <v>1870</v>
      </c>
      <c r="BF1548" t="s">
        <v>148</v>
      </c>
      <c r="BG1548">
        <v>36.153799999999997</v>
      </c>
      <c r="BN1548">
        <v>36.923099999999998</v>
      </c>
      <c r="CK1548">
        <v>3</v>
      </c>
      <c r="CL1548" t="s">
        <v>4</v>
      </c>
      <c r="CM1548" t="s">
        <v>98</v>
      </c>
      <c r="CN1548" t="s">
        <v>98</v>
      </c>
      <c r="CO1548" t="s">
        <v>99</v>
      </c>
      <c r="CP1548" t="s">
        <v>100</v>
      </c>
      <c r="CQ1548" t="s">
        <v>100</v>
      </c>
      <c r="CR1548" t="s">
        <v>100</v>
      </c>
      <c r="CS1548" t="s">
        <v>101</v>
      </c>
      <c r="CT1548" t="s">
        <v>100</v>
      </c>
      <c r="CU1548" t="s">
        <v>102</v>
      </c>
      <c r="CV1548" t="s">
        <v>100</v>
      </c>
    </row>
    <row r="1549" spans="1:100">
      <c r="A1549" s="3" t="s">
        <v>16750</v>
      </c>
      <c r="B1549" s="4" t="s">
        <v>16751</v>
      </c>
      <c r="C1549">
        <v>36.246194992720902</v>
      </c>
      <c r="D1549">
        <v>7.34839913762774</v>
      </c>
      <c r="E1549">
        <v>2.30404612061561</v>
      </c>
      <c r="F1549">
        <v>8.3207489565286105E-2</v>
      </c>
      <c r="G1549" t="s">
        <v>4</v>
      </c>
      <c r="H1549">
        <v>36.246194992720902</v>
      </c>
      <c r="I1549">
        <v>1.45150232153449</v>
      </c>
      <c r="J1549">
        <v>4.6652116784957096</v>
      </c>
      <c r="K1549">
        <v>1.9696103699802202E-3</v>
      </c>
      <c r="L1549" t="s">
        <v>4</v>
      </c>
      <c r="M1549">
        <v>7.34839913762774</v>
      </c>
      <c r="N1549">
        <v>1.45150232153449</v>
      </c>
      <c r="O1549">
        <v>2.3611655578801001</v>
      </c>
      <c r="P1549">
        <v>0.14457247031509801</v>
      </c>
      <c r="Q1549" t="s">
        <v>4</v>
      </c>
      <c r="R1549" s="4" t="s">
        <v>87</v>
      </c>
      <c r="S1549" t="s">
        <v>4</v>
      </c>
      <c r="T1549" t="s">
        <v>16752</v>
      </c>
      <c r="U1549" t="s">
        <v>16753</v>
      </c>
      <c r="V1549" t="s">
        <v>16754</v>
      </c>
      <c r="W1549" t="s">
        <v>91</v>
      </c>
      <c r="X1549" t="s">
        <v>4</v>
      </c>
      <c r="Y1549" t="s">
        <v>16755</v>
      </c>
      <c r="Z1549" t="s">
        <v>16756</v>
      </c>
      <c r="AA1549" t="s">
        <v>16757</v>
      </c>
      <c r="AB1549" t="s">
        <v>4</v>
      </c>
      <c r="AC1549" s="3" t="s">
        <v>16758</v>
      </c>
      <c r="AD1549" t="s">
        <v>4</v>
      </c>
      <c r="AE1549" t="s">
        <v>16759</v>
      </c>
      <c r="AF1549" t="s">
        <v>16760</v>
      </c>
      <c r="AG1549" t="s">
        <v>7928</v>
      </c>
      <c r="AH1549" t="s">
        <v>112</v>
      </c>
      <c r="AU1549" t="s">
        <v>112</v>
      </c>
      <c r="AV1549" t="s">
        <v>16761</v>
      </c>
      <c r="AW1549" t="s">
        <v>114</v>
      </c>
      <c r="AX1549" t="s">
        <v>132</v>
      </c>
      <c r="AY1549" t="s">
        <v>16762</v>
      </c>
      <c r="AZ1549" t="s">
        <v>4</v>
      </c>
      <c r="BA1549" s="3" t="s">
        <v>95</v>
      </c>
      <c r="BB1549" t="s">
        <v>96</v>
      </c>
      <c r="BC1549" s="3" t="s">
        <v>95</v>
      </c>
      <c r="BD1549" t="s">
        <v>4</v>
      </c>
      <c r="BE1549">
        <v>7339</v>
      </c>
      <c r="BF1549" t="s">
        <v>213</v>
      </c>
      <c r="BG1549">
        <v>98.106099999999998</v>
      </c>
      <c r="BI1549">
        <v>82.197000000000003</v>
      </c>
      <c r="BJ1549">
        <v>82.197000000000003</v>
      </c>
      <c r="BK1549">
        <v>60.606099999999998</v>
      </c>
      <c r="BL1549">
        <v>77.2727</v>
      </c>
      <c r="BM1549">
        <v>54.545499999999997</v>
      </c>
      <c r="BN1549">
        <v>78.787899999999993</v>
      </c>
      <c r="BO1549">
        <v>78.030299999999997</v>
      </c>
      <c r="BP1549">
        <v>61.363599999999998</v>
      </c>
      <c r="BQ1549">
        <v>44.318199999999997</v>
      </c>
      <c r="BR1549">
        <v>50.757599999999996</v>
      </c>
      <c r="BS1549">
        <v>53.409100000000002</v>
      </c>
      <c r="BU1549">
        <v>49.242400000000004</v>
      </c>
      <c r="BV1549" t="s">
        <v>16763</v>
      </c>
      <c r="BW1549">
        <v>21.2121</v>
      </c>
      <c r="BX1549">
        <v>53.409100000000002</v>
      </c>
      <c r="BY1549">
        <v>57.954500000000003</v>
      </c>
      <c r="BZ1549">
        <v>44.697000000000003</v>
      </c>
      <c r="CA1549">
        <v>57.197000000000003</v>
      </c>
      <c r="CE1549">
        <v>15.5303</v>
      </c>
      <c r="CF1549">
        <v>10.6061</v>
      </c>
      <c r="CG1549">
        <v>18.560600000000001</v>
      </c>
      <c r="CH1549">
        <v>18.939399999999999</v>
      </c>
      <c r="CI1549">
        <v>15.9091</v>
      </c>
      <c r="CK1549">
        <v>8</v>
      </c>
      <c r="CL1549" t="s">
        <v>4</v>
      </c>
      <c r="CM1549" t="s">
        <v>16764</v>
      </c>
      <c r="CN1549" t="s">
        <v>16765</v>
      </c>
      <c r="CO1549" t="s">
        <v>99</v>
      </c>
      <c r="CP1549" t="s">
        <v>100</v>
      </c>
      <c r="CQ1549" t="s">
        <v>100</v>
      </c>
      <c r="CR1549" t="s">
        <v>100</v>
      </c>
      <c r="CS1549" t="s">
        <v>101</v>
      </c>
      <c r="CT1549" t="s">
        <v>100</v>
      </c>
      <c r="CU1549" t="s">
        <v>102</v>
      </c>
      <c r="CV1549" t="s">
        <v>100</v>
      </c>
    </row>
    <row r="1550" spans="1:100">
      <c r="A1550" s="3" t="s">
        <v>16766</v>
      </c>
      <c r="B1550" s="4" t="s">
        <v>16767</v>
      </c>
      <c r="C1550">
        <v>48.524528397077503</v>
      </c>
      <c r="D1550">
        <v>25.340220018987001</v>
      </c>
      <c r="E1550">
        <v>0.94222544320858004</v>
      </c>
      <c r="F1550">
        <v>0.26743153180435603</v>
      </c>
      <c r="G1550" t="s">
        <v>4</v>
      </c>
      <c r="H1550">
        <v>48.524528397077503</v>
      </c>
      <c r="I1550">
        <v>10.0706201509369</v>
      </c>
      <c r="J1550">
        <v>2.2263165875681401</v>
      </c>
      <c r="K1550">
        <v>8.0049982348108003E-3</v>
      </c>
      <c r="L1550" t="s">
        <v>4</v>
      </c>
      <c r="M1550">
        <v>25.340220018987001</v>
      </c>
      <c r="N1550">
        <v>10.0706201509369</v>
      </c>
      <c r="O1550">
        <v>1.28409114435956</v>
      </c>
      <c r="P1550">
        <v>0.14883220216106099</v>
      </c>
      <c r="Q1550" t="s">
        <v>4</v>
      </c>
      <c r="R1550" s="4" t="s">
        <v>87</v>
      </c>
      <c r="S1550" t="s">
        <v>4</v>
      </c>
      <c r="T1550" t="s">
        <v>88</v>
      </c>
      <c r="U1550" t="s">
        <v>89</v>
      </c>
      <c r="V1550" t="s">
        <v>90</v>
      </c>
      <c r="W1550" t="s">
        <v>91</v>
      </c>
      <c r="X1550" t="s">
        <v>4</v>
      </c>
      <c r="Y1550" t="s">
        <v>16768</v>
      </c>
      <c r="Z1550" t="s">
        <v>16769</v>
      </c>
      <c r="AA1550" t="s">
        <v>16769</v>
      </c>
      <c r="AB1550" t="s">
        <v>4</v>
      </c>
      <c r="AC1550" s="3" t="s">
        <v>16770</v>
      </c>
      <c r="AD1550" t="s">
        <v>4</v>
      </c>
      <c r="AE1550" t="s">
        <v>16771</v>
      </c>
      <c r="AF1550" t="s">
        <v>16772</v>
      </c>
      <c r="AG1550" t="s">
        <v>16773</v>
      </c>
      <c r="AH1550" t="s">
        <v>112</v>
      </c>
      <c r="AU1550" t="s">
        <v>112</v>
      </c>
      <c r="AV1550" t="s">
        <v>16774</v>
      </c>
      <c r="AW1550" t="s">
        <v>114</v>
      </c>
      <c r="AX1550" t="s">
        <v>144</v>
      </c>
      <c r="AY1550" t="s">
        <v>16775</v>
      </c>
      <c r="AZ1550" t="s">
        <v>4</v>
      </c>
      <c r="BA1550" s="3" t="s">
        <v>95</v>
      </c>
      <c r="BB1550" t="s">
        <v>96</v>
      </c>
      <c r="BC1550" s="3" t="s">
        <v>95</v>
      </c>
      <c r="BD1550" t="s">
        <v>4</v>
      </c>
      <c r="BE1550">
        <v>8111</v>
      </c>
      <c r="BF1550" t="s">
        <v>213</v>
      </c>
      <c r="BG1550">
        <v>89.958200000000005</v>
      </c>
      <c r="BH1550">
        <v>99.581599999999995</v>
      </c>
      <c r="BI1550">
        <v>87.029300000000006</v>
      </c>
      <c r="BJ1550">
        <v>79.916300000000007</v>
      </c>
      <c r="BK1550">
        <v>63.598300000000002</v>
      </c>
      <c r="BL1550">
        <v>76.987399999999994</v>
      </c>
      <c r="BM1550">
        <v>74.477000000000004</v>
      </c>
      <c r="BN1550">
        <v>78.661100000000005</v>
      </c>
      <c r="BO1550">
        <v>69.456100000000006</v>
      </c>
      <c r="BP1550">
        <v>41.841000000000001</v>
      </c>
      <c r="BQ1550">
        <v>55.648499999999999</v>
      </c>
      <c r="BS1550">
        <v>56.066899999999997</v>
      </c>
      <c r="BT1550">
        <v>57.740600000000001</v>
      </c>
      <c r="BU1550" t="s">
        <v>16776</v>
      </c>
      <c r="BV1550" t="s">
        <v>16777</v>
      </c>
      <c r="BX1550">
        <v>51.882800000000003</v>
      </c>
      <c r="BZ1550">
        <v>60.250999999999998</v>
      </c>
      <c r="CB1550">
        <v>29.288699999999999</v>
      </c>
      <c r="CD1550">
        <v>23.849399999999999</v>
      </c>
      <c r="CF1550">
        <v>21.757300000000001</v>
      </c>
      <c r="CG1550">
        <v>12.970700000000001</v>
      </c>
      <c r="CH1550">
        <v>12.970700000000001</v>
      </c>
      <c r="CI1550">
        <v>13.807499999999999</v>
      </c>
      <c r="CK1550">
        <v>8</v>
      </c>
      <c r="CL1550" t="s">
        <v>4</v>
      </c>
      <c r="CM1550" t="s">
        <v>98</v>
      </c>
      <c r="CN1550" t="s">
        <v>98</v>
      </c>
      <c r="CO1550" t="s">
        <v>99</v>
      </c>
      <c r="CP1550" t="s">
        <v>100</v>
      </c>
      <c r="CQ1550" t="s">
        <v>100</v>
      </c>
      <c r="CR1550" t="s">
        <v>100</v>
      </c>
      <c r="CS1550" t="s">
        <v>101</v>
      </c>
      <c r="CT1550" t="s">
        <v>100</v>
      </c>
      <c r="CU1550" t="s">
        <v>102</v>
      </c>
      <c r="CV1550" t="s">
        <v>100</v>
      </c>
    </row>
    <row r="1551" spans="1:100">
      <c r="A1551" s="3" t="s">
        <v>16778</v>
      </c>
      <c r="B1551" s="4" t="s">
        <v>16779</v>
      </c>
      <c r="C1551">
        <v>15.1145392874227</v>
      </c>
      <c r="D1551">
        <v>2.2281350918371201</v>
      </c>
      <c r="E1551">
        <v>2.76457059326304</v>
      </c>
      <c r="F1551">
        <v>0.116709232064166</v>
      </c>
      <c r="G1551" t="s">
        <v>4</v>
      </c>
      <c r="H1551">
        <v>15.1145392874227</v>
      </c>
      <c r="I1551">
        <v>0</v>
      </c>
      <c r="J1551">
        <v>5.8648743340718701</v>
      </c>
      <c r="K1551">
        <v>3.5159987452248798E-3</v>
      </c>
      <c r="L1551" t="s">
        <v>4</v>
      </c>
      <c r="M1551">
        <v>2.2281350918371201</v>
      </c>
      <c r="N1551">
        <v>0</v>
      </c>
      <c r="O1551">
        <v>3.1003037408088301</v>
      </c>
      <c r="P1551">
        <v>0.15796357698729699</v>
      </c>
      <c r="Q1551" t="s">
        <v>4</v>
      </c>
      <c r="R1551" s="4" t="s">
        <v>87</v>
      </c>
      <c r="S1551" t="s">
        <v>4</v>
      </c>
      <c r="T1551" t="s">
        <v>92</v>
      </c>
      <c r="U1551" t="s">
        <v>92</v>
      </c>
      <c r="V1551" t="s">
        <v>92</v>
      </c>
      <c r="W1551" t="s">
        <v>92</v>
      </c>
      <c r="X1551" t="s">
        <v>4</v>
      </c>
      <c r="Y1551" t="s">
        <v>92</v>
      </c>
      <c r="Z1551" t="s">
        <v>92</v>
      </c>
      <c r="AA1551" t="s">
        <v>92</v>
      </c>
      <c r="AB1551" t="s">
        <v>4</v>
      </c>
      <c r="AC1551" s="3" t="s">
        <v>93</v>
      </c>
      <c r="AD1551" t="s">
        <v>4</v>
      </c>
      <c r="AE1551" s="4" t="s">
        <v>94</v>
      </c>
      <c r="AZ1551" t="s">
        <v>4</v>
      </c>
      <c r="BA1551" s="3" t="s">
        <v>95</v>
      </c>
      <c r="BB1551" s="6" t="s">
        <v>95</v>
      </c>
      <c r="BC1551" s="3" t="s">
        <v>95</v>
      </c>
      <c r="BD1551" t="s">
        <v>4</v>
      </c>
      <c r="BE1551">
        <v>1056</v>
      </c>
      <c r="BF1551" t="s">
        <v>151</v>
      </c>
      <c r="BH1551">
        <v>97.777799999999999</v>
      </c>
      <c r="CK1551">
        <v>2</v>
      </c>
      <c r="CL1551" t="s">
        <v>4</v>
      </c>
      <c r="CM1551" t="s">
        <v>98</v>
      </c>
      <c r="CN1551" t="s">
        <v>98</v>
      </c>
      <c r="CO1551" t="s">
        <v>99</v>
      </c>
      <c r="CP1551" t="s">
        <v>100</v>
      </c>
      <c r="CQ1551" t="s">
        <v>100</v>
      </c>
      <c r="CR1551" t="s">
        <v>100</v>
      </c>
      <c r="CS1551" t="s">
        <v>101</v>
      </c>
      <c r="CT1551" t="s">
        <v>100</v>
      </c>
      <c r="CU1551" t="s">
        <v>102</v>
      </c>
      <c r="CV1551" t="s">
        <v>100</v>
      </c>
    </row>
    <row r="1552" spans="1:100">
      <c r="A1552" s="3" t="s">
        <v>16780</v>
      </c>
      <c r="B1552" s="4" t="s">
        <v>16781</v>
      </c>
      <c r="C1552">
        <v>73.879519754455899</v>
      </c>
      <c r="D1552">
        <v>33.7463193388338</v>
      </c>
      <c r="E1552">
        <v>1.1357857623399401</v>
      </c>
      <c r="F1552">
        <v>5.5484267941718603E-2</v>
      </c>
      <c r="G1552" t="s">
        <v>4</v>
      </c>
      <c r="H1552">
        <v>73.879519754455899</v>
      </c>
      <c r="I1552">
        <v>17.780659394373799</v>
      </c>
      <c r="J1552">
        <v>2.0445010781986799</v>
      </c>
      <c r="K1552">
        <v>5.8789756100648995E-4</v>
      </c>
      <c r="L1552" t="s">
        <v>4</v>
      </c>
      <c r="M1552">
        <v>33.7463193388338</v>
      </c>
      <c r="N1552">
        <v>17.780659394373799</v>
      </c>
      <c r="O1552">
        <v>0.90871531585874599</v>
      </c>
      <c r="P1552">
        <v>0.158635168000194</v>
      </c>
      <c r="Q1552" t="s">
        <v>4</v>
      </c>
      <c r="R1552" s="4" t="s">
        <v>87</v>
      </c>
      <c r="S1552" t="s">
        <v>4</v>
      </c>
      <c r="T1552" t="s">
        <v>92</v>
      </c>
      <c r="U1552" t="s">
        <v>92</v>
      </c>
      <c r="V1552" t="s">
        <v>92</v>
      </c>
      <c r="W1552" t="s">
        <v>92</v>
      </c>
      <c r="X1552" t="s">
        <v>4</v>
      </c>
      <c r="Y1552" t="s">
        <v>16782</v>
      </c>
      <c r="Z1552" t="s">
        <v>16783</v>
      </c>
      <c r="AA1552" t="s">
        <v>16784</v>
      </c>
      <c r="AB1552" t="s">
        <v>4</v>
      </c>
      <c r="AC1552" s="3" t="s">
        <v>16785</v>
      </c>
      <c r="AD1552" t="s">
        <v>4</v>
      </c>
      <c r="AE1552" t="s">
        <v>16786</v>
      </c>
      <c r="AF1552" t="s">
        <v>16787</v>
      </c>
      <c r="AG1552" t="s">
        <v>5187</v>
      </c>
      <c r="AH1552" t="s">
        <v>638</v>
      </c>
      <c r="AU1552" t="s">
        <v>112</v>
      </c>
      <c r="AV1552" t="s">
        <v>16788</v>
      </c>
      <c r="AW1552" t="s">
        <v>114</v>
      </c>
      <c r="AX1552" t="s">
        <v>144</v>
      </c>
      <c r="AY1552" t="s">
        <v>16789</v>
      </c>
      <c r="AZ1552" t="s">
        <v>4</v>
      </c>
      <c r="BA1552" s="3" t="s">
        <v>95</v>
      </c>
      <c r="BB1552" s="6" t="s">
        <v>95</v>
      </c>
      <c r="BC1552" s="3" t="s">
        <v>95</v>
      </c>
      <c r="BD1552" t="s">
        <v>4</v>
      </c>
      <c r="BE1552">
        <v>4079</v>
      </c>
      <c r="BF1552" t="s">
        <v>112</v>
      </c>
      <c r="BG1552">
        <v>96.907200000000003</v>
      </c>
      <c r="BH1552">
        <v>69.072199999999995</v>
      </c>
      <c r="BI1552">
        <v>87.972499999999997</v>
      </c>
      <c r="BJ1552">
        <v>43.298999999999999</v>
      </c>
      <c r="BK1552">
        <v>64.604799999999997</v>
      </c>
      <c r="BM1552">
        <v>62.199300000000001</v>
      </c>
      <c r="BN1552">
        <v>71.821299999999994</v>
      </c>
      <c r="BO1552">
        <v>70.790400000000005</v>
      </c>
      <c r="BP1552">
        <v>36.082500000000003</v>
      </c>
      <c r="BW1552">
        <v>23.024100000000001</v>
      </c>
      <c r="CA1552">
        <v>25.085899999999999</v>
      </c>
      <c r="CK1552">
        <v>5</v>
      </c>
      <c r="CL1552" t="s">
        <v>4</v>
      </c>
      <c r="CM1552" t="s">
        <v>16790</v>
      </c>
      <c r="CN1552" t="s">
        <v>16791</v>
      </c>
      <c r="CO1552" t="s">
        <v>663</v>
      </c>
      <c r="CP1552" t="s">
        <v>100</v>
      </c>
      <c r="CQ1552" t="s">
        <v>100</v>
      </c>
      <c r="CR1552" t="s">
        <v>100</v>
      </c>
      <c r="CS1552" t="s">
        <v>101</v>
      </c>
      <c r="CT1552" t="s">
        <v>100</v>
      </c>
      <c r="CU1552" t="s">
        <v>102</v>
      </c>
      <c r="CV1552" t="s">
        <v>100</v>
      </c>
    </row>
    <row r="1553" spans="1:100">
      <c r="A1553" s="3" t="s">
        <v>16792</v>
      </c>
      <c r="B1553" s="4" t="s">
        <v>16793</v>
      </c>
      <c r="C1553">
        <v>26.923111172014501</v>
      </c>
      <c r="D1553">
        <v>8.1237873860976197</v>
      </c>
      <c r="E1553">
        <v>1.7360252483424601</v>
      </c>
      <c r="F1553">
        <v>0.105696247860103</v>
      </c>
      <c r="G1553" t="s">
        <v>4</v>
      </c>
      <c r="H1553">
        <v>26.923111172014501</v>
      </c>
      <c r="I1553">
        <v>2.2723541815685802</v>
      </c>
      <c r="J1553">
        <v>3.54898981348882</v>
      </c>
      <c r="K1553">
        <v>2.9532176128929401E-3</v>
      </c>
      <c r="L1553" t="s">
        <v>4</v>
      </c>
      <c r="M1553">
        <v>8.1237873860976197</v>
      </c>
      <c r="N1553">
        <v>2.2723541815685802</v>
      </c>
      <c r="O1553">
        <v>1.81296456514636</v>
      </c>
      <c r="P1553">
        <v>0.16018810648753101</v>
      </c>
      <c r="Q1553" t="s">
        <v>4</v>
      </c>
      <c r="R1553" s="4" t="s">
        <v>87</v>
      </c>
      <c r="S1553" t="s">
        <v>4</v>
      </c>
      <c r="T1553" t="s">
        <v>92</v>
      </c>
      <c r="U1553" t="s">
        <v>92</v>
      </c>
      <c r="V1553" t="s">
        <v>92</v>
      </c>
      <c r="W1553" t="s">
        <v>92</v>
      </c>
      <c r="X1553" t="s">
        <v>4</v>
      </c>
      <c r="Y1553" t="s">
        <v>92</v>
      </c>
      <c r="Z1553" t="s">
        <v>92</v>
      </c>
      <c r="AA1553" t="s">
        <v>92</v>
      </c>
      <c r="AB1553" t="s">
        <v>4</v>
      </c>
      <c r="AC1553" s="3" t="s">
        <v>93</v>
      </c>
      <c r="AD1553" t="s">
        <v>4</v>
      </c>
      <c r="AE1553" s="4" t="s">
        <v>94</v>
      </c>
      <c r="AZ1553" t="s">
        <v>4</v>
      </c>
      <c r="BA1553" s="3" t="s">
        <v>95</v>
      </c>
      <c r="BB1553" s="6" t="s">
        <v>95</v>
      </c>
      <c r="BC1553" s="3" t="s">
        <v>197</v>
      </c>
      <c r="BD1553" t="s">
        <v>4</v>
      </c>
      <c r="BE1553">
        <v>1166</v>
      </c>
      <c r="BF1553" t="s">
        <v>151</v>
      </c>
      <c r="BG1553">
        <v>25.168500000000002</v>
      </c>
      <c r="BI1553">
        <v>59.101100000000002</v>
      </c>
      <c r="BJ1553">
        <v>38.202199999999998</v>
      </c>
      <c r="BM1553">
        <v>14.8315</v>
      </c>
      <c r="BN1553">
        <v>23.8202</v>
      </c>
      <c r="BO1553">
        <v>25.842700000000001</v>
      </c>
      <c r="CK1553">
        <v>2</v>
      </c>
      <c r="CL1553" t="s">
        <v>4</v>
      </c>
      <c r="CM1553" t="s">
        <v>98</v>
      </c>
      <c r="CN1553" t="s">
        <v>98</v>
      </c>
      <c r="CO1553" t="s">
        <v>99</v>
      </c>
      <c r="CP1553" t="s">
        <v>100</v>
      </c>
      <c r="CQ1553" t="s">
        <v>100</v>
      </c>
      <c r="CR1553" t="s">
        <v>100</v>
      </c>
      <c r="CS1553" t="s">
        <v>101</v>
      </c>
      <c r="CT1553" t="s">
        <v>100</v>
      </c>
      <c r="CU1553" t="s">
        <v>102</v>
      </c>
      <c r="CV1553" t="s">
        <v>100</v>
      </c>
    </row>
    <row r="1554" spans="1:100">
      <c r="A1554" s="3" t="s">
        <v>16794</v>
      </c>
      <c r="B1554" s="4" t="s">
        <v>16795</v>
      </c>
      <c r="C1554">
        <v>37.373930776521298</v>
      </c>
      <c r="D1554">
        <v>12.6720229934262</v>
      </c>
      <c r="E1554">
        <v>1.5610360669810901</v>
      </c>
      <c r="F1554">
        <v>0.105943107177698</v>
      </c>
      <c r="G1554" t="s">
        <v>4</v>
      </c>
      <c r="H1554">
        <v>37.373930776521298</v>
      </c>
      <c r="I1554">
        <v>4.5134018917233902</v>
      </c>
      <c r="J1554">
        <v>3.0962104395209802</v>
      </c>
      <c r="K1554">
        <v>2.2505734946650299E-3</v>
      </c>
      <c r="L1554" t="s">
        <v>4</v>
      </c>
      <c r="M1554">
        <v>12.6720229934262</v>
      </c>
      <c r="N1554">
        <v>4.5134018917233902</v>
      </c>
      <c r="O1554">
        <v>1.5351743725398901</v>
      </c>
      <c r="P1554">
        <v>0.160305965033121</v>
      </c>
      <c r="Q1554" t="s">
        <v>4</v>
      </c>
      <c r="R1554" s="4" t="s">
        <v>87</v>
      </c>
      <c r="S1554" t="s">
        <v>4</v>
      </c>
      <c r="T1554" t="s">
        <v>460</v>
      </c>
      <c r="U1554" t="s">
        <v>461</v>
      </c>
      <c r="V1554" t="s">
        <v>462</v>
      </c>
      <c r="W1554" t="s">
        <v>123</v>
      </c>
      <c r="X1554" t="s">
        <v>4</v>
      </c>
      <c r="Y1554" t="s">
        <v>463</v>
      </c>
      <c r="Z1554" t="s">
        <v>464</v>
      </c>
      <c r="AA1554" t="s">
        <v>465</v>
      </c>
      <c r="AB1554" t="s">
        <v>4</v>
      </c>
      <c r="AC1554" s="3" t="s">
        <v>93</v>
      </c>
      <c r="AD1554" t="s">
        <v>4</v>
      </c>
      <c r="AE1554" s="4" t="s">
        <v>94</v>
      </c>
      <c r="AZ1554" t="s">
        <v>4</v>
      </c>
      <c r="BA1554" s="3" t="s">
        <v>95</v>
      </c>
      <c r="BB1554" s="6" t="s">
        <v>95</v>
      </c>
      <c r="BC1554" s="3" t="s">
        <v>197</v>
      </c>
      <c r="BD1554" t="s">
        <v>4</v>
      </c>
      <c r="BE1554">
        <v>5813</v>
      </c>
      <c r="BF1554" t="s">
        <v>386</v>
      </c>
      <c r="BJ1554">
        <v>14.4269</v>
      </c>
      <c r="BL1554">
        <v>6.7193699999999996</v>
      </c>
      <c r="BR1554">
        <v>8.6956500000000005</v>
      </c>
      <c r="BV1554">
        <v>5.73123</v>
      </c>
      <c r="BW1554">
        <v>5.73123</v>
      </c>
      <c r="CC1554">
        <v>8.6956500000000005</v>
      </c>
      <c r="CD1554">
        <v>9.6837900000000001</v>
      </c>
      <c r="CG1554" t="s">
        <v>16796</v>
      </c>
      <c r="CH1554" t="s">
        <v>16797</v>
      </c>
      <c r="CI1554" t="s">
        <v>16798</v>
      </c>
      <c r="CK1554">
        <v>7</v>
      </c>
      <c r="CL1554" t="s">
        <v>4</v>
      </c>
      <c r="CM1554" t="s">
        <v>98</v>
      </c>
      <c r="CN1554" t="s">
        <v>98</v>
      </c>
      <c r="CO1554" t="s">
        <v>99</v>
      </c>
      <c r="CP1554" t="s">
        <v>100</v>
      </c>
      <c r="CQ1554" t="s">
        <v>100</v>
      </c>
      <c r="CR1554" t="s">
        <v>100</v>
      </c>
      <c r="CS1554" t="s">
        <v>101</v>
      </c>
      <c r="CT1554" t="s">
        <v>100</v>
      </c>
      <c r="CU1554" t="s">
        <v>102</v>
      </c>
      <c r="CV1554" t="s">
        <v>100</v>
      </c>
    </row>
    <row r="1555" spans="1:100">
      <c r="A1555" s="3" t="s">
        <v>16799</v>
      </c>
      <c r="B1555" s="4" t="s">
        <v>16800</v>
      </c>
      <c r="C1555">
        <v>30.542439267518802</v>
      </c>
      <c r="D1555">
        <v>10.9667257968309</v>
      </c>
      <c r="E1555">
        <v>1.48136166638532</v>
      </c>
      <c r="F1555">
        <v>6.9867171023638305E-2</v>
      </c>
      <c r="G1555" t="s">
        <v>4</v>
      </c>
      <c r="H1555">
        <v>30.542439267518802</v>
      </c>
      <c r="I1555">
        <v>4.36658553740115</v>
      </c>
      <c r="J1555">
        <v>2.8431115449177802</v>
      </c>
      <c r="K1555">
        <v>1.3963834046488699E-3</v>
      </c>
      <c r="L1555" t="s">
        <v>4</v>
      </c>
      <c r="M1555">
        <v>10.9667257968309</v>
      </c>
      <c r="N1555">
        <v>4.36658553740115</v>
      </c>
      <c r="O1555">
        <v>1.36174987853246</v>
      </c>
      <c r="P1555">
        <v>0.16132104930049501</v>
      </c>
      <c r="Q1555" t="s">
        <v>4</v>
      </c>
      <c r="R1555" s="4" t="s">
        <v>87</v>
      </c>
      <c r="S1555" t="s">
        <v>4</v>
      </c>
      <c r="T1555" t="s">
        <v>460</v>
      </c>
      <c r="U1555" t="s">
        <v>461</v>
      </c>
      <c r="V1555" t="s">
        <v>462</v>
      </c>
      <c r="W1555" t="s">
        <v>123</v>
      </c>
      <c r="X1555" t="s">
        <v>4</v>
      </c>
      <c r="Y1555" t="s">
        <v>463</v>
      </c>
      <c r="Z1555" t="s">
        <v>464</v>
      </c>
      <c r="AA1555" t="s">
        <v>465</v>
      </c>
      <c r="AB1555" t="s">
        <v>4</v>
      </c>
      <c r="AC1555" s="3" t="s">
        <v>93</v>
      </c>
      <c r="AD1555" t="s">
        <v>4</v>
      </c>
      <c r="AE1555" t="s">
        <v>9850</v>
      </c>
      <c r="AF1555" t="s">
        <v>16801</v>
      </c>
      <c r="AG1555" t="s">
        <v>16802</v>
      </c>
      <c r="AH1555" t="s">
        <v>169</v>
      </c>
      <c r="AU1555" t="s">
        <v>112</v>
      </c>
      <c r="AV1555" t="s">
        <v>470</v>
      </c>
      <c r="AW1555" t="s">
        <v>114</v>
      </c>
      <c r="AX1555" t="s">
        <v>144</v>
      </c>
      <c r="AY1555" t="s">
        <v>471</v>
      </c>
      <c r="AZ1555" t="s">
        <v>4</v>
      </c>
      <c r="BA1555" s="3" t="s">
        <v>95</v>
      </c>
      <c r="BB1555" s="6" t="s">
        <v>95</v>
      </c>
      <c r="BC1555" s="3" t="s">
        <v>197</v>
      </c>
      <c r="BD1555" t="s">
        <v>4</v>
      </c>
      <c r="BE1555">
        <v>1598</v>
      </c>
      <c r="BF1555" t="s">
        <v>151</v>
      </c>
      <c r="CK1555">
        <v>2</v>
      </c>
      <c r="CL1555" t="s">
        <v>4</v>
      </c>
      <c r="CM1555" t="s">
        <v>98</v>
      </c>
      <c r="CN1555" t="s">
        <v>98</v>
      </c>
      <c r="CO1555" t="s">
        <v>99</v>
      </c>
      <c r="CP1555" t="s">
        <v>100</v>
      </c>
      <c r="CQ1555" t="s">
        <v>100</v>
      </c>
      <c r="CR1555" t="s">
        <v>100</v>
      </c>
      <c r="CS1555" t="s">
        <v>101</v>
      </c>
      <c r="CT1555" t="s">
        <v>100</v>
      </c>
      <c r="CU1555" t="s">
        <v>102</v>
      </c>
      <c r="CV1555" t="s">
        <v>100</v>
      </c>
    </row>
    <row r="1556" spans="1:100">
      <c r="A1556" s="3" t="s">
        <v>16803</v>
      </c>
      <c r="B1556" s="4" t="s">
        <v>16804</v>
      </c>
      <c r="C1556">
        <v>35.991761318238503</v>
      </c>
      <c r="D1556">
        <v>8.9155724823075797</v>
      </c>
      <c r="E1556">
        <v>2.02458494270117</v>
      </c>
      <c r="F1556">
        <v>5.27665727411624E-2</v>
      </c>
      <c r="G1556" t="s">
        <v>4</v>
      </c>
      <c r="H1556">
        <v>35.991761318238503</v>
      </c>
      <c r="I1556">
        <v>3.0305930987751402</v>
      </c>
      <c r="J1556">
        <v>3.76874977260703</v>
      </c>
      <c r="K1556">
        <v>1.04109252645918E-3</v>
      </c>
      <c r="L1556" t="s">
        <v>4</v>
      </c>
      <c r="M1556">
        <v>8.9155724823075797</v>
      </c>
      <c r="N1556">
        <v>3.0305930987751402</v>
      </c>
      <c r="O1556">
        <v>1.7441648299058601</v>
      </c>
      <c r="P1556">
        <v>0.16324011221116699</v>
      </c>
      <c r="Q1556" t="s">
        <v>4</v>
      </c>
      <c r="R1556" s="4" t="s">
        <v>87</v>
      </c>
      <c r="S1556" t="s">
        <v>4</v>
      </c>
      <c r="T1556" t="s">
        <v>92</v>
      </c>
      <c r="U1556" t="s">
        <v>92</v>
      </c>
      <c r="V1556" t="s">
        <v>92</v>
      </c>
      <c r="W1556" t="s">
        <v>92</v>
      </c>
      <c r="X1556" t="s">
        <v>4</v>
      </c>
      <c r="Y1556" t="s">
        <v>92</v>
      </c>
      <c r="Z1556" t="s">
        <v>92</v>
      </c>
      <c r="AA1556" t="s">
        <v>92</v>
      </c>
      <c r="AB1556" t="s">
        <v>4</v>
      </c>
      <c r="AC1556" s="3" t="s">
        <v>93</v>
      </c>
      <c r="AD1556" t="s">
        <v>4</v>
      </c>
      <c r="AE1556" s="4" t="s">
        <v>94</v>
      </c>
      <c r="AZ1556" t="s">
        <v>4</v>
      </c>
      <c r="BA1556" s="3" t="s">
        <v>95</v>
      </c>
      <c r="BB1556" s="6" t="s">
        <v>95</v>
      </c>
      <c r="BC1556" s="3" t="s">
        <v>95</v>
      </c>
      <c r="BD1556" t="s">
        <v>4</v>
      </c>
      <c r="BE1556">
        <v>2286</v>
      </c>
      <c r="BF1556" t="s">
        <v>148</v>
      </c>
      <c r="BG1556">
        <v>24.050599999999999</v>
      </c>
      <c r="BH1556">
        <v>52.531599999999997</v>
      </c>
      <c r="BI1556">
        <v>89.240499999999997</v>
      </c>
      <c r="BJ1556">
        <v>49.367100000000001</v>
      </c>
      <c r="BK1556">
        <v>66.455699999999993</v>
      </c>
      <c r="BL1556">
        <v>62.025300000000001</v>
      </c>
      <c r="BM1556">
        <v>17.721499999999999</v>
      </c>
      <c r="BN1556">
        <v>61.392400000000002</v>
      </c>
      <c r="BO1556">
        <v>60.126600000000003</v>
      </c>
      <c r="CK1556">
        <v>3</v>
      </c>
      <c r="CL1556" t="s">
        <v>4</v>
      </c>
      <c r="CM1556" t="s">
        <v>98</v>
      </c>
      <c r="CN1556" t="s">
        <v>98</v>
      </c>
      <c r="CO1556" t="s">
        <v>99</v>
      </c>
      <c r="CP1556" t="s">
        <v>100</v>
      </c>
      <c r="CQ1556" t="s">
        <v>100</v>
      </c>
      <c r="CR1556" t="s">
        <v>100</v>
      </c>
      <c r="CS1556" t="s">
        <v>101</v>
      </c>
      <c r="CT1556" t="s">
        <v>100</v>
      </c>
      <c r="CU1556" t="s">
        <v>102</v>
      </c>
      <c r="CV1556" t="s">
        <v>100</v>
      </c>
    </row>
    <row r="1557" spans="1:100">
      <c r="A1557" s="3" t="s">
        <v>16805</v>
      </c>
      <c r="B1557" s="4" t="s">
        <v>16806</v>
      </c>
      <c r="C1557">
        <v>41.106643606268001</v>
      </c>
      <c r="D1557">
        <v>15.309909820238101</v>
      </c>
      <c r="E1557">
        <v>1.42719669177433</v>
      </c>
      <c r="F1557">
        <v>0.125821954383424</v>
      </c>
      <c r="G1557" t="s">
        <v>4</v>
      </c>
      <c r="H1557">
        <v>41.106643606268001</v>
      </c>
      <c r="I1557">
        <v>5.6591929318157197</v>
      </c>
      <c r="J1557">
        <v>2.8607622327487898</v>
      </c>
      <c r="K1557">
        <v>2.8535352015316702E-3</v>
      </c>
      <c r="L1557" t="s">
        <v>4</v>
      </c>
      <c r="M1557">
        <v>15.309909820238101</v>
      </c>
      <c r="N1557">
        <v>5.6591929318157197</v>
      </c>
      <c r="O1557">
        <v>1.4335655409744501</v>
      </c>
      <c r="P1557">
        <v>0.164696667266923</v>
      </c>
      <c r="Q1557" t="s">
        <v>4</v>
      </c>
      <c r="R1557" s="4" t="s">
        <v>87</v>
      </c>
      <c r="S1557" t="s">
        <v>4</v>
      </c>
      <c r="T1557" t="s">
        <v>92</v>
      </c>
      <c r="U1557" t="s">
        <v>92</v>
      </c>
      <c r="V1557" t="s">
        <v>92</v>
      </c>
      <c r="W1557" t="s">
        <v>92</v>
      </c>
      <c r="X1557" t="s">
        <v>4</v>
      </c>
      <c r="Y1557" t="s">
        <v>92</v>
      </c>
      <c r="Z1557" t="s">
        <v>92</v>
      </c>
      <c r="AA1557" t="s">
        <v>92</v>
      </c>
      <c r="AB1557" t="s">
        <v>4</v>
      </c>
      <c r="AC1557" s="3" t="s">
        <v>93</v>
      </c>
      <c r="AD1557" t="s">
        <v>4</v>
      </c>
      <c r="AE1557" s="4" t="s">
        <v>94</v>
      </c>
      <c r="AZ1557" t="s">
        <v>4</v>
      </c>
      <c r="BA1557" s="3" t="s">
        <v>95</v>
      </c>
      <c r="BB1557" s="6" t="s">
        <v>95</v>
      </c>
      <c r="BC1557" s="3" t="s">
        <v>197</v>
      </c>
      <c r="BD1557" t="s">
        <v>4</v>
      </c>
      <c r="BE1557">
        <v>1375</v>
      </c>
      <c r="BF1557" t="s">
        <v>151</v>
      </c>
      <c r="BG1557">
        <v>90</v>
      </c>
      <c r="CK1557">
        <v>2</v>
      </c>
      <c r="CL1557" t="s">
        <v>4</v>
      </c>
      <c r="CM1557" t="s">
        <v>98</v>
      </c>
      <c r="CN1557" t="s">
        <v>98</v>
      </c>
      <c r="CO1557" t="s">
        <v>99</v>
      </c>
      <c r="CP1557" t="s">
        <v>100</v>
      </c>
      <c r="CQ1557" t="s">
        <v>100</v>
      </c>
      <c r="CR1557" t="s">
        <v>100</v>
      </c>
      <c r="CS1557" t="s">
        <v>101</v>
      </c>
      <c r="CT1557" t="s">
        <v>100</v>
      </c>
      <c r="CU1557" t="s">
        <v>102</v>
      </c>
      <c r="CV1557" t="s">
        <v>100</v>
      </c>
    </row>
    <row r="1558" spans="1:100">
      <c r="A1558" s="3" t="s">
        <v>16807</v>
      </c>
      <c r="B1558" s="4" t="s">
        <v>16808</v>
      </c>
      <c r="C1558">
        <v>27.744676164727998</v>
      </c>
      <c r="D1558">
        <v>8.7959796720840409</v>
      </c>
      <c r="E1558">
        <v>1.66226985278518</v>
      </c>
      <c r="F1558">
        <v>0.13389898178962301</v>
      </c>
      <c r="G1558" t="s">
        <v>4</v>
      </c>
      <c r="H1558">
        <v>27.744676164727998</v>
      </c>
      <c r="I1558">
        <v>2.3157392257800198</v>
      </c>
      <c r="J1558">
        <v>3.4591709160559398</v>
      </c>
      <c r="K1558">
        <v>4.1774083531577397E-3</v>
      </c>
      <c r="L1558" t="s">
        <v>4</v>
      </c>
      <c r="M1558">
        <v>8.7959796720840409</v>
      </c>
      <c r="N1558">
        <v>2.3157392257800198</v>
      </c>
      <c r="O1558">
        <v>1.79690106327076</v>
      </c>
      <c r="P1558">
        <v>0.16730116532009501</v>
      </c>
      <c r="Q1558" t="s">
        <v>4</v>
      </c>
      <c r="R1558" s="4" t="s">
        <v>87</v>
      </c>
      <c r="S1558" t="s">
        <v>4</v>
      </c>
      <c r="T1558" t="s">
        <v>92</v>
      </c>
      <c r="U1558" t="s">
        <v>92</v>
      </c>
      <c r="V1558" t="s">
        <v>92</v>
      </c>
      <c r="W1558" t="s">
        <v>92</v>
      </c>
      <c r="X1558" t="s">
        <v>4</v>
      </c>
      <c r="Y1558" t="s">
        <v>16809</v>
      </c>
      <c r="Z1558" t="s">
        <v>16810</v>
      </c>
      <c r="AA1558" t="s">
        <v>16811</v>
      </c>
      <c r="AB1558" t="s">
        <v>4</v>
      </c>
      <c r="AC1558" s="3" t="s">
        <v>93</v>
      </c>
      <c r="AD1558" t="s">
        <v>4</v>
      </c>
      <c r="AE1558" t="s">
        <v>16812</v>
      </c>
      <c r="AF1558" t="s">
        <v>16813</v>
      </c>
      <c r="AG1558" t="s">
        <v>16814</v>
      </c>
      <c r="AH1558" t="s">
        <v>314</v>
      </c>
      <c r="AU1558" t="s">
        <v>112</v>
      </c>
      <c r="AV1558" t="s">
        <v>16815</v>
      </c>
      <c r="AW1558" t="s">
        <v>114</v>
      </c>
      <c r="AX1558" t="s">
        <v>144</v>
      </c>
      <c r="AY1558" t="s">
        <v>16816</v>
      </c>
      <c r="AZ1558" t="s">
        <v>4</v>
      </c>
      <c r="BA1558" s="3" t="s">
        <v>95</v>
      </c>
      <c r="BB1558" s="6" t="s">
        <v>95</v>
      </c>
      <c r="BC1558" s="3" t="s">
        <v>95</v>
      </c>
      <c r="BD1558" t="s">
        <v>4</v>
      </c>
      <c r="BE1558">
        <v>4737</v>
      </c>
      <c r="BF1558" t="s">
        <v>282</v>
      </c>
      <c r="BH1558">
        <v>99.492400000000004</v>
      </c>
      <c r="BJ1558">
        <v>74.619299999999996</v>
      </c>
      <c r="BK1558">
        <v>68.020300000000006</v>
      </c>
      <c r="BM1558">
        <v>65.989800000000002</v>
      </c>
      <c r="BN1558">
        <v>67.005099999999999</v>
      </c>
      <c r="BO1558">
        <v>69.035499999999999</v>
      </c>
      <c r="BW1558" t="s">
        <v>16817</v>
      </c>
      <c r="BX1558" t="s">
        <v>16818</v>
      </c>
      <c r="BY1558" t="s">
        <v>16819</v>
      </c>
      <c r="BZ1558" t="s">
        <v>16820</v>
      </c>
      <c r="CA1558">
        <v>24.873100000000001</v>
      </c>
      <c r="CB1558">
        <v>29.441600000000001</v>
      </c>
      <c r="CF1558">
        <v>15.736000000000001</v>
      </c>
      <c r="CG1558" t="s">
        <v>16821</v>
      </c>
      <c r="CH1558" t="s">
        <v>16822</v>
      </c>
      <c r="CI1558" t="s">
        <v>16823</v>
      </c>
      <c r="CK1558">
        <v>6</v>
      </c>
      <c r="CL1558" t="s">
        <v>4</v>
      </c>
      <c r="CM1558" t="s">
        <v>16824</v>
      </c>
      <c r="CN1558" t="s">
        <v>16825</v>
      </c>
      <c r="CO1558" t="s">
        <v>1218</v>
      </c>
      <c r="CP1558" t="s">
        <v>100</v>
      </c>
      <c r="CQ1558" t="s">
        <v>100</v>
      </c>
      <c r="CR1558" t="s">
        <v>100</v>
      </c>
      <c r="CS1558" t="s">
        <v>101</v>
      </c>
      <c r="CT1558" t="s">
        <v>100</v>
      </c>
      <c r="CU1558" t="s">
        <v>102</v>
      </c>
      <c r="CV1558" t="s">
        <v>100</v>
      </c>
    </row>
    <row r="1559" spans="1:100">
      <c r="A1559" s="3" t="s">
        <v>16826</v>
      </c>
      <c r="B1559" s="4" t="s">
        <v>16827</v>
      </c>
      <c r="C1559">
        <v>21.5418953747708</v>
      </c>
      <c r="D1559">
        <v>8.13546034496507</v>
      </c>
      <c r="E1559">
        <v>1.3983745007085799</v>
      </c>
      <c r="F1559">
        <v>0.12272240795924801</v>
      </c>
      <c r="G1559" t="s">
        <v>4</v>
      </c>
      <c r="H1559">
        <v>21.5418953747708</v>
      </c>
      <c r="I1559">
        <v>2.9090439294678201</v>
      </c>
      <c r="J1559">
        <v>2.9271852080355401</v>
      </c>
      <c r="K1559">
        <v>4.0743910750651903E-3</v>
      </c>
      <c r="L1559" t="s">
        <v>4</v>
      </c>
      <c r="M1559">
        <v>8.13546034496507</v>
      </c>
      <c r="N1559">
        <v>2.9090439294678201</v>
      </c>
      <c r="O1559">
        <v>1.5288107073269599</v>
      </c>
      <c r="P1559">
        <v>0.16760270388799201</v>
      </c>
      <c r="Q1559" t="s">
        <v>4</v>
      </c>
      <c r="R1559" s="4" t="s">
        <v>87</v>
      </c>
      <c r="S1559" t="s">
        <v>4</v>
      </c>
      <c r="T1559" t="s">
        <v>16828</v>
      </c>
      <c r="U1559" t="s">
        <v>16829</v>
      </c>
      <c r="V1559" t="s">
        <v>16830</v>
      </c>
      <c r="W1559" t="s">
        <v>203</v>
      </c>
      <c r="X1559" t="s">
        <v>4</v>
      </c>
      <c r="Y1559" t="s">
        <v>16831</v>
      </c>
      <c r="Z1559" t="s">
        <v>16832</v>
      </c>
      <c r="AA1559" t="s">
        <v>16833</v>
      </c>
      <c r="AB1559" t="s">
        <v>4</v>
      </c>
      <c r="AC1559" s="3" t="s">
        <v>16834</v>
      </c>
      <c r="AD1559" t="s">
        <v>4</v>
      </c>
      <c r="AE1559" t="s">
        <v>16835</v>
      </c>
      <c r="AF1559" t="s">
        <v>16836</v>
      </c>
      <c r="AG1559" t="s">
        <v>7290</v>
      </c>
      <c r="AH1559" t="s">
        <v>112</v>
      </c>
      <c r="AI1559" t="s">
        <v>16837</v>
      </c>
      <c r="AK1559" t="s">
        <v>16838</v>
      </c>
      <c r="AL1559" t="s">
        <v>16839</v>
      </c>
      <c r="AM1559" t="s">
        <v>5371</v>
      </c>
      <c r="AQ1559" t="s">
        <v>342</v>
      </c>
      <c r="AU1559" t="s">
        <v>112</v>
      </c>
      <c r="AV1559" t="s">
        <v>16840</v>
      </c>
      <c r="AW1559" t="s">
        <v>114</v>
      </c>
      <c r="AX1559" t="s">
        <v>733</v>
      </c>
      <c r="AY1559" t="s">
        <v>16841</v>
      </c>
      <c r="AZ1559" t="s">
        <v>4</v>
      </c>
      <c r="BA1559" s="3" t="s">
        <v>95</v>
      </c>
      <c r="BB1559" s="6" t="s">
        <v>95</v>
      </c>
      <c r="BC1559" s="3" t="s">
        <v>197</v>
      </c>
      <c r="BD1559" t="s">
        <v>4</v>
      </c>
      <c r="BE1559">
        <v>5412</v>
      </c>
      <c r="BF1559" t="s">
        <v>386</v>
      </c>
      <c r="BG1559">
        <v>97.435900000000004</v>
      </c>
      <c r="BH1559">
        <v>100</v>
      </c>
      <c r="BJ1559">
        <v>63.247900000000001</v>
      </c>
      <c r="BL1559">
        <v>31.623899999999999</v>
      </c>
      <c r="BM1559">
        <v>41.595399999999998</v>
      </c>
      <c r="BN1559">
        <v>41.310499999999998</v>
      </c>
      <c r="BP1559">
        <v>44.159500000000001</v>
      </c>
      <c r="BR1559">
        <v>35.897399999999998</v>
      </c>
      <c r="BS1559" t="s">
        <v>16842</v>
      </c>
      <c r="BU1559">
        <v>36.752099999999999</v>
      </c>
      <c r="BV1559" t="s">
        <v>16843</v>
      </c>
      <c r="BW1559">
        <v>37.6068</v>
      </c>
      <c r="BX1559" t="s">
        <v>16844</v>
      </c>
      <c r="BZ1559" t="s">
        <v>16845</v>
      </c>
      <c r="CA1559">
        <v>37.036999999999999</v>
      </c>
      <c r="CC1559">
        <v>27.635300000000001</v>
      </c>
      <c r="CD1559" t="s">
        <v>16846</v>
      </c>
      <c r="CF1559">
        <v>31.908799999999999</v>
      </c>
      <c r="CG1559" t="s">
        <v>16847</v>
      </c>
      <c r="CH1559" t="s">
        <v>16848</v>
      </c>
      <c r="CI1559" t="s">
        <v>16849</v>
      </c>
      <c r="CK1559">
        <v>7</v>
      </c>
      <c r="CL1559" t="s">
        <v>4</v>
      </c>
      <c r="CM1559" t="s">
        <v>16850</v>
      </c>
      <c r="CN1559" t="s">
        <v>16851</v>
      </c>
      <c r="CO1559" t="s">
        <v>663</v>
      </c>
      <c r="CP1559" t="s">
        <v>100</v>
      </c>
      <c r="CQ1559" t="s">
        <v>100</v>
      </c>
      <c r="CR1559" t="s">
        <v>100</v>
      </c>
      <c r="CS1559" t="s">
        <v>101</v>
      </c>
      <c r="CT1559" t="s">
        <v>100</v>
      </c>
      <c r="CU1559" t="s">
        <v>102</v>
      </c>
      <c r="CV1559" t="s">
        <v>100</v>
      </c>
    </row>
    <row r="1560" spans="1:100">
      <c r="A1560" s="3" t="s">
        <v>16852</v>
      </c>
      <c r="B1560" s="4" t="s">
        <v>16853</v>
      </c>
      <c r="C1560">
        <v>21.6654083774947</v>
      </c>
      <c r="D1560">
        <v>8.5896787342874408</v>
      </c>
      <c r="E1560">
        <v>1.3218874859983201</v>
      </c>
      <c r="F1560">
        <v>0.135693718658665</v>
      </c>
      <c r="G1560" t="s">
        <v>4</v>
      </c>
      <c r="H1560">
        <v>21.6654083774947</v>
      </c>
      <c r="I1560">
        <v>2.9463896872804201</v>
      </c>
      <c r="J1560">
        <v>2.80231570456866</v>
      </c>
      <c r="K1560">
        <v>4.5840557270795199E-3</v>
      </c>
      <c r="L1560" t="s">
        <v>4</v>
      </c>
      <c r="M1560">
        <v>8.5896787342874408</v>
      </c>
      <c r="N1560">
        <v>2.9463896872804201</v>
      </c>
      <c r="O1560">
        <v>1.4804282185703299</v>
      </c>
      <c r="P1560">
        <v>0.16781628460345399</v>
      </c>
      <c r="Q1560" t="s">
        <v>4</v>
      </c>
      <c r="R1560" s="4" t="s">
        <v>87</v>
      </c>
      <c r="S1560" t="s">
        <v>4</v>
      </c>
      <c r="T1560" t="s">
        <v>92</v>
      </c>
      <c r="U1560" t="s">
        <v>92</v>
      </c>
      <c r="V1560" t="s">
        <v>92</v>
      </c>
      <c r="W1560" t="s">
        <v>92</v>
      </c>
      <c r="X1560" t="s">
        <v>4</v>
      </c>
      <c r="Y1560" t="s">
        <v>92</v>
      </c>
      <c r="Z1560" t="s">
        <v>92</v>
      </c>
      <c r="AA1560" t="s">
        <v>92</v>
      </c>
      <c r="AB1560" t="s">
        <v>4</v>
      </c>
      <c r="AC1560" s="3" t="s">
        <v>93</v>
      </c>
      <c r="AD1560" t="s">
        <v>4</v>
      </c>
      <c r="AE1560" s="4" t="s">
        <v>94</v>
      </c>
      <c r="AZ1560" t="s">
        <v>4</v>
      </c>
      <c r="BA1560" s="3" t="s">
        <v>95</v>
      </c>
      <c r="BB1560" s="6" t="s">
        <v>95</v>
      </c>
      <c r="BC1560" s="3" t="s">
        <v>95</v>
      </c>
      <c r="BD1560" t="s">
        <v>4</v>
      </c>
      <c r="BE1560">
        <v>1735</v>
      </c>
      <c r="BF1560" t="s">
        <v>151</v>
      </c>
      <c r="BG1560" t="s">
        <v>16854</v>
      </c>
      <c r="BJ1560">
        <v>43.303600000000003</v>
      </c>
      <c r="BK1560" t="s">
        <v>9892</v>
      </c>
      <c r="BO1560">
        <v>33.482100000000003</v>
      </c>
      <c r="CK1560">
        <v>2</v>
      </c>
      <c r="CL1560" t="s">
        <v>4</v>
      </c>
      <c r="CM1560" t="s">
        <v>98</v>
      </c>
      <c r="CN1560" t="s">
        <v>98</v>
      </c>
      <c r="CO1560" t="s">
        <v>99</v>
      </c>
      <c r="CP1560" t="s">
        <v>100</v>
      </c>
      <c r="CQ1560" t="s">
        <v>100</v>
      </c>
      <c r="CR1560" t="s">
        <v>100</v>
      </c>
      <c r="CS1560" t="s">
        <v>101</v>
      </c>
      <c r="CT1560" t="s">
        <v>100</v>
      </c>
      <c r="CU1560" t="s">
        <v>102</v>
      </c>
      <c r="CV1560" t="s">
        <v>100</v>
      </c>
    </row>
    <row r="1561" spans="1:100">
      <c r="A1561" s="3" t="s">
        <v>16855</v>
      </c>
      <c r="B1561" s="4" t="s">
        <v>16856</v>
      </c>
      <c r="C1561">
        <v>39.429449062324302</v>
      </c>
      <c r="D1561">
        <v>14.200338412707699</v>
      </c>
      <c r="E1561">
        <v>1.46721971026524</v>
      </c>
      <c r="F1561">
        <v>8.1944882023047005E-2</v>
      </c>
      <c r="G1561" t="s">
        <v>4</v>
      </c>
      <c r="H1561">
        <v>39.429449062324302</v>
      </c>
      <c r="I1561">
        <v>5.9769827860555598</v>
      </c>
      <c r="J1561">
        <v>2.7725041307931102</v>
      </c>
      <c r="K1561">
        <v>1.6630890918617101E-3</v>
      </c>
      <c r="L1561" t="s">
        <v>4</v>
      </c>
      <c r="M1561">
        <v>14.200338412707699</v>
      </c>
      <c r="N1561">
        <v>5.9769827860555598</v>
      </c>
      <c r="O1561">
        <v>1.30528442052786</v>
      </c>
      <c r="P1561">
        <v>0.172975785073228</v>
      </c>
      <c r="Q1561" t="s">
        <v>4</v>
      </c>
      <c r="R1561" s="4" t="s">
        <v>87</v>
      </c>
      <c r="S1561" t="s">
        <v>4</v>
      </c>
      <c r="T1561" t="s">
        <v>16857</v>
      </c>
      <c r="U1561" t="s">
        <v>16858</v>
      </c>
      <c r="V1561" t="s">
        <v>16859</v>
      </c>
      <c r="W1561" t="s">
        <v>328</v>
      </c>
      <c r="X1561" t="s">
        <v>4</v>
      </c>
      <c r="Y1561" t="s">
        <v>16860</v>
      </c>
      <c r="Z1561" t="s">
        <v>16861</v>
      </c>
      <c r="AA1561" t="s">
        <v>16862</v>
      </c>
      <c r="AB1561" t="s">
        <v>4</v>
      </c>
      <c r="AC1561" s="3" t="s">
        <v>16863</v>
      </c>
      <c r="AD1561" t="s">
        <v>4</v>
      </c>
      <c r="AE1561" t="s">
        <v>16864</v>
      </c>
      <c r="AF1561" t="s">
        <v>16865</v>
      </c>
      <c r="AG1561" t="s">
        <v>15564</v>
      </c>
      <c r="AH1561" t="s">
        <v>112</v>
      </c>
      <c r="AJ1561" t="s">
        <v>16866</v>
      </c>
      <c r="AL1561" t="s">
        <v>16867</v>
      </c>
      <c r="AM1561" t="s">
        <v>16868</v>
      </c>
      <c r="AQ1561" t="s">
        <v>16869</v>
      </c>
      <c r="AU1561" t="s">
        <v>112</v>
      </c>
      <c r="AV1561" t="s">
        <v>16870</v>
      </c>
      <c r="AW1561" t="s">
        <v>114</v>
      </c>
      <c r="AX1561" t="s">
        <v>345</v>
      </c>
      <c r="AY1561" t="s">
        <v>16871</v>
      </c>
      <c r="AZ1561" t="s">
        <v>4</v>
      </c>
      <c r="BA1561" s="3" t="s">
        <v>95</v>
      </c>
      <c r="BB1561" t="s">
        <v>96</v>
      </c>
      <c r="BC1561" s="3" t="s">
        <v>95</v>
      </c>
      <c r="BD1561" t="s">
        <v>4</v>
      </c>
      <c r="BE1561">
        <v>3550</v>
      </c>
      <c r="BF1561" t="s">
        <v>112</v>
      </c>
      <c r="BG1561">
        <v>86.046499999999995</v>
      </c>
      <c r="BI1561">
        <v>96.2791</v>
      </c>
      <c r="BL1561">
        <v>78.139499999999998</v>
      </c>
      <c r="BM1561">
        <v>77.674400000000006</v>
      </c>
      <c r="BN1561">
        <v>77.674400000000006</v>
      </c>
      <c r="BO1561">
        <v>73.953500000000005</v>
      </c>
      <c r="BP1561">
        <v>43.255800000000001</v>
      </c>
      <c r="BQ1561">
        <v>26.511600000000001</v>
      </c>
      <c r="BR1561">
        <v>34.418599999999998</v>
      </c>
      <c r="BS1561">
        <v>25.116299999999999</v>
      </c>
      <c r="CK1561">
        <v>5</v>
      </c>
      <c r="CL1561" t="s">
        <v>4</v>
      </c>
      <c r="CM1561" t="s">
        <v>98</v>
      </c>
      <c r="CN1561" t="s">
        <v>98</v>
      </c>
      <c r="CO1561" t="s">
        <v>99</v>
      </c>
      <c r="CP1561" t="s">
        <v>100</v>
      </c>
      <c r="CQ1561" t="s">
        <v>100</v>
      </c>
      <c r="CR1561" t="s">
        <v>100</v>
      </c>
      <c r="CS1561" t="s">
        <v>101</v>
      </c>
      <c r="CT1561" t="s">
        <v>100</v>
      </c>
      <c r="CU1561" t="s">
        <v>102</v>
      </c>
      <c r="CV1561" t="s">
        <v>100</v>
      </c>
    </row>
    <row r="1562" spans="1:100">
      <c r="A1562" s="3" t="s">
        <v>16872</v>
      </c>
      <c r="B1562" s="4" t="s">
        <v>16873</v>
      </c>
      <c r="C1562">
        <v>31.8566390928973</v>
      </c>
      <c r="D1562">
        <v>10.911028603654101</v>
      </c>
      <c r="E1562">
        <v>1.54950026338072</v>
      </c>
      <c r="F1562">
        <v>9.4588949089626201E-2</v>
      </c>
      <c r="G1562" t="s">
        <v>4</v>
      </c>
      <c r="H1562">
        <v>31.8566390928973</v>
      </c>
      <c r="I1562">
        <v>4.1763841388674701</v>
      </c>
      <c r="J1562">
        <v>3.0068268366081301</v>
      </c>
      <c r="K1562">
        <v>2.4135025344385998E-3</v>
      </c>
      <c r="L1562" t="s">
        <v>4</v>
      </c>
      <c r="M1562">
        <v>10.911028603654101</v>
      </c>
      <c r="N1562">
        <v>4.1763841388674701</v>
      </c>
      <c r="O1562">
        <v>1.4573265732274101</v>
      </c>
      <c r="P1562">
        <v>0.17579283170526699</v>
      </c>
      <c r="Q1562" t="s">
        <v>4</v>
      </c>
      <c r="R1562" s="4" t="s">
        <v>87</v>
      </c>
      <c r="S1562" t="s">
        <v>4</v>
      </c>
      <c r="T1562" t="s">
        <v>92</v>
      </c>
      <c r="U1562" t="s">
        <v>92</v>
      </c>
      <c r="V1562" t="s">
        <v>92</v>
      </c>
      <c r="W1562" t="s">
        <v>92</v>
      </c>
      <c r="X1562" t="s">
        <v>4</v>
      </c>
      <c r="Y1562" t="s">
        <v>92</v>
      </c>
      <c r="Z1562" t="s">
        <v>92</v>
      </c>
      <c r="AA1562" t="s">
        <v>92</v>
      </c>
      <c r="AB1562" t="s">
        <v>4</v>
      </c>
      <c r="AC1562" s="3" t="s">
        <v>93</v>
      </c>
      <c r="AD1562" t="s">
        <v>4</v>
      </c>
      <c r="AE1562" s="4" t="s">
        <v>94</v>
      </c>
      <c r="AZ1562" t="s">
        <v>4</v>
      </c>
      <c r="BA1562" s="3" t="s">
        <v>95</v>
      </c>
      <c r="BB1562" s="6" t="s">
        <v>95</v>
      </c>
      <c r="BC1562" s="3" t="s">
        <v>95</v>
      </c>
      <c r="BD1562" t="s">
        <v>4</v>
      </c>
      <c r="BE1562">
        <v>1014</v>
      </c>
      <c r="BF1562" t="s">
        <v>151</v>
      </c>
      <c r="BG1562">
        <v>51.428600000000003</v>
      </c>
      <c r="BH1562">
        <v>80</v>
      </c>
      <c r="BI1562">
        <v>57.142899999999997</v>
      </c>
      <c r="BJ1562">
        <v>38.571399999999997</v>
      </c>
      <c r="BL1562">
        <v>22.381</v>
      </c>
      <c r="BM1562">
        <v>30.476199999999999</v>
      </c>
      <c r="BN1562">
        <v>34.285699999999999</v>
      </c>
      <c r="CK1562">
        <v>2</v>
      </c>
      <c r="CL1562" t="s">
        <v>4</v>
      </c>
      <c r="CM1562" t="s">
        <v>98</v>
      </c>
      <c r="CN1562" t="s">
        <v>98</v>
      </c>
      <c r="CO1562" t="s">
        <v>99</v>
      </c>
      <c r="CP1562" t="s">
        <v>100</v>
      </c>
      <c r="CQ1562" t="s">
        <v>100</v>
      </c>
      <c r="CR1562" t="s">
        <v>100</v>
      </c>
      <c r="CS1562" t="s">
        <v>101</v>
      </c>
      <c r="CT1562" t="s">
        <v>100</v>
      </c>
      <c r="CU1562" t="s">
        <v>102</v>
      </c>
      <c r="CV1562" t="s">
        <v>100</v>
      </c>
    </row>
    <row r="1563" spans="1:100">
      <c r="A1563" s="3" t="s">
        <v>16874</v>
      </c>
      <c r="B1563" s="4" t="s">
        <v>16875</v>
      </c>
      <c r="C1563">
        <v>22.730238662631599</v>
      </c>
      <c r="D1563">
        <v>4.9924728116970396</v>
      </c>
      <c r="E1563">
        <v>2.1838119405393699</v>
      </c>
      <c r="F1563">
        <v>9.7413699995524405E-2</v>
      </c>
      <c r="G1563" t="s">
        <v>4</v>
      </c>
      <c r="H1563">
        <v>22.730238662631599</v>
      </c>
      <c r="I1563">
        <v>1.1205238550774099</v>
      </c>
      <c r="J1563">
        <v>4.5225237901625102</v>
      </c>
      <c r="K1563">
        <v>4.68741207883582E-3</v>
      </c>
      <c r="L1563" t="s">
        <v>4</v>
      </c>
      <c r="M1563">
        <v>4.9924728116970396</v>
      </c>
      <c r="N1563">
        <v>1.1205238550774099</v>
      </c>
      <c r="O1563">
        <v>2.3387118496231398</v>
      </c>
      <c r="P1563">
        <v>0.17616569208802599</v>
      </c>
      <c r="Q1563" t="s">
        <v>4</v>
      </c>
      <c r="R1563" s="4" t="s">
        <v>87</v>
      </c>
      <c r="S1563" t="s">
        <v>4</v>
      </c>
      <c r="T1563" t="s">
        <v>92</v>
      </c>
      <c r="U1563" t="s">
        <v>92</v>
      </c>
      <c r="V1563" t="s">
        <v>92</v>
      </c>
      <c r="W1563" t="s">
        <v>92</v>
      </c>
      <c r="X1563" t="s">
        <v>4</v>
      </c>
      <c r="Y1563" t="s">
        <v>92</v>
      </c>
      <c r="Z1563" t="s">
        <v>92</v>
      </c>
      <c r="AA1563" t="s">
        <v>92</v>
      </c>
      <c r="AB1563" t="s">
        <v>4</v>
      </c>
      <c r="AC1563" s="3" t="s">
        <v>93</v>
      </c>
      <c r="AD1563" t="s">
        <v>4</v>
      </c>
      <c r="AE1563" s="4" t="s">
        <v>94</v>
      </c>
      <c r="AZ1563" t="s">
        <v>4</v>
      </c>
      <c r="BA1563" s="3" t="s">
        <v>95</v>
      </c>
      <c r="BB1563" s="6" t="s">
        <v>95</v>
      </c>
      <c r="BC1563" s="3" t="s">
        <v>197</v>
      </c>
      <c r="BD1563" t="s">
        <v>4</v>
      </c>
      <c r="BE1563">
        <v>2477</v>
      </c>
      <c r="BF1563" t="s">
        <v>97</v>
      </c>
      <c r="BG1563">
        <v>80.434799999999996</v>
      </c>
      <c r="BH1563">
        <v>79.891300000000001</v>
      </c>
      <c r="BI1563">
        <v>77.717399999999998</v>
      </c>
      <c r="BJ1563">
        <v>60.869599999999998</v>
      </c>
      <c r="BL1563">
        <v>48.912999999999997</v>
      </c>
      <c r="BM1563">
        <v>55.434800000000003</v>
      </c>
      <c r="BN1563">
        <v>59.239100000000001</v>
      </c>
      <c r="BO1563">
        <v>61.956499999999998</v>
      </c>
      <c r="CK1563">
        <v>4</v>
      </c>
      <c r="CL1563" t="s">
        <v>4</v>
      </c>
      <c r="CM1563" t="s">
        <v>98</v>
      </c>
      <c r="CN1563" t="s">
        <v>98</v>
      </c>
      <c r="CO1563" t="s">
        <v>99</v>
      </c>
      <c r="CP1563" t="s">
        <v>100</v>
      </c>
      <c r="CQ1563" t="s">
        <v>100</v>
      </c>
      <c r="CR1563" t="s">
        <v>100</v>
      </c>
      <c r="CS1563" t="s">
        <v>101</v>
      </c>
      <c r="CT1563" t="s">
        <v>100</v>
      </c>
      <c r="CU1563" t="s">
        <v>102</v>
      </c>
      <c r="CV1563" t="s">
        <v>100</v>
      </c>
    </row>
    <row r="1564" spans="1:100">
      <c r="A1564" s="3" t="s">
        <v>16876</v>
      </c>
      <c r="B1564" s="4" t="s">
        <v>16877</v>
      </c>
      <c r="C1564">
        <v>32.8289459463603</v>
      </c>
      <c r="D1564">
        <v>10.643773176599501</v>
      </c>
      <c r="E1564">
        <v>1.62973224110874</v>
      </c>
      <c r="F1564">
        <v>8.6456776300159494E-2</v>
      </c>
      <c r="G1564" t="s">
        <v>4</v>
      </c>
      <c r="H1564">
        <v>32.8289459463603</v>
      </c>
      <c r="I1564">
        <v>3.8767121438241499</v>
      </c>
      <c r="J1564">
        <v>3.1087284271068198</v>
      </c>
      <c r="K1564">
        <v>2.23550973510638E-3</v>
      </c>
      <c r="L1564" t="s">
        <v>4</v>
      </c>
      <c r="M1564">
        <v>10.643773176599501</v>
      </c>
      <c r="N1564">
        <v>3.8767121438241499</v>
      </c>
      <c r="O1564">
        <v>1.47899618599808</v>
      </c>
      <c r="P1564">
        <v>0.1813746713926</v>
      </c>
      <c r="Q1564" t="s">
        <v>4</v>
      </c>
      <c r="R1564" s="4" t="s">
        <v>87</v>
      </c>
      <c r="S1564" t="s">
        <v>4</v>
      </c>
      <c r="T1564" t="s">
        <v>88</v>
      </c>
      <c r="U1564" t="s">
        <v>89</v>
      </c>
      <c r="V1564" t="s">
        <v>90</v>
      </c>
      <c r="W1564" t="s">
        <v>91</v>
      </c>
      <c r="X1564" t="s">
        <v>4</v>
      </c>
      <c r="Y1564" t="s">
        <v>7298</v>
      </c>
      <c r="Z1564" t="s">
        <v>7299</v>
      </c>
      <c r="AA1564" t="s">
        <v>7300</v>
      </c>
      <c r="AB1564" t="s">
        <v>4</v>
      </c>
      <c r="AC1564" s="3" t="s">
        <v>9067</v>
      </c>
      <c r="AD1564" t="s">
        <v>4</v>
      </c>
      <c r="AE1564" s="4" t="s">
        <v>94</v>
      </c>
      <c r="AZ1564" t="s">
        <v>4</v>
      </c>
      <c r="BA1564" s="3" t="s">
        <v>95</v>
      </c>
      <c r="BB1564" t="s">
        <v>96</v>
      </c>
      <c r="BC1564" s="3" t="s">
        <v>197</v>
      </c>
      <c r="BD1564" t="s">
        <v>4</v>
      </c>
      <c r="BE1564">
        <v>1385</v>
      </c>
      <c r="BF1564" t="s">
        <v>151</v>
      </c>
      <c r="BG1564">
        <v>87.412599999999998</v>
      </c>
      <c r="BH1564">
        <v>46.853099999999998</v>
      </c>
      <c r="BI1564" t="s">
        <v>16878</v>
      </c>
      <c r="BJ1564">
        <v>81.118899999999996</v>
      </c>
      <c r="BL1564">
        <v>64.335700000000003</v>
      </c>
      <c r="BM1564">
        <v>49.650300000000001</v>
      </c>
      <c r="BN1564">
        <v>60.839199999999998</v>
      </c>
      <c r="BO1564">
        <v>57.342700000000001</v>
      </c>
      <c r="CK1564">
        <v>2</v>
      </c>
      <c r="CL1564" t="s">
        <v>4</v>
      </c>
      <c r="CM1564" t="s">
        <v>98</v>
      </c>
      <c r="CN1564" t="s">
        <v>98</v>
      </c>
      <c r="CO1564" t="s">
        <v>99</v>
      </c>
      <c r="CP1564" t="s">
        <v>100</v>
      </c>
      <c r="CQ1564" t="s">
        <v>100</v>
      </c>
      <c r="CR1564" t="s">
        <v>100</v>
      </c>
      <c r="CS1564" t="s">
        <v>101</v>
      </c>
      <c r="CT1564" t="s">
        <v>100</v>
      </c>
      <c r="CU1564" t="s">
        <v>102</v>
      </c>
      <c r="CV1564" t="s">
        <v>100</v>
      </c>
    </row>
    <row r="1565" spans="1:100">
      <c r="A1565" s="3" t="s">
        <v>16879</v>
      </c>
      <c r="B1565" s="4" t="s">
        <v>16880</v>
      </c>
      <c r="C1565">
        <v>14.079703999948901</v>
      </c>
      <c r="D1565">
        <v>4.2758138713629998</v>
      </c>
      <c r="E1565">
        <v>1.7374689941983601</v>
      </c>
      <c r="F1565">
        <v>0.14455128449499499</v>
      </c>
      <c r="G1565" t="s">
        <v>4</v>
      </c>
      <c r="H1565">
        <v>14.079703999948901</v>
      </c>
      <c r="I1565">
        <v>0.97370750075516699</v>
      </c>
      <c r="J1565">
        <v>3.9393758850435998</v>
      </c>
      <c r="K1565">
        <v>9.7155350977181799E-3</v>
      </c>
      <c r="L1565" t="s">
        <v>4</v>
      </c>
      <c r="M1565">
        <v>4.2758138713629998</v>
      </c>
      <c r="N1565">
        <v>0.97370750075516699</v>
      </c>
      <c r="O1565">
        <v>2.2019068908452399</v>
      </c>
      <c r="P1565">
        <v>0.18218491721991301</v>
      </c>
      <c r="Q1565" t="s">
        <v>4</v>
      </c>
      <c r="R1565" s="4" t="s">
        <v>87</v>
      </c>
      <c r="S1565" t="s">
        <v>4</v>
      </c>
      <c r="T1565" t="s">
        <v>92</v>
      </c>
      <c r="U1565" t="s">
        <v>92</v>
      </c>
      <c r="V1565" t="s">
        <v>92</v>
      </c>
      <c r="W1565" t="s">
        <v>92</v>
      </c>
      <c r="X1565" t="s">
        <v>4</v>
      </c>
      <c r="Y1565" t="s">
        <v>7095</v>
      </c>
      <c r="Z1565" t="s">
        <v>7096</v>
      </c>
      <c r="AA1565" t="s">
        <v>7096</v>
      </c>
      <c r="AB1565" t="s">
        <v>4</v>
      </c>
      <c r="AC1565" s="3" t="s">
        <v>11081</v>
      </c>
      <c r="AD1565" t="s">
        <v>4</v>
      </c>
      <c r="AE1565" t="s">
        <v>16881</v>
      </c>
      <c r="AF1565" t="s">
        <v>16882</v>
      </c>
      <c r="AG1565" t="s">
        <v>16883</v>
      </c>
      <c r="AH1565" t="s">
        <v>112</v>
      </c>
      <c r="AU1565" t="s">
        <v>112</v>
      </c>
      <c r="AV1565" t="s">
        <v>7101</v>
      </c>
      <c r="AW1565" t="s">
        <v>114</v>
      </c>
      <c r="AX1565" t="s">
        <v>144</v>
      </c>
      <c r="AY1565" t="s">
        <v>7102</v>
      </c>
      <c r="AZ1565" t="s">
        <v>4</v>
      </c>
      <c r="BA1565" s="3" t="s">
        <v>95</v>
      </c>
      <c r="BB1565" t="s">
        <v>96</v>
      </c>
      <c r="BC1565" s="3" t="s">
        <v>197</v>
      </c>
      <c r="BD1565" t="s">
        <v>4</v>
      </c>
      <c r="BE1565">
        <v>1828</v>
      </c>
      <c r="BF1565" t="s">
        <v>148</v>
      </c>
      <c r="BG1565">
        <v>99.206400000000002</v>
      </c>
      <c r="BH1565">
        <v>100</v>
      </c>
      <c r="BJ1565">
        <v>65.873000000000005</v>
      </c>
      <c r="BK1565">
        <v>52.381</v>
      </c>
      <c r="BM1565">
        <v>61.904800000000002</v>
      </c>
      <c r="BN1565">
        <v>49.206299999999999</v>
      </c>
      <c r="BO1565">
        <v>50.793700000000001</v>
      </c>
      <c r="CK1565">
        <v>3</v>
      </c>
      <c r="CL1565" t="s">
        <v>4</v>
      </c>
      <c r="CM1565" t="s">
        <v>98</v>
      </c>
      <c r="CN1565" t="s">
        <v>98</v>
      </c>
      <c r="CO1565" t="s">
        <v>99</v>
      </c>
      <c r="CP1565" t="s">
        <v>100</v>
      </c>
      <c r="CQ1565" t="s">
        <v>100</v>
      </c>
      <c r="CR1565" t="s">
        <v>100</v>
      </c>
      <c r="CS1565" t="s">
        <v>101</v>
      </c>
      <c r="CT1565" t="s">
        <v>100</v>
      </c>
      <c r="CU1565" t="s">
        <v>102</v>
      </c>
      <c r="CV1565" t="s">
        <v>100</v>
      </c>
    </row>
    <row r="1566" spans="1:100">
      <c r="A1566" s="3" t="s">
        <v>16884</v>
      </c>
      <c r="B1566" s="4" t="s">
        <v>16885</v>
      </c>
      <c r="C1566">
        <v>48.865403932048402</v>
      </c>
      <c r="D1566">
        <v>17.575562496427999</v>
      </c>
      <c r="E1566">
        <v>1.48056251584827</v>
      </c>
      <c r="F1566">
        <v>7.40523509132609E-2</v>
      </c>
      <c r="G1566" t="s">
        <v>4</v>
      </c>
      <c r="H1566">
        <v>48.865403932048402</v>
      </c>
      <c r="I1566">
        <v>7.3623995552918604</v>
      </c>
      <c r="J1566">
        <v>2.7049364431041201</v>
      </c>
      <c r="K1566">
        <v>1.4289398172670201E-3</v>
      </c>
      <c r="L1566" t="s">
        <v>4</v>
      </c>
      <c r="M1566">
        <v>17.575562496427999</v>
      </c>
      <c r="N1566">
        <v>7.3623995552918604</v>
      </c>
      <c r="O1566">
        <v>1.22437392725585</v>
      </c>
      <c r="P1566">
        <v>0.184291724608146</v>
      </c>
      <c r="Q1566" t="s">
        <v>4</v>
      </c>
      <c r="R1566" s="4" t="s">
        <v>87</v>
      </c>
      <c r="S1566" t="s">
        <v>4</v>
      </c>
      <c r="T1566" t="s">
        <v>360</v>
      </c>
      <c r="U1566" t="s">
        <v>361</v>
      </c>
      <c r="V1566" t="s">
        <v>362</v>
      </c>
      <c r="W1566" t="s">
        <v>328</v>
      </c>
      <c r="X1566" t="s">
        <v>4</v>
      </c>
      <c r="Y1566" t="s">
        <v>1044</v>
      </c>
      <c r="Z1566" t="s">
        <v>1045</v>
      </c>
      <c r="AA1566" t="s">
        <v>1046</v>
      </c>
      <c r="AB1566" t="s">
        <v>4</v>
      </c>
      <c r="AC1566" s="3" t="s">
        <v>16886</v>
      </c>
      <c r="AD1566" t="s">
        <v>4</v>
      </c>
      <c r="AE1566" t="s">
        <v>16887</v>
      </c>
      <c r="AF1566" t="s">
        <v>16888</v>
      </c>
      <c r="AG1566" t="s">
        <v>14566</v>
      </c>
      <c r="AH1566" t="s">
        <v>112</v>
      </c>
      <c r="AJ1566" t="s">
        <v>16889</v>
      </c>
      <c r="AL1566" t="s">
        <v>16890</v>
      </c>
      <c r="AM1566" t="s">
        <v>16891</v>
      </c>
      <c r="AQ1566" t="s">
        <v>1584</v>
      </c>
      <c r="AU1566" t="s">
        <v>112</v>
      </c>
      <c r="AV1566" t="s">
        <v>16892</v>
      </c>
      <c r="AW1566" t="s">
        <v>114</v>
      </c>
      <c r="AX1566" t="s">
        <v>371</v>
      </c>
      <c r="AY1566" t="s">
        <v>1005</v>
      </c>
      <c r="AZ1566" t="s">
        <v>4</v>
      </c>
      <c r="BA1566" s="3" t="s">
        <v>95</v>
      </c>
      <c r="BB1566" s="6" t="s">
        <v>95</v>
      </c>
      <c r="BC1566" s="3" t="s">
        <v>95</v>
      </c>
      <c r="BD1566" t="s">
        <v>4</v>
      </c>
      <c r="BE1566">
        <v>6539</v>
      </c>
      <c r="BF1566" t="s">
        <v>213</v>
      </c>
      <c r="BG1566">
        <v>98.005700000000004</v>
      </c>
      <c r="BH1566">
        <v>88.603999999999999</v>
      </c>
      <c r="BI1566">
        <v>70.655299999999997</v>
      </c>
      <c r="BJ1566">
        <v>48.148099999999999</v>
      </c>
      <c r="BK1566">
        <v>60.113999999999997</v>
      </c>
      <c r="BL1566">
        <v>65.242199999999997</v>
      </c>
      <c r="BM1566">
        <v>61.823399999999999</v>
      </c>
      <c r="BN1566">
        <v>63.532800000000002</v>
      </c>
      <c r="BO1566" t="s">
        <v>16893</v>
      </c>
      <c r="BP1566">
        <v>32.1937</v>
      </c>
      <c r="BQ1566">
        <v>29.3447</v>
      </c>
      <c r="BT1566">
        <v>12.535600000000001</v>
      </c>
      <c r="BX1566">
        <v>19.373200000000001</v>
      </c>
      <c r="BY1566">
        <v>22.507100000000001</v>
      </c>
      <c r="BZ1566">
        <v>12.535600000000001</v>
      </c>
      <c r="CA1566">
        <v>26.210799999999999</v>
      </c>
      <c r="CF1566">
        <v>23.646699999999999</v>
      </c>
      <c r="CG1566" t="s">
        <v>16894</v>
      </c>
      <c r="CH1566" t="s">
        <v>16895</v>
      </c>
      <c r="CI1566" t="s">
        <v>16896</v>
      </c>
      <c r="CK1566">
        <v>8</v>
      </c>
      <c r="CL1566" t="s">
        <v>4</v>
      </c>
      <c r="CM1566" t="s">
        <v>16897</v>
      </c>
      <c r="CN1566" t="s">
        <v>16898</v>
      </c>
      <c r="CO1566" t="s">
        <v>99</v>
      </c>
      <c r="CP1566" t="s">
        <v>100</v>
      </c>
      <c r="CQ1566" t="s">
        <v>100</v>
      </c>
      <c r="CR1566" t="s">
        <v>100</v>
      </c>
      <c r="CS1566" t="s">
        <v>101</v>
      </c>
      <c r="CT1566" t="s">
        <v>100</v>
      </c>
      <c r="CU1566" t="s">
        <v>102</v>
      </c>
      <c r="CV1566" t="s">
        <v>100</v>
      </c>
    </row>
    <row r="1567" spans="1:100">
      <c r="A1567" s="3" t="s">
        <v>16899</v>
      </c>
      <c r="B1567" s="4" t="s">
        <v>16900</v>
      </c>
      <c r="C1567">
        <v>16.9557471648878</v>
      </c>
      <c r="D1567">
        <v>5.2398568560141596</v>
      </c>
      <c r="E1567">
        <v>1.7097005554154101</v>
      </c>
      <c r="F1567">
        <v>0.126431949867332</v>
      </c>
      <c r="G1567" t="s">
        <v>4</v>
      </c>
      <c r="H1567">
        <v>16.9557471648878</v>
      </c>
      <c r="I1567">
        <v>1.3046859672122499</v>
      </c>
      <c r="J1567">
        <v>3.6486452251399601</v>
      </c>
      <c r="K1567">
        <v>6.7280413871544298E-3</v>
      </c>
      <c r="L1567" t="s">
        <v>4</v>
      </c>
      <c r="M1567">
        <v>5.2398568560141596</v>
      </c>
      <c r="N1567">
        <v>1.3046859672122499</v>
      </c>
      <c r="O1567">
        <v>1.93894466972455</v>
      </c>
      <c r="P1567">
        <v>0.185662748416906</v>
      </c>
      <c r="Q1567" t="s">
        <v>4</v>
      </c>
      <c r="R1567" s="4" t="s">
        <v>87</v>
      </c>
      <c r="S1567" t="s">
        <v>4</v>
      </c>
      <c r="T1567" t="s">
        <v>92</v>
      </c>
      <c r="U1567" t="s">
        <v>92</v>
      </c>
      <c r="V1567" t="s">
        <v>92</v>
      </c>
      <c r="W1567" t="s">
        <v>92</v>
      </c>
      <c r="X1567" t="s">
        <v>4</v>
      </c>
      <c r="Y1567" t="s">
        <v>92</v>
      </c>
      <c r="Z1567" t="s">
        <v>92</v>
      </c>
      <c r="AA1567" t="s">
        <v>92</v>
      </c>
      <c r="AB1567" t="s">
        <v>4</v>
      </c>
      <c r="AC1567" s="3" t="s">
        <v>93</v>
      </c>
      <c r="AD1567" t="s">
        <v>4</v>
      </c>
      <c r="AE1567" s="4" t="s">
        <v>94</v>
      </c>
      <c r="AZ1567" t="s">
        <v>4</v>
      </c>
      <c r="BA1567" s="3" t="s">
        <v>95</v>
      </c>
      <c r="BB1567" s="6" t="s">
        <v>95</v>
      </c>
      <c r="BC1567" s="3" t="s">
        <v>95</v>
      </c>
      <c r="BD1567" t="s">
        <v>4</v>
      </c>
      <c r="BE1567">
        <v>976</v>
      </c>
      <c r="BF1567" t="s">
        <v>151</v>
      </c>
      <c r="CK1567">
        <v>2</v>
      </c>
      <c r="CL1567" t="s">
        <v>4</v>
      </c>
      <c r="CM1567" t="s">
        <v>98</v>
      </c>
      <c r="CN1567" t="s">
        <v>98</v>
      </c>
      <c r="CO1567" t="s">
        <v>99</v>
      </c>
      <c r="CP1567" t="s">
        <v>100</v>
      </c>
      <c r="CQ1567" t="s">
        <v>100</v>
      </c>
      <c r="CR1567" t="s">
        <v>100</v>
      </c>
      <c r="CS1567" t="s">
        <v>101</v>
      </c>
      <c r="CT1567" t="s">
        <v>100</v>
      </c>
      <c r="CU1567" t="s">
        <v>102</v>
      </c>
      <c r="CV1567" t="s">
        <v>100</v>
      </c>
    </row>
    <row r="1568" spans="1:100">
      <c r="A1568" s="3" t="s">
        <v>16901</v>
      </c>
      <c r="B1568" s="4" t="s">
        <v>16902</v>
      </c>
      <c r="C1568">
        <v>15.0744615614688</v>
      </c>
      <c r="D1568">
        <v>4.3677792950173302</v>
      </c>
      <c r="E1568">
        <v>1.78565344291464</v>
      </c>
      <c r="F1568">
        <v>0.129284478259069</v>
      </c>
      <c r="G1568" t="s">
        <v>4</v>
      </c>
      <c r="H1568">
        <v>15.0744615614688</v>
      </c>
      <c r="I1568">
        <v>1.2733794957984901</v>
      </c>
      <c r="J1568">
        <v>3.90003179281122</v>
      </c>
      <c r="K1568">
        <v>8.4991108438199695E-3</v>
      </c>
      <c r="L1568" t="s">
        <v>4</v>
      </c>
      <c r="M1568">
        <v>4.3677792950173302</v>
      </c>
      <c r="N1568">
        <v>1.2733794957984901</v>
      </c>
      <c r="O1568">
        <v>2.1143783498965698</v>
      </c>
      <c r="P1568">
        <v>0.18959971643884899</v>
      </c>
      <c r="Q1568" t="s">
        <v>4</v>
      </c>
      <c r="R1568" s="4" t="s">
        <v>87</v>
      </c>
      <c r="S1568" t="s">
        <v>4</v>
      </c>
      <c r="T1568" t="s">
        <v>16903</v>
      </c>
      <c r="U1568" t="s">
        <v>16904</v>
      </c>
      <c r="V1568" t="s">
        <v>16905</v>
      </c>
      <c r="W1568" t="s">
        <v>328</v>
      </c>
      <c r="X1568" t="s">
        <v>4</v>
      </c>
      <c r="Y1568" t="s">
        <v>16906</v>
      </c>
      <c r="Z1568" t="s">
        <v>16907</v>
      </c>
      <c r="AA1568" t="s">
        <v>16908</v>
      </c>
      <c r="AB1568" t="s">
        <v>4</v>
      </c>
      <c r="AC1568" s="3" t="s">
        <v>93</v>
      </c>
      <c r="AD1568" t="s">
        <v>4</v>
      </c>
      <c r="AE1568" t="s">
        <v>16909</v>
      </c>
      <c r="AF1568" t="s">
        <v>16910</v>
      </c>
      <c r="AG1568" t="s">
        <v>12126</v>
      </c>
      <c r="AH1568" t="s">
        <v>314</v>
      </c>
      <c r="AU1568" t="s">
        <v>112</v>
      </c>
      <c r="AV1568" t="s">
        <v>16911</v>
      </c>
      <c r="AW1568" t="s">
        <v>114</v>
      </c>
      <c r="AX1568" t="s">
        <v>4098</v>
      </c>
      <c r="AY1568" t="s">
        <v>16912</v>
      </c>
      <c r="AZ1568" t="s">
        <v>4</v>
      </c>
      <c r="BA1568" s="3" t="s">
        <v>95</v>
      </c>
      <c r="BB1568" s="6" t="s">
        <v>95</v>
      </c>
      <c r="BC1568" s="3" t="s">
        <v>95</v>
      </c>
      <c r="BD1568" t="s">
        <v>4</v>
      </c>
      <c r="BE1568">
        <v>2394</v>
      </c>
      <c r="BF1568" t="s">
        <v>148</v>
      </c>
      <c r="BH1568">
        <v>85.714299999999994</v>
      </c>
      <c r="BK1568">
        <v>34.065899999999999</v>
      </c>
      <c r="BM1568">
        <v>61.538499999999999</v>
      </c>
      <c r="BN1568">
        <v>60.988999999999997</v>
      </c>
      <c r="BO1568">
        <v>69.780199999999994</v>
      </c>
      <c r="CK1568">
        <v>3</v>
      </c>
      <c r="CL1568" t="s">
        <v>4</v>
      </c>
      <c r="CM1568" t="s">
        <v>98</v>
      </c>
      <c r="CN1568" t="s">
        <v>98</v>
      </c>
      <c r="CO1568" t="s">
        <v>99</v>
      </c>
      <c r="CP1568" t="s">
        <v>100</v>
      </c>
      <c r="CQ1568" t="s">
        <v>100</v>
      </c>
      <c r="CR1568" t="s">
        <v>100</v>
      </c>
      <c r="CS1568" t="s">
        <v>101</v>
      </c>
      <c r="CT1568" t="s">
        <v>100</v>
      </c>
      <c r="CU1568" t="s">
        <v>102</v>
      </c>
      <c r="CV1568" t="s">
        <v>100</v>
      </c>
    </row>
    <row r="1569" spans="1:100">
      <c r="A1569" s="3" t="s">
        <v>16913</v>
      </c>
      <c r="B1569" s="4" t="s">
        <v>16914</v>
      </c>
      <c r="C1569">
        <v>82.728522116957805</v>
      </c>
      <c r="D1569">
        <v>25.624666146688</v>
      </c>
      <c r="E1569">
        <v>1.6895841784588701</v>
      </c>
      <c r="F1569">
        <v>8.2874564809279905E-2</v>
      </c>
      <c r="G1569" t="s">
        <v>4</v>
      </c>
      <c r="H1569">
        <v>82.728522116957805</v>
      </c>
      <c r="I1569">
        <v>9.8068372761975997</v>
      </c>
      <c r="J1569">
        <v>3.04718714779594</v>
      </c>
      <c r="K1569">
        <v>1.55890751645579E-3</v>
      </c>
      <c r="L1569" t="s">
        <v>4</v>
      </c>
      <c r="M1569">
        <v>25.624666146688</v>
      </c>
      <c r="N1569">
        <v>9.8068372761975997</v>
      </c>
      <c r="O1569">
        <v>1.3576029693370599</v>
      </c>
      <c r="P1569">
        <v>0.19132717087851001</v>
      </c>
      <c r="Q1569" t="s">
        <v>4</v>
      </c>
      <c r="R1569" s="4" t="s">
        <v>87</v>
      </c>
      <c r="S1569" t="s">
        <v>4</v>
      </c>
      <c r="T1569" t="s">
        <v>88</v>
      </c>
      <c r="U1569" t="s">
        <v>89</v>
      </c>
      <c r="V1569" t="s">
        <v>90</v>
      </c>
      <c r="W1569" t="s">
        <v>91</v>
      </c>
      <c r="X1569" t="s">
        <v>4</v>
      </c>
      <c r="Y1569" t="s">
        <v>977</v>
      </c>
      <c r="Z1569" t="s">
        <v>978</v>
      </c>
      <c r="AA1569" t="s">
        <v>979</v>
      </c>
      <c r="AB1569" t="s">
        <v>4</v>
      </c>
      <c r="AC1569" s="3" t="s">
        <v>7201</v>
      </c>
      <c r="AD1569" t="s">
        <v>4</v>
      </c>
      <c r="AE1569" t="s">
        <v>16915</v>
      </c>
      <c r="AF1569" t="s">
        <v>16916</v>
      </c>
      <c r="AG1569" t="s">
        <v>16917</v>
      </c>
      <c r="AH1569" t="s">
        <v>386</v>
      </c>
      <c r="AU1569" t="s">
        <v>112</v>
      </c>
      <c r="AV1569" t="s">
        <v>16918</v>
      </c>
      <c r="AW1569" t="s">
        <v>114</v>
      </c>
      <c r="AX1569" t="s">
        <v>371</v>
      </c>
      <c r="AY1569" t="s">
        <v>4519</v>
      </c>
      <c r="AZ1569" t="s">
        <v>4</v>
      </c>
      <c r="BA1569" s="3" t="s">
        <v>95</v>
      </c>
      <c r="BB1569" t="s">
        <v>96</v>
      </c>
      <c r="BC1569" s="3" t="s">
        <v>95</v>
      </c>
      <c r="BD1569" t="s">
        <v>4</v>
      </c>
      <c r="BE1569">
        <v>5212</v>
      </c>
      <c r="BF1569" t="s">
        <v>282</v>
      </c>
      <c r="BG1569">
        <v>82.337999999999994</v>
      </c>
      <c r="BH1569">
        <v>48.665799999999997</v>
      </c>
      <c r="BI1569">
        <v>58.068600000000004</v>
      </c>
      <c r="BL1569">
        <v>37.865299999999998</v>
      </c>
      <c r="BM1569">
        <v>69.885599999999997</v>
      </c>
      <c r="BN1569">
        <v>72.426900000000003</v>
      </c>
      <c r="BW1569">
        <v>28.7166</v>
      </c>
      <c r="BX1569">
        <v>20.965699999999998</v>
      </c>
      <c r="BY1569">
        <v>13.9771</v>
      </c>
      <c r="BZ1569">
        <v>18.2973</v>
      </c>
      <c r="CA1569">
        <v>18.805599999999998</v>
      </c>
      <c r="CB1569" t="s">
        <v>16919</v>
      </c>
      <c r="CD1569" t="s">
        <v>16920</v>
      </c>
      <c r="CK1569">
        <v>6</v>
      </c>
      <c r="CL1569" t="s">
        <v>4</v>
      </c>
      <c r="CM1569" t="s">
        <v>16921</v>
      </c>
      <c r="CN1569" t="s">
        <v>16922</v>
      </c>
      <c r="CO1569" t="s">
        <v>1218</v>
      </c>
      <c r="CP1569" t="s">
        <v>100</v>
      </c>
      <c r="CQ1569" t="s">
        <v>100</v>
      </c>
      <c r="CR1569" t="s">
        <v>100</v>
      </c>
      <c r="CS1569" t="s">
        <v>101</v>
      </c>
      <c r="CT1569" t="s">
        <v>100</v>
      </c>
      <c r="CU1569" t="s">
        <v>102</v>
      </c>
      <c r="CV1569" t="s">
        <v>100</v>
      </c>
    </row>
    <row r="1570" spans="1:100">
      <c r="A1570" s="3" t="s">
        <v>16923</v>
      </c>
      <c r="B1570" s="4" t="s">
        <v>16924</v>
      </c>
      <c r="C1570">
        <v>21.418050847584599</v>
      </c>
      <c r="D1570">
        <v>7.8108159508201496</v>
      </c>
      <c r="E1570">
        <v>1.45112096492647</v>
      </c>
      <c r="F1570">
        <v>0.116136096673835</v>
      </c>
      <c r="G1570" t="s">
        <v>4</v>
      </c>
      <c r="H1570">
        <v>21.418050847584599</v>
      </c>
      <c r="I1570">
        <v>2.9090439294678201</v>
      </c>
      <c r="J1570">
        <v>2.92047366782373</v>
      </c>
      <c r="K1570">
        <v>4.6734014494341503E-3</v>
      </c>
      <c r="L1570" t="s">
        <v>4</v>
      </c>
      <c r="M1570">
        <v>7.8108159508201496</v>
      </c>
      <c r="N1570">
        <v>2.9090439294678201</v>
      </c>
      <c r="O1570">
        <v>1.4693527028972599</v>
      </c>
      <c r="P1570">
        <v>0.193279348261374</v>
      </c>
      <c r="Q1570" t="s">
        <v>4</v>
      </c>
      <c r="R1570" s="4" t="s">
        <v>87</v>
      </c>
      <c r="S1570" t="s">
        <v>4</v>
      </c>
      <c r="T1570" t="s">
        <v>92</v>
      </c>
      <c r="U1570" t="s">
        <v>92</v>
      </c>
      <c r="V1570" t="s">
        <v>92</v>
      </c>
      <c r="W1570" t="s">
        <v>92</v>
      </c>
      <c r="X1570" t="s">
        <v>4</v>
      </c>
      <c r="Y1570" t="s">
        <v>92</v>
      </c>
      <c r="Z1570" t="s">
        <v>92</v>
      </c>
      <c r="AA1570" t="s">
        <v>92</v>
      </c>
      <c r="AB1570" t="s">
        <v>4</v>
      </c>
      <c r="AC1570" s="3" t="s">
        <v>93</v>
      </c>
      <c r="AD1570" t="s">
        <v>4</v>
      </c>
      <c r="AE1570" s="4" t="s">
        <v>94</v>
      </c>
      <c r="AZ1570" t="s">
        <v>4</v>
      </c>
      <c r="BA1570" s="3" t="s">
        <v>95</v>
      </c>
      <c r="BB1570" t="s">
        <v>96</v>
      </c>
      <c r="BC1570" s="3" t="s">
        <v>95</v>
      </c>
      <c r="BD1570" t="s">
        <v>4</v>
      </c>
      <c r="BE1570">
        <v>947</v>
      </c>
      <c r="BF1570" t="s">
        <v>604</v>
      </c>
      <c r="BG1570">
        <v>97.058800000000005</v>
      </c>
      <c r="CK1570">
        <v>1.5</v>
      </c>
      <c r="CL1570" t="s">
        <v>4</v>
      </c>
      <c r="CM1570" t="s">
        <v>98</v>
      </c>
      <c r="CN1570" t="s">
        <v>98</v>
      </c>
      <c r="CO1570" t="s">
        <v>99</v>
      </c>
      <c r="CP1570" t="s">
        <v>100</v>
      </c>
      <c r="CQ1570" t="s">
        <v>100</v>
      </c>
      <c r="CR1570" t="s">
        <v>100</v>
      </c>
      <c r="CS1570" t="s">
        <v>101</v>
      </c>
      <c r="CT1570" t="s">
        <v>100</v>
      </c>
      <c r="CU1570" t="s">
        <v>102</v>
      </c>
      <c r="CV1570" t="s">
        <v>100</v>
      </c>
    </row>
    <row r="1571" spans="1:100">
      <c r="A1571" s="3" t="s">
        <v>16925</v>
      </c>
      <c r="B1571" s="4" t="s">
        <v>16926</v>
      </c>
      <c r="C1571">
        <v>29.362257777998401</v>
      </c>
      <c r="D1571">
        <v>5.6758956365125801</v>
      </c>
      <c r="E1571">
        <v>2.3780179982018699</v>
      </c>
      <c r="F1571">
        <v>0.140722830999543</v>
      </c>
      <c r="G1571" t="s">
        <v>4</v>
      </c>
      <c r="H1571">
        <v>29.362257777998401</v>
      </c>
      <c r="I1571">
        <v>0.967668214356326</v>
      </c>
      <c r="J1571">
        <v>4.94419221587812</v>
      </c>
      <c r="K1571">
        <v>7.3225070119173601E-3</v>
      </c>
      <c r="L1571" t="s">
        <v>4</v>
      </c>
      <c r="M1571">
        <v>5.6758956365125801</v>
      </c>
      <c r="N1571">
        <v>0.967668214356326</v>
      </c>
      <c r="O1571">
        <v>2.5661742176762501</v>
      </c>
      <c r="P1571">
        <v>0.195593344897491</v>
      </c>
      <c r="Q1571" t="s">
        <v>4</v>
      </c>
      <c r="R1571" s="4" t="s">
        <v>87</v>
      </c>
      <c r="S1571" t="s">
        <v>4</v>
      </c>
      <c r="T1571" t="s">
        <v>92</v>
      </c>
      <c r="U1571" t="s">
        <v>92</v>
      </c>
      <c r="V1571" t="s">
        <v>92</v>
      </c>
      <c r="W1571" t="s">
        <v>92</v>
      </c>
      <c r="X1571" t="s">
        <v>4</v>
      </c>
      <c r="Y1571" t="s">
        <v>92</v>
      </c>
      <c r="Z1571" t="s">
        <v>92</v>
      </c>
      <c r="AA1571" t="s">
        <v>92</v>
      </c>
      <c r="AB1571" t="s">
        <v>4</v>
      </c>
      <c r="AC1571" s="3" t="s">
        <v>93</v>
      </c>
      <c r="AD1571" t="s">
        <v>4</v>
      </c>
      <c r="AE1571" s="4" t="s">
        <v>94</v>
      </c>
      <c r="AZ1571" t="s">
        <v>4</v>
      </c>
      <c r="BA1571" s="3" t="s">
        <v>95</v>
      </c>
      <c r="BB1571" s="6" t="s">
        <v>95</v>
      </c>
      <c r="BC1571" s="3" t="s">
        <v>95</v>
      </c>
      <c r="BD1571" t="s">
        <v>4</v>
      </c>
      <c r="BE1571">
        <v>579</v>
      </c>
      <c r="BF1571" t="s">
        <v>322</v>
      </c>
      <c r="CK1571">
        <v>1</v>
      </c>
      <c r="CL1571" t="s">
        <v>4</v>
      </c>
      <c r="CM1571" t="s">
        <v>98</v>
      </c>
      <c r="CN1571" t="s">
        <v>98</v>
      </c>
      <c r="CO1571" t="s">
        <v>99</v>
      </c>
      <c r="CP1571" t="s">
        <v>100</v>
      </c>
      <c r="CQ1571" t="s">
        <v>100</v>
      </c>
      <c r="CR1571" t="s">
        <v>100</v>
      </c>
      <c r="CS1571" t="s">
        <v>101</v>
      </c>
      <c r="CT1571" t="s">
        <v>100</v>
      </c>
      <c r="CU1571" t="s">
        <v>102</v>
      </c>
      <c r="CV1571" t="s">
        <v>100</v>
      </c>
    </row>
    <row r="1572" spans="1:100">
      <c r="A1572" s="3" t="s">
        <v>16927</v>
      </c>
      <c r="B1572" s="4" t="s">
        <v>16928</v>
      </c>
      <c r="C1572">
        <v>185.80348456956801</v>
      </c>
      <c r="D1572">
        <v>81.363439348830298</v>
      </c>
      <c r="E1572">
        <v>1.19140887480469</v>
      </c>
      <c r="F1572">
        <v>5.5150698746932902E-2</v>
      </c>
      <c r="G1572" t="s">
        <v>4</v>
      </c>
      <c r="H1572">
        <v>185.80348456956801</v>
      </c>
      <c r="I1572">
        <v>44.6673881072225</v>
      </c>
      <c r="J1572">
        <v>2.02155606050421</v>
      </c>
      <c r="K1572">
        <v>7.4838698115675705E-4</v>
      </c>
      <c r="L1572" t="s">
        <v>4</v>
      </c>
      <c r="M1572">
        <v>81.363439348830298</v>
      </c>
      <c r="N1572">
        <v>44.6673881072225</v>
      </c>
      <c r="O1572">
        <v>0.83014718569951396</v>
      </c>
      <c r="P1572">
        <v>0.199836911658859</v>
      </c>
      <c r="Q1572" t="s">
        <v>4</v>
      </c>
      <c r="R1572" s="4" t="s">
        <v>87</v>
      </c>
      <c r="S1572" t="s">
        <v>4</v>
      </c>
      <c r="T1572" t="s">
        <v>2243</v>
      </c>
      <c r="U1572" t="s">
        <v>2244</v>
      </c>
      <c r="V1572" t="s">
        <v>2245</v>
      </c>
      <c r="W1572" t="s">
        <v>123</v>
      </c>
      <c r="X1572" t="s">
        <v>4</v>
      </c>
      <c r="Y1572" t="s">
        <v>2647</v>
      </c>
      <c r="Z1572" t="s">
        <v>2648</v>
      </c>
      <c r="AA1572" t="s">
        <v>2649</v>
      </c>
      <c r="AB1572" t="s">
        <v>4</v>
      </c>
      <c r="AC1572" s="3" t="s">
        <v>2650</v>
      </c>
      <c r="AD1572" t="s">
        <v>4</v>
      </c>
      <c r="AE1572" t="s">
        <v>16929</v>
      </c>
      <c r="AF1572" t="s">
        <v>16930</v>
      </c>
      <c r="AG1572" t="s">
        <v>16931</v>
      </c>
      <c r="AH1572" t="s">
        <v>314</v>
      </c>
      <c r="AU1572" t="s">
        <v>112</v>
      </c>
      <c r="AV1572" t="s">
        <v>16932</v>
      </c>
      <c r="AW1572" t="s">
        <v>114</v>
      </c>
      <c r="AX1572" t="s">
        <v>345</v>
      </c>
      <c r="AY1572" t="s">
        <v>16933</v>
      </c>
      <c r="AZ1572" t="s">
        <v>4</v>
      </c>
      <c r="BA1572" s="3" t="s">
        <v>95</v>
      </c>
      <c r="BB1572" s="6" t="s">
        <v>95</v>
      </c>
      <c r="BC1572" s="3" t="s">
        <v>95</v>
      </c>
      <c r="BD1572" t="s">
        <v>4</v>
      </c>
      <c r="BE1572">
        <v>7942</v>
      </c>
      <c r="BF1572" t="s">
        <v>213</v>
      </c>
      <c r="BG1572">
        <v>99.016400000000004</v>
      </c>
      <c r="BH1572">
        <v>100</v>
      </c>
      <c r="BL1572">
        <v>13.7705</v>
      </c>
      <c r="BM1572">
        <v>10.819699999999999</v>
      </c>
      <c r="BR1572">
        <v>12.786899999999999</v>
      </c>
      <c r="BS1572">
        <v>9.1803299999999997</v>
      </c>
      <c r="BV1572">
        <v>18.688500000000001</v>
      </c>
      <c r="CD1572">
        <v>18.688500000000001</v>
      </c>
      <c r="CF1572">
        <v>14.754099999999999</v>
      </c>
      <c r="CK1572">
        <v>8</v>
      </c>
      <c r="CL1572" t="s">
        <v>4</v>
      </c>
      <c r="CM1572" t="s">
        <v>98</v>
      </c>
      <c r="CN1572" t="s">
        <v>98</v>
      </c>
      <c r="CO1572" t="s">
        <v>99</v>
      </c>
      <c r="CP1572" t="s">
        <v>100</v>
      </c>
      <c r="CQ1572" t="s">
        <v>100</v>
      </c>
      <c r="CR1572" t="s">
        <v>100</v>
      </c>
      <c r="CS1572" t="s">
        <v>101</v>
      </c>
      <c r="CT1572" t="s">
        <v>100</v>
      </c>
      <c r="CU1572" t="s">
        <v>102</v>
      </c>
      <c r="CV1572" t="s">
        <v>100</v>
      </c>
    </row>
    <row r="1573" spans="1:100">
      <c r="A1573" s="3" t="s">
        <v>16934</v>
      </c>
      <c r="B1573" s="4" t="s">
        <v>16935</v>
      </c>
      <c r="C1573">
        <v>55.455733239340297</v>
      </c>
      <c r="D1573">
        <v>20.968068267964998</v>
      </c>
      <c r="E1573">
        <v>1.40424995225194</v>
      </c>
      <c r="F1573">
        <v>5.9716094834017297E-2</v>
      </c>
      <c r="G1573" t="s">
        <v>4</v>
      </c>
      <c r="H1573">
        <v>55.455733239340297</v>
      </c>
      <c r="I1573">
        <v>10.0933206590237</v>
      </c>
      <c r="J1573">
        <v>2.46410881980671</v>
      </c>
      <c r="K1573">
        <v>1.14266613359163E-3</v>
      </c>
      <c r="L1573" t="s">
        <v>4</v>
      </c>
      <c r="M1573">
        <v>20.968068267964998</v>
      </c>
      <c r="N1573">
        <v>10.0933206590237</v>
      </c>
      <c r="O1573">
        <v>1.05985886755477</v>
      </c>
      <c r="P1573">
        <v>0.20051994818607</v>
      </c>
      <c r="Q1573" t="s">
        <v>4</v>
      </c>
      <c r="R1573" s="4" t="s">
        <v>95</v>
      </c>
      <c r="S1573" t="s">
        <v>4</v>
      </c>
      <c r="X1573" t="s">
        <v>4</v>
      </c>
      <c r="AB1573" t="s">
        <v>4</v>
      </c>
      <c r="AC1573" s="3" t="s">
        <v>93</v>
      </c>
      <c r="AD1573" t="s">
        <v>4</v>
      </c>
      <c r="AE1573" s="4" t="s">
        <v>94</v>
      </c>
      <c r="AZ1573" t="s">
        <v>4</v>
      </c>
      <c r="BA1573" s="3" t="s">
        <v>812</v>
      </c>
      <c r="BB1573" s="3" t="s">
        <v>812</v>
      </c>
      <c r="BC1573" s="3" t="s">
        <v>812</v>
      </c>
      <c r="BD1573" t="s">
        <v>4</v>
      </c>
      <c r="BE1573" s="3" t="s">
        <v>812</v>
      </c>
      <c r="BF1573" s="3" t="s">
        <v>812</v>
      </c>
      <c r="BG1573" s="3" t="s">
        <v>812</v>
      </c>
      <c r="BH1573" s="3" t="s">
        <v>812</v>
      </c>
      <c r="BI1573" s="3" t="s">
        <v>812</v>
      </c>
      <c r="BJ1573" s="3" t="s">
        <v>812</v>
      </c>
      <c r="BK1573" s="3" t="s">
        <v>812</v>
      </c>
      <c r="BL1573" s="3" t="s">
        <v>812</v>
      </c>
      <c r="BM1573" s="3" t="s">
        <v>812</v>
      </c>
      <c r="BN1573" s="3" t="s">
        <v>812</v>
      </c>
      <c r="BO1573" s="3" t="s">
        <v>812</v>
      </c>
      <c r="BP1573" s="3" t="s">
        <v>812</v>
      </c>
      <c r="BQ1573" s="3" t="s">
        <v>812</v>
      </c>
      <c r="BR1573" s="3" t="s">
        <v>812</v>
      </c>
      <c r="BS1573" s="3" t="s">
        <v>812</v>
      </c>
      <c r="BT1573" s="3" t="s">
        <v>812</v>
      </c>
      <c r="BU1573" s="3" t="s">
        <v>812</v>
      </c>
      <c r="BV1573" s="3" t="s">
        <v>812</v>
      </c>
      <c r="BW1573" s="3" t="s">
        <v>812</v>
      </c>
      <c r="BX1573" s="3" t="s">
        <v>812</v>
      </c>
      <c r="BY1573" s="3" t="s">
        <v>812</v>
      </c>
      <c r="BZ1573" s="3" t="s">
        <v>812</v>
      </c>
      <c r="CA1573" s="3" t="s">
        <v>812</v>
      </c>
      <c r="CB1573" s="3" t="s">
        <v>812</v>
      </c>
      <c r="CC1573" s="3" t="s">
        <v>812</v>
      </c>
      <c r="CD1573" s="3" t="s">
        <v>812</v>
      </c>
      <c r="CE1573" s="3" t="s">
        <v>812</v>
      </c>
      <c r="CF1573" s="3" t="s">
        <v>812</v>
      </c>
      <c r="CG1573" s="3" t="s">
        <v>812</v>
      </c>
      <c r="CH1573" s="3" t="s">
        <v>812</v>
      </c>
      <c r="CI1573" s="3" t="s">
        <v>812</v>
      </c>
      <c r="CJ1573" s="3" t="s">
        <v>812</v>
      </c>
      <c r="CK1573" s="3" t="s">
        <v>812</v>
      </c>
      <c r="CL1573" t="s">
        <v>4</v>
      </c>
      <c r="CM1573" t="s">
        <v>5486</v>
      </c>
      <c r="CP1573" t="s">
        <v>100</v>
      </c>
      <c r="CQ1573" t="s">
        <v>100</v>
      </c>
      <c r="CR1573" t="s">
        <v>100</v>
      </c>
      <c r="CS1573" t="s">
        <v>101</v>
      </c>
      <c r="CT1573" t="s">
        <v>100</v>
      </c>
      <c r="CU1573" t="s">
        <v>102</v>
      </c>
      <c r="CV1573" t="s">
        <v>100</v>
      </c>
    </row>
    <row r="1574" spans="1:100">
      <c r="A1574" s="3" t="s">
        <v>16936</v>
      </c>
      <c r="B1574" s="4" t="s">
        <v>16937</v>
      </c>
      <c r="C1574">
        <v>20.5543050382045</v>
      </c>
      <c r="D1574">
        <v>5.8680249076912796</v>
      </c>
      <c r="E1574">
        <v>1.79983264420601</v>
      </c>
      <c r="F1574">
        <v>7.9668430197682494E-2</v>
      </c>
      <c r="G1574" t="s">
        <v>4</v>
      </c>
      <c r="H1574">
        <v>20.5543050382045</v>
      </c>
      <c r="I1574">
        <v>1.9413757151114901</v>
      </c>
      <c r="J1574">
        <v>3.4563441571056499</v>
      </c>
      <c r="K1574">
        <v>3.8173594046065902E-3</v>
      </c>
      <c r="L1574" t="s">
        <v>4</v>
      </c>
      <c r="M1574">
        <v>5.8680249076912796</v>
      </c>
      <c r="N1574">
        <v>1.9413757151114901</v>
      </c>
      <c r="O1574">
        <v>1.6565115128996399</v>
      </c>
      <c r="P1574">
        <v>0.20803961768135201</v>
      </c>
      <c r="Q1574" t="s">
        <v>4</v>
      </c>
      <c r="R1574" s="4" t="s">
        <v>87</v>
      </c>
      <c r="S1574" t="s">
        <v>4</v>
      </c>
      <c r="T1574" t="s">
        <v>16828</v>
      </c>
      <c r="U1574" t="s">
        <v>16829</v>
      </c>
      <c r="V1574" t="s">
        <v>16830</v>
      </c>
      <c r="W1574" t="s">
        <v>203</v>
      </c>
      <c r="X1574" t="s">
        <v>4</v>
      </c>
      <c r="Y1574" t="s">
        <v>16831</v>
      </c>
      <c r="Z1574" t="s">
        <v>16832</v>
      </c>
      <c r="AA1574" t="s">
        <v>16833</v>
      </c>
      <c r="AB1574" t="s">
        <v>4</v>
      </c>
      <c r="AC1574" s="3" t="s">
        <v>93</v>
      </c>
      <c r="AD1574" t="s">
        <v>4</v>
      </c>
      <c r="AE1574" t="s">
        <v>16835</v>
      </c>
      <c r="AF1574" t="s">
        <v>16836</v>
      </c>
      <c r="AG1574" t="s">
        <v>7290</v>
      </c>
      <c r="AH1574" t="s">
        <v>112</v>
      </c>
      <c r="AI1574" t="s">
        <v>16837</v>
      </c>
      <c r="AK1574" t="s">
        <v>16838</v>
      </c>
      <c r="AL1574" t="s">
        <v>16839</v>
      </c>
      <c r="AM1574" t="s">
        <v>5371</v>
      </c>
      <c r="AQ1574" t="s">
        <v>342</v>
      </c>
      <c r="AU1574" t="s">
        <v>112</v>
      </c>
      <c r="AV1574" t="s">
        <v>16840</v>
      </c>
      <c r="AW1574" t="s">
        <v>114</v>
      </c>
      <c r="AX1574" t="s">
        <v>733</v>
      </c>
      <c r="AY1574" t="s">
        <v>16841</v>
      </c>
      <c r="AZ1574" t="s">
        <v>4</v>
      </c>
      <c r="BA1574" s="3" t="s">
        <v>95</v>
      </c>
      <c r="BB1574" s="6" t="s">
        <v>95</v>
      </c>
      <c r="BC1574" s="3" t="s">
        <v>197</v>
      </c>
      <c r="BD1574" t="s">
        <v>4</v>
      </c>
      <c r="BE1574">
        <v>5843</v>
      </c>
      <c r="BF1574" t="s">
        <v>386</v>
      </c>
      <c r="BG1574">
        <v>97.435900000000004</v>
      </c>
      <c r="BH1574">
        <v>100</v>
      </c>
      <c r="BJ1574">
        <v>63.247900000000001</v>
      </c>
      <c r="BL1574">
        <v>31.623899999999999</v>
      </c>
      <c r="BM1574">
        <v>41.595399999999998</v>
      </c>
      <c r="BN1574">
        <v>41.310499999999998</v>
      </c>
      <c r="BP1574">
        <v>44.159500000000001</v>
      </c>
      <c r="BR1574">
        <v>35.897399999999998</v>
      </c>
      <c r="BS1574" t="s">
        <v>16842</v>
      </c>
      <c r="BU1574">
        <v>36.752099999999999</v>
      </c>
      <c r="BV1574" t="s">
        <v>16843</v>
      </c>
      <c r="BW1574">
        <v>37.6068</v>
      </c>
      <c r="BX1574" t="s">
        <v>16844</v>
      </c>
      <c r="BZ1574" t="s">
        <v>16845</v>
      </c>
      <c r="CA1574">
        <v>37.036999999999999</v>
      </c>
      <c r="CC1574">
        <v>27.635300000000001</v>
      </c>
      <c r="CD1574" t="s">
        <v>16846</v>
      </c>
      <c r="CF1574">
        <v>31.908799999999999</v>
      </c>
      <c r="CG1574" t="s">
        <v>16847</v>
      </c>
      <c r="CH1574" t="s">
        <v>16848</v>
      </c>
      <c r="CI1574" t="s">
        <v>16849</v>
      </c>
      <c r="CK1574">
        <v>7</v>
      </c>
      <c r="CL1574" t="s">
        <v>4</v>
      </c>
      <c r="CM1574" t="s">
        <v>16850</v>
      </c>
      <c r="CN1574" t="s">
        <v>16851</v>
      </c>
      <c r="CO1574" t="s">
        <v>663</v>
      </c>
      <c r="CP1574" t="s">
        <v>100</v>
      </c>
      <c r="CQ1574" t="s">
        <v>100</v>
      </c>
      <c r="CR1574" t="s">
        <v>100</v>
      </c>
      <c r="CS1574" t="s">
        <v>101</v>
      </c>
      <c r="CT1574" t="s">
        <v>100</v>
      </c>
      <c r="CU1574" t="s">
        <v>102</v>
      </c>
      <c r="CV1574" t="s">
        <v>100</v>
      </c>
    </row>
    <row r="1575" spans="1:100">
      <c r="A1575" s="3" t="s">
        <v>16938</v>
      </c>
      <c r="B1575" s="4" t="s">
        <v>16939</v>
      </c>
      <c r="C1575">
        <v>55.894527864687902</v>
      </c>
      <c r="D1575">
        <v>19.6150428520838</v>
      </c>
      <c r="E1575">
        <v>1.5152667644323601</v>
      </c>
      <c r="F1575">
        <v>8.2120292860660193E-2</v>
      </c>
      <c r="G1575" t="s">
        <v>4</v>
      </c>
      <c r="H1575">
        <v>55.894527864687902</v>
      </c>
      <c r="I1575">
        <v>8.8486809577107799</v>
      </c>
      <c r="J1575">
        <v>2.70927829102878</v>
      </c>
      <c r="K1575">
        <v>2.0603533800503701E-3</v>
      </c>
      <c r="L1575" t="s">
        <v>4</v>
      </c>
      <c r="M1575">
        <v>19.6150428520838</v>
      </c>
      <c r="N1575">
        <v>8.8486809577107799</v>
      </c>
      <c r="O1575">
        <v>1.19401152659641</v>
      </c>
      <c r="P1575">
        <v>0.21184918095887001</v>
      </c>
      <c r="Q1575" t="s">
        <v>4</v>
      </c>
      <c r="R1575" s="4" t="s">
        <v>87</v>
      </c>
      <c r="S1575" t="s">
        <v>4</v>
      </c>
      <c r="T1575" t="s">
        <v>92</v>
      </c>
      <c r="U1575" t="s">
        <v>92</v>
      </c>
      <c r="V1575" t="s">
        <v>92</v>
      </c>
      <c r="W1575" t="s">
        <v>92</v>
      </c>
      <c r="X1575" t="s">
        <v>4</v>
      </c>
      <c r="Y1575" t="s">
        <v>92</v>
      </c>
      <c r="Z1575" t="s">
        <v>92</v>
      </c>
      <c r="AA1575" t="s">
        <v>92</v>
      </c>
      <c r="AB1575" t="s">
        <v>4</v>
      </c>
      <c r="AC1575" s="3" t="s">
        <v>93</v>
      </c>
      <c r="AD1575" t="s">
        <v>4</v>
      </c>
      <c r="AE1575" s="4" t="s">
        <v>94</v>
      </c>
      <c r="AZ1575" t="s">
        <v>4</v>
      </c>
      <c r="BA1575" s="3" t="s">
        <v>95</v>
      </c>
      <c r="BB1575" s="6" t="s">
        <v>95</v>
      </c>
      <c r="BC1575" s="3" t="s">
        <v>95</v>
      </c>
      <c r="BD1575" t="s">
        <v>4</v>
      </c>
      <c r="BE1575">
        <v>236</v>
      </c>
      <c r="BF1575" t="s">
        <v>322</v>
      </c>
      <c r="CK1575">
        <v>1</v>
      </c>
      <c r="CL1575" t="s">
        <v>4</v>
      </c>
      <c r="CM1575" t="s">
        <v>98</v>
      </c>
      <c r="CN1575" t="s">
        <v>98</v>
      </c>
      <c r="CO1575" t="s">
        <v>99</v>
      </c>
      <c r="CP1575" t="s">
        <v>100</v>
      </c>
      <c r="CQ1575" t="s">
        <v>100</v>
      </c>
      <c r="CR1575" t="s">
        <v>100</v>
      </c>
      <c r="CS1575" t="s">
        <v>101</v>
      </c>
      <c r="CT1575" t="s">
        <v>100</v>
      </c>
      <c r="CU1575" t="s">
        <v>102</v>
      </c>
      <c r="CV1575" t="s">
        <v>100</v>
      </c>
    </row>
    <row r="1576" spans="1:100">
      <c r="A1576" s="3" t="s">
        <v>16940</v>
      </c>
      <c r="B1576" s="4" t="s">
        <v>16941</v>
      </c>
      <c r="C1576">
        <v>22.211060884423102</v>
      </c>
      <c r="D1576">
        <v>9.1828279093621994</v>
      </c>
      <c r="E1576">
        <v>1.28759276516396</v>
      </c>
      <c r="F1576">
        <v>0.18357584952682399</v>
      </c>
      <c r="G1576" t="s">
        <v>4</v>
      </c>
      <c r="H1576">
        <v>22.211060884423102</v>
      </c>
      <c r="I1576">
        <v>3.28340744013635</v>
      </c>
      <c r="J1576">
        <v>2.6787874059796399</v>
      </c>
      <c r="K1576">
        <v>9.8706860797978108E-3</v>
      </c>
      <c r="L1576" t="s">
        <v>4</v>
      </c>
      <c r="M1576">
        <v>9.1828279093621994</v>
      </c>
      <c r="N1576">
        <v>3.28340744013635</v>
      </c>
      <c r="O1576">
        <v>1.3911946408156799</v>
      </c>
      <c r="P1576">
        <v>0.21806580675904599</v>
      </c>
      <c r="Q1576" t="s">
        <v>4</v>
      </c>
      <c r="R1576" s="4" t="s">
        <v>87</v>
      </c>
      <c r="S1576" t="s">
        <v>4</v>
      </c>
      <c r="T1576" t="s">
        <v>92</v>
      </c>
      <c r="U1576" t="s">
        <v>92</v>
      </c>
      <c r="V1576" t="s">
        <v>92</v>
      </c>
      <c r="W1576" t="s">
        <v>92</v>
      </c>
      <c r="X1576" t="s">
        <v>4</v>
      </c>
      <c r="Y1576" t="s">
        <v>92</v>
      </c>
      <c r="Z1576" t="s">
        <v>92</v>
      </c>
      <c r="AA1576" t="s">
        <v>92</v>
      </c>
      <c r="AB1576" t="s">
        <v>4</v>
      </c>
      <c r="AC1576" s="3" t="s">
        <v>93</v>
      </c>
      <c r="AD1576" t="s">
        <v>4</v>
      </c>
      <c r="AE1576" s="4" t="s">
        <v>94</v>
      </c>
      <c r="AZ1576" t="s">
        <v>4</v>
      </c>
      <c r="BA1576" s="3" t="s">
        <v>115</v>
      </c>
      <c r="BB1576" s="6" t="s">
        <v>95</v>
      </c>
      <c r="BC1576" s="3" t="s">
        <v>95</v>
      </c>
      <c r="BD1576" t="s">
        <v>4</v>
      </c>
      <c r="BE1576">
        <v>1729</v>
      </c>
      <c r="BF1576" t="s">
        <v>151</v>
      </c>
      <c r="BG1576" t="s">
        <v>16942</v>
      </c>
      <c r="CK1576">
        <v>2</v>
      </c>
      <c r="CL1576" t="s">
        <v>4</v>
      </c>
      <c r="CM1576" t="s">
        <v>98</v>
      </c>
      <c r="CN1576" t="s">
        <v>98</v>
      </c>
      <c r="CO1576" t="s">
        <v>99</v>
      </c>
      <c r="CP1576" t="s">
        <v>100</v>
      </c>
      <c r="CQ1576" t="s">
        <v>100</v>
      </c>
      <c r="CR1576" t="s">
        <v>100</v>
      </c>
      <c r="CS1576" t="s">
        <v>101</v>
      </c>
      <c r="CT1576" t="s">
        <v>100</v>
      </c>
      <c r="CU1576" t="s">
        <v>102</v>
      </c>
      <c r="CV1576" t="s">
        <v>100</v>
      </c>
    </row>
    <row r="1577" spans="1:100">
      <c r="A1577" s="3" t="s">
        <v>16943</v>
      </c>
      <c r="B1577" s="4" t="s">
        <v>16944</v>
      </c>
      <c r="C1577">
        <v>14.162716671875399</v>
      </c>
      <c r="D1577">
        <v>2.7198710655122902</v>
      </c>
      <c r="E1577">
        <v>2.4120811326284399</v>
      </c>
      <c r="F1577">
        <v>0.102051901644998</v>
      </c>
      <c r="G1577" t="s">
        <v>4</v>
      </c>
      <c r="H1577">
        <v>14.162716671875399</v>
      </c>
      <c r="I1577">
        <v>0.483834107178163</v>
      </c>
      <c r="J1577">
        <v>4.8113913069563496</v>
      </c>
      <c r="K1577">
        <v>8.2308691820105803E-3</v>
      </c>
      <c r="L1577" t="s">
        <v>4</v>
      </c>
      <c r="M1577">
        <v>2.7198710655122902</v>
      </c>
      <c r="N1577">
        <v>0.483834107178163</v>
      </c>
      <c r="O1577">
        <v>2.3993101743279102</v>
      </c>
      <c r="P1577">
        <v>0.233028968485882</v>
      </c>
      <c r="Q1577" t="s">
        <v>4</v>
      </c>
      <c r="R1577" s="4" t="s">
        <v>87</v>
      </c>
      <c r="S1577" t="s">
        <v>4</v>
      </c>
      <c r="T1577" t="s">
        <v>1616</v>
      </c>
      <c r="U1577" t="s">
        <v>1617</v>
      </c>
      <c r="V1577" t="s">
        <v>1618</v>
      </c>
      <c r="W1577" t="s">
        <v>123</v>
      </c>
      <c r="X1577" t="s">
        <v>4</v>
      </c>
      <c r="Y1577" t="s">
        <v>1619</v>
      </c>
      <c r="Z1577" t="s">
        <v>1620</v>
      </c>
      <c r="AA1577" t="s">
        <v>1621</v>
      </c>
      <c r="AB1577" t="s">
        <v>4</v>
      </c>
      <c r="AC1577" s="3" t="s">
        <v>16945</v>
      </c>
      <c r="AD1577" t="s">
        <v>4</v>
      </c>
      <c r="AE1577" t="s">
        <v>16946</v>
      </c>
      <c r="AF1577" t="s">
        <v>16947</v>
      </c>
      <c r="AG1577" t="s">
        <v>16948</v>
      </c>
      <c r="AH1577" t="s">
        <v>112</v>
      </c>
      <c r="AJ1577" t="s">
        <v>16949</v>
      </c>
      <c r="AK1577" t="s">
        <v>1626</v>
      </c>
      <c r="AL1577" t="s">
        <v>16950</v>
      </c>
      <c r="AM1577" t="s">
        <v>16951</v>
      </c>
      <c r="AO1577" t="s">
        <v>1629</v>
      </c>
      <c r="AP1577" t="s">
        <v>1630</v>
      </c>
      <c r="AQ1577" t="s">
        <v>8186</v>
      </c>
      <c r="AU1577" t="s">
        <v>112</v>
      </c>
      <c r="AV1577" t="s">
        <v>16952</v>
      </c>
      <c r="AW1577" t="s">
        <v>114</v>
      </c>
      <c r="AX1577" t="s">
        <v>909</v>
      </c>
      <c r="AY1577" t="s">
        <v>1632</v>
      </c>
      <c r="AZ1577" t="s">
        <v>4</v>
      </c>
      <c r="BA1577" s="3" t="s">
        <v>95</v>
      </c>
      <c r="BB1577" s="6" t="s">
        <v>95</v>
      </c>
      <c r="BC1577" s="3" t="s">
        <v>95</v>
      </c>
      <c r="BD1577" t="s">
        <v>4</v>
      </c>
      <c r="BE1577">
        <v>6990</v>
      </c>
      <c r="BF1577" t="s">
        <v>213</v>
      </c>
      <c r="BG1577">
        <v>91.666700000000006</v>
      </c>
      <c r="BI1577">
        <v>85.526300000000006</v>
      </c>
      <c r="BJ1577">
        <v>83.771900000000002</v>
      </c>
      <c r="BM1577">
        <v>59.210500000000003</v>
      </c>
      <c r="BN1577">
        <v>77.631600000000006</v>
      </c>
      <c r="BO1577" t="s">
        <v>16953</v>
      </c>
      <c r="BR1577">
        <v>38.596499999999999</v>
      </c>
      <c r="BS1577">
        <v>41.666699999999999</v>
      </c>
      <c r="BT1577">
        <v>28.947399999999998</v>
      </c>
      <c r="BV1577">
        <v>29.385999999999999</v>
      </c>
      <c r="BW1577">
        <v>35.526299999999999</v>
      </c>
      <c r="BX1577">
        <v>36.403500000000001</v>
      </c>
      <c r="BY1577">
        <v>16.228100000000001</v>
      </c>
      <c r="BZ1577" t="s">
        <v>16954</v>
      </c>
      <c r="CC1577">
        <v>32.8947</v>
      </c>
      <c r="CE1577">
        <v>24.122800000000002</v>
      </c>
      <c r="CG1577" t="s">
        <v>16955</v>
      </c>
      <c r="CH1577" t="s">
        <v>16956</v>
      </c>
      <c r="CI1577" t="s">
        <v>16957</v>
      </c>
      <c r="CK1577">
        <v>8</v>
      </c>
      <c r="CL1577" t="s">
        <v>4</v>
      </c>
      <c r="CM1577" t="s">
        <v>98</v>
      </c>
      <c r="CN1577" t="s">
        <v>98</v>
      </c>
      <c r="CO1577" t="s">
        <v>99</v>
      </c>
      <c r="CP1577" t="s">
        <v>100</v>
      </c>
      <c r="CQ1577" t="s">
        <v>100</v>
      </c>
      <c r="CR1577" t="s">
        <v>100</v>
      </c>
      <c r="CS1577" t="s">
        <v>101</v>
      </c>
      <c r="CT1577" t="s">
        <v>100</v>
      </c>
      <c r="CU1577" t="s">
        <v>102</v>
      </c>
      <c r="CV1577" t="s">
        <v>100</v>
      </c>
    </row>
    <row r="1578" spans="1:100">
      <c r="A1578" s="3" t="s">
        <v>16958</v>
      </c>
      <c r="B1578" s="4" t="s">
        <v>16959</v>
      </c>
      <c r="C1578">
        <v>32.617401677659899</v>
      </c>
      <c r="D1578">
        <v>10.655003715428601</v>
      </c>
      <c r="E1578">
        <v>1.6278233880608299</v>
      </c>
      <c r="F1578">
        <v>9.7861332829082701E-2</v>
      </c>
      <c r="G1578" t="s">
        <v>4</v>
      </c>
      <c r="H1578">
        <v>32.617401677659899</v>
      </c>
      <c r="I1578">
        <v>4.4820954203096299</v>
      </c>
      <c r="J1578">
        <v>2.9801713871852602</v>
      </c>
      <c r="K1578">
        <v>3.9636081349808498E-3</v>
      </c>
      <c r="L1578" t="s">
        <v>4</v>
      </c>
      <c r="M1578">
        <v>10.655003715428601</v>
      </c>
      <c r="N1578">
        <v>4.4820954203096299</v>
      </c>
      <c r="O1578">
        <v>1.35234799912443</v>
      </c>
      <c r="P1578">
        <v>0.23311464966982401</v>
      </c>
      <c r="Q1578" t="s">
        <v>4</v>
      </c>
      <c r="R1578" s="4" t="s">
        <v>87</v>
      </c>
      <c r="S1578" t="s">
        <v>4</v>
      </c>
      <c r="T1578" t="s">
        <v>92</v>
      </c>
      <c r="U1578" t="s">
        <v>92</v>
      </c>
      <c r="V1578" t="s">
        <v>92</v>
      </c>
      <c r="W1578" t="s">
        <v>92</v>
      </c>
      <c r="X1578" t="s">
        <v>4</v>
      </c>
      <c r="Y1578" t="s">
        <v>92</v>
      </c>
      <c r="Z1578" t="s">
        <v>92</v>
      </c>
      <c r="AA1578" t="s">
        <v>92</v>
      </c>
      <c r="AB1578" t="s">
        <v>4</v>
      </c>
      <c r="AC1578" s="3" t="s">
        <v>93</v>
      </c>
      <c r="AD1578" t="s">
        <v>4</v>
      </c>
      <c r="AE1578" s="4" t="s">
        <v>94</v>
      </c>
      <c r="AZ1578" t="s">
        <v>4</v>
      </c>
      <c r="BA1578" s="3" t="s">
        <v>115</v>
      </c>
      <c r="BB1578" s="6" t="s">
        <v>95</v>
      </c>
      <c r="BC1578" s="3" t="s">
        <v>95</v>
      </c>
      <c r="BD1578" t="s">
        <v>4</v>
      </c>
      <c r="BE1578">
        <v>1532</v>
      </c>
      <c r="BF1578" t="s">
        <v>151</v>
      </c>
      <c r="BG1578">
        <v>76.595699999999994</v>
      </c>
      <c r="BI1578">
        <v>85.815600000000003</v>
      </c>
      <c r="BJ1578">
        <v>66.666700000000006</v>
      </c>
      <c r="BK1578">
        <v>57.446800000000003</v>
      </c>
      <c r="BM1578">
        <v>29.077999999999999</v>
      </c>
      <c r="BN1578">
        <v>25.5319</v>
      </c>
      <c r="CK1578">
        <v>2</v>
      </c>
      <c r="CL1578" t="s">
        <v>4</v>
      </c>
      <c r="CM1578" t="s">
        <v>98</v>
      </c>
      <c r="CN1578" t="s">
        <v>98</v>
      </c>
      <c r="CO1578" t="s">
        <v>99</v>
      </c>
      <c r="CP1578" t="s">
        <v>100</v>
      </c>
      <c r="CQ1578" t="s">
        <v>100</v>
      </c>
      <c r="CR1578" t="s">
        <v>100</v>
      </c>
      <c r="CS1578" t="s">
        <v>101</v>
      </c>
      <c r="CT1578" t="s">
        <v>100</v>
      </c>
      <c r="CU1578" t="s">
        <v>102</v>
      </c>
      <c r="CV1578" t="s">
        <v>100</v>
      </c>
    </row>
    <row r="1579" spans="1:100">
      <c r="A1579" s="3" t="s">
        <v>16960</v>
      </c>
      <c r="B1579" s="4" t="s">
        <v>16961</v>
      </c>
      <c r="C1579">
        <v>46.533709852821602</v>
      </c>
      <c r="D1579">
        <v>17.675283923914002</v>
      </c>
      <c r="E1579">
        <v>1.4032690251814399</v>
      </c>
      <c r="F1579">
        <v>0.17251342472726799</v>
      </c>
      <c r="G1579" t="s">
        <v>4</v>
      </c>
      <c r="H1579">
        <v>46.533709852821602</v>
      </c>
      <c r="I1579">
        <v>7.1227738261478901</v>
      </c>
      <c r="J1579">
        <v>2.7143913658013199</v>
      </c>
      <c r="K1579">
        <v>8.2417944159919893E-3</v>
      </c>
      <c r="L1579" t="s">
        <v>4</v>
      </c>
      <c r="M1579">
        <v>17.675283923914002</v>
      </c>
      <c r="N1579">
        <v>7.1227738261478901</v>
      </c>
      <c r="O1579">
        <v>1.31112234061988</v>
      </c>
      <c r="P1579">
        <v>0.23815060689307599</v>
      </c>
      <c r="Q1579" t="s">
        <v>4</v>
      </c>
      <c r="R1579" s="4" t="s">
        <v>87</v>
      </c>
      <c r="S1579" t="s">
        <v>4</v>
      </c>
      <c r="T1579" t="s">
        <v>92</v>
      </c>
      <c r="U1579" t="s">
        <v>92</v>
      </c>
      <c r="V1579" t="s">
        <v>92</v>
      </c>
      <c r="W1579" t="s">
        <v>92</v>
      </c>
      <c r="X1579" t="s">
        <v>4</v>
      </c>
      <c r="Y1579" t="s">
        <v>92</v>
      </c>
      <c r="Z1579" t="s">
        <v>92</v>
      </c>
      <c r="AA1579" t="s">
        <v>92</v>
      </c>
      <c r="AB1579" t="s">
        <v>4</v>
      </c>
      <c r="AC1579" s="3" t="s">
        <v>93</v>
      </c>
      <c r="AD1579" t="s">
        <v>4</v>
      </c>
      <c r="AE1579" s="4" t="s">
        <v>94</v>
      </c>
      <c r="AZ1579" t="s">
        <v>4</v>
      </c>
      <c r="BA1579" s="3" t="s">
        <v>95</v>
      </c>
      <c r="BB1579" s="6" t="s">
        <v>95</v>
      </c>
      <c r="BC1579" s="3" t="s">
        <v>95</v>
      </c>
      <c r="BD1579" t="s">
        <v>4</v>
      </c>
      <c r="BE1579">
        <v>1300</v>
      </c>
      <c r="BF1579" t="s">
        <v>151</v>
      </c>
      <c r="BG1579">
        <v>68.8172</v>
      </c>
      <c r="BI1579">
        <v>45.698900000000002</v>
      </c>
      <c r="CK1579">
        <v>2</v>
      </c>
      <c r="CL1579" t="s">
        <v>4</v>
      </c>
      <c r="CM1579" t="s">
        <v>98</v>
      </c>
      <c r="CN1579" t="s">
        <v>98</v>
      </c>
      <c r="CO1579" t="s">
        <v>99</v>
      </c>
      <c r="CP1579" t="s">
        <v>100</v>
      </c>
      <c r="CQ1579" t="s">
        <v>100</v>
      </c>
      <c r="CR1579" t="s">
        <v>100</v>
      </c>
      <c r="CS1579" t="s">
        <v>101</v>
      </c>
      <c r="CT1579" t="s">
        <v>100</v>
      </c>
      <c r="CU1579" t="s">
        <v>102</v>
      </c>
      <c r="CV1579" t="s">
        <v>100</v>
      </c>
    </row>
    <row r="1580" spans="1:100">
      <c r="A1580" s="3" t="s">
        <v>16962</v>
      </c>
      <c r="B1580" s="4" t="s">
        <v>16963</v>
      </c>
      <c r="C1580">
        <v>26.95343769414</v>
      </c>
      <c r="D1580">
        <v>5.5481044024189998</v>
      </c>
      <c r="E1580">
        <v>2.28903904695439</v>
      </c>
      <c r="F1580">
        <v>8.7669986126722305E-2</v>
      </c>
      <c r="G1580" t="s">
        <v>4</v>
      </c>
      <c r="H1580">
        <v>26.95343769414</v>
      </c>
      <c r="I1580">
        <v>1.45150232153449</v>
      </c>
      <c r="J1580">
        <v>4.23915536253842</v>
      </c>
      <c r="K1580">
        <v>5.0012292611834701E-3</v>
      </c>
      <c r="L1580" t="s">
        <v>4</v>
      </c>
      <c r="M1580">
        <v>5.5481044024189998</v>
      </c>
      <c r="N1580">
        <v>1.45150232153449</v>
      </c>
      <c r="O1580">
        <v>1.95011631558403</v>
      </c>
      <c r="P1580">
        <v>0.239159572281164</v>
      </c>
      <c r="Q1580" t="s">
        <v>4</v>
      </c>
      <c r="R1580" s="4" t="s">
        <v>87</v>
      </c>
      <c r="S1580" t="s">
        <v>4</v>
      </c>
      <c r="T1580" t="s">
        <v>4897</v>
      </c>
      <c r="U1580" t="s">
        <v>4898</v>
      </c>
      <c r="V1580" t="s">
        <v>4899</v>
      </c>
      <c r="W1580" t="s">
        <v>203</v>
      </c>
      <c r="X1580" t="s">
        <v>4</v>
      </c>
      <c r="Y1580" t="s">
        <v>4900</v>
      </c>
      <c r="Z1580" t="s">
        <v>4901</v>
      </c>
      <c r="AA1580" t="s">
        <v>4902</v>
      </c>
      <c r="AB1580" t="s">
        <v>4</v>
      </c>
      <c r="AC1580" s="3" t="s">
        <v>2294</v>
      </c>
      <c r="AD1580" t="s">
        <v>4</v>
      </c>
      <c r="AE1580" t="s">
        <v>16964</v>
      </c>
      <c r="AF1580" t="s">
        <v>16965</v>
      </c>
      <c r="AG1580" t="s">
        <v>9551</v>
      </c>
      <c r="AH1580" t="s">
        <v>112</v>
      </c>
      <c r="AU1580" t="s">
        <v>112</v>
      </c>
      <c r="AV1580" t="s">
        <v>16966</v>
      </c>
      <c r="AW1580" t="s">
        <v>114</v>
      </c>
      <c r="AX1580" t="s">
        <v>132</v>
      </c>
      <c r="AY1580" t="s">
        <v>16967</v>
      </c>
      <c r="AZ1580" t="s">
        <v>4</v>
      </c>
      <c r="BA1580" s="3" t="s">
        <v>95</v>
      </c>
      <c r="BB1580" s="6" t="s">
        <v>95</v>
      </c>
      <c r="BC1580" s="3" t="s">
        <v>95</v>
      </c>
      <c r="BD1580" t="s">
        <v>4</v>
      </c>
      <c r="BE1580">
        <v>3289</v>
      </c>
      <c r="BF1580" t="s">
        <v>112</v>
      </c>
      <c r="BG1580">
        <v>99.117599999999996</v>
      </c>
      <c r="BI1580">
        <v>97.647099999999995</v>
      </c>
      <c r="BJ1580">
        <v>59.411799999999999</v>
      </c>
      <c r="BK1580">
        <v>89.7059</v>
      </c>
      <c r="BL1580">
        <v>78.823499999999996</v>
      </c>
      <c r="BM1580">
        <v>80.2941</v>
      </c>
      <c r="BN1580">
        <v>86.176500000000004</v>
      </c>
      <c r="BO1580">
        <v>88.529399999999995</v>
      </c>
      <c r="BP1580" t="s">
        <v>16968</v>
      </c>
      <c r="BQ1580" t="s">
        <v>16969</v>
      </c>
      <c r="BR1580" t="s">
        <v>16970</v>
      </c>
      <c r="BS1580" t="s">
        <v>16971</v>
      </c>
      <c r="BY1580" t="s">
        <v>16972</v>
      </c>
      <c r="CK1580">
        <v>5</v>
      </c>
      <c r="CL1580" t="s">
        <v>4</v>
      </c>
      <c r="CM1580" t="s">
        <v>98</v>
      </c>
      <c r="CN1580" t="s">
        <v>98</v>
      </c>
      <c r="CO1580" t="s">
        <v>99</v>
      </c>
      <c r="CP1580" t="s">
        <v>100</v>
      </c>
      <c r="CQ1580" t="s">
        <v>100</v>
      </c>
      <c r="CR1580" t="s">
        <v>100</v>
      </c>
      <c r="CS1580" t="s">
        <v>101</v>
      </c>
      <c r="CT1580" t="s">
        <v>100</v>
      </c>
      <c r="CU1580" t="s">
        <v>102</v>
      </c>
      <c r="CV1580" t="s">
        <v>100</v>
      </c>
    </row>
    <row r="1581" spans="1:100">
      <c r="A1581" s="3" t="s">
        <v>16973</v>
      </c>
      <c r="B1581" s="4" t="s">
        <v>16974</v>
      </c>
      <c r="C1581">
        <v>35.633876274104601</v>
      </c>
      <c r="D1581">
        <v>10.259957054280401</v>
      </c>
      <c r="E1581">
        <v>1.80609223605724</v>
      </c>
      <c r="F1581">
        <v>0.10566716247984299</v>
      </c>
      <c r="G1581" t="s">
        <v>4</v>
      </c>
      <c r="H1581">
        <v>35.633876274104601</v>
      </c>
      <c r="I1581">
        <v>3.5830794351796702</v>
      </c>
      <c r="J1581">
        <v>3.2999532502195499</v>
      </c>
      <c r="K1581">
        <v>4.5988978168600703E-3</v>
      </c>
      <c r="L1581" t="s">
        <v>4</v>
      </c>
      <c r="M1581">
        <v>10.259957054280401</v>
      </c>
      <c r="N1581">
        <v>3.5830794351796702</v>
      </c>
      <c r="O1581">
        <v>1.4938610141623201</v>
      </c>
      <c r="P1581">
        <v>0.24055088888991799</v>
      </c>
      <c r="Q1581" t="s">
        <v>4</v>
      </c>
      <c r="R1581" s="4" t="s">
        <v>87</v>
      </c>
      <c r="S1581" t="s">
        <v>4</v>
      </c>
      <c r="T1581" t="s">
        <v>92</v>
      </c>
      <c r="U1581" t="s">
        <v>92</v>
      </c>
      <c r="V1581" t="s">
        <v>92</v>
      </c>
      <c r="W1581" t="s">
        <v>92</v>
      </c>
      <c r="X1581" t="s">
        <v>4</v>
      </c>
      <c r="Y1581" t="s">
        <v>92</v>
      </c>
      <c r="Z1581" t="s">
        <v>92</v>
      </c>
      <c r="AA1581" t="s">
        <v>92</v>
      </c>
      <c r="AB1581" t="s">
        <v>4</v>
      </c>
      <c r="AC1581" s="3" t="s">
        <v>16975</v>
      </c>
      <c r="AD1581" t="s">
        <v>4</v>
      </c>
      <c r="AE1581" t="s">
        <v>16976</v>
      </c>
      <c r="AF1581" t="s">
        <v>16977</v>
      </c>
      <c r="AG1581" t="s">
        <v>16978</v>
      </c>
      <c r="AH1581" t="s">
        <v>112</v>
      </c>
      <c r="AU1581" t="s">
        <v>112</v>
      </c>
      <c r="AV1581" t="s">
        <v>16979</v>
      </c>
      <c r="AW1581" t="s">
        <v>114</v>
      </c>
      <c r="AX1581" t="s">
        <v>132</v>
      </c>
      <c r="AY1581" t="s">
        <v>16980</v>
      </c>
      <c r="AZ1581" t="s">
        <v>4</v>
      </c>
      <c r="BA1581" s="3" t="s">
        <v>95</v>
      </c>
      <c r="BB1581" s="6" t="s">
        <v>95</v>
      </c>
      <c r="BC1581" s="3" t="s">
        <v>197</v>
      </c>
      <c r="BD1581" t="s">
        <v>4</v>
      </c>
      <c r="BE1581">
        <v>4919</v>
      </c>
      <c r="BF1581" t="s">
        <v>282</v>
      </c>
      <c r="BG1581">
        <v>95.641599999999997</v>
      </c>
      <c r="BH1581">
        <v>82.3245</v>
      </c>
      <c r="BI1581">
        <v>47.457599999999999</v>
      </c>
      <c r="BJ1581">
        <v>35.351100000000002</v>
      </c>
      <c r="BK1581">
        <v>54.237299999999998</v>
      </c>
      <c r="BL1581">
        <v>35.109000000000002</v>
      </c>
      <c r="BM1581">
        <v>40.677999999999997</v>
      </c>
      <c r="BN1581">
        <v>40.677999999999997</v>
      </c>
      <c r="BO1581">
        <v>55.447899999999997</v>
      </c>
      <c r="BP1581" t="s">
        <v>16981</v>
      </c>
      <c r="BQ1581">
        <v>20.096900000000002</v>
      </c>
      <c r="BR1581">
        <v>23.7288</v>
      </c>
      <c r="BS1581">
        <v>21.791799999999999</v>
      </c>
      <c r="BT1581" t="s">
        <v>16982</v>
      </c>
      <c r="BU1581">
        <v>16.707000000000001</v>
      </c>
      <c r="BV1581" t="s">
        <v>16983</v>
      </c>
      <c r="BW1581" t="s">
        <v>16984</v>
      </c>
      <c r="BX1581">
        <v>22.276</v>
      </c>
      <c r="BY1581">
        <v>15.0121</v>
      </c>
      <c r="BZ1581">
        <v>25.908000000000001</v>
      </c>
      <c r="CA1581" t="s">
        <v>16985</v>
      </c>
      <c r="CF1581">
        <v>5.81114</v>
      </c>
      <c r="CG1581" t="s">
        <v>16986</v>
      </c>
      <c r="CH1581" t="s">
        <v>16986</v>
      </c>
      <c r="CI1581" t="s">
        <v>16987</v>
      </c>
      <c r="CK1581">
        <v>6</v>
      </c>
      <c r="CL1581" t="s">
        <v>4</v>
      </c>
      <c r="CM1581" t="s">
        <v>16988</v>
      </c>
      <c r="CN1581" t="s">
        <v>16989</v>
      </c>
      <c r="CO1581" t="s">
        <v>99</v>
      </c>
      <c r="CP1581" t="s">
        <v>100</v>
      </c>
      <c r="CQ1581" t="s">
        <v>100</v>
      </c>
      <c r="CR1581" t="s">
        <v>100</v>
      </c>
      <c r="CS1581" t="s">
        <v>101</v>
      </c>
      <c r="CT1581" t="s">
        <v>100</v>
      </c>
      <c r="CU1581" t="s">
        <v>102</v>
      </c>
      <c r="CV1581" t="s">
        <v>100</v>
      </c>
    </row>
    <row r="1582" spans="1:100">
      <c r="A1582" s="3" t="s">
        <v>16990</v>
      </c>
      <c r="B1582" s="4" t="s">
        <v>16991</v>
      </c>
      <c r="C1582">
        <v>69.086754789541303</v>
      </c>
      <c r="D1582">
        <v>18.8003542581773</v>
      </c>
      <c r="E1582">
        <v>1.88162889044951</v>
      </c>
      <c r="F1582">
        <v>5.9099964152539701E-2</v>
      </c>
      <c r="G1582" t="s">
        <v>4</v>
      </c>
      <c r="H1582">
        <v>69.086754789541303</v>
      </c>
      <c r="I1582">
        <v>7.7968093318597402</v>
      </c>
      <c r="J1582">
        <v>3.1438073153111801</v>
      </c>
      <c r="K1582">
        <v>1.63731296832232E-3</v>
      </c>
      <c r="L1582" t="s">
        <v>4</v>
      </c>
      <c r="M1582">
        <v>18.8003542581773</v>
      </c>
      <c r="N1582">
        <v>7.7968093318597402</v>
      </c>
      <c r="O1582">
        <v>1.2621784248616701</v>
      </c>
      <c r="P1582">
        <v>0.248341891565415</v>
      </c>
      <c r="Q1582" t="s">
        <v>4</v>
      </c>
      <c r="R1582" s="4" t="s">
        <v>87</v>
      </c>
      <c r="S1582" t="s">
        <v>4</v>
      </c>
      <c r="T1582" t="s">
        <v>92</v>
      </c>
      <c r="U1582" t="s">
        <v>92</v>
      </c>
      <c r="V1582" t="s">
        <v>92</v>
      </c>
      <c r="W1582" t="s">
        <v>92</v>
      </c>
      <c r="X1582" t="s">
        <v>4</v>
      </c>
      <c r="Y1582" t="s">
        <v>16992</v>
      </c>
      <c r="Z1582" t="s">
        <v>16993</v>
      </c>
      <c r="AA1582" t="s">
        <v>16994</v>
      </c>
      <c r="AB1582" t="s">
        <v>4</v>
      </c>
      <c r="AC1582" s="3" t="s">
        <v>93</v>
      </c>
      <c r="AD1582" t="s">
        <v>4</v>
      </c>
      <c r="AE1582" t="s">
        <v>772</v>
      </c>
      <c r="AF1582" t="s">
        <v>16995</v>
      </c>
      <c r="AG1582" t="s">
        <v>6260</v>
      </c>
      <c r="AH1582" t="s">
        <v>314</v>
      </c>
      <c r="AU1582" t="s">
        <v>112</v>
      </c>
      <c r="AV1582" t="s">
        <v>775</v>
      </c>
      <c r="AW1582" t="s">
        <v>114</v>
      </c>
      <c r="AZ1582" t="s">
        <v>4</v>
      </c>
      <c r="BA1582" s="3" t="s">
        <v>95</v>
      </c>
      <c r="BB1582" s="6" t="s">
        <v>95</v>
      </c>
      <c r="BC1582" s="3" t="s">
        <v>95</v>
      </c>
      <c r="BD1582" t="s">
        <v>4</v>
      </c>
      <c r="BE1582">
        <v>1630</v>
      </c>
      <c r="BF1582" t="s">
        <v>151</v>
      </c>
      <c r="BG1582">
        <v>55.900599999999997</v>
      </c>
      <c r="BL1582" t="s">
        <v>16996</v>
      </c>
      <c r="CK1582">
        <v>2</v>
      </c>
      <c r="CL1582" t="s">
        <v>4</v>
      </c>
      <c r="CM1582" t="s">
        <v>98</v>
      </c>
      <c r="CN1582" t="s">
        <v>98</v>
      </c>
      <c r="CO1582" t="s">
        <v>99</v>
      </c>
      <c r="CP1582" t="s">
        <v>100</v>
      </c>
      <c r="CQ1582" t="s">
        <v>100</v>
      </c>
      <c r="CR1582" t="s">
        <v>100</v>
      </c>
      <c r="CS1582" t="s">
        <v>101</v>
      </c>
      <c r="CT1582" t="s">
        <v>100</v>
      </c>
      <c r="CU1582" t="s">
        <v>102</v>
      </c>
      <c r="CV1582" t="s">
        <v>100</v>
      </c>
    </row>
    <row r="1583" spans="1:100">
      <c r="A1583" s="3" t="s">
        <v>16997</v>
      </c>
      <c r="B1583" s="4" t="s">
        <v>16998</v>
      </c>
      <c r="C1583">
        <v>32.415186007944399</v>
      </c>
      <c r="D1583">
        <v>6.9762559741761203</v>
      </c>
      <c r="E1583">
        <v>2.2167106149062499</v>
      </c>
      <c r="F1583">
        <v>6.4496824319468404E-2</v>
      </c>
      <c r="G1583" t="s">
        <v>4</v>
      </c>
      <c r="H1583">
        <v>32.415186007944399</v>
      </c>
      <c r="I1583">
        <v>2.1255378272463399</v>
      </c>
      <c r="J1583">
        <v>3.8728825803881999</v>
      </c>
      <c r="K1583">
        <v>2.9979181073882099E-3</v>
      </c>
      <c r="L1583" t="s">
        <v>4</v>
      </c>
      <c r="M1583">
        <v>6.9762559741761203</v>
      </c>
      <c r="N1583">
        <v>2.1255378272463399</v>
      </c>
      <c r="O1583">
        <v>1.65617196548195</v>
      </c>
      <c r="P1583">
        <v>0.250017351728201</v>
      </c>
      <c r="Q1583" t="s">
        <v>4</v>
      </c>
      <c r="R1583" s="4" t="s">
        <v>87</v>
      </c>
      <c r="S1583" t="s">
        <v>4</v>
      </c>
      <c r="T1583" t="s">
        <v>92</v>
      </c>
      <c r="U1583" t="s">
        <v>92</v>
      </c>
      <c r="V1583" t="s">
        <v>92</v>
      </c>
      <c r="W1583" t="s">
        <v>92</v>
      </c>
      <c r="X1583" t="s">
        <v>4</v>
      </c>
      <c r="Y1583" t="s">
        <v>92</v>
      </c>
      <c r="Z1583" t="s">
        <v>92</v>
      </c>
      <c r="AA1583" t="s">
        <v>92</v>
      </c>
      <c r="AB1583" t="s">
        <v>4</v>
      </c>
      <c r="AC1583" s="3" t="s">
        <v>93</v>
      </c>
      <c r="AD1583" t="s">
        <v>4</v>
      </c>
      <c r="AE1583" s="4" t="s">
        <v>94</v>
      </c>
      <c r="AZ1583" t="s">
        <v>4</v>
      </c>
      <c r="BA1583" s="3" t="s">
        <v>95</v>
      </c>
      <c r="BB1583" s="6" t="s">
        <v>95</v>
      </c>
      <c r="BC1583" s="3" t="s">
        <v>95</v>
      </c>
      <c r="BD1583" t="s">
        <v>4</v>
      </c>
      <c r="BE1583">
        <v>161</v>
      </c>
      <c r="BF1583" t="s">
        <v>322</v>
      </c>
      <c r="CK1583">
        <v>1</v>
      </c>
      <c r="CL1583" t="s">
        <v>4</v>
      </c>
      <c r="CM1583" t="s">
        <v>98</v>
      </c>
      <c r="CN1583" t="s">
        <v>98</v>
      </c>
      <c r="CO1583" t="s">
        <v>99</v>
      </c>
      <c r="CP1583" t="s">
        <v>100</v>
      </c>
      <c r="CQ1583" t="s">
        <v>100</v>
      </c>
      <c r="CR1583" t="s">
        <v>100</v>
      </c>
      <c r="CS1583" t="s">
        <v>101</v>
      </c>
      <c r="CT1583" t="s">
        <v>100</v>
      </c>
      <c r="CU1583" t="s">
        <v>102</v>
      </c>
      <c r="CV1583" t="s">
        <v>100</v>
      </c>
    </row>
    <row r="1584" spans="1:100">
      <c r="A1584" s="3" t="s">
        <v>16999</v>
      </c>
      <c r="B1584" s="4" t="s">
        <v>17000</v>
      </c>
      <c r="C1584">
        <v>27.6383548319297</v>
      </c>
      <c r="D1584">
        <v>8.26797546793129</v>
      </c>
      <c r="E1584">
        <v>1.7535357376026499</v>
      </c>
      <c r="F1584">
        <v>0.151906618529281</v>
      </c>
      <c r="G1584" t="s">
        <v>4</v>
      </c>
      <c r="H1584">
        <v>27.6383548319297</v>
      </c>
      <c r="I1584">
        <v>2.61541122082334</v>
      </c>
      <c r="J1584">
        <v>3.3781810062942101</v>
      </c>
      <c r="K1584">
        <v>9.0908755459916998E-3</v>
      </c>
      <c r="L1584" t="s">
        <v>4</v>
      </c>
      <c r="M1584">
        <v>8.26797546793129</v>
      </c>
      <c r="N1584">
        <v>2.61541122082334</v>
      </c>
      <c r="O1584">
        <v>1.62464526869157</v>
      </c>
      <c r="P1584">
        <v>0.25003609748615502</v>
      </c>
      <c r="Q1584" t="s">
        <v>4</v>
      </c>
      <c r="R1584" s="4" t="s">
        <v>87</v>
      </c>
      <c r="S1584" t="s">
        <v>4</v>
      </c>
      <c r="T1584" t="s">
        <v>88</v>
      </c>
      <c r="U1584" t="s">
        <v>89</v>
      </c>
      <c r="V1584" t="s">
        <v>90</v>
      </c>
      <c r="W1584" t="s">
        <v>91</v>
      </c>
      <c r="X1584" t="s">
        <v>4</v>
      </c>
      <c r="Y1584" t="s">
        <v>92</v>
      </c>
      <c r="Z1584" t="s">
        <v>92</v>
      </c>
      <c r="AA1584" t="s">
        <v>92</v>
      </c>
      <c r="AB1584" t="s">
        <v>4</v>
      </c>
      <c r="AC1584" s="3" t="s">
        <v>93</v>
      </c>
      <c r="AD1584" t="s">
        <v>4</v>
      </c>
      <c r="AE1584" s="4" t="s">
        <v>94</v>
      </c>
      <c r="AZ1584" t="s">
        <v>4</v>
      </c>
      <c r="BA1584" s="3" t="s">
        <v>95</v>
      </c>
      <c r="BB1584" t="s">
        <v>96</v>
      </c>
      <c r="BC1584" s="3" t="s">
        <v>95</v>
      </c>
      <c r="BD1584" t="s">
        <v>4</v>
      </c>
      <c r="BE1584">
        <v>4638</v>
      </c>
      <c r="BF1584" t="s">
        <v>112</v>
      </c>
      <c r="BH1584">
        <v>71.686700000000002</v>
      </c>
      <c r="BI1584">
        <v>93.373500000000007</v>
      </c>
      <c r="BJ1584">
        <v>62.650599999999997</v>
      </c>
      <c r="BM1584">
        <v>63.855400000000003</v>
      </c>
      <c r="CK1584">
        <v>5</v>
      </c>
      <c r="CL1584" t="s">
        <v>4</v>
      </c>
      <c r="CM1584" t="s">
        <v>98</v>
      </c>
      <c r="CN1584" t="s">
        <v>98</v>
      </c>
      <c r="CO1584" t="s">
        <v>99</v>
      </c>
      <c r="CP1584" t="s">
        <v>100</v>
      </c>
      <c r="CQ1584" t="s">
        <v>100</v>
      </c>
      <c r="CR1584" t="s">
        <v>100</v>
      </c>
      <c r="CS1584" t="s">
        <v>101</v>
      </c>
      <c r="CT1584" t="s">
        <v>100</v>
      </c>
      <c r="CU1584" t="s">
        <v>102</v>
      </c>
      <c r="CV1584" t="s">
        <v>100</v>
      </c>
    </row>
    <row r="1585" spans="1:100">
      <c r="A1585" s="3" t="s">
        <v>17001</v>
      </c>
      <c r="B1585" s="4" t="s">
        <v>17002</v>
      </c>
      <c r="C1585">
        <v>29.515388713732499</v>
      </c>
      <c r="D1585">
        <v>8.4320349325024502</v>
      </c>
      <c r="E1585">
        <v>1.81028337056209</v>
      </c>
      <c r="F1585">
        <v>0.137743972499932</v>
      </c>
      <c r="G1585" t="s">
        <v>4</v>
      </c>
      <c r="H1585">
        <v>29.515388713732499</v>
      </c>
      <c r="I1585">
        <v>2.7561882887467402</v>
      </c>
      <c r="J1585">
        <v>3.4064350003658399</v>
      </c>
      <c r="K1585">
        <v>8.0577252865238393E-3</v>
      </c>
      <c r="L1585" t="s">
        <v>4</v>
      </c>
      <c r="M1585">
        <v>8.4320349325024502</v>
      </c>
      <c r="N1585">
        <v>2.7561882887467402</v>
      </c>
      <c r="O1585">
        <v>1.5961516298037499</v>
      </c>
      <c r="P1585">
        <v>0.25580399586001801</v>
      </c>
      <c r="Q1585" t="s">
        <v>4</v>
      </c>
      <c r="R1585" s="4" t="s">
        <v>87</v>
      </c>
      <c r="S1585" t="s">
        <v>4</v>
      </c>
      <c r="T1585" t="s">
        <v>92</v>
      </c>
      <c r="U1585" t="s">
        <v>92</v>
      </c>
      <c r="V1585" t="s">
        <v>92</v>
      </c>
      <c r="W1585" t="s">
        <v>92</v>
      </c>
      <c r="X1585" t="s">
        <v>4</v>
      </c>
      <c r="Y1585" t="s">
        <v>7298</v>
      </c>
      <c r="Z1585" t="s">
        <v>7299</v>
      </c>
      <c r="AA1585" t="s">
        <v>7300</v>
      </c>
      <c r="AB1585" t="s">
        <v>4</v>
      </c>
      <c r="AC1585" s="3" t="s">
        <v>9067</v>
      </c>
      <c r="AD1585" t="s">
        <v>4</v>
      </c>
      <c r="AE1585" s="4" t="s">
        <v>94</v>
      </c>
      <c r="AZ1585" t="s">
        <v>4</v>
      </c>
      <c r="BA1585" s="3" t="s">
        <v>95</v>
      </c>
      <c r="BB1585" s="6" t="s">
        <v>95</v>
      </c>
      <c r="BC1585" s="3" t="s">
        <v>197</v>
      </c>
      <c r="BD1585" t="s">
        <v>4</v>
      </c>
      <c r="BE1585">
        <v>1406</v>
      </c>
      <c r="BF1585" t="s">
        <v>151</v>
      </c>
      <c r="BG1585">
        <v>87.628900000000002</v>
      </c>
      <c r="BI1585">
        <v>67.010300000000001</v>
      </c>
      <c r="BJ1585">
        <v>46.391800000000003</v>
      </c>
      <c r="CK1585">
        <v>2</v>
      </c>
      <c r="CL1585" t="s">
        <v>4</v>
      </c>
      <c r="CM1585" t="s">
        <v>98</v>
      </c>
      <c r="CN1585" t="s">
        <v>98</v>
      </c>
      <c r="CO1585" t="s">
        <v>99</v>
      </c>
      <c r="CP1585" t="s">
        <v>100</v>
      </c>
      <c r="CQ1585" t="s">
        <v>100</v>
      </c>
      <c r="CR1585" t="s">
        <v>100</v>
      </c>
      <c r="CS1585" t="s">
        <v>101</v>
      </c>
      <c r="CT1585" t="s">
        <v>100</v>
      </c>
      <c r="CU1585" t="s">
        <v>102</v>
      </c>
      <c r="CV1585" t="s">
        <v>100</v>
      </c>
    </row>
    <row r="1586" spans="1:100">
      <c r="A1586" s="3" t="s">
        <v>17003</v>
      </c>
      <c r="B1586" s="4" t="s">
        <v>17004</v>
      </c>
      <c r="C1586">
        <v>11.471079997992501</v>
      </c>
      <c r="D1586">
        <v>2.21993666796708</v>
      </c>
      <c r="E1586">
        <v>2.3694161606746702</v>
      </c>
      <c r="F1586">
        <v>7.0130325150644601E-2</v>
      </c>
      <c r="G1586" t="s">
        <v>4</v>
      </c>
      <c r="H1586">
        <v>11.471079997992501</v>
      </c>
      <c r="I1586">
        <v>0.63668974789924304</v>
      </c>
      <c r="J1586">
        <v>4.5026708559966</v>
      </c>
      <c r="K1586">
        <v>7.6815585824571301E-3</v>
      </c>
      <c r="L1586" t="s">
        <v>4</v>
      </c>
      <c r="M1586">
        <v>2.21993666796708</v>
      </c>
      <c r="N1586">
        <v>0.63668974789924304</v>
      </c>
      <c r="O1586">
        <v>2.1332546953219298</v>
      </c>
      <c r="P1586">
        <v>0.26193455494622297</v>
      </c>
      <c r="Q1586" t="s">
        <v>4</v>
      </c>
      <c r="R1586" s="4" t="s">
        <v>87</v>
      </c>
      <c r="S1586" t="s">
        <v>4</v>
      </c>
      <c r="T1586" t="s">
        <v>92</v>
      </c>
      <c r="U1586" t="s">
        <v>92</v>
      </c>
      <c r="V1586" t="s">
        <v>92</v>
      </c>
      <c r="W1586" t="s">
        <v>92</v>
      </c>
      <c r="X1586" t="s">
        <v>4</v>
      </c>
      <c r="Y1586" t="s">
        <v>92</v>
      </c>
      <c r="Z1586" t="s">
        <v>92</v>
      </c>
      <c r="AA1586" t="s">
        <v>92</v>
      </c>
      <c r="AB1586" t="s">
        <v>4</v>
      </c>
      <c r="AC1586" s="3" t="s">
        <v>17005</v>
      </c>
      <c r="AD1586" t="s">
        <v>4</v>
      </c>
      <c r="AE1586" t="s">
        <v>17006</v>
      </c>
      <c r="AF1586" t="s">
        <v>17007</v>
      </c>
      <c r="AG1586" t="s">
        <v>11889</v>
      </c>
      <c r="AH1586" t="s">
        <v>10046</v>
      </c>
      <c r="AU1586" t="s">
        <v>112</v>
      </c>
      <c r="AV1586" t="s">
        <v>17008</v>
      </c>
      <c r="AW1586" t="s">
        <v>114</v>
      </c>
      <c r="AX1586" t="s">
        <v>700</v>
      </c>
      <c r="AY1586" t="s">
        <v>17009</v>
      </c>
      <c r="AZ1586" t="s">
        <v>4</v>
      </c>
      <c r="BA1586" s="3" t="s">
        <v>95</v>
      </c>
      <c r="BB1586" s="6" t="s">
        <v>95</v>
      </c>
      <c r="BC1586" s="3" t="s">
        <v>95</v>
      </c>
      <c r="BD1586" t="s">
        <v>4</v>
      </c>
      <c r="BE1586">
        <v>847</v>
      </c>
      <c r="BF1586" t="s">
        <v>604</v>
      </c>
      <c r="BG1586">
        <v>67.567599999999999</v>
      </c>
      <c r="CK1586">
        <v>1.5</v>
      </c>
      <c r="CL1586" t="s">
        <v>4</v>
      </c>
      <c r="CM1586" t="s">
        <v>98</v>
      </c>
      <c r="CN1586" t="s">
        <v>98</v>
      </c>
      <c r="CO1586" t="s">
        <v>99</v>
      </c>
      <c r="CP1586" t="s">
        <v>100</v>
      </c>
      <c r="CQ1586" t="s">
        <v>100</v>
      </c>
      <c r="CR1586" t="s">
        <v>100</v>
      </c>
      <c r="CS1586" t="s">
        <v>101</v>
      </c>
      <c r="CT1586" t="s">
        <v>100</v>
      </c>
      <c r="CU1586" t="s">
        <v>102</v>
      </c>
      <c r="CV1586" t="s">
        <v>100</v>
      </c>
    </row>
    <row r="1587" spans="1:100">
      <c r="A1587" s="3" t="s">
        <v>17010</v>
      </c>
      <c r="B1587" s="8" t="s">
        <v>17011</v>
      </c>
      <c r="C1587">
        <v>39.3457278012826</v>
      </c>
      <c r="D1587">
        <v>11.6993391648667</v>
      </c>
      <c r="E1587">
        <v>1.75914543986962</v>
      </c>
      <c r="F1587">
        <v>0.13431470077868901</v>
      </c>
      <c r="G1587" t="s">
        <v>4</v>
      </c>
      <c r="H1587">
        <v>39.3457278012826</v>
      </c>
      <c r="I1587">
        <v>4.2076906102812304</v>
      </c>
      <c r="J1587">
        <v>3.2207417267993699</v>
      </c>
      <c r="K1587">
        <v>7.2391485455922397E-3</v>
      </c>
      <c r="L1587" t="s">
        <v>4</v>
      </c>
      <c r="M1587">
        <v>11.6993391648667</v>
      </c>
      <c r="N1587">
        <v>4.2076906102812304</v>
      </c>
      <c r="O1587">
        <v>1.4615962869297501</v>
      </c>
      <c r="P1587">
        <v>0.26385943098756098</v>
      </c>
      <c r="Q1587" t="s">
        <v>4</v>
      </c>
      <c r="R1587" s="4" t="s">
        <v>87</v>
      </c>
      <c r="S1587" t="s">
        <v>4</v>
      </c>
      <c r="T1587" t="s">
        <v>92</v>
      </c>
      <c r="U1587" t="s">
        <v>92</v>
      </c>
      <c r="V1587" t="s">
        <v>92</v>
      </c>
      <c r="W1587" t="s">
        <v>92</v>
      </c>
      <c r="X1587" t="s">
        <v>4</v>
      </c>
      <c r="AB1587" t="s">
        <v>4</v>
      </c>
      <c r="AC1587" s="3" t="s">
        <v>93</v>
      </c>
      <c r="AD1587" t="s">
        <v>4</v>
      </c>
      <c r="AE1587" s="4" t="s">
        <v>94</v>
      </c>
      <c r="AZ1587" t="s">
        <v>4</v>
      </c>
      <c r="BA1587" s="3" t="s">
        <v>812</v>
      </c>
      <c r="BB1587" s="3" t="s">
        <v>812</v>
      </c>
      <c r="BC1587" s="3" t="s">
        <v>812</v>
      </c>
      <c r="BD1587" t="s">
        <v>4</v>
      </c>
      <c r="BE1587">
        <v>391</v>
      </c>
      <c r="BF1587" t="s">
        <v>322</v>
      </c>
      <c r="CK1587">
        <v>1</v>
      </c>
      <c r="CL1587" t="s">
        <v>4</v>
      </c>
      <c r="CM1587" t="s">
        <v>98</v>
      </c>
      <c r="CN1587" t="s">
        <v>98</v>
      </c>
      <c r="CO1587" t="s">
        <v>99</v>
      </c>
      <c r="CP1587" t="s">
        <v>100</v>
      </c>
      <c r="CQ1587" t="s">
        <v>100</v>
      </c>
      <c r="CR1587" t="s">
        <v>100</v>
      </c>
      <c r="CS1587" t="s">
        <v>101</v>
      </c>
      <c r="CT1587" t="s">
        <v>100</v>
      </c>
      <c r="CU1587" t="s">
        <v>102</v>
      </c>
      <c r="CV1587" t="s">
        <v>100</v>
      </c>
    </row>
    <row r="1588" spans="1:100">
      <c r="A1588" s="3" t="s">
        <v>17012</v>
      </c>
      <c r="B1588" s="4" t="s">
        <v>17013</v>
      </c>
      <c r="C1588">
        <v>23.2796518825843</v>
      </c>
      <c r="D1588">
        <v>8.3599408915856195</v>
      </c>
      <c r="E1588">
        <v>1.4817387138176501</v>
      </c>
      <c r="F1588">
        <v>0.13153939440982099</v>
      </c>
      <c r="G1588" t="s">
        <v>4</v>
      </c>
      <c r="H1588">
        <v>23.2796518825843</v>
      </c>
      <c r="I1588">
        <v>3.54573367736706</v>
      </c>
      <c r="J1588">
        <v>2.77952754064192</v>
      </c>
      <c r="K1588">
        <v>8.3264592972001894E-3</v>
      </c>
      <c r="L1588" t="s">
        <v>4</v>
      </c>
      <c r="M1588">
        <v>8.3599408915856195</v>
      </c>
      <c r="N1588">
        <v>3.54573367736706</v>
      </c>
      <c r="O1588">
        <v>1.2977888268242701</v>
      </c>
      <c r="P1588">
        <v>0.26396508427014398</v>
      </c>
      <c r="Q1588" t="s">
        <v>4</v>
      </c>
      <c r="R1588" s="4" t="s">
        <v>87</v>
      </c>
      <c r="S1588" t="s">
        <v>4</v>
      </c>
      <c r="T1588" t="s">
        <v>92</v>
      </c>
      <c r="U1588" t="s">
        <v>92</v>
      </c>
      <c r="V1588" t="s">
        <v>92</v>
      </c>
      <c r="W1588" t="s">
        <v>92</v>
      </c>
      <c r="X1588" t="s">
        <v>4</v>
      </c>
      <c r="Y1588" t="s">
        <v>92</v>
      </c>
      <c r="Z1588" t="s">
        <v>92</v>
      </c>
      <c r="AA1588" t="s">
        <v>92</v>
      </c>
      <c r="AB1588" t="s">
        <v>4</v>
      </c>
      <c r="AC1588" s="3" t="s">
        <v>93</v>
      </c>
      <c r="AD1588" t="s">
        <v>4</v>
      </c>
      <c r="AE1588" s="4" t="s">
        <v>94</v>
      </c>
      <c r="AZ1588" t="s">
        <v>4</v>
      </c>
      <c r="BA1588" s="3" t="s">
        <v>95</v>
      </c>
      <c r="BB1588" s="6" t="s">
        <v>95</v>
      </c>
      <c r="BC1588" s="3" t="s">
        <v>197</v>
      </c>
      <c r="BD1588" t="s">
        <v>4</v>
      </c>
      <c r="BE1588">
        <v>2088</v>
      </c>
      <c r="BF1588" t="s">
        <v>148</v>
      </c>
      <c r="BG1588">
        <v>97.402600000000007</v>
      </c>
      <c r="BH1588">
        <v>82.467500000000001</v>
      </c>
      <c r="BI1588">
        <v>56.493499999999997</v>
      </c>
      <c r="BJ1588">
        <v>53.896099999999997</v>
      </c>
      <c r="BK1588">
        <v>48.051900000000003</v>
      </c>
      <c r="CK1588">
        <v>3</v>
      </c>
      <c r="CL1588" t="s">
        <v>4</v>
      </c>
      <c r="CM1588" t="s">
        <v>98</v>
      </c>
      <c r="CN1588" t="s">
        <v>98</v>
      </c>
      <c r="CO1588" t="s">
        <v>99</v>
      </c>
      <c r="CP1588" t="s">
        <v>100</v>
      </c>
      <c r="CQ1588" t="s">
        <v>100</v>
      </c>
      <c r="CR1588" t="s">
        <v>100</v>
      </c>
      <c r="CS1588" t="s">
        <v>101</v>
      </c>
      <c r="CT1588" t="s">
        <v>100</v>
      </c>
      <c r="CU1588" t="s">
        <v>102</v>
      </c>
      <c r="CV1588" t="s">
        <v>100</v>
      </c>
    </row>
    <row r="1589" spans="1:100">
      <c r="A1589" s="3" t="s">
        <v>17014</v>
      </c>
      <c r="B1589" s="4" t="s">
        <v>17015</v>
      </c>
      <c r="C1589">
        <v>64.682532915348503</v>
      </c>
      <c r="D1589">
        <v>24.7435053217445</v>
      </c>
      <c r="E1589">
        <v>1.39031673495542</v>
      </c>
      <c r="F1589">
        <v>0.12821044856913599</v>
      </c>
      <c r="G1589" t="s">
        <v>4</v>
      </c>
      <c r="H1589">
        <v>64.682532915348503</v>
      </c>
      <c r="I1589">
        <v>12.044208270004701</v>
      </c>
      <c r="J1589">
        <v>2.48458775987321</v>
      </c>
      <c r="K1589">
        <v>5.8109840788285504E-3</v>
      </c>
      <c r="L1589" t="s">
        <v>4</v>
      </c>
      <c r="M1589">
        <v>24.7435053217445</v>
      </c>
      <c r="N1589">
        <v>12.044208270004701</v>
      </c>
      <c r="O1589">
        <v>1.09427102491779</v>
      </c>
      <c r="P1589">
        <v>0.264003792481115</v>
      </c>
      <c r="Q1589" t="s">
        <v>4</v>
      </c>
      <c r="R1589" s="4" t="s">
        <v>87</v>
      </c>
      <c r="S1589" t="s">
        <v>4</v>
      </c>
      <c r="T1589" t="s">
        <v>460</v>
      </c>
      <c r="U1589" t="s">
        <v>461</v>
      </c>
      <c r="V1589" t="s">
        <v>462</v>
      </c>
      <c r="W1589" t="s">
        <v>123</v>
      </c>
      <c r="X1589" t="s">
        <v>4</v>
      </c>
      <c r="Y1589" t="s">
        <v>463</v>
      </c>
      <c r="Z1589" t="s">
        <v>464</v>
      </c>
      <c r="AA1589" t="s">
        <v>465</v>
      </c>
      <c r="AB1589" t="s">
        <v>4</v>
      </c>
      <c r="AC1589" s="3" t="s">
        <v>93</v>
      </c>
      <c r="AD1589" t="s">
        <v>4</v>
      </c>
      <c r="AE1589" t="s">
        <v>6411</v>
      </c>
      <c r="AF1589" t="s">
        <v>17016</v>
      </c>
      <c r="AG1589" t="s">
        <v>903</v>
      </c>
      <c r="AH1589" t="s">
        <v>169</v>
      </c>
      <c r="AU1589" t="s">
        <v>112</v>
      </c>
      <c r="AV1589" t="s">
        <v>470</v>
      </c>
      <c r="AW1589" t="s">
        <v>114</v>
      </c>
      <c r="AX1589" t="s">
        <v>144</v>
      </c>
      <c r="AY1589" t="s">
        <v>471</v>
      </c>
      <c r="AZ1589" t="s">
        <v>4</v>
      </c>
      <c r="BA1589" s="3" t="s">
        <v>95</v>
      </c>
      <c r="BB1589" s="6" t="s">
        <v>95</v>
      </c>
      <c r="BC1589" s="3" t="s">
        <v>197</v>
      </c>
      <c r="BD1589" t="s">
        <v>4</v>
      </c>
      <c r="BE1589">
        <v>5811</v>
      </c>
      <c r="BF1589" t="s">
        <v>386</v>
      </c>
      <c r="BJ1589">
        <v>14.0562</v>
      </c>
      <c r="BL1589">
        <v>6.2248999999999999</v>
      </c>
      <c r="BR1589">
        <v>9.2369500000000002</v>
      </c>
      <c r="BV1589">
        <v>5.62249</v>
      </c>
      <c r="BW1589">
        <v>5.8232900000000001</v>
      </c>
      <c r="CC1589">
        <v>9.0361399999999996</v>
      </c>
      <c r="CD1589">
        <v>9.6385500000000004</v>
      </c>
      <c r="CG1589" t="s">
        <v>17017</v>
      </c>
      <c r="CH1589" t="s">
        <v>17018</v>
      </c>
      <c r="CI1589" t="s">
        <v>17019</v>
      </c>
      <c r="CK1589">
        <v>7</v>
      </c>
      <c r="CL1589" t="s">
        <v>4</v>
      </c>
      <c r="CM1589" t="s">
        <v>98</v>
      </c>
      <c r="CN1589" t="s">
        <v>98</v>
      </c>
      <c r="CO1589" t="s">
        <v>99</v>
      </c>
      <c r="CP1589" t="s">
        <v>100</v>
      </c>
      <c r="CQ1589" t="s">
        <v>100</v>
      </c>
      <c r="CR1589" t="s">
        <v>100</v>
      </c>
      <c r="CS1589" t="s">
        <v>101</v>
      </c>
      <c r="CT1589" t="s">
        <v>100</v>
      </c>
      <c r="CU1589" t="s">
        <v>102</v>
      </c>
      <c r="CV1589" t="s">
        <v>100</v>
      </c>
    </row>
    <row r="1590" spans="1:100">
      <c r="A1590" s="3" t="s">
        <v>17020</v>
      </c>
      <c r="B1590" s="4" t="s">
        <v>17021</v>
      </c>
      <c r="C1590">
        <v>26.4819274716824</v>
      </c>
      <c r="D1590">
        <v>6.76772985525733</v>
      </c>
      <c r="E1590">
        <v>1.98773873758666</v>
      </c>
      <c r="F1590">
        <v>0.10266337712897</v>
      </c>
      <c r="G1590" t="s">
        <v>4</v>
      </c>
      <c r="H1590">
        <v>26.4819274716824</v>
      </c>
      <c r="I1590">
        <v>2.13157711364518</v>
      </c>
      <c r="J1590">
        <v>3.59717063516571</v>
      </c>
      <c r="K1590">
        <v>6.3963644183449896E-3</v>
      </c>
      <c r="L1590" t="s">
        <v>4</v>
      </c>
      <c r="M1590">
        <v>6.76772985525733</v>
      </c>
      <c r="N1590">
        <v>2.13157711364518</v>
      </c>
      <c r="O1590">
        <v>1.60943189757905</v>
      </c>
      <c r="P1590">
        <v>0.26821588141795499</v>
      </c>
      <c r="Q1590" t="s">
        <v>4</v>
      </c>
      <c r="R1590" s="4" t="s">
        <v>87</v>
      </c>
      <c r="S1590" t="s">
        <v>4</v>
      </c>
      <c r="T1590" t="s">
        <v>92</v>
      </c>
      <c r="U1590" t="s">
        <v>92</v>
      </c>
      <c r="V1590" t="s">
        <v>92</v>
      </c>
      <c r="W1590" t="s">
        <v>92</v>
      </c>
      <c r="X1590" t="s">
        <v>4</v>
      </c>
      <c r="Y1590" t="s">
        <v>5203</v>
      </c>
      <c r="Z1590" t="s">
        <v>5204</v>
      </c>
      <c r="AA1590" t="s">
        <v>5205</v>
      </c>
      <c r="AB1590" t="s">
        <v>4</v>
      </c>
      <c r="AC1590" s="3" t="s">
        <v>5206</v>
      </c>
      <c r="AD1590" t="s">
        <v>4</v>
      </c>
      <c r="AE1590" t="s">
        <v>17022</v>
      </c>
      <c r="AF1590" t="s">
        <v>17023</v>
      </c>
      <c r="AG1590" t="s">
        <v>17024</v>
      </c>
      <c r="AH1590" t="s">
        <v>112</v>
      </c>
      <c r="AU1590" t="s">
        <v>112</v>
      </c>
      <c r="AV1590" t="s">
        <v>17025</v>
      </c>
      <c r="AW1590" t="s">
        <v>114</v>
      </c>
      <c r="AX1590" t="s">
        <v>144</v>
      </c>
      <c r="AY1590" t="s">
        <v>17026</v>
      </c>
      <c r="AZ1590" t="s">
        <v>4</v>
      </c>
      <c r="BA1590" s="3" t="s">
        <v>95</v>
      </c>
      <c r="BB1590" s="6" t="s">
        <v>95</v>
      </c>
      <c r="BC1590" s="3" t="s">
        <v>95</v>
      </c>
      <c r="BD1590" t="s">
        <v>4</v>
      </c>
      <c r="BE1590">
        <v>1134</v>
      </c>
      <c r="BF1590" t="s">
        <v>151</v>
      </c>
      <c r="BG1590">
        <v>94.554500000000004</v>
      </c>
      <c r="BH1590">
        <v>50.990099999999998</v>
      </c>
      <c r="BI1590">
        <v>65.346500000000006</v>
      </c>
      <c r="BJ1590">
        <v>44.059399999999997</v>
      </c>
      <c r="BK1590">
        <v>37.623800000000003</v>
      </c>
      <c r="CK1590">
        <v>2</v>
      </c>
      <c r="CL1590" t="s">
        <v>4</v>
      </c>
      <c r="CM1590" t="s">
        <v>98</v>
      </c>
      <c r="CN1590" t="s">
        <v>98</v>
      </c>
      <c r="CO1590" t="s">
        <v>99</v>
      </c>
      <c r="CP1590" t="s">
        <v>100</v>
      </c>
      <c r="CQ1590" t="s">
        <v>100</v>
      </c>
      <c r="CR1590" t="s">
        <v>100</v>
      </c>
      <c r="CS1590" t="s">
        <v>101</v>
      </c>
      <c r="CT1590" t="s">
        <v>100</v>
      </c>
      <c r="CU1590" t="s">
        <v>102</v>
      </c>
      <c r="CV1590" t="s">
        <v>100</v>
      </c>
    </row>
    <row r="1591" spans="1:100">
      <c r="A1591" s="3" t="s">
        <v>17027</v>
      </c>
      <c r="B1591" s="4" t="s">
        <v>17028</v>
      </c>
      <c r="C1591">
        <v>53.0665748603436</v>
      </c>
      <c r="D1591">
        <v>16.8528393261758</v>
      </c>
      <c r="E1591">
        <v>1.65526716435176</v>
      </c>
      <c r="F1591">
        <v>0.113477034884267</v>
      </c>
      <c r="G1591" t="s">
        <v>4</v>
      </c>
      <c r="H1591">
        <v>53.0665748603436</v>
      </c>
      <c r="I1591">
        <v>7.0133032296382503</v>
      </c>
      <c r="J1591">
        <v>2.8978058606669301</v>
      </c>
      <c r="K1591">
        <v>5.56126371950147E-3</v>
      </c>
      <c r="L1591" t="s">
        <v>4</v>
      </c>
      <c r="M1591">
        <v>16.8528393261758</v>
      </c>
      <c r="N1591">
        <v>7.0133032296382503</v>
      </c>
      <c r="O1591">
        <v>1.2425386963151801</v>
      </c>
      <c r="P1591">
        <v>0.276519546245238</v>
      </c>
      <c r="Q1591" t="s">
        <v>4</v>
      </c>
      <c r="R1591" s="4" t="s">
        <v>87</v>
      </c>
      <c r="S1591" t="s">
        <v>4</v>
      </c>
      <c r="T1591" t="s">
        <v>88</v>
      </c>
      <c r="U1591" t="s">
        <v>89</v>
      </c>
      <c r="V1591" t="s">
        <v>90</v>
      </c>
      <c r="W1591" t="s">
        <v>91</v>
      </c>
      <c r="X1591" t="s">
        <v>4</v>
      </c>
      <c r="Y1591" t="s">
        <v>92</v>
      </c>
      <c r="Z1591" t="s">
        <v>92</v>
      </c>
      <c r="AA1591" t="s">
        <v>92</v>
      </c>
      <c r="AB1591" t="s">
        <v>4</v>
      </c>
      <c r="AC1591" s="3" t="s">
        <v>93</v>
      </c>
      <c r="AD1591" t="s">
        <v>4</v>
      </c>
      <c r="AE1591" t="s">
        <v>9909</v>
      </c>
      <c r="AF1591" t="s">
        <v>17029</v>
      </c>
      <c r="AG1591" t="s">
        <v>17030</v>
      </c>
      <c r="AH1591" t="s">
        <v>112</v>
      </c>
      <c r="AU1591" t="s">
        <v>112</v>
      </c>
      <c r="AV1591" t="s">
        <v>9912</v>
      </c>
      <c r="AW1591" t="s">
        <v>114</v>
      </c>
      <c r="AZ1591" t="s">
        <v>4</v>
      </c>
      <c r="BA1591" s="3" t="s">
        <v>95</v>
      </c>
      <c r="BB1591" t="s">
        <v>96</v>
      </c>
      <c r="BC1591" s="3" t="s">
        <v>95</v>
      </c>
      <c r="BD1591" t="s">
        <v>4</v>
      </c>
      <c r="BE1591">
        <v>2202</v>
      </c>
      <c r="BF1591" t="s">
        <v>148</v>
      </c>
      <c r="BG1591">
        <v>99.590199999999996</v>
      </c>
      <c r="BH1591">
        <v>100</v>
      </c>
      <c r="BI1591">
        <v>97.950800000000001</v>
      </c>
      <c r="BJ1591">
        <v>65.163899999999998</v>
      </c>
      <c r="BK1591">
        <v>79.508200000000002</v>
      </c>
      <c r="BL1591" t="s">
        <v>17031</v>
      </c>
      <c r="BM1591">
        <v>78.278700000000001</v>
      </c>
      <c r="BN1591">
        <v>78.278700000000001</v>
      </c>
      <c r="BO1591">
        <v>79.508200000000002</v>
      </c>
      <c r="CK1591">
        <v>3</v>
      </c>
      <c r="CL1591" t="s">
        <v>4</v>
      </c>
      <c r="CM1591" t="s">
        <v>98</v>
      </c>
      <c r="CN1591" t="s">
        <v>98</v>
      </c>
      <c r="CO1591" t="s">
        <v>99</v>
      </c>
      <c r="CP1591" t="s">
        <v>100</v>
      </c>
      <c r="CQ1591" t="s">
        <v>100</v>
      </c>
      <c r="CR1591" t="s">
        <v>100</v>
      </c>
      <c r="CS1591" t="s">
        <v>101</v>
      </c>
      <c r="CT1591" t="s">
        <v>100</v>
      </c>
      <c r="CU1591" t="s">
        <v>102</v>
      </c>
      <c r="CV1591" t="s">
        <v>100</v>
      </c>
    </row>
    <row r="1592" spans="1:100">
      <c r="A1592" s="3" t="s">
        <v>17032</v>
      </c>
      <c r="B1592" s="4" t="s">
        <v>17033</v>
      </c>
      <c r="C1592">
        <v>37.5756783012027</v>
      </c>
      <c r="D1592">
        <v>12.9194070377433</v>
      </c>
      <c r="E1592">
        <v>1.5464896617427299</v>
      </c>
      <c r="F1592">
        <v>5.1061866700810601E-2</v>
      </c>
      <c r="G1592" t="s">
        <v>4</v>
      </c>
      <c r="H1592">
        <v>37.5756783012027</v>
      </c>
      <c r="I1592">
        <v>6.5102412238440097</v>
      </c>
      <c r="J1592">
        <v>2.54904793010519</v>
      </c>
      <c r="K1592">
        <v>2.06638288970384E-3</v>
      </c>
      <c r="L1592" t="s">
        <v>4</v>
      </c>
      <c r="M1592">
        <v>12.9194070377433</v>
      </c>
      <c r="N1592">
        <v>6.5102412238440097</v>
      </c>
      <c r="O1592">
        <v>1.0025582683624601</v>
      </c>
      <c r="P1592">
        <v>0.27739285694292998</v>
      </c>
      <c r="Q1592" t="s">
        <v>4</v>
      </c>
      <c r="R1592" s="4" t="s">
        <v>87</v>
      </c>
      <c r="S1592" t="s">
        <v>4</v>
      </c>
      <c r="T1592" t="s">
        <v>92</v>
      </c>
      <c r="U1592" t="s">
        <v>92</v>
      </c>
      <c r="V1592" t="s">
        <v>92</v>
      </c>
      <c r="W1592" t="s">
        <v>92</v>
      </c>
      <c r="X1592" t="s">
        <v>4</v>
      </c>
      <c r="Y1592" t="s">
        <v>92</v>
      </c>
      <c r="Z1592" t="s">
        <v>92</v>
      </c>
      <c r="AA1592" t="s">
        <v>92</v>
      </c>
      <c r="AB1592" t="s">
        <v>4</v>
      </c>
      <c r="AC1592" s="3" t="s">
        <v>93</v>
      </c>
      <c r="AD1592" t="s">
        <v>4</v>
      </c>
      <c r="AE1592" s="4" t="s">
        <v>94</v>
      </c>
      <c r="AZ1592" t="s">
        <v>4</v>
      </c>
      <c r="BA1592" s="3" t="s">
        <v>95</v>
      </c>
      <c r="BB1592" s="6" t="s">
        <v>95</v>
      </c>
      <c r="BC1592" s="3" t="s">
        <v>95</v>
      </c>
      <c r="BD1592" t="s">
        <v>4</v>
      </c>
      <c r="BE1592">
        <v>809</v>
      </c>
      <c r="BF1592" t="s">
        <v>604</v>
      </c>
      <c r="BG1592">
        <v>95.744699999999995</v>
      </c>
      <c r="BH1592">
        <v>100</v>
      </c>
      <c r="CK1592">
        <v>1.5</v>
      </c>
      <c r="CL1592" t="s">
        <v>4</v>
      </c>
      <c r="CM1592" t="s">
        <v>98</v>
      </c>
      <c r="CN1592" t="s">
        <v>98</v>
      </c>
      <c r="CO1592" t="s">
        <v>99</v>
      </c>
      <c r="CP1592" t="s">
        <v>100</v>
      </c>
      <c r="CQ1592" t="s">
        <v>100</v>
      </c>
      <c r="CR1592" t="s">
        <v>100</v>
      </c>
      <c r="CS1592" t="s">
        <v>101</v>
      </c>
      <c r="CT1592" t="s">
        <v>100</v>
      </c>
      <c r="CU1592" t="s">
        <v>102</v>
      </c>
      <c r="CV1592" t="s">
        <v>100</v>
      </c>
    </row>
    <row r="1593" spans="1:100">
      <c r="A1593" s="3" t="s">
        <v>17034</v>
      </c>
      <c r="B1593" s="4" t="s">
        <v>17035</v>
      </c>
      <c r="C1593">
        <v>33.702488499759497</v>
      </c>
      <c r="D1593">
        <v>9.8239182737820006</v>
      </c>
      <c r="E1593">
        <v>1.7841848196894099</v>
      </c>
      <c r="F1593">
        <v>0.128265951469371</v>
      </c>
      <c r="G1593" t="s">
        <v>4</v>
      </c>
      <c r="H1593">
        <v>33.702488499759497</v>
      </c>
      <c r="I1593">
        <v>3.8514449588092199</v>
      </c>
      <c r="J1593">
        <v>3.2259549727093701</v>
      </c>
      <c r="K1593">
        <v>7.8478729690201598E-3</v>
      </c>
      <c r="L1593" t="s">
        <v>4</v>
      </c>
      <c r="M1593">
        <v>9.8239182737820006</v>
      </c>
      <c r="N1593">
        <v>3.8514449588092199</v>
      </c>
      <c r="O1593">
        <v>1.44177015301996</v>
      </c>
      <c r="P1593">
        <v>0.27822195974757002</v>
      </c>
      <c r="Q1593" t="s">
        <v>4</v>
      </c>
      <c r="R1593" s="4" t="s">
        <v>87</v>
      </c>
      <c r="S1593" t="s">
        <v>4</v>
      </c>
      <c r="T1593" t="s">
        <v>92</v>
      </c>
      <c r="U1593" t="s">
        <v>92</v>
      </c>
      <c r="V1593" t="s">
        <v>92</v>
      </c>
      <c r="W1593" t="s">
        <v>92</v>
      </c>
      <c r="X1593" t="s">
        <v>4</v>
      </c>
      <c r="Y1593" t="s">
        <v>92</v>
      </c>
      <c r="Z1593" t="s">
        <v>92</v>
      </c>
      <c r="AA1593" t="s">
        <v>92</v>
      </c>
      <c r="AB1593" t="s">
        <v>4</v>
      </c>
      <c r="AC1593" s="3" t="s">
        <v>93</v>
      </c>
      <c r="AD1593" t="s">
        <v>4</v>
      </c>
      <c r="AE1593" s="4" t="s">
        <v>94</v>
      </c>
      <c r="AZ1593" t="s">
        <v>4</v>
      </c>
      <c r="BA1593" s="3" t="s">
        <v>95</v>
      </c>
      <c r="BB1593" s="6" t="s">
        <v>95</v>
      </c>
      <c r="BC1593" s="3" t="s">
        <v>95</v>
      </c>
      <c r="BD1593" t="s">
        <v>4</v>
      </c>
      <c r="BE1593">
        <v>543</v>
      </c>
      <c r="BF1593" t="s">
        <v>322</v>
      </c>
      <c r="CK1593">
        <v>1</v>
      </c>
      <c r="CL1593" t="s">
        <v>4</v>
      </c>
      <c r="CM1593" t="s">
        <v>98</v>
      </c>
      <c r="CN1593" t="s">
        <v>98</v>
      </c>
      <c r="CO1593" t="s">
        <v>99</v>
      </c>
      <c r="CP1593" t="s">
        <v>100</v>
      </c>
      <c r="CQ1593" t="s">
        <v>100</v>
      </c>
      <c r="CR1593" t="s">
        <v>100</v>
      </c>
      <c r="CS1593" t="s">
        <v>101</v>
      </c>
      <c r="CT1593" t="s">
        <v>100</v>
      </c>
      <c r="CU1593" t="s">
        <v>102</v>
      </c>
      <c r="CV1593" t="s">
        <v>100</v>
      </c>
    </row>
    <row r="1594" spans="1:100">
      <c r="A1594" s="3" t="s">
        <v>17036</v>
      </c>
      <c r="B1594" s="4" t="s">
        <v>17037</v>
      </c>
      <c r="C1594">
        <v>27.001014169509698</v>
      </c>
      <c r="D1594">
        <v>5.5036377480713803</v>
      </c>
      <c r="E1594">
        <v>2.3178145511374102</v>
      </c>
      <c r="F1594">
        <v>6.9867171023638305E-2</v>
      </c>
      <c r="G1594" t="s">
        <v>4</v>
      </c>
      <c r="H1594">
        <v>27.001014169509698</v>
      </c>
      <c r="I1594">
        <v>1.4948873657459301</v>
      </c>
      <c r="J1594">
        <v>4.02354213551284</v>
      </c>
      <c r="K1594">
        <v>4.7037722599224197E-3</v>
      </c>
      <c r="L1594" t="s">
        <v>4</v>
      </c>
      <c r="M1594">
        <v>5.5036377480713803</v>
      </c>
      <c r="N1594">
        <v>1.4948873657459301</v>
      </c>
      <c r="O1594">
        <v>1.70572758437543</v>
      </c>
      <c r="P1594">
        <v>0.27977994090559699</v>
      </c>
      <c r="Q1594" t="s">
        <v>4</v>
      </c>
      <c r="R1594" s="4" t="s">
        <v>87</v>
      </c>
      <c r="S1594" t="s">
        <v>4</v>
      </c>
      <c r="T1594" t="s">
        <v>17038</v>
      </c>
      <c r="U1594" t="s">
        <v>17039</v>
      </c>
      <c r="V1594" t="s">
        <v>17040</v>
      </c>
      <c r="W1594" t="s">
        <v>328</v>
      </c>
      <c r="X1594" t="s">
        <v>4</v>
      </c>
      <c r="Y1594" t="s">
        <v>17041</v>
      </c>
      <c r="Z1594" t="s">
        <v>17042</v>
      </c>
      <c r="AA1594" t="s">
        <v>17043</v>
      </c>
      <c r="AB1594" t="s">
        <v>4</v>
      </c>
      <c r="AC1594" s="3" t="s">
        <v>17044</v>
      </c>
      <c r="AD1594" t="s">
        <v>4</v>
      </c>
      <c r="AE1594" t="s">
        <v>17045</v>
      </c>
      <c r="AF1594" t="s">
        <v>17046</v>
      </c>
      <c r="AG1594" t="s">
        <v>17047</v>
      </c>
      <c r="AH1594" t="s">
        <v>638</v>
      </c>
      <c r="AL1594" t="s">
        <v>17048</v>
      </c>
      <c r="AM1594" t="s">
        <v>17049</v>
      </c>
      <c r="AQ1594" t="s">
        <v>3868</v>
      </c>
      <c r="AR1594" t="s">
        <v>17050</v>
      </c>
      <c r="AU1594" t="s">
        <v>112</v>
      </c>
      <c r="AV1594" t="s">
        <v>17051</v>
      </c>
      <c r="AW1594" t="s">
        <v>114</v>
      </c>
      <c r="AX1594" t="s">
        <v>536</v>
      </c>
      <c r="AY1594" t="s">
        <v>16178</v>
      </c>
      <c r="AZ1594" t="s">
        <v>4</v>
      </c>
      <c r="BA1594" s="3" t="s">
        <v>95</v>
      </c>
      <c r="BB1594" t="s">
        <v>96</v>
      </c>
      <c r="BC1594" s="3" t="s">
        <v>95</v>
      </c>
      <c r="BD1594" t="s">
        <v>4</v>
      </c>
      <c r="BE1594">
        <v>5781</v>
      </c>
      <c r="BF1594" t="s">
        <v>386</v>
      </c>
      <c r="BG1594">
        <v>26.288699999999999</v>
      </c>
      <c r="BI1594">
        <v>14.261200000000001</v>
      </c>
      <c r="BJ1594" t="s">
        <v>17052</v>
      </c>
      <c r="BK1594">
        <v>75.773200000000003</v>
      </c>
      <c r="BL1594">
        <v>12.199299999999999</v>
      </c>
      <c r="BM1594">
        <v>75.944999999999993</v>
      </c>
      <c r="BN1594">
        <v>75.944999999999993</v>
      </c>
      <c r="BO1594">
        <v>78.522300000000001</v>
      </c>
      <c r="BW1594">
        <v>54.639200000000002</v>
      </c>
      <c r="BX1594">
        <v>55.4983</v>
      </c>
      <c r="BY1594">
        <v>35.051499999999997</v>
      </c>
      <c r="BZ1594">
        <v>54.295499999999997</v>
      </c>
      <c r="CA1594">
        <v>53.092799999999997</v>
      </c>
      <c r="CB1594">
        <v>35.738799999999998</v>
      </c>
      <c r="CC1594">
        <v>21.6495</v>
      </c>
      <c r="CE1594">
        <v>18.7285</v>
      </c>
      <c r="CF1594">
        <v>35.223399999999998</v>
      </c>
      <c r="CG1594" t="s">
        <v>17053</v>
      </c>
      <c r="CH1594" t="s">
        <v>17054</v>
      </c>
      <c r="CI1594" t="s">
        <v>17055</v>
      </c>
      <c r="CJ1594">
        <v>14.7766</v>
      </c>
      <c r="CK1594">
        <v>7</v>
      </c>
      <c r="CL1594" t="s">
        <v>4</v>
      </c>
      <c r="CM1594" t="s">
        <v>17056</v>
      </c>
      <c r="CN1594" t="s">
        <v>17057</v>
      </c>
      <c r="CO1594" t="s">
        <v>99</v>
      </c>
      <c r="CP1594" t="s">
        <v>100</v>
      </c>
      <c r="CQ1594" t="s">
        <v>100</v>
      </c>
      <c r="CR1594" t="s">
        <v>100</v>
      </c>
      <c r="CS1594" t="s">
        <v>101</v>
      </c>
      <c r="CT1594" t="s">
        <v>100</v>
      </c>
      <c r="CU1594" t="s">
        <v>102</v>
      </c>
      <c r="CV1594" t="s">
        <v>100</v>
      </c>
    </row>
    <row r="1595" spans="1:100">
      <c r="A1595" s="3" t="s">
        <v>17058</v>
      </c>
      <c r="B1595" s="4" t="s">
        <v>17059</v>
      </c>
      <c r="C1595">
        <v>46.357224716025001</v>
      </c>
      <c r="D1595">
        <v>16.587366660204999</v>
      </c>
      <c r="E1595">
        <v>1.48133244309236</v>
      </c>
      <c r="F1595">
        <v>0.121101922246862</v>
      </c>
      <c r="G1595" t="s">
        <v>4</v>
      </c>
      <c r="H1595">
        <v>46.357224716025001</v>
      </c>
      <c r="I1595">
        <v>7.8689341705567699</v>
      </c>
      <c r="J1595">
        <v>2.6055734078976398</v>
      </c>
      <c r="K1595">
        <v>6.5927187403522101E-3</v>
      </c>
      <c r="L1595" t="s">
        <v>4</v>
      </c>
      <c r="M1595">
        <v>16.587366660204999</v>
      </c>
      <c r="N1595">
        <v>7.8689341705567699</v>
      </c>
      <c r="O1595">
        <v>1.12424096480528</v>
      </c>
      <c r="P1595">
        <v>0.28478471436659403</v>
      </c>
      <c r="Q1595" t="s">
        <v>4</v>
      </c>
      <c r="R1595" s="4" t="s">
        <v>87</v>
      </c>
      <c r="S1595" t="s">
        <v>4</v>
      </c>
      <c r="T1595" t="s">
        <v>92</v>
      </c>
      <c r="U1595" t="s">
        <v>92</v>
      </c>
      <c r="V1595" t="s">
        <v>92</v>
      </c>
      <c r="W1595" t="s">
        <v>92</v>
      </c>
      <c r="X1595" t="s">
        <v>4</v>
      </c>
      <c r="Y1595" t="s">
        <v>9510</v>
      </c>
      <c r="Z1595" t="s">
        <v>9511</v>
      </c>
      <c r="AA1595" t="s">
        <v>9511</v>
      </c>
      <c r="AB1595" t="s">
        <v>4</v>
      </c>
      <c r="AC1595" s="3" t="s">
        <v>17060</v>
      </c>
      <c r="AD1595" t="s">
        <v>4</v>
      </c>
      <c r="AE1595" t="s">
        <v>17061</v>
      </c>
      <c r="AF1595" t="s">
        <v>17062</v>
      </c>
      <c r="AG1595" t="s">
        <v>17063</v>
      </c>
      <c r="AH1595" t="s">
        <v>112</v>
      </c>
      <c r="AJ1595" t="s">
        <v>9516</v>
      </c>
      <c r="AU1595" t="s">
        <v>112</v>
      </c>
      <c r="AV1595" t="s">
        <v>17064</v>
      </c>
      <c r="AW1595" t="s">
        <v>114</v>
      </c>
      <c r="AX1595" t="s">
        <v>144</v>
      </c>
      <c r="AY1595" t="s">
        <v>8720</v>
      </c>
      <c r="AZ1595" t="s">
        <v>4</v>
      </c>
      <c r="BA1595" s="3" t="s">
        <v>95</v>
      </c>
      <c r="BB1595" t="s">
        <v>96</v>
      </c>
      <c r="BC1595" s="3" t="s">
        <v>95</v>
      </c>
      <c r="BD1595" t="s">
        <v>4</v>
      </c>
      <c r="BE1595">
        <v>5040</v>
      </c>
      <c r="BF1595" t="s">
        <v>282</v>
      </c>
      <c r="BG1595">
        <v>54.590600000000002</v>
      </c>
      <c r="BH1595">
        <v>53.101700000000001</v>
      </c>
      <c r="BI1595">
        <v>95.781599999999997</v>
      </c>
      <c r="BJ1595">
        <v>92.307699999999997</v>
      </c>
      <c r="BK1595">
        <v>90.074399999999997</v>
      </c>
      <c r="BL1595">
        <v>86.104200000000006</v>
      </c>
      <c r="BM1595">
        <v>80.645200000000003</v>
      </c>
      <c r="BN1595">
        <v>85.607900000000001</v>
      </c>
      <c r="BO1595">
        <v>85.359800000000007</v>
      </c>
      <c r="BP1595">
        <v>66.997500000000002</v>
      </c>
      <c r="BQ1595">
        <v>63.027299999999997</v>
      </c>
      <c r="BR1595">
        <v>61.538499999999999</v>
      </c>
      <c r="BS1595">
        <v>63.027299999999997</v>
      </c>
      <c r="BT1595">
        <v>51.612900000000003</v>
      </c>
      <c r="BU1595">
        <v>41.6873</v>
      </c>
      <c r="BV1595" t="s">
        <v>17065</v>
      </c>
      <c r="BW1595">
        <v>60.793999999999997</v>
      </c>
      <c r="BX1595">
        <v>64.516099999999994</v>
      </c>
      <c r="BY1595">
        <v>61.7866</v>
      </c>
      <c r="BZ1595">
        <v>65.756799999999998</v>
      </c>
      <c r="CA1595">
        <v>62.530999999999999</v>
      </c>
      <c r="CC1595">
        <v>46.898299999999999</v>
      </c>
      <c r="CD1595">
        <v>46.153799999999997</v>
      </c>
      <c r="CK1595">
        <v>6</v>
      </c>
      <c r="CL1595" t="s">
        <v>4</v>
      </c>
      <c r="CM1595" t="s">
        <v>17066</v>
      </c>
      <c r="CN1595" t="s">
        <v>17067</v>
      </c>
      <c r="CO1595" t="s">
        <v>99</v>
      </c>
      <c r="CP1595" t="s">
        <v>100</v>
      </c>
      <c r="CQ1595" t="s">
        <v>100</v>
      </c>
      <c r="CR1595" t="s">
        <v>100</v>
      </c>
      <c r="CS1595" t="s">
        <v>101</v>
      </c>
      <c r="CT1595" t="s">
        <v>100</v>
      </c>
      <c r="CU1595" t="s">
        <v>102</v>
      </c>
      <c r="CV1595" t="s">
        <v>100</v>
      </c>
    </row>
    <row r="1596" spans="1:100">
      <c r="A1596" s="3" t="s">
        <v>17068</v>
      </c>
      <c r="B1596" s="4" t="s">
        <v>17069</v>
      </c>
      <c r="C1596">
        <v>91.7015056272176</v>
      </c>
      <c r="D1596">
        <v>22.292581457200399</v>
      </c>
      <c r="E1596">
        <v>2.0421725930863102</v>
      </c>
      <c r="F1596">
        <v>7.5913597719329498E-2</v>
      </c>
      <c r="G1596" t="s">
        <v>4</v>
      </c>
      <c r="H1596">
        <v>91.7015056272176</v>
      </c>
      <c r="I1596">
        <v>8.8391690618412699</v>
      </c>
      <c r="J1596">
        <v>3.3472627875569199</v>
      </c>
      <c r="K1596">
        <v>3.0858415880431699E-3</v>
      </c>
      <c r="L1596" t="s">
        <v>4</v>
      </c>
      <c r="M1596">
        <v>22.292581457200399</v>
      </c>
      <c r="N1596">
        <v>8.8391690618412699</v>
      </c>
      <c r="O1596">
        <v>1.3050901944706099</v>
      </c>
      <c r="P1596">
        <v>0.29178110461454299</v>
      </c>
      <c r="Q1596" t="s">
        <v>4</v>
      </c>
      <c r="R1596" s="4" t="s">
        <v>87</v>
      </c>
      <c r="S1596" t="s">
        <v>4</v>
      </c>
      <c r="T1596" t="s">
        <v>17070</v>
      </c>
      <c r="U1596" t="s">
        <v>17071</v>
      </c>
      <c r="V1596" t="s">
        <v>17072</v>
      </c>
      <c r="W1596" t="s">
        <v>91</v>
      </c>
      <c r="X1596" t="s">
        <v>4</v>
      </c>
      <c r="Y1596" t="s">
        <v>17073</v>
      </c>
      <c r="Z1596" t="s">
        <v>17074</v>
      </c>
      <c r="AA1596" t="s">
        <v>17075</v>
      </c>
      <c r="AB1596" t="s">
        <v>4</v>
      </c>
      <c r="AC1596" s="3" t="s">
        <v>17076</v>
      </c>
      <c r="AD1596" t="s">
        <v>4</v>
      </c>
      <c r="AE1596" t="s">
        <v>17077</v>
      </c>
      <c r="AF1596" t="s">
        <v>17078</v>
      </c>
      <c r="AG1596" t="s">
        <v>9290</v>
      </c>
      <c r="AH1596" t="s">
        <v>112</v>
      </c>
      <c r="AU1596" t="s">
        <v>112</v>
      </c>
      <c r="AV1596" t="s">
        <v>17079</v>
      </c>
      <c r="AW1596" t="s">
        <v>114</v>
      </c>
      <c r="AX1596" t="s">
        <v>1938</v>
      </c>
      <c r="AY1596" t="s">
        <v>456</v>
      </c>
      <c r="AZ1596" t="s">
        <v>4</v>
      </c>
      <c r="BA1596" s="3" t="s">
        <v>115</v>
      </c>
      <c r="BB1596" s="6" t="s">
        <v>95</v>
      </c>
      <c r="BC1596" s="3" t="s">
        <v>95</v>
      </c>
      <c r="BD1596" t="s">
        <v>4</v>
      </c>
      <c r="BE1596">
        <v>4463</v>
      </c>
      <c r="BF1596" t="s">
        <v>112</v>
      </c>
      <c r="BG1596">
        <v>98.455600000000004</v>
      </c>
      <c r="BH1596">
        <v>95.752899999999997</v>
      </c>
      <c r="BI1596">
        <v>93.822400000000002</v>
      </c>
      <c r="BJ1596">
        <v>81.467200000000005</v>
      </c>
      <c r="BL1596">
        <v>56.370699999999999</v>
      </c>
      <c r="BM1596" t="s">
        <v>17080</v>
      </c>
      <c r="BN1596">
        <v>67.1815</v>
      </c>
      <c r="BO1596">
        <v>74.517399999999995</v>
      </c>
      <c r="BP1596">
        <v>37.065600000000003</v>
      </c>
      <c r="BS1596">
        <v>24.7104</v>
      </c>
      <c r="CK1596">
        <v>5</v>
      </c>
      <c r="CL1596" t="s">
        <v>4</v>
      </c>
      <c r="CM1596" t="s">
        <v>98</v>
      </c>
      <c r="CN1596" t="s">
        <v>98</v>
      </c>
      <c r="CO1596" t="s">
        <v>99</v>
      </c>
      <c r="CP1596" t="s">
        <v>100</v>
      </c>
      <c r="CQ1596" t="s">
        <v>100</v>
      </c>
      <c r="CR1596" t="s">
        <v>100</v>
      </c>
      <c r="CS1596" t="s">
        <v>101</v>
      </c>
      <c r="CT1596" t="s">
        <v>100</v>
      </c>
      <c r="CU1596" t="s">
        <v>102</v>
      </c>
      <c r="CV1596" t="s">
        <v>100</v>
      </c>
    </row>
    <row r="1597" spans="1:100">
      <c r="A1597" s="3" t="s">
        <v>17081</v>
      </c>
      <c r="B1597" s="4" t="s">
        <v>17082</v>
      </c>
      <c r="C1597">
        <v>44.100804115227703</v>
      </c>
      <c r="D1597">
        <v>19.094430137964199</v>
      </c>
      <c r="E1597">
        <v>1.2039216100475201</v>
      </c>
      <c r="F1597">
        <v>8.2097594620332601E-2</v>
      </c>
      <c r="G1597" t="s">
        <v>4</v>
      </c>
      <c r="H1597">
        <v>44.100804115227703</v>
      </c>
      <c r="I1597">
        <v>11.0176038291686</v>
      </c>
      <c r="J1597">
        <v>2.0280094705451401</v>
      </c>
      <c r="K1597">
        <v>4.0316444626173403E-3</v>
      </c>
      <c r="L1597" t="s">
        <v>4</v>
      </c>
      <c r="M1597">
        <v>19.094430137964199</v>
      </c>
      <c r="N1597">
        <v>11.0176038291686</v>
      </c>
      <c r="O1597">
        <v>0.82408786049761296</v>
      </c>
      <c r="P1597">
        <v>0.29197234383419302</v>
      </c>
      <c r="Q1597" t="s">
        <v>4</v>
      </c>
      <c r="R1597" s="4" t="s">
        <v>87</v>
      </c>
      <c r="S1597" t="s">
        <v>4</v>
      </c>
      <c r="T1597" t="s">
        <v>270</v>
      </c>
      <c r="U1597" t="s">
        <v>271</v>
      </c>
      <c r="V1597" t="s">
        <v>272</v>
      </c>
      <c r="W1597" t="s">
        <v>203</v>
      </c>
      <c r="X1597" t="s">
        <v>4</v>
      </c>
      <c r="Y1597" t="s">
        <v>273</v>
      </c>
      <c r="Z1597" t="s">
        <v>274</v>
      </c>
      <c r="AA1597" t="s">
        <v>275</v>
      </c>
      <c r="AB1597" t="s">
        <v>4</v>
      </c>
      <c r="AC1597" s="3" t="s">
        <v>93</v>
      </c>
      <c r="AD1597" t="s">
        <v>4</v>
      </c>
      <c r="AE1597" t="s">
        <v>17083</v>
      </c>
      <c r="AF1597" t="s">
        <v>17084</v>
      </c>
      <c r="AG1597" t="s">
        <v>17085</v>
      </c>
      <c r="AH1597" t="s">
        <v>112</v>
      </c>
      <c r="AU1597" t="s">
        <v>112</v>
      </c>
      <c r="AV1597" t="s">
        <v>14318</v>
      </c>
      <c r="AW1597" t="s">
        <v>114</v>
      </c>
      <c r="AX1597" t="s">
        <v>132</v>
      </c>
      <c r="AY1597" t="s">
        <v>14319</v>
      </c>
      <c r="AZ1597" t="s">
        <v>4</v>
      </c>
      <c r="BA1597" s="3" t="s">
        <v>95</v>
      </c>
      <c r="BB1597" s="6" t="s">
        <v>95</v>
      </c>
      <c r="BC1597" s="3" t="s">
        <v>95</v>
      </c>
      <c r="BD1597" t="s">
        <v>4</v>
      </c>
      <c r="BE1597">
        <v>5290</v>
      </c>
      <c r="BF1597" t="s">
        <v>282</v>
      </c>
      <c r="BG1597">
        <v>83.297600000000003</v>
      </c>
      <c r="BH1597">
        <v>97.644499999999994</v>
      </c>
      <c r="BI1597">
        <v>87.152000000000001</v>
      </c>
      <c r="BJ1597">
        <v>85.224800000000002</v>
      </c>
      <c r="BK1597">
        <v>81.156300000000002</v>
      </c>
      <c r="BL1597">
        <v>51.177700000000002</v>
      </c>
      <c r="BM1597">
        <v>70.449700000000007</v>
      </c>
      <c r="BN1597">
        <v>70.449700000000007</v>
      </c>
      <c r="BO1597" t="s">
        <v>17086</v>
      </c>
      <c r="BP1597" t="s">
        <v>17087</v>
      </c>
      <c r="BQ1597" t="s">
        <v>17088</v>
      </c>
      <c r="BR1597" t="s">
        <v>17089</v>
      </c>
      <c r="BT1597" t="s">
        <v>17090</v>
      </c>
      <c r="BU1597" t="s">
        <v>17091</v>
      </c>
      <c r="BV1597" t="s">
        <v>17092</v>
      </c>
      <c r="BX1597" t="s">
        <v>17093</v>
      </c>
      <c r="BZ1597">
        <v>32.548200000000001</v>
      </c>
      <c r="CA1597" t="s">
        <v>17094</v>
      </c>
      <c r="CK1597">
        <v>6</v>
      </c>
      <c r="CL1597" t="s">
        <v>4</v>
      </c>
      <c r="CM1597" t="s">
        <v>14328</v>
      </c>
      <c r="CN1597" t="s">
        <v>17095</v>
      </c>
      <c r="CO1597" t="s">
        <v>1467</v>
      </c>
      <c r="CP1597" t="s">
        <v>100</v>
      </c>
      <c r="CQ1597" t="s">
        <v>100</v>
      </c>
      <c r="CR1597" t="s">
        <v>100</v>
      </c>
      <c r="CS1597" t="s">
        <v>101</v>
      </c>
      <c r="CT1597" t="s">
        <v>100</v>
      </c>
      <c r="CU1597" t="s">
        <v>102</v>
      </c>
      <c r="CV1597" t="s">
        <v>100</v>
      </c>
    </row>
    <row r="1598" spans="1:100">
      <c r="A1598" s="3" t="s">
        <v>17096</v>
      </c>
      <c r="B1598" s="4" t="s">
        <v>17097</v>
      </c>
      <c r="C1598">
        <v>20.66009994265</v>
      </c>
      <c r="D1598">
        <v>4.8957834991700704</v>
      </c>
      <c r="E1598">
        <v>2.06392539274652</v>
      </c>
      <c r="F1598">
        <v>5.6941075389016597E-2</v>
      </c>
      <c r="G1598" t="s">
        <v>4</v>
      </c>
      <c r="H1598">
        <v>20.66009994265</v>
      </c>
      <c r="I1598">
        <v>1.7885200743904099</v>
      </c>
      <c r="J1598">
        <v>3.50045611569087</v>
      </c>
      <c r="K1598">
        <v>4.7662194052080203E-3</v>
      </c>
      <c r="L1598" t="s">
        <v>4</v>
      </c>
      <c r="M1598">
        <v>4.8957834991700704</v>
      </c>
      <c r="N1598">
        <v>1.7885200743904099</v>
      </c>
      <c r="O1598">
        <v>1.43653072294435</v>
      </c>
      <c r="P1598">
        <v>0.30427362497629501</v>
      </c>
      <c r="Q1598" t="s">
        <v>4</v>
      </c>
      <c r="R1598" s="4" t="s">
        <v>87</v>
      </c>
      <c r="S1598" t="s">
        <v>4</v>
      </c>
      <c r="T1598" t="s">
        <v>92</v>
      </c>
      <c r="U1598" t="s">
        <v>92</v>
      </c>
      <c r="V1598" t="s">
        <v>92</v>
      </c>
      <c r="W1598" t="s">
        <v>92</v>
      </c>
      <c r="X1598" t="s">
        <v>4</v>
      </c>
      <c r="Y1598" t="s">
        <v>92</v>
      </c>
      <c r="Z1598" t="s">
        <v>92</v>
      </c>
      <c r="AA1598" t="s">
        <v>92</v>
      </c>
      <c r="AB1598" t="s">
        <v>4</v>
      </c>
      <c r="AC1598" s="3" t="s">
        <v>93</v>
      </c>
      <c r="AD1598" t="s">
        <v>4</v>
      </c>
      <c r="AE1598" s="4" t="s">
        <v>94</v>
      </c>
      <c r="AZ1598" t="s">
        <v>4</v>
      </c>
      <c r="BA1598" s="3" t="s">
        <v>95</v>
      </c>
      <c r="BB1598" s="6" t="s">
        <v>95</v>
      </c>
      <c r="BC1598" s="3" t="s">
        <v>197</v>
      </c>
      <c r="BD1598" t="s">
        <v>4</v>
      </c>
      <c r="BE1598">
        <v>1374</v>
      </c>
      <c r="BF1598" t="s">
        <v>151</v>
      </c>
      <c r="CK1598">
        <v>2</v>
      </c>
      <c r="CL1598" t="s">
        <v>4</v>
      </c>
      <c r="CM1598" t="s">
        <v>98</v>
      </c>
      <c r="CN1598" t="s">
        <v>98</v>
      </c>
      <c r="CO1598" t="s">
        <v>99</v>
      </c>
      <c r="CP1598" t="s">
        <v>100</v>
      </c>
      <c r="CQ1598" t="s">
        <v>100</v>
      </c>
      <c r="CR1598" t="s">
        <v>100</v>
      </c>
      <c r="CS1598" t="s">
        <v>101</v>
      </c>
      <c r="CT1598" t="s">
        <v>100</v>
      </c>
      <c r="CU1598" t="s">
        <v>102</v>
      </c>
      <c r="CV1598" t="s">
        <v>100</v>
      </c>
    </row>
    <row r="1599" spans="1:100">
      <c r="A1599" s="3" t="s">
        <v>17098</v>
      </c>
      <c r="B1599" s="4" t="s">
        <v>17099</v>
      </c>
      <c r="C1599">
        <v>94.702296812348393</v>
      </c>
      <c r="D1599">
        <v>31.736600563699</v>
      </c>
      <c r="E1599">
        <v>1.5767975491017101</v>
      </c>
      <c r="F1599">
        <v>0.14020126474094499</v>
      </c>
      <c r="G1599" t="s">
        <v>4</v>
      </c>
      <c r="H1599">
        <v>94.702296812348393</v>
      </c>
      <c r="I1599">
        <v>14.3489789624066</v>
      </c>
      <c r="J1599">
        <v>2.7309810023463701</v>
      </c>
      <c r="K1599">
        <v>8.47742194457087E-3</v>
      </c>
      <c r="L1599" t="s">
        <v>4</v>
      </c>
      <c r="M1599">
        <v>31.736600563699</v>
      </c>
      <c r="N1599">
        <v>14.3489789624066</v>
      </c>
      <c r="O1599">
        <v>1.15418345324466</v>
      </c>
      <c r="P1599">
        <v>0.30707826726047899</v>
      </c>
      <c r="Q1599" t="s">
        <v>4</v>
      </c>
      <c r="R1599" s="4" t="s">
        <v>87</v>
      </c>
      <c r="S1599" t="s">
        <v>4</v>
      </c>
      <c r="T1599" t="s">
        <v>92</v>
      </c>
      <c r="U1599" t="s">
        <v>92</v>
      </c>
      <c r="V1599" t="s">
        <v>92</v>
      </c>
      <c r="W1599" t="s">
        <v>92</v>
      </c>
      <c r="X1599" t="s">
        <v>4</v>
      </c>
      <c r="Y1599" t="s">
        <v>92</v>
      </c>
      <c r="Z1599" t="s">
        <v>92</v>
      </c>
      <c r="AA1599" t="s">
        <v>92</v>
      </c>
      <c r="AB1599" t="s">
        <v>4</v>
      </c>
      <c r="AC1599" s="3" t="s">
        <v>93</v>
      </c>
      <c r="AD1599" t="s">
        <v>4</v>
      </c>
      <c r="AE1599" s="4" t="s">
        <v>94</v>
      </c>
      <c r="AZ1599" t="s">
        <v>4</v>
      </c>
      <c r="BA1599" s="3" t="s">
        <v>95</v>
      </c>
      <c r="BB1599" s="6" t="s">
        <v>95</v>
      </c>
      <c r="BC1599" s="3" t="s">
        <v>95</v>
      </c>
      <c r="BD1599" t="s">
        <v>4</v>
      </c>
      <c r="BE1599">
        <v>1359</v>
      </c>
      <c r="BF1599" t="s">
        <v>151</v>
      </c>
      <c r="BH1599">
        <v>45.238100000000003</v>
      </c>
      <c r="CK1599">
        <v>2</v>
      </c>
      <c r="CL1599" t="s">
        <v>4</v>
      </c>
      <c r="CM1599" t="s">
        <v>98</v>
      </c>
      <c r="CN1599" t="s">
        <v>98</v>
      </c>
      <c r="CO1599" t="s">
        <v>99</v>
      </c>
      <c r="CP1599" t="s">
        <v>100</v>
      </c>
      <c r="CQ1599" t="s">
        <v>100</v>
      </c>
      <c r="CR1599" t="s">
        <v>100</v>
      </c>
      <c r="CS1599" t="s">
        <v>101</v>
      </c>
      <c r="CT1599" t="s">
        <v>100</v>
      </c>
      <c r="CU1599" t="s">
        <v>102</v>
      </c>
      <c r="CV1599" t="s">
        <v>100</v>
      </c>
    </row>
    <row r="1600" spans="1:100">
      <c r="A1600" s="3" t="s">
        <v>17100</v>
      </c>
      <c r="B1600" s="4" t="s">
        <v>17101</v>
      </c>
      <c r="C1600">
        <v>36.150333452866199</v>
      </c>
      <c r="D1600">
        <v>12.944002309353399</v>
      </c>
      <c r="E1600">
        <v>1.48848104458068</v>
      </c>
      <c r="F1600">
        <v>0.107472938648217</v>
      </c>
      <c r="G1600" t="s">
        <v>4</v>
      </c>
      <c r="H1600">
        <v>36.150333452866199</v>
      </c>
      <c r="I1600">
        <v>6.3079612525126398</v>
      </c>
      <c r="J1600">
        <v>2.54633072292784</v>
      </c>
      <c r="K1600">
        <v>7.07086697365664E-3</v>
      </c>
      <c r="L1600" t="s">
        <v>4</v>
      </c>
      <c r="M1600">
        <v>12.944002309353399</v>
      </c>
      <c r="N1600">
        <v>6.3079612525126398</v>
      </c>
      <c r="O1600">
        <v>1.05784967834716</v>
      </c>
      <c r="P1600">
        <v>0.31291917681216302</v>
      </c>
      <c r="Q1600" t="s">
        <v>4</v>
      </c>
      <c r="R1600" s="4" t="s">
        <v>87</v>
      </c>
      <c r="S1600" t="s">
        <v>4</v>
      </c>
      <c r="T1600" t="s">
        <v>17102</v>
      </c>
      <c r="U1600" t="s">
        <v>17103</v>
      </c>
      <c r="V1600" t="s">
        <v>17104</v>
      </c>
      <c r="W1600" t="s">
        <v>328</v>
      </c>
      <c r="X1600" t="s">
        <v>4</v>
      </c>
      <c r="Y1600" t="s">
        <v>17105</v>
      </c>
      <c r="Z1600" t="s">
        <v>17106</v>
      </c>
      <c r="AA1600" t="s">
        <v>17107</v>
      </c>
      <c r="AB1600" t="s">
        <v>4</v>
      </c>
      <c r="AC1600" s="3" t="s">
        <v>17108</v>
      </c>
      <c r="AD1600" t="s">
        <v>4</v>
      </c>
      <c r="AE1600" t="s">
        <v>17109</v>
      </c>
      <c r="AF1600" t="s">
        <v>17110</v>
      </c>
      <c r="AG1600" t="s">
        <v>6367</v>
      </c>
      <c r="AH1600" t="s">
        <v>112</v>
      </c>
      <c r="AJ1600" t="s">
        <v>17111</v>
      </c>
      <c r="AU1600" t="s">
        <v>112</v>
      </c>
      <c r="AV1600" t="s">
        <v>17112</v>
      </c>
      <c r="AW1600" t="s">
        <v>114</v>
      </c>
      <c r="AX1600" t="s">
        <v>536</v>
      </c>
      <c r="AY1600" t="s">
        <v>2072</v>
      </c>
      <c r="AZ1600" t="s">
        <v>4</v>
      </c>
      <c r="BA1600" s="3" t="s">
        <v>95</v>
      </c>
      <c r="BB1600" s="6" t="s">
        <v>95</v>
      </c>
      <c r="BC1600" s="3" t="s">
        <v>197</v>
      </c>
      <c r="BD1600" t="s">
        <v>4</v>
      </c>
      <c r="BE1600">
        <v>4782</v>
      </c>
      <c r="BF1600" t="s">
        <v>282</v>
      </c>
      <c r="BG1600">
        <v>26.236899999999999</v>
      </c>
      <c r="BI1600">
        <v>33.2834</v>
      </c>
      <c r="BJ1600">
        <v>35.832099999999997</v>
      </c>
      <c r="BK1600">
        <v>52.173900000000003</v>
      </c>
      <c r="BL1600">
        <v>21.589200000000002</v>
      </c>
      <c r="BM1600">
        <v>29.835100000000001</v>
      </c>
      <c r="BN1600">
        <v>61.469299999999997</v>
      </c>
      <c r="BO1600">
        <v>67.316299999999998</v>
      </c>
      <c r="BP1600">
        <v>36.881599999999999</v>
      </c>
      <c r="BQ1600">
        <v>38.830599999999997</v>
      </c>
      <c r="BR1600">
        <v>41.229399999999998</v>
      </c>
      <c r="BS1600">
        <v>27.586200000000002</v>
      </c>
      <c r="BT1600">
        <v>19.940000000000001</v>
      </c>
      <c r="BU1600">
        <v>17.691199999999998</v>
      </c>
      <c r="BV1600" t="s">
        <v>17113</v>
      </c>
      <c r="BW1600">
        <v>39.130400000000002</v>
      </c>
      <c r="BX1600">
        <v>34.033000000000001</v>
      </c>
      <c r="BY1600">
        <v>26.236899999999999</v>
      </c>
      <c r="BZ1600">
        <v>17.5412</v>
      </c>
      <c r="CA1600">
        <v>40.03</v>
      </c>
      <c r="CD1600">
        <v>23.688199999999998</v>
      </c>
      <c r="CK1600">
        <v>6</v>
      </c>
      <c r="CL1600" t="s">
        <v>4</v>
      </c>
      <c r="CM1600" t="s">
        <v>17114</v>
      </c>
      <c r="CN1600" t="s">
        <v>17115</v>
      </c>
      <c r="CO1600" t="s">
        <v>99</v>
      </c>
      <c r="CP1600" t="s">
        <v>100</v>
      </c>
      <c r="CQ1600" t="s">
        <v>100</v>
      </c>
      <c r="CR1600" t="s">
        <v>100</v>
      </c>
      <c r="CS1600" t="s">
        <v>101</v>
      </c>
      <c r="CT1600" t="s">
        <v>100</v>
      </c>
      <c r="CU1600" t="s">
        <v>102</v>
      </c>
      <c r="CV1600" t="s">
        <v>100</v>
      </c>
    </row>
    <row r="1601" spans="1:100">
      <c r="A1601" s="3" t="s">
        <v>17116</v>
      </c>
      <c r="B1601" s="4" t="s">
        <v>17117</v>
      </c>
      <c r="C1601">
        <v>46.147646917465501</v>
      </c>
      <c r="D1601">
        <v>9.7682210806052492</v>
      </c>
      <c r="E1601">
        <v>2.2450897134525198</v>
      </c>
      <c r="F1601">
        <v>8.6670078384075394E-2</v>
      </c>
      <c r="G1601" t="s">
        <v>4</v>
      </c>
      <c r="H1601">
        <v>46.147646917465501</v>
      </c>
      <c r="I1601">
        <v>3.5396943909682199</v>
      </c>
      <c r="J1601">
        <v>3.7370379863626502</v>
      </c>
      <c r="K1601">
        <v>5.3543785029616497E-3</v>
      </c>
      <c r="L1601" t="s">
        <v>4</v>
      </c>
      <c r="M1601">
        <v>9.7682210806052492</v>
      </c>
      <c r="N1601">
        <v>3.5396943909682199</v>
      </c>
      <c r="O1601">
        <v>1.4919482729101301</v>
      </c>
      <c r="P1601">
        <v>0.314229231276692</v>
      </c>
      <c r="Q1601" t="s">
        <v>4</v>
      </c>
      <c r="R1601" s="4" t="s">
        <v>87</v>
      </c>
      <c r="S1601" t="s">
        <v>4</v>
      </c>
      <c r="T1601" t="s">
        <v>1223</v>
      </c>
      <c r="U1601" t="s">
        <v>1224</v>
      </c>
      <c r="V1601" t="s">
        <v>1225</v>
      </c>
      <c r="W1601" t="s">
        <v>123</v>
      </c>
      <c r="X1601" t="s">
        <v>4</v>
      </c>
      <c r="Y1601" t="s">
        <v>1226</v>
      </c>
      <c r="Z1601" t="s">
        <v>1227</v>
      </c>
      <c r="AA1601" t="s">
        <v>1228</v>
      </c>
      <c r="AB1601" t="s">
        <v>4</v>
      </c>
      <c r="AC1601" s="3" t="s">
        <v>17118</v>
      </c>
      <c r="AD1601" t="s">
        <v>4</v>
      </c>
      <c r="AE1601" t="s">
        <v>17119</v>
      </c>
      <c r="AF1601" t="s">
        <v>17120</v>
      </c>
      <c r="AG1601" t="s">
        <v>17121</v>
      </c>
      <c r="AH1601" t="s">
        <v>112</v>
      </c>
      <c r="AU1601" t="s">
        <v>112</v>
      </c>
      <c r="AV1601" t="s">
        <v>17122</v>
      </c>
      <c r="AW1601" t="s">
        <v>114</v>
      </c>
      <c r="AX1601" t="s">
        <v>132</v>
      </c>
      <c r="AY1601" t="s">
        <v>145</v>
      </c>
      <c r="AZ1601" t="s">
        <v>4</v>
      </c>
      <c r="BA1601" s="3" t="s">
        <v>95</v>
      </c>
      <c r="BB1601" t="s">
        <v>96</v>
      </c>
      <c r="BC1601" s="3" t="s">
        <v>197</v>
      </c>
      <c r="BD1601" t="s">
        <v>4</v>
      </c>
      <c r="BE1601">
        <v>3162</v>
      </c>
      <c r="BF1601" t="s">
        <v>112</v>
      </c>
      <c r="BG1601" t="s">
        <v>17123</v>
      </c>
      <c r="BI1601">
        <v>90.277799999999999</v>
      </c>
      <c r="BJ1601">
        <v>82.638900000000007</v>
      </c>
      <c r="BM1601">
        <v>78.472200000000001</v>
      </c>
      <c r="BN1601">
        <v>79.166700000000006</v>
      </c>
      <c r="BO1601">
        <v>80.555599999999998</v>
      </c>
      <c r="BP1601">
        <v>54.8611</v>
      </c>
      <c r="BQ1601">
        <v>41.666699999999999</v>
      </c>
      <c r="BR1601">
        <v>46.527799999999999</v>
      </c>
      <c r="BS1601">
        <v>47.222200000000001</v>
      </c>
      <c r="BT1601">
        <v>33.333300000000001</v>
      </c>
      <c r="BU1601">
        <v>30.555599999999998</v>
      </c>
      <c r="BV1601" t="s">
        <v>17124</v>
      </c>
      <c r="BW1601">
        <v>43.055599999999998</v>
      </c>
      <c r="BX1601">
        <v>43.75</v>
      </c>
      <c r="BY1601">
        <v>41.666699999999999</v>
      </c>
      <c r="BZ1601">
        <v>34.722200000000001</v>
      </c>
      <c r="CA1601">
        <v>39.583300000000001</v>
      </c>
      <c r="CG1601" t="s">
        <v>17125</v>
      </c>
      <c r="CH1601" t="s">
        <v>17125</v>
      </c>
      <c r="CI1601" t="s">
        <v>17126</v>
      </c>
      <c r="CK1601">
        <v>5</v>
      </c>
      <c r="CL1601" t="s">
        <v>4</v>
      </c>
      <c r="CM1601" t="s">
        <v>17127</v>
      </c>
      <c r="CN1601" t="s">
        <v>17128</v>
      </c>
      <c r="CO1601" t="s">
        <v>99</v>
      </c>
      <c r="CP1601" t="s">
        <v>100</v>
      </c>
      <c r="CQ1601" t="s">
        <v>100</v>
      </c>
      <c r="CR1601" t="s">
        <v>100</v>
      </c>
      <c r="CS1601" t="s">
        <v>101</v>
      </c>
      <c r="CT1601" t="s">
        <v>100</v>
      </c>
      <c r="CU1601" t="s">
        <v>102</v>
      </c>
      <c r="CV1601" t="s">
        <v>100</v>
      </c>
    </row>
    <row r="1602" spans="1:100">
      <c r="A1602" s="3" t="s">
        <v>17129</v>
      </c>
      <c r="B1602" s="4" t="s">
        <v>17130</v>
      </c>
      <c r="C1602">
        <v>66.002596544464097</v>
      </c>
      <c r="D1602">
        <v>13.463365669597801</v>
      </c>
      <c r="E1602">
        <v>2.3005001298510801</v>
      </c>
      <c r="F1602">
        <v>8.4207075944654694E-2</v>
      </c>
      <c r="G1602" t="s">
        <v>4</v>
      </c>
      <c r="H1602">
        <v>66.002596544464097</v>
      </c>
      <c r="I1602">
        <v>4.8383410717816302</v>
      </c>
      <c r="J1602">
        <v>3.7742477887341401</v>
      </c>
      <c r="K1602">
        <v>4.6637420056945197E-3</v>
      </c>
      <c r="L1602" t="s">
        <v>4</v>
      </c>
      <c r="M1602">
        <v>13.463365669597801</v>
      </c>
      <c r="N1602">
        <v>4.8383410717816302</v>
      </c>
      <c r="O1602">
        <v>1.47374765888305</v>
      </c>
      <c r="P1602">
        <v>0.31530578835429202</v>
      </c>
      <c r="Q1602" t="s">
        <v>4</v>
      </c>
      <c r="R1602" s="4" t="s">
        <v>87</v>
      </c>
      <c r="S1602" t="s">
        <v>4</v>
      </c>
      <c r="T1602" t="s">
        <v>92</v>
      </c>
      <c r="U1602" t="s">
        <v>92</v>
      </c>
      <c r="V1602" t="s">
        <v>92</v>
      </c>
      <c r="W1602" t="s">
        <v>92</v>
      </c>
      <c r="X1602" t="s">
        <v>4</v>
      </c>
      <c r="Y1602" t="s">
        <v>92</v>
      </c>
      <c r="Z1602" t="s">
        <v>92</v>
      </c>
      <c r="AA1602" t="s">
        <v>92</v>
      </c>
      <c r="AB1602" t="s">
        <v>4</v>
      </c>
      <c r="AC1602" s="3" t="s">
        <v>93</v>
      </c>
      <c r="AD1602" t="s">
        <v>4</v>
      </c>
      <c r="AE1602" s="4" t="s">
        <v>94</v>
      </c>
      <c r="AZ1602" t="s">
        <v>4</v>
      </c>
      <c r="BA1602" s="3" t="s">
        <v>95</v>
      </c>
      <c r="BB1602" s="6" t="s">
        <v>95</v>
      </c>
      <c r="BC1602" s="3" t="s">
        <v>95</v>
      </c>
      <c r="BD1602" t="s">
        <v>4</v>
      </c>
      <c r="BE1602">
        <v>1183</v>
      </c>
      <c r="BF1602" t="s">
        <v>151</v>
      </c>
      <c r="BG1602">
        <v>43.75</v>
      </c>
      <c r="BH1602">
        <v>44.642899999999997</v>
      </c>
      <c r="BI1602" t="s">
        <v>17131</v>
      </c>
      <c r="BJ1602">
        <v>30.952400000000001</v>
      </c>
      <c r="BK1602">
        <v>35.714300000000001</v>
      </c>
      <c r="BM1602">
        <v>20.535699999999999</v>
      </c>
      <c r="BN1602">
        <v>39.285699999999999</v>
      </c>
      <c r="BO1602">
        <v>42.857100000000003</v>
      </c>
      <c r="CK1602">
        <v>2</v>
      </c>
      <c r="CL1602" t="s">
        <v>4</v>
      </c>
      <c r="CM1602" t="s">
        <v>98</v>
      </c>
      <c r="CN1602" t="s">
        <v>98</v>
      </c>
      <c r="CO1602" t="s">
        <v>99</v>
      </c>
      <c r="CP1602" t="s">
        <v>100</v>
      </c>
      <c r="CQ1602" t="s">
        <v>100</v>
      </c>
      <c r="CR1602" t="s">
        <v>100</v>
      </c>
      <c r="CS1602" t="s">
        <v>101</v>
      </c>
      <c r="CT1602" t="s">
        <v>100</v>
      </c>
      <c r="CU1602" t="s">
        <v>102</v>
      </c>
      <c r="CV1602" t="s">
        <v>100</v>
      </c>
    </row>
    <row r="1603" spans="1:100">
      <c r="A1603" s="3" t="s">
        <v>17132</v>
      </c>
      <c r="B1603" s="4" t="s">
        <v>17133</v>
      </c>
      <c r="C1603">
        <v>29.509707070757798</v>
      </c>
      <c r="D1603">
        <v>11.4951724210219</v>
      </c>
      <c r="E1603">
        <v>1.3485093019368799</v>
      </c>
      <c r="F1603">
        <v>0.107903213682392</v>
      </c>
      <c r="G1603" t="s">
        <v>4</v>
      </c>
      <c r="H1603">
        <v>29.509707070757798</v>
      </c>
      <c r="I1603">
        <v>5.8614729031470798</v>
      </c>
      <c r="J1603">
        <v>2.3236421845648598</v>
      </c>
      <c r="K1603">
        <v>7.7300206168915602E-3</v>
      </c>
      <c r="L1603" t="s">
        <v>4</v>
      </c>
      <c r="M1603">
        <v>11.4951724210219</v>
      </c>
      <c r="N1603">
        <v>5.8614729031470798</v>
      </c>
      <c r="O1603">
        <v>0.97513288262798004</v>
      </c>
      <c r="P1603">
        <v>0.31616310129909603</v>
      </c>
      <c r="Q1603" t="s">
        <v>4</v>
      </c>
      <c r="R1603" s="4" t="s">
        <v>87</v>
      </c>
      <c r="S1603" t="s">
        <v>4</v>
      </c>
      <c r="T1603" t="s">
        <v>88</v>
      </c>
      <c r="U1603" t="s">
        <v>89</v>
      </c>
      <c r="V1603" t="s">
        <v>90</v>
      </c>
      <c r="W1603" t="s">
        <v>91</v>
      </c>
      <c r="X1603" t="s">
        <v>4</v>
      </c>
      <c r="Y1603" t="s">
        <v>92</v>
      </c>
      <c r="Z1603" t="s">
        <v>92</v>
      </c>
      <c r="AA1603" t="s">
        <v>92</v>
      </c>
      <c r="AB1603" t="s">
        <v>4</v>
      </c>
      <c r="AC1603" s="3" t="s">
        <v>17134</v>
      </c>
      <c r="AD1603" t="s">
        <v>4</v>
      </c>
      <c r="AE1603" t="s">
        <v>17135</v>
      </c>
      <c r="AF1603" t="s">
        <v>17136</v>
      </c>
      <c r="AG1603" t="s">
        <v>17137</v>
      </c>
      <c r="AH1603" t="s">
        <v>112</v>
      </c>
      <c r="AU1603" t="s">
        <v>112</v>
      </c>
      <c r="AV1603" t="s">
        <v>17138</v>
      </c>
      <c r="AW1603" t="s">
        <v>114</v>
      </c>
      <c r="AZ1603" t="s">
        <v>4</v>
      </c>
      <c r="BA1603" s="3" t="s">
        <v>95</v>
      </c>
      <c r="BB1603" t="s">
        <v>96</v>
      </c>
      <c r="BC1603" s="3" t="s">
        <v>197</v>
      </c>
      <c r="BD1603" t="s">
        <v>4</v>
      </c>
      <c r="BE1603">
        <v>4933</v>
      </c>
      <c r="BF1603" t="s">
        <v>282</v>
      </c>
      <c r="BG1603">
        <v>95.684799999999996</v>
      </c>
      <c r="BI1603">
        <v>35.084400000000002</v>
      </c>
      <c r="BJ1603">
        <v>35.647300000000001</v>
      </c>
      <c r="BK1603">
        <v>61.913699999999999</v>
      </c>
      <c r="BM1603">
        <v>30.956800000000001</v>
      </c>
      <c r="BN1603">
        <v>30.581600000000002</v>
      </c>
      <c r="BQ1603">
        <v>27.0169</v>
      </c>
      <c r="BR1603">
        <v>29.6435</v>
      </c>
      <c r="BS1603">
        <v>23.639800000000001</v>
      </c>
      <c r="BT1603">
        <v>21.9512</v>
      </c>
      <c r="BX1603">
        <v>30.956800000000001</v>
      </c>
      <c r="BY1603">
        <v>18.198899999999998</v>
      </c>
      <c r="BZ1603">
        <v>29.6435</v>
      </c>
      <c r="CA1603">
        <v>25.515899999999998</v>
      </c>
      <c r="CC1603">
        <v>17.823599999999999</v>
      </c>
      <c r="CD1603" t="s">
        <v>17139</v>
      </c>
      <c r="CK1603">
        <v>6</v>
      </c>
      <c r="CL1603" t="s">
        <v>4</v>
      </c>
      <c r="CM1603" t="s">
        <v>17140</v>
      </c>
      <c r="CN1603" t="s">
        <v>17141</v>
      </c>
      <c r="CO1603" t="s">
        <v>99</v>
      </c>
      <c r="CP1603" t="s">
        <v>100</v>
      </c>
      <c r="CQ1603" t="s">
        <v>100</v>
      </c>
      <c r="CR1603" t="s">
        <v>100</v>
      </c>
      <c r="CS1603" t="s">
        <v>101</v>
      </c>
      <c r="CT1603" t="s">
        <v>100</v>
      </c>
      <c r="CU1603" t="s">
        <v>102</v>
      </c>
      <c r="CV1603" t="s">
        <v>100</v>
      </c>
    </row>
    <row r="1604" spans="1:100">
      <c r="A1604" s="3" t="s">
        <v>17142</v>
      </c>
      <c r="B1604" s="4" t="s">
        <v>17143</v>
      </c>
      <c r="C1604">
        <v>20.791774743714299</v>
      </c>
      <c r="D1604">
        <v>5.9038507181305402</v>
      </c>
      <c r="E1604">
        <v>1.8262126239082499</v>
      </c>
      <c r="F1604">
        <v>8.2874564809279905E-2</v>
      </c>
      <c r="G1604" t="s">
        <v>4</v>
      </c>
      <c r="H1604">
        <v>20.791774743714299</v>
      </c>
      <c r="I1604">
        <v>2.57806546301074</v>
      </c>
      <c r="J1604">
        <v>3.1009451038025699</v>
      </c>
      <c r="K1604">
        <v>7.5830700689611102E-3</v>
      </c>
      <c r="L1604" t="s">
        <v>4</v>
      </c>
      <c r="M1604">
        <v>5.9038507181305402</v>
      </c>
      <c r="N1604">
        <v>2.57806546301074</v>
      </c>
      <c r="O1604">
        <v>1.27473247989432</v>
      </c>
      <c r="P1604">
        <v>0.330078915547102</v>
      </c>
      <c r="Q1604" t="s">
        <v>4</v>
      </c>
      <c r="R1604" s="4" t="s">
        <v>87</v>
      </c>
      <c r="S1604" t="s">
        <v>4</v>
      </c>
      <c r="T1604" t="s">
        <v>92</v>
      </c>
      <c r="U1604" t="s">
        <v>92</v>
      </c>
      <c r="V1604" t="s">
        <v>92</v>
      </c>
      <c r="W1604" t="s">
        <v>92</v>
      </c>
      <c r="X1604" t="s">
        <v>4</v>
      </c>
      <c r="Y1604" t="s">
        <v>92</v>
      </c>
      <c r="Z1604" t="s">
        <v>92</v>
      </c>
      <c r="AA1604" t="s">
        <v>92</v>
      </c>
      <c r="AB1604" t="s">
        <v>4</v>
      </c>
      <c r="AC1604" s="3" t="s">
        <v>93</v>
      </c>
      <c r="AD1604" t="s">
        <v>4</v>
      </c>
      <c r="AE1604" s="4" t="s">
        <v>94</v>
      </c>
      <c r="AZ1604" t="s">
        <v>4</v>
      </c>
      <c r="BA1604" s="3" t="s">
        <v>95</v>
      </c>
      <c r="BB1604" s="6" t="s">
        <v>95</v>
      </c>
      <c r="BC1604" s="3" t="s">
        <v>95</v>
      </c>
      <c r="BD1604" t="s">
        <v>4</v>
      </c>
      <c r="BE1604">
        <v>1486</v>
      </c>
      <c r="BF1604" t="s">
        <v>151</v>
      </c>
      <c r="BO1604">
        <v>56.923099999999998</v>
      </c>
      <c r="CK1604">
        <v>2</v>
      </c>
      <c r="CL1604" t="s">
        <v>4</v>
      </c>
      <c r="CM1604" t="s">
        <v>98</v>
      </c>
      <c r="CN1604" t="s">
        <v>98</v>
      </c>
      <c r="CO1604" t="s">
        <v>99</v>
      </c>
      <c r="CP1604" t="s">
        <v>100</v>
      </c>
      <c r="CQ1604" t="s">
        <v>100</v>
      </c>
      <c r="CR1604" t="s">
        <v>100</v>
      </c>
      <c r="CS1604" t="s">
        <v>101</v>
      </c>
      <c r="CT1604" t="s">
        <v>100</v>
      </c>
      <c r="CU1604" t="s">
        <v>102</v>
      </c>
      <c r="CV1604" t="s">
        <v>100</v>
      </c>
    </row>
    <row r="1605" spans="1:100">
      <c r="A1605" s="3" t="s">
        <v>17144</v>
      </c>
      <c r="B1605" s="4" t="s">
        <v>17145</v>
      </c>
      <c r="C1605">
        <v>28.7155658399606</v>
      </c>
      <c r="D1605">
        <v>7.09584878439966</v>
      </c>
      <c r="E1605">
        <v>2.02298806943364</v>
      </c>
      <c r="F1605">
        <v>7.4057470143729098E-2</v>
      </c>
      <c r="G1605" t="s">
        <v>4</v>
      </c>
      <c r="H1605">
        <v>28.7155658399606</v>
      </c>
      <c r="I1605">
        <v>2.7995733329581798</v>
      </c>
      <c r="J1605">
        <v>3.2709160253560601</v>
      </c>
      <c r="K1605">
        <v>6.3951226660964701E-3</v>
      </c>
      <c r="L1605" t="s">
        <v>4</v>
      </c>
      <c r="M1605">
        <v>7.09584878439966</v>
      </c>
      <c r="N1605">
        <v>2.7995733329581798</v>
      </c>
      <c r="O1605">
        <v>1.2479279559224301</v>
      </c>
      <c r="P1605">
        <v>0.35572504976276098</v>
      </c>
      <c r="Q1605" t="s">
        <v>4</v>
      </c>
      <c r="R1605" s="4" t="s">
        <v>87</v>
      </c>
      <c r="S1605" t="s">
        <v>4</v>
      </c>
      <c r="T1605" t="s">
        <v>88</v>
      </c>
      <c r="U1605" t="s">
        <v>89</v>
      </c>
      <c r="V1605" t="s">
        <v>90</v>
      </c>
      <c r="W1605" t="s">
        <v>91</v>
      </c>
      <c r="X1605" t="s">
        <v>4</v>
      </c>
      <c r="Y1605" t="s">
        <v>17146</v>
      </c>
      <c r="Z1605" t="s">
        <v>17147</v>
      </c>
      <c r="AA1605" t="s">
        <v>17148</v>
      </c>
      <c r="AB1605" t="s">
        <v>4</v>
      </c>
      <c r="AC1605" s="3" t="s">
        <v>93</v>
      </c>
      <c r="AD1605" t="s">
        <v>4</v>
      </c>
      <c r="AE1605" t="s">
        <v>17149</v>
      </c>
      <c r="AF1605" t="s">
        <v>17150</v>
      </c>
      <c r="AG1605" t="s">
        <v>17151</v>
      </c>
      <c r="AH1605" t="s">
        <v>314</v>
      </c>
      <c r="AU1605" t="s">
        <v>112</v>
      </c>
      <c r="AV1605" t="s">
        <v>17152</v>
      </c>
      <c r="AW1605" t="s">
        <v>114</v>
      </c>
      <c r="AX1605" t="s">
        <v>1756</v>
      </c>
      <c r="AY1605" t="s">
        <v>17153</v>
      </c>
      <c r="AZ1605" t="s">
        <v>4</v>
      </c>
      <c r="BA1605" s="3" t="s">
        <v>95</v>
      </c>
      <c r="BB1605" t="s">
        <v>96</v>
      </c>
      <c r="BC1605" s="3" t="s">
        <v>95</v>
      </c>
      <c r="BD1605" t="s">
        <v>4</v>
      </c>
      <c r="BE1605">
        <v>8438</v>
      </c>
      <c r="BF1605" t="s">
        <v>213</v>
      </c>
      <c r="BG1605">
        <v>90.751400000000004</v>
      </c>
      <c r="BH1605">
        <v>99.421999999999997</v>
      </c>
      <c r="BI1605">
        <v>95.664699999999996</v>
      </c>
      <c r="BJ1605">
        <v>35.549100000000003</v>
      </c>
      <c r="BM1605">
        <v>81.213899999999995</v>
      </c>
      <c r="BN1605">
        <v>81.213899999999995</v>
      </c>
      <c r="BR1605">
        <v>33.237000000000002</v>
      </c>
      <c r="BS1605">
        <v>30.6358</v>
      </c>
      <c r="BX1605">
        <v>25.7225</v>
      </c>
      <c r="CE1605">
        <v>17.341000000000001</v>
      </c>
      <c r="CF1605">
        <v>24.2775</v>
      </c>
      <c r="CG1605" t="s">
        <v>17154</v>
      </c>
      <c r="CH1605" t="s">
        <v>17155</v>
      </c>
      <c r="CI1605" t="s">
        <v>17156</v>
      </c>
      <c r="CJ1605">
        <v>17.9191</v>
      </c>
      <c r="CK1605">
        <v>8</v>
      </c>
      <c r="CL1605" t="s">
        <v>4</v>
      </c>
      <c r="CM1605" t="s">
        <v>98</v>
      </c>
      <c r="CN1605" t="s">
        <v>98</v>
      </c>
      <c r="CO1605" t="s">
        <v>99</v>
      </c>
      <c r="CP1605" t="s">
        <v>100</v>
      </c>
      <c r="CQ1605" t="s">
        <v>100</v>
      </c>
      <c r="CR1605" t="s">
        <v>100</v>
      </c>
      <c r="CS1605" t="s">
        <v>101</v>
      </c>
      <c r="CT1605" t="s">
        <v>100</v>
      </c>
      <c r="CU1605" t="s">
        <v>102</v>
      </c>
      <c r="CV1605" t="s">
        <v>100</v>
      </c>
    </row>
    <row r="1606" spans="1:100">
      <c r="A1606" s="3" t="s">
        <v>17157</v>
      </c>
      <c r="B1606" s="4" t="s">
        <v>17158</v>
      </c>
      <c r="C1606">
        <v>28.335652692613401</v>
      </c>
      <c r="D1606">
        <v>6.76772985525733</v>
      </c>
      <c r="E1606">
        <v>2.0870244978164401</v>
      </c>
      <c r="F1606">
        <v>6.3640655694615203E-2</v>
      </c>
      <c r="G1606" t="s">
        <v>4</v>
      </c>
      <c r="H1606">
        <v>28.335652692613401</v>
      </c>
      <c r="I1606">
        <v>2.9150832158666602</v>
      </c>
      <c r="J1606">
        <v>3.3254257090007102</v>
      </c>
      <c r="K1606">
        <v>5.5834048489086701E-3</v>
      </c>
      <c r="L1606" t="s">
        <v>4</v>
      </c>
      <c r="M1606">
        <v>6.76772985525733</v>
      </c>
      <c r="N1606">
        <v>2.9150832158666602</v>
      </c>
      <c r="O1606">
        <v>1.2384012111842599</v>
      </c>
      <c r="P1606">
        <v>0.36165170762801702</v>
      </c>
      <c r="Q1606" t="s">
        <v>4</v>
      </c>
      <c r="R1606" s="4" t="s">
        <v>87</v>
      </c>
      <c r="S1606" t="s">
        <v>4</v>
      </c>
      <c r="T1606" t="s">
        <v>1392</v>
      </c>
      <c r="U1606" t="s">
        <v>1393</v>
      </c>
      <c r="V1606" t="s">
        <v>1394</v>
      </c>
      <c r="W1606" t="s">
        <v>91</v>
      </c>
      <c r="X1606" t="s">
        <v>4</v>
      </c>
      <c r="Y1606" t="s">
        <v>448</v>
      </c>
      <c r="Z1606" t="s">
        <v>449</v>
      </c>
      <c r="AA1606" t="s">
        <v>450</v>
      </c>
      <c r="AB1606" t="s">
        <v>4</v>
      </c>
      <c r="AC1606" s="3" t="s">
        <v>451</v>
      </c>
      <c r="AD1606" t="s">
        <v>4</v>
      </c>
      <c r="AE1606" t="s">
        <v>17159</v>
      </c>
      <c r="AF1606" t="s">
        <v>17160</v>
      </c>
      <c r="AG1606" t="s">
        <v>17161</v>
      </c>
      <c r="AH1606" t="s">
        <v>112</v>
      </c>
      <c r="AI1606" t="s">
        <v>17162</v>
      </c>
      <c r="AU1606" t="s">
        <v>112</v>
      </c>
      <c r="AV1606" t="s">
        <v>17163</v>
      </c>
      <c r="AW1606" t="s">
        <v>114</v>
      </c>
      <c r="AX1606" t="s">
        <v>144</v>
      </c>
      <c r="AY1606" t="s">
        <v>456</v>
      </c>
      <c r="AZ1606" t="s">
        <v>4</v>
      </c>
      <c r="BA1606" s="3" t="s">
        <v>95</v>
      </c>
      <c r="BB1606" s="6" t="s">
        <v>95</v>
      </c>
      <c r="BC1606" s="3" t="s">
        <v>95</v>
      </c>
      <c r="BD1606" t="s">
        <v>4</v>
      </c>
      <c r="BE1606">
        <v>5019</v>
      </c>
      <c r="BF1606" t="s">
        <v>282</v>
      </c>
      <c r="BK1606" t="s">
        <v>17164</v>
      </c>
      <c r="BO1606">
        <v>99.212599999999995</v>
      </c>
      <c r="BP1606" t="s">
        <v>17165</v>
      </c>
      <c r="BQ1606" t="s">
        <v>17166</v>
      </c>
      <c r="BS1606" t="s">
        <v>17167</v>
      </c>
      <c r="BT1606">
        <v>58.267699999999998</v>
      </c>
      <c r="BV1606" t="s">
        <v>17168</v>
      </c>
      <c r="BW1606" t="s">
        <v>17169</v>
      </c>
      <c r="BX1606" t="s">
        <v>17170</v>
      </c>
      <c r="BZ1606">
        <v>83.464600000000004</v>
      </c>
      <c r="CB1606" t="s">
        <v>17171</v>
      </c>
      <c r="CD1606">
        <v>40.157499999999999</v>
      </c>
      <c r="CK1606">
        <v>6</v>
      </c>
      <c r="CL1606" t="s">
        <v>4</v>
      </c>
      <c r="CM1606" t="s">
        <v>98</v>
      </c>
      <c r="CN1606" t="s">
        <v>98</v>
      </c>
      <c r="CO1606" t="s">
        <v>99</v>
      </c>
      <c r="CP1606" t="s">
        <v>100</v>
      </c>
      <c r="CQ1606" t="s">
        <v>100</v>
      </c>
      <c r="CR1606" t="s">
        <v>100</v>
      </c>
      <c r="CS1606" t="s">
        <v>101</v>
      </c>
      <c r="CT1606" t="s">
        <v>100</v>
      </c>
      <c r="CU1606" t="s">
        <v>102</v>
      </c>
      <c r="CV1606" t="s">
        <v>100</v>
      </c>
    </row>
    <row r="1607" spans="1:100">
      <c r="A1607" s="3" t="s">
        <v>17172</v>
      </c>
      <c r="B1607" s="4" t="s">
        <v>17173</v>
      </c>
      <c r="C1607">
        <v>54.6123350473041</v>
      </c>
      <c r="D1607">
        <v>21.166261769061901</v>
      </c>
      <c r="E1607">
        <v>1.3694785059413399</v>
      </c>
      <c r="F1607">
        <v>7.2460978972509499E-2</v>
      </c>
      <c r="G1607" t="s">
        <v>4</v>
      </c>
      <c r="H1607">
        <v>54.6123350473041</v>
      </c>
      <c r="I1607">
        <v>12.4570275779054</v>
      </c>
      <c r="J1607">
        <v>2.1430619930518802</v>
      </c>
      <c r="K1607">
        <v>4.91957441656938E-3</v>
      </c>
      <c r="L1607" t="s">
        <v>4</v>
      </c>
      <c r="M1607">
        <v>21.166261769061901</v>
      </c>
      <c r="N1607">
        <v>12.4570275779054</v>
      </c>
      <c r="O1607">
        <v>0.77358348711053604</v>
      </c>
      <c r="P1607">
        <v>0.36517326831400498</v>
      </c>
      <c r="Q1607" t="s">
        <v>4</v>
      </c>
      <c r="R1607" s="4" t="s">
        <v>87</v>
      </c>
      <c r="S1607" t="s">
        <v>4</v>
      </c>
      <c r="T1607" t="s">
        <v>17174</v>
      </c>
      <c r="U1607" t="s">
        <v>17175</v>
      </c>
      <c r="V1607" t="s">
        <v>17176</v>
      </c>
      <c r="W1607" t="s">
        <v>123</v>
      </c>
      <c r="X1607" t="s">
        <v>4</v>
      </c>
      <c r="Y1607" t="s">
        <v>17177</v>
      </c>
      <c r="Z1607" t="s">
        <v>17178</v>
      </c>
      <c r="AA1607" t="s">
        <v>17179</v>
      </c>
      <c r="AB1607" t="s">
        <v>4</v>
      </c>
      <c r="AC1607" s="3" t="s">
        <v>93</v>
      </c>
      <c r="AD1607" t="s">
        <v>4</v>
      </c>
      <c r="AE1607" t="s">
        <v>17180</v>
      </c>
      <c r="AF1607" t="s">
        <v>17181</v>
      </c>
      <c r="AG1607" t="s">
        <v>17182</v>
      </c>
      <c r="AH1607" t="s">
        <v>112</v>
      </c>
      <c r="AU1607" t="s">
        <v>112</v>
      </c>
      <c r="AV1607" t="s">
        <v>17183</v>
      </c>
      <c r="AW1607" t="s">
        <v>114</v>
      </c>
      <c r="AX1607" t="s">
        <v>6071</v>
      </c>
      <c r="AY1607" t="s">
        <v>17184</v>
      </c>
      <c r="AZ1607" t="s">
        <v>4</v>
      </c>
      <c r="BA1607" s="3" t="s">
        <v>95</v>
      </c>
      <c r="BB1607" s="6" t="s">
        <v>95</v>
      </c>
      <c r="BC1607" s="3" t="s">
        <v>95</v>
      </c>
      <c r="BD1607" t="s">
        <v>4</v>
      </c>
      <c r="BE1607">
        <v>5889</v>
      </c>
      <c r="BF1607" t="s">
        <v>213</v>
      </c>
      <c r="BG1607">
        <v>88.372100000000003</v>
      </c>
      <c r="BI1607">
        <v>82.468699999999998</v>
      </c>
      <c r="BJ1607">
        <v>69.051900000000003</v>
      </c>
      <c r="BK1607">
        <v>70.840800000000002</v>
      </c>
      <c r="BM1607">
        <v>68.336299999999994</v>
      </c>
      <c r="BN1607">
        <v>69.230800000000002</v>
      </c>
      <c r="BO1607">
        <v>72.987499999999997</v>
      </c>
      <c r="BP1607">
        <v>30.590299999999999</v>
      </c>
      <c r="BR1607">
        <v>40.966000000000001</v>
      </c>
      <c r="BS1607" t="s">
        <v>17185</v>
      </c>
      <c r="BY1607">
        <v>24.150300000000001</v>
      </c>
      <c r="CB1607">
        <v>17.531300000000002</v>
      </c>
      <c r="CC1607" t="s">
        <v>17186</v>
      </c>
      <c r="CD1607" t="s">
        <v>17187</v>
      </c>
      <c r="CG1607" t="s">
        <v>17188</v>
      </c>
      <c r="CH1607" t="s">
        <v>17189</v>
      </c>
      <c r="CI1607" t="s">
        <v>17190</v>
      </c>
      <c r="CJ1607" t="s">
        <v>17191</v>
      </c>
      <c r="CK1607">
        <v>8</v>
      </c>
      <c r="CL1607" t="s">
        <v>4</v>
      </c>
      <c r="CM1607" t="s">
        <v>98</v>
      </c>
      <c r="CN1607" t="s">
        <v>98</v>
      </c>
      <c r="CO1607" t="s">
        <v>99</v>
      </c>
      <c r="CP1607" t="s">
        <v>100</v>
      </c>
      <c r="CQ1607" t="s">
        <v>100</v>
      </c>
      <c r="CR1607" t="s">
        <v>100</v>
      </c>
      <c r="CS1607" t="s">
        <v>101</v>
      </c>
      <c r="CT1607" t="s">
        <v>100</v>
      </c>
      <c r="CU1607" t="s">
        <v>102</v>
      </c>
      <c r="CV1607" t="s">
        <v>100</v>
      </c>
    </row>
    <row r="1608" spans="1:100">
      <c r="A1608" s="3" t="s">
        <v>17192</v>
      </c>
      <c r="B1608" s="4" t="s">
        <v>17193</v>
      </c>
      <c r="C1608">
        <v>40.967801580250303</v>
      </c>
      <c r="D1608">
        <v>12.727277766564599</v>
      </c>
      <c r="E1608">
        <v>1.6983958760340201</v>
      </c>
      <c r="F1608">
        <v>8.9042029988190094E-2</v>
      </c>
      <c r="G1608" t="s">
        <v>4</v>
      </c>
      <c r="H1608">
        <v>40.967801580250303</v>
      </c>
      <c r="I1608">
        <v>6.3019219661137997</v>
      </c>
      <c r="J1608">
        <v>2.71860679198396</v>
      </c>
      <c r="K1608">
        <v>7.2399842442694802E-3</v>
      </c>
      <c r="L1608" t="s">
        <v>4</v>
      </c>
      <c r="M1608">
        <v>12.727277766564599</v>
      </c>
      <c r="N1608">
        <v>6.3019219661137997</v>
      </c>
      <c r="O1608">
        <v>1.0202109159499499</v>
      </c>
      <c r="P1608">
        <v>0.36807974672694599</v>
      </c>
      <c r="Q1608" t="s">
        <v>4</v>
      </c>
      <c r="R1608" s="4" t="s">
        <v>87</v>
      </c>
      <c r="S1608" t="s">
        <v>4</v>
      </c>
      <c r="T1608" t="s">
        <v>88</v>
      </c>
      <c r="U1608" t="s">
        <v>89</v>
      </c>
      <c r="V1608" t="s">
        <v>90</v>
      </c>
      <c r="W1608" t="s">
        <v>91</v>
      </c>
      <c r="X1608" t="s">
        <v>4</v>
      </c>
      <c r="Y1608" t="s">
        <v>1801</v>
      </c>
      <c r="Z1608" t="s">
        <v>1802</v>
      </c>
      <c r="AA1608" t="s">
        <v>1803</v>
      </c>
      <c r="AB1608" t="s">
        <v>4</v>
      </c>
      <c r="AC1608" s="3" t="s">
        <v>3839</v>
      </c>
      <c r="AD1608" t="s">
        <v>4</v>
      </c>
      <c r="AE1608" t="s">
        <v>17194</v>
      </c>
      <c r="AF1608" t="s">
        <v>17195</v>
      </c>
      <c r="AG1608" t="s">
        <v>17196</v>
      </c>
      <c r="AH1608" t="s">
        <v>112</v>
      </c>
      <c r="AJ1608" t="s">
        <v>3843</v>
      </c>
      <c r="AU1608" t="s">
        <v>112</v>
      </c>
      <c r="AV1608" t="s">
        <v>3844</v>
      </c>
      <c r="AW1608" t="s">
        <v>114</v>
      </c>
      <c r="AX1608" t="s">
        <v>144</v>
      </c>
      <c r="AY1608" t="s">
        <v>3750</v>
      </c>
      <c r="AZ1608" t="s">
        <v>4</v>
      </c>
      <c r="BA1608" s="3" t="s">
        <v>95</v>
      </c>
      <c r="BB1608" t="s">
        <v>96</v>
      </c>
      <c r="BC1608" s="3" t="s">
        <v>197</v>
      </c>
      <c r="BD1608" t="s">
        <v>4</v>
      </c>
      <c r="BE1608">
        <v>207</v>
      </c>
      <c r="BF1608" t="s">
        <v>322</v>
      </c>
      <c r="CK1608">
        <v>1</v>
      </c>
      <c r="CL1608" t="s">
        <v>4</v>
      </c>
      <c r="CM1608" t="s">
        <v>98</v>
      </c>
      <c r="CN1608" t="s">
        <v>98</v>
      </c>
      <c r="CO1608" t="s">
        <v>99</v>
      </c>
      <c r="CP1608" t="s">
        <v>100</v>
      </c>
      <c r="CQ1608" t="s">
        <v>100</v>
      </c>
      <c r="CR1608" t="s">
        <v>100</v>
      </c>
      <c r="CS1608" t="s">
        <v>101</v>
      </c>
      <c r="CT1608" t="s">
        <v>100</v>
      </c>
      <c r="CU1608" t="s">
        <v>102</v>
      </c>
      <c r="CV1608" t="s">
        <v>100</v>
      </c>
    </row>
    <row r="1609" spans="1:100">
      <c r="A1609" s="3" t="s">
        <v>17197</v>
      </c>
      <c r="B1609" s="4" t="s">
        <v>17198</v>
      </c>
      <c r="C1609">
        <v>37.467539861963303</v>
      </c>
      <c r="D1609">
        <v>9.2320184525824605</v>
      </c>
      <c r="E1609">
        <v>2.0308000217764799</v>
      </c>
      <c r="F1609">
        <v>6.0572016247126603E-2</v>
      </c>
      <c r="G1609" t="s">
        <v>4</v>
      </c>
      <c r="H1609">
        <v>37.467539861963303</v>
      </c>
      <c r="I1609">
        <v>4.36658553740115</v>
      </c>
      <c r="J1609">
        <v>3.12748281265679</v>
      </c>
      <c r="K1609">
        <v>5.1167379508664304E-3</v>
      </c>
      <c r="L1609" t="s">
        <v>4</v>
      </c>
      <c r="M1609">
        <v>9.2320184525824605</v>
      </c>
      <c r="N1609">
        <v>4.36658553740115</v>
      </c>
      <c r="O1609">
        <v>1.0966827908803101</v>
      </c>
      <c r="P1609">
        <v>0.38538424403043797</v>
      </c>
      <c r="Q1609" t="s">
        <v>4</v>
      </c>
      <c r="R1609" s="4" t="s">
        <v>87</v>
      </c>
      <c r="S1609" t="s">
        <v>4</v>
      </c>
      <c r="T1609" t="s">
        <v>2325</v>
      </c>
      <c r="U1609" t="s">
        <v>2326</v>
      </c>
      <c r="V1609" t="s">
        <v>2327</v>
      </c>
      <c r="W1609" t="s">
        <v>203</v>
      </c>
      <c r="X1609" t="s">
        <v>4</v>
      </c>
      <c r="Y1609" t="s">
        <v>3224</v>
      </c>
      <c r="Z1609" t="s">
        <v>3225</v>
      </c>
      <c r="AA1609" t="s">
        <v>3226</v>
      </c>
      <c r="AB1609" t="s">
        <v>4</v>
      </c>
      <c r="AC1609" s="3" t="s">
        <v>207</v>
      </c>
      <c r="AD1609" t="s">
        <v>4</v>
      </c>
      <c r="AE1609" t="s">
        <v>17199</v>
      </c>
      <c r="AF1609" t="s">
        <v>14696</v>
      </c>
      <c r="AG1609" t="s">
        <v>9643</v>
      </c>
      <c r="AH1609" t="s">
        <v>112</v>
      </c>
      <c r="AK1609" t="s">
        <v>9691</v>
      </c>
      <c r="AL1609" t="s">
        <v>10914</v>
      </c>
      <c r="AQ1609" t="s">
        <v>8402</v>
      </c>
      <c r="AU1609" t="s">
        <v>112</v>
      </c>
      <c r="AV1609" t="s">
        <v>17200</v>
      </c>
      <c r="AW1609" t="s">
        <v>114</v>
      </c>
      <c r="AX1609" t="s">
        <v>132</v>
      </c>
      <c r="AY1609" t="s">
        <v>9696</v>
      </c>
      <c r="AZ1609" t="s">
        <v>4</v>
      </c>
      <c r="BA1609" s="3" t="s">
        <v>95</v>
      </c>
      <c r="BB1609" s="6" t="s">
        <v>95</v>
      </c>
      <c r="BC1609" s="3" t="s">
        <v>95</v>
      </c>
      <c r="BD1609" t="s">
        <v>4</v>
      </c>
      <c r="BE1609">
        <v>3535</v>
      </c>
      <c r="BF1609" t="s">
        <v>112</v>
      </c>
      <c r="BG1609">
        <v>92.702699999999993</v>
      </c>
      <c r="BH1609" t="s">
        <v>17201</v>
      </c>
      <c r="BI1609" t="s">
        <v>17202</v>
      </c>
      <c r="BJ1609">
        <v>61.8919</v>
      </c>
      <c r="BK1609">
        <v>86.216200000000001</v>
      </c>
      <c r="BM1609" t="s">
        <v>17203</v>
      </c>
      <c r="BN1609">
        <v>74.5946</v>
      </c>
      <c r="BO1609">
        <v>66.486500000000007</v>
      </c>
      <c r="BP1609">
        <v>64.864900000000006</v>
      </c>
      <c r="BQ1609">
        <v>45.945900000000002</v>
      </c>
      <c r="BR1609" t="s">
        <v>17204</v>
      </c>
      <c r="BS1609">
        <v>56.486499999999999</v>
      </c>
      <c r="BW1609" t="s">
        <v>17205</v>
      </c>
      <c r="BX1609">
        <v>52.162199999999999</v>
      </c>
      <c r="BY1609">
        <v>24.5946</v>
      </c>
      <c r="BZ1609" t="s">
        <v>17206</v>
      </c>
      <c r="CA1609" t="s">
        <v>17207</v>
      </c>
      <c r="CK1609">
        <v>5</v>
      </c>
      <c r="CL1609" t="s">
        <v>4</v>
      </c>
      <c r="CM1609" t="s">
        <v>17208</v>
      </c>
      <c r="CN1609" t="s">
        <v>17209</v>
      </c>
      <c r="CO1609" t="s">
        <v>1467</v>
      </c>
      <c r="CP1609" t="s">
        <v>100</v>
      </c>
      <c r="CQ1609" t="s">
        <v>100</v>
      </c>
      <c r="CR1609" t="s">
        <v>100</v>
      </c>
      <c r="CS1609" t="s">
        <v>101</v>
      </c>
      <c r="CT1609" t="s">
        <v>100</v>
      </c>
      <c r="CU1609" t="s">
        <v>102</v>
      </c>
      <c r="CV1609" t="s">
        <v>100</v>
      </c>
    </row>
    <row r="1610" spans="1:100">
      <c r="A1610" s="3" t="s">
        <v>17210</v>
      </c>
      <c r="B1610" s="4" t="s">
        <v>17211</v>
      </c>
      <c r="C1610">
        <v>48.5008198079951</v>
      </c>
      <c r="D1610">
        <v>18.826289870832898</v>
      </c>
      <c r="E1610">
        <v>1.3736663590824501</v>
      </c>
      <c r="F1610">
        <v>9.9733559497957897E-2</v>
      </c>
      <c r="G1610" t="s">
        <v>4</v>
      </c>
      <c r="H1610">
        <v>48.5008198079951</v>
      </c>
      <c r="I1610">
        <v>10.6998139749287</v>
      </c>
      <c r="J1610">
        <v>2.1785232857505501</v>
      </c>
      <c r="K1610">
        <v>8.9279824674754708E-3</v>
      </c>
      <c r="L1610" t="s">
        <v>4</v>
      </c>
      <c r="M1610">
        <v>18.826289870832898</v>
      </c>
      <c r="N1610">
        <v>10.6998139749287</v>
      </c>
      <c r="O1610">
        <v>0.80485692666809705</v>
      </c>
      <c r="P1610">
        <v>0.38872686910405502</v>
      </c>
      <c r="Q1610" t="s">
        <v>4</v>
      </c>
      <c r="R1610" s="4" t="s">
        <v>87</v>
      </c>
      <c r="S1610" t="s">
        <v>4</v>
      </c>
      <c r="T1610" t="s">
        <v>17212</v>
      </c>
      <c r="U1610" t="s">
        <v>17213</v>
      </c>
      <c r="V1610" t="s">
        <v>17214</v>
      </c>
      <c r="W1610" t="s">
        <v>328</v>
      </c>
      <c r="X1610" t="s">
        <v>4</v>
      </c>
      <c r="Y1610" t="s">
        <v>17215</v>
      </c>
      <c r="Z1610" t="s">
        <v>17216</v>
      </c>
      <c r="AA1610" t="s">
        <v>17217</v>
      </c>
      <c r="AB1610" t="s">
        <v>4</v>
      </c>
      <c r="AC1610" s="3" t="s">
        <v>17218</v>
      </c>
      <c r="AD1610" t="s">
        <v>4</v>
      </c>
      <c r="AE1610" t="s">
        <v>17219</v>
      </c>
      <c r="AF1610" t="s">
        <v>17220</v>
      </c>
      <c r="AG1610" t="s">
        <v>17221</v>
      </c>
      <c r="AH1610" t="s">
        <v>112</v>
      </c>
      <c r="AJ1610" t="s">
        <v>17222</v>
      </c>
      <c r="AU1610" t="s">
        <v>112</v>
      </c>
      <c r="AV1610" t="s">
        <v>17223</v>
      </c>
      <c r="AW1610" t="s">
        <v>114</v>
      </c>
      <c r="AX1610" t="s">
        <v>371</v>
      </c>
      <c r="AY1610" t="s">
        <v>573</v>
      </c>
      <c r="AZ1610" t="s">
        <v>4</v>
      </c>
      <c r="BA1610" s="3" t="s">
        <v>95</v>
      </c>
      <c r="BB1610" s="6" t="s">
        <v>95</v>
      </c>
      <c r="BC1610" s="3" t="s">
        <v>95</v>
      </c>
      <c r="BD1610" t="s">
        <v>4</v>
      </c>
      <c r="BE1610">
        <v>7682</v>
      </c>
      <c r="BF1610" t="s">
        <v>213</v>
      </c>
      <c r="BG1610">
        <v>86.411900000000003</v>
      </c>
      <c r="BH1610">
        <v>41.613599999999998</v>
      </c>
      <c r="BJ1610">
        <v>40.764299999999999</v>
      </c>
      <c r="BK1610">
        <v>34.819499999999998</v>
      </c>
      <c r="BL1610">
        <v>25.69</v>
      </c>
      <c r="BM1610">
        <v>35.881100000000004</v>
      </c>
      <c r="BN1610">
        <v>55.414000000000001</v>
      </c>
      <c r="BO1610">
        <v>54.352400000000003</v>
      </c>
      <c r="BP1610">
        <v>14.012700000000001</v>
      </c>
      <c r="BQ1610">
        <v>30.997900000000001</v>
      </c>
      <c r="BR1610">
        <v>33.121000000000002</v>
      </c>
      <c r="BS1610">
        <v>30.785599999999999</v>
      </c>
      <c r="BT1610">
        <v>28.874700000000001</v>
      </c>
      <c r="BV1610" t="s">
        <v>17224</v>
      </c>
      <c r="BW1610">
        <v>26.7516</v>
      </c>
      <c r="BX1610">
        <v>33.333300000000001</v>
      </c>
      <c r="BY1610">
        <v>22.9299</v>
      </c>
      <c r="BZ1610">
        <v>27.388500000000001</v>
      </c>
      <c r="CA1610">
        <v>32.908700000000003</v>
      </c>
      <c r="CB1610">
        <v>15.2866</v>
      </c>
      <c r="CC1610">
        <v>33.5456</v>
      </c>
      <c r="CD1610">
        <v>18.896000000000001</v>
      </c>
      <c r="CE1610" t="s">
        <v>17225</v>
      </c>
      <c r="CF1610">
        <v>27.6008</v>
      </c>
      <c r="CG1610" t="s">
        <v>17226</v>
      </c>
      <c r="CH1610" t="s">
        <v>17227</v>
      </c>
      <c r="CI1610" t="s">
        <v>17228</v>
      </c>
      <c r="CK1610">
        <v>8</v>
      </c>
      <c r="CL1610" t="s">
        <v>4</v>
      </c>
      <c r="CM1610" t="s">
        <v>17229</v>
      </c>
      <c r="CN1610" t="s">
        <v>17230</v>
      </c>
      <c r="CO1610" t="s">
        <v>99</v>
      </c>
      <c r="CP1610" t="s">
        <v>100</v>
      </c>
      <c r="CQ1610" t="s">
        <v>100</v>
      </c>
      <c r="CR1610" t="s">
        <v>100</v>
      </c>
      <c r="CS1610" t="s">
        <v>101</v>
      </c>
      <c r="CT1610" t="s">
        <v>100</v>
      </c>
      <c r="CU1610" t="s">
        <v>102</v>
      </c>
      <c r="CV1610" t="s">
        <v>100</v>
      </c>
    </row>
    <row r="1611" spans="1:100">
      <c r="A1611" s="3" t="s">
        <v>17231</v>
      </c>
      <c r="B1611" s="4" t="s">
        <v>17232</v>
      </c>
      <c r="C1611">
        <v>61.393197957027802</v>
      </c>
      <c r="D1611">
        <v>16.208274426758599</v>
      </c>
      <c r="E1611">
        <v>1.9250809295407401</v>
      </c>
      <c r="F1611">
        <v>8.5494370962805599E-2</v>
      </c>
      <c r="G1611" t="s">
        <v>4</v>
      </c>
      <c r="H1611">
        <v>61.393197957027802</v>
      </c>
      <c r="I1611">
        <v>7.53448309462902</v>
      </c>
      <c r="J1611">
        <v>2.9928498422328502</v>
      </c>
      <c r="K1611">
        <v>7.0693745880872601E-3</v>
      </c>
      <c r="L1611" t="s">
        <v>4</v>
      </c>
      <c r="M1611">
        <v>16.208274426758599</v>
      </c>
      <c r="N1611">
        <v>7.53448309462902</v>
      </c>
      <c r="O1611">
        <v>1.0677689126921099</v>
      </c>
      <c r="P1611">
        <v>0.38947588922506399</v>
      </c>
      <c r="Q1611" t="s">
        <v>4</v>
      </c>
      <c r="R1611" s="4" t="s">
        <v>87</v>
      </c>
      <c r="S1611" t="s">
        <v>4</v>
      </c>
      <c r="T1611" t="s">
        <v>92</v>
      </c>
      <c r="U1611" t="s">
        <v>92</v>
      </c>
      <c r="V1611" t="s">
        <v>92</v>
      </c>
      <c r="W1611" t="s">
        <v>92</v>
      </c>
      <c r="X1611" t="s">
        <v>4</v>
      </c>
      <c r="Y1611" t="s">
        <v>16992</v>
      </c>
      <c r="Z1611" t="s">
        <v>16993</v>
      </c>
      <c r="AA1611" t="s">
        <v>16994</v>
      </c>
      <c r="AB1611" t="s">
        <v>4</v>
      </c>
      <c r="AC1611" s="3" t="s">
        <v>93</v>
      </c>
      <c r="AD1611" t="s">
        <v>4</v>
      </c>
      <c r="AE1611" t="s">
        <v>772</v>
      </c>
      <c r="AF1611" t="s">
        <v>16995</v>
      </c>
      <c r="AG1611" t="s">
        <v>6260</v>
      </c>
      <c r="AH1611" t="s">
        <v>314</v>
      </c>
      <c r="AU1611" t="s">
        <v>112</v>
      </c>
      <c r="AV1611" t="s">
        <v>775</v>
      </c>
      <c r="AW1611" t="s">
        <v>114</v>
      </c>
      <c r="AZ1611" t="s">
        <v>4</v>
      </c>
      <c r="BA1611" s="3" t="s">
        <v>95</v>
      </c>
      <c r="BB1611" s="6" t="s">
        <v>95</v>
      </c>
      <c r="BC1611" s="3" t="s">
        <v>95</v>
      </c>
      <c r="BD1611" t="s">
        <v>4</v>
      </c>
      <c r="BE1611">
        <v>1628</v>
      </c>
      <c r="BF1611" t="s">
        <v>151</v>
      </c>
      <c r="BG1611">
        <v>55.900599999999997</v>
      </c>
      <c r="BL1611" t="s">
        <v>16996</v>
      </c>
      <c r="CK1611">
        <v>2</v>
      </c>
      <c r="CL1611" t="s">
        <v>4</v>
      </c>
      <c r="CM1611" t="s">
        <v>98</v>
      </c>
      <c r="CN1611" t="s">
        <v>98</v>
      </c>
      <c r="CO1611" t="s">
        <v>99</v>
      </c>
      <c r="CP1611" t="s">
        <v>100</v>
      </c>
      <c r="CQ1611" t="s">
        <v>100</v>
      </c>
      <c r="CR1611" t="s">
        <v>100</v>
      </c>
      <c r="CS1611" t="s">
        <v>101</v>
      </c>
      <c r="CT1611" t="s">
        <v>100</v>
      </c>
      <c r="CU1611" t="s">
        <v>102</v>
      </c>
      <c r="CV1611" t="s">
        <v>100</v>
      </c>
    </row>
    <row r="1612" spans="1:100">
      <c r="A1612" s="3" t="s">
        <v>17233</v>
      </c>
      <c r="B1612" s="4" t="s">
        <v>17234</v>
      </c>
      <c r="C1612">
        <v>16.3664966630622</v>
      </c>
      <c r="D1612">
        <v>4.7235256107288697</v>
      </c>
      <c r="E1612">
        <v>1.79089179577244</v>
      </c>
      <c r="F1612">
        <v>6.9264133446951204E-2</v>
      </c>
      <c r="G1612" t="s">
        <v>4</v>
      </c>
      <c r="H1612">
        <v>16.3664966630622</v>
      </c>
      <c r="I1612">
        <v>2.1255378272463399</v>
      </c>
      <c r="J1612">
        <v>2.8745173390232801</v>
      </c>
      <c r="K1612">
        <v>9.7714729086948102E-3</v>
      </c>
      <c r="L1612" t="s">
        <v>4</v>
      </c>
      <c r="M1612">
        <v>4.7235256107288697</v>
      </c>
      <c r="N1612">
        <v>2.1255378272463399</v>
      </c>
      <c r="O1612">
        <v>1.0836255432508399</v>
      </c>
      <c r="P1612">
        <v>0.39923521421303398</v>
      </c>
      <c r="Q1612" t="s">
        <v>4</v>
      </c>
      <c r="R1612" s="4" t="s">
        <v>87</v>
      </c>
      <c r="S1612" t="s">
        <v>4</v>
      </c>
      <c r="T1612" t="s">
        <v>92</v>
      </c>
      <c r="U1612" t="s">
        <v>92</v>
      </c>
      <c r="V1612" t="s">
        <v>92</v>
      </c>
      <c r="W1612" t="s">
        <v>92</v>
      </c>
      <c r="X1612" t="s">
        <v>4</v>
      </c>
      <c r="Y1612" t="s">
        <v>92</v>
      </c>
      <c r="Z1612" t="s">
        <v>92</v>
      </c>
      <c r="AA1612" t="s">
        <v>92</v>
      </c>
      <c r="AB1612" t="s">
        <v>4</v>
      </c>
      <c r="AC1612" s="3" t="s">
        <v>93</v>
      </c>
      <c r="AD1612" t="s">
        <v>4</v>
      </c>
      <c r="AE1612" s="4" t="s">
        <v>94</v>
      </c>
      <c r="AZ1612" t="s">
        <v>4</v>
      </c>
      <c r="BA1612" s="3" t="s">
        <v>95</v>
      </c>
      <c r="BB1612" s="6" t="s">
        <v>95</v>
      </c>
      <c r="BC1612" s="3" t="s">
        <v>95</v>
      </c>
      <c r="BD1612" t="s">
        <v>4</v>
      </c>
      <c r="BE1612">
        <v>1629</v>
      </c>
      <c r="BF1612" t="s">
        <v>151</v>
      </c>
      <c r="BG1612" t="s">
        <v>16159</v>
      </c>
      <c r="BI1612">
        <v>51.2821</v>
      </c>
      <c r="CK1612">
        <v>2</v>
      </c>
      <c r="CL1612" t="s">
        <v>4</v>
      </c>
      <c r="CM1612" t="s">
        <v>98</v>
      </c>
      <c r="CN1612" t="s">
        <v>98</v>
      </c>
      <c r="CO1612" t="s">
        <v>99</v>
      </c>
      <c r="CP1612" t="s">
        <v>100</v>
      </c>
      <c r="CQ1612" t="s">
        <v>100</v>
      </c>
      <c r="CR1612" t="s">
        <v>100</v>
      </c>
      <c r="CS1612" t="s">
        <v>101</v>
      </c>
      <c r="CT1612" t="s">
        <v>100</v>
      </c>
      <c r="CU1612" t="s">
        <v>102</v>
      </c>
      <c r="CV1612" t="s">
        <v>100</v>
      </c>
    </row>
    <row r="1613" spans="1:100">
      <c r="A1613" s="3" t="s">
        <v>17235</v>
      </c>
      <c r="B1613" s="4" t="s">
        <v>17236</v>
      </c>
      <c r="C1613">
        <v>38.268048648217501</v>
      </c>
      <c r="D1613">
        <v>10.615703369992</v>
      </c>
      <c r="E1613">
        <v>1.8627983978924401</v>
      </c>
      <c r="F1613">
        <v>5.9716094834017297E-2</v>
      </c>
      <c r="G1613" t="s">
        <v>4</v>
      </c>
      <c r="H1613">
        <v>38.268048648217501</v>
      </c>
      <c r="I1613">
        <v>5.1213518451370499</v>
      </c>
      <c r="J1613">
        <v>2.82884628143462</v>
      </c>
      <c r="K1613">
        <v>5.3063597185430099E-3</v>
      </c>
      <c r="L1613" t="s">
        <v>4</v>
      </c>
      <c r="M1613">
        <v>10.615703369992</v>
      </c>
      <c r="N1613">
        <v>5.1213518451370499</v>
      </c>
      <c r="O1613">
        <v>0.96604788354218396</v>
      </c>
      <c r="P1613">
        <v>0.40163936167511399</v>
      </c>
      <c r="Q1613" t="s">
        <v>4</v>
      </c>
      <c r="R1613" s="4" t="s">
        <v>87</v>
      </c>
      <c r="S1613" t="s">
        <v>4</v>
      </c>
      <c r="T1613" t="s">
        <v>2243</v>
      </c>
      <c r="U1613" t="s">
        <v>2244</v>
      </c>
      <c r="V1613" t="s">
        <v>2245</v>
      </c>
      <c r="W1613" t="s">
        <v>123</v>
      </c>
      <c r="X1613" t="s">
        <v>4</v>
      </c>
      <c r="Y1613" t="s">
        <v>17237</v>
      </c>
      <c r="Z1613" t="s">
        <v>17238</v>
      </c>
      <c r="AA1613" t="s">
        <v>17239</v>
      </c>
      <c r="AB1613" t="s">
        <v>4</v>
      </c>
      <c r="AC1613" s="3" t="s">
        <v>17240</v>
      </c>
      <c r="AD1613" t="s">
        <v>4</v>
      </c>
      <c r="AE1613" t="s">
        <v>17241</v>
      </c>
      <c r="AF1613" t="s">
        <v>17242</v>
      </c>
      <c r="AG1613" t="s">
        <v>17243</v>
      </c>
      <c r="AH1613" t="s">
        <v>112</v>
      </c>
      <c r="AU1613" t="s">
        <v>112</v>
      </c>
      <c r="AV1613" t="s">
        <v>17244</v>
      </c>
      <c r="AW1613" t="s">
        <v>114</v>
      </c>
      <c r="AZ1613" t="s">
        <v>4</v>
      </c>
      <c r="BA1613" s="3" t="s">
        <v>95</v>
      </c>
      <c r="BB1613" s="6" t="s">
        <v>95</v>
      </c>
      <c r="BC1613" s="3" t="s">
        <v>95</v>
      </c>
      <c r="BD1613" t="s">
        <v>4</v>
      </c>
      <c r="BE1613">
        <v>2633</v>
      </c>
      <c r="BF1613" t="s">
        <v>97</v>
      </c>
      <c r="BG1613">
        <v>79.953400000000002</v>
      </c>
      <c r="BH1613">
        <v>47.086199999999998</v>
      </c>
      <c r="BI1613">
        <v>75.291399999999996</v>
      </c>
      <c r="BJ1613">
        <v>58.042000000000002</v>
      </c>
      <c r="BK1613">
        <v>69.230800000000002</v>
      </c>
      <c r="BL1613">
        <v>58.042000000000002</v>
      </c>
      <c r="BM1613">
        <v>70.629400000000004</v>
      </c>
      <c r="BN1613">
        <v>71.095600000000005</v>
      </c>
      <c r="BO1613">
        <v>69.463899999999995</v>
      </c>
      <c r="BP1613" t="s">
        <v>17245</v>
      </c>
      <c r="CK1613">
        <v>4</v>
      </c>
      <c r="CL1613" t="s">
        <v>4</v>
      </c>
      <c r="CM1613" t="s">
        <v>98</v>
      </c>
      <c r="CN1613" t="s">
        <v>98</v>
      </c>
      <c r="CO1613" t="s">
        <v>99</v>
      </c>
      <c r="CP1613" t="s">
        <v>100</v>
      </c>
      <c r="CQ1613" t="s">
        <v>100</v>
      </c>
      <c r="CR1613" t="s">
        <v>100</v>
      </c>
      <c r="CS1613" t="s">
        <v>101</v>
      </c>
      <c r="CT1613" t="s">
        <v>100</v>
      </c>
      <c r="CU1613" t="s">
        <v>102</v>
      </c>
      <c r="CV1613" t="s">
        <v>100</v>
      </c>
    </row>
    <row r="1614" spans="1:100">
      <c r="A1614" s="3" t="s">
        <v>17246</v>
      </c>
      <c r="B1614" s="4" t="s">
        <v>17247</v>
      </c>
      <c r="C1614">
        <v>88.930331010160899</v>
      </c>
      <c r="D1614">
        <v>27.646864814527099</v>
      </c>
      <c r="E1614">
        <v>1.6894048493231</v>
      </c>
      <c r="F1614">
        <v>6.7071438415856402E-2</v>
      </c>
      <c r="G1614" t="s">
        <v>4</v>
      </c>
      <c r="H1614">
        <v>88.930331010160899</v>
      </c>
      <c r="I1614">
        <v>15.4755421038828</v>
      </c>
      <c r="J1614">
        <v>2.5373534112712699</v>
      </c>
      <c r="K1614">
        <v>4.9902287732235496E-3</v>
      </c>
      <c r="L1614" t="s">
        <v>4</v>
      </c>
      <c r="M1614">
        <v>27.646864814527099</v>
      </c>
      <c r="N1614">
        <v>15.4755421038828</v>
      </c>
      <c r="O1614">
        <v>0.84794856194816803</v>
      </c>
      <c r="P1614">
        <v>0.40167522135962402</v>
      </c>
      <c r="Q1614" t="s">
        <v>4</v>
      </c>
      <c r="R1614" s="4" t="s">
        <v>87</v>
      </c>
      <c r="S1614" t="s">
        <v>4</v>
      </c>
      <c r="T1614" t="s">
        <v>189</v>
      </c>
      <c r="U1614" t="s">
        <v>190</v>
      </c>
      <c r="V1614" t="s">
        <v>191</v>
      </c>
      <c r="W1614" t="s">
        <v>192</v>
      </c>
      <c r="X1614" t="s">
        <v>4</v>
      </c>
      <c r="Y1614" t="s">
        <v>92</v>
      </c>
      <c r="Z1614" t="s">
        <v>92</v>
      </c>
      <c r="AA1614" t="s">
        <v>92</v>
      </c>
      <c r="AB1614" t="s">
        <v>4</v>
      </c>
      <c r="AC1614" s="3" t="s">
        <v>93</v>
      </c>
      <c r="AD1614" t="s">
        <v>4</v>
      </c>
      <c r="AE1614" s="4" t="s">
        <v>94</v>
      </c>
      <c r="AZ1614" t="s">
        <v>4</v>
      </c>
      <c r="BA1614" s="3" t="s">
        <v>115</v>
      </c>
      <c r="BB1614" t="s">
        <v>96</v>
      </c>
      <c r="BC1614" s="3" t="s">
        <v>197</v>
      </c>
      <c r="BD1614" t="s">
        <v>4</v>
      </c>
      <c r="BE1614">
        <v>716</v>
      </c>
      <c r="BF1614" t="s">
        <v>604</v>
      </c>
      <c r="BG1614">
        <v>76.2136</v>
      </c>
      <c r="BH1614">
        <v>88.349500000000006</v>
      </c>
      <c r="CK1614">
        <v>1.5</v>
      </c>
      <c r="CL1614" t="s">
        <v>4</v>
      </c>
      <c r="CM1614" t="s">
        <v>98</v>
      </c>
      <c r="CN1614" t="s">
        <v>98</v>
      </c>
      <c r="CO1614" t="s">
        <v>99</v>
      </c>
      <c r="CP1614" t="s">
        <v>100</v>
      </c>
      <c r="CQ1614" t="s">
        <v>100</v>
      </c>
      <c r="CR1614" t="s">
        <v>100</v>
      </c>
      <c r="CS1614" t="s">
        <v>101</v>
      </c>
      <c r="CT1614" t="s">
        <v>100</v>
      </c>
      <c r="CU1614" t="s">
        <v>102</v>
      </c>
      <c r="CV1614" t="s">
        <v>100</v>
      </c>
    </row>
    <row r="1615" spans="1:100">
      <c r="A1615" s="3" t="s">
        <v>17248</v>
      </c>
      <c r="B1615" s="4" t="s">
        <v>17249</v>
      </c>
      <c r="C1615">
        <v>95.563813030873504</v>
      </c>
      <c r="D1615">
        <v>26.2959735925978</v>
      </c>
      <c r="E1615">
        <v>1.86522099756971</v>
      </c>
      <c r="F1615">
        <v>8.0461518102116797E-2</v>
      </c>
      <c r="G1615" t="s">
        <v>4</v>
      </c>
      <c r="H1615">
        <v>95.563813030873504</v>
      </c>
      <c r="I1615">
        <v>13.4246957922617</v>
      </c>
      <c r="J1615">
        <v>2.8368231170306402</v>
      </c>
      <c r="K1615">
        <v>6.4540054995824003E-3</v>
      </c>
      <c r="L1615" t="s">
        <v>4</v>
      </c>
      <c r="M1615">
        <v>26.2959735925978</v>
      </c>
      <c r="N1615">
        <v>13.4246957922617</v>
      </c>
      <c r="O1615">
        <v>0.97160211946092601</v>
      </c>
      <c r="P1615">
        <v>0.40262328322435098</v>
      </c>
      <c r="Q1615" t="s">
        <v>4</v>
      </c>
      <c r="R1615" s="4" t="s">
        <v>87</v>
      </c>
      <c r="S1615" t="s">
        <v>4</v>
      </c>
      <c r="T1615" t="s">
        <v>460</v>
      </c>
      <c r="U1615" t="s">
        <v>461</v>
      </c>
      <c r="V1615" t="s">
        <v>462</v>
      </c>
      <c r="W1615" t="s">
        <v>123</v>
      </c>
      <c r="X1615" t="s">
        <v>4</v>
      </c>
      <c r="Y1615" t="s">
        <v>463</v>
      </c>
      <c r="Z1615" t="s">
        <v>464</v>
      </c>
      <c r="AA1615" t="s">
        <v>465</v>
      </c>
      <c r="AB1615" t="s">
        <v>4</v>
      </c>
      <c r="AC1615" s="3" t="s">
        <v>93</v>
      </c>
      <c r="AD1615" t="s">
        <v>4</v>
      </c>
      <c r="AE1615" t="s">
        <v>6411</v>
      </c>
      <c r="AF1615" t="s">
        <v>17250</v>
      </c>
      <c r="AG1615" t="s">
        <v>9434</v>
      </c>
      <c r="AH1615" t="s">
        <v>169</v>
      </c>
      <c r="AU1615" t="s">
        <v>112</v>
      </c>
      <c r="AV1615" t="s">
        <v>470</v>
      </c>
      <c r="AW1615" t="s">
        <v>114</v>
      </c>
      <c r="AX1615" t="s">
        <v>144</v>
      </c>
      <c r="AY1615" t="s">
        <v>471</v>
      </c>
      <c r="AZ1615" t="s">
        <v>4</v>
      </c>
      <c r="BA1615" s="3" t="s">
        <v>95</v>
      </c>
      <c r="BB1615" s="6" t="s">
        <v>95</v>
      </c>
      <c r="BC1615" s="3" t="s">
        <v>197</v>
      </c>
      <c r="BD1615" t="s">
        <v>4</v>
      </c>
      <c r="BE1615">
        <v>5819</v>
      </c>
      <c r="BF1615" t="s">
        <v>386</v>
      </c>
      <c r="BW1615">
        <v>15.132899999999999</v>
      </c>
      <c r="CA1615">
        <v>9.4069500000000001</v>
      </c>
      <c r="CE1615">
        <v>7.3619599999999998</v>
      </c>
      <c r="CF1615" t="s">
        <v>17251</v>
      </c>
      <c r="CG1615" t="s">
        <v>17252</v>
      </c>
      <c r="CH1615" t="s">
        <v>17253</v>
      </c>
      <c r="CI1615" t="s">
        <v>17254</v>
      </c>
      <c r="CK1615">
        <v>7</v>
      </c>
      <c r="CL1615" t="s">
        <v>4</v>
      </c>
      <c r="CM1615" t="s">
        <v>17255</v>
      </c>
      <c r="CN1615" t="s">
        <v>17256</v>
      </c>
      <c r="CO1615" t="s">
        <v>219</v>
      </c>
      <c r="CP1615" t="s">
        <v>100</v>
      </c>
      <c r="CQ1615" t="s">
        <v>100</v>
      </c>
      <c r="CR1615" t="s">
        <v>100</v>
      </c>
      <c r="CS1615" t="s">
        <v>101</v>
      </c>
      <c r="CT1615" t="s">
        <v>100</v>
      </c>
      <c r="CU1615" t="s">
        <v>102</v>
      </c>
      <c r="CV1615" t="s">
        <v>100</v>
      </c>
    </row>
    <row r="1616" spans="1:100">
      <c r="A1616" s="3" t="s">
        <v>17257</v>
      </c>
      <c r="B1616" s="4" t="s">
        <v>17258</v>
      </c>
      <c r="C1616">
        <v>90.821722205428301</v>
      </c>
      <c r="D1616">
        <v>28.730500609401801</v>
      </c>
      <c r="E1616">
        <v>1.66425774285846</v>
      </c>
      <c r="F1616">
        <v>0.106604073404943</v>
      </c>
      <c r="G1616" t="s">
        <v>4</v>
      </c>
      <c r="H1616">
        <v>90.821722205428301</v>
      </c>
      <c r="I1616">
        <v>14.7152872147142</v>
      </c>
      <c r="J1616">
        <v>2.5884674493386801</v>
      </c>
      <c r="K1616">
        <v>9.9038067417283101E-3</v>
      </c>
      <c r="L1616" t="s">
        <v>4</v>
      </c>
      <c r="M1616">
        <v>28.730500609401801</v>
      </c>
      <c r="N1616">
        <v>14.7152872147142</v>
      </c>
      <c r="O1616">
        <v>0.92420970648021705</v>
      </c>
      <c r="P1616">
        <v>0.407573630194282</v>
      </c>
      <c r="Q1616" t="s">
        <v>4</v>
      </c>
      <c r="R1616" s="4" t="s">
        <v>87</v>
      </c>
      <c r="S1616" t="s">
        <v>4</v>
      </c>
      <c r="T1616" t="s">
        <v>684</v>
      </c>
      <c r="U1616" t="s">
        <v>685</v>
      </c>
      <c r="V1616" t="s">
        <v>686</v>
      </c>
      <c r="W1616" t="s">
        <v>123</v>
      </c>
      <c r="X1616" t="s">
        <v>4</v>
      </c>
      <c r="Y1616" t="s">
        <v>17259</v>
      </c>
      <c r="Z1616" t="s">
        <v>17260</v>
      </c>
      <c r="AA1616" t="s">
        <v>17261</v>
      </c>
      <c r="AB1616" t="s">
        <v>4</v>
      </c>
      <c r="AC1616" s="3" t="s">
        <v>93</v>
      </c>
      <c r="AD1616" t="s">
        <v>4</v>
      </c>
      <c r="AE1616" t="s">
        <v>17262</v>
      </c>
      <c r="AF1616" t="s">
        <v>17263</v>
      </c>
      <c r="AG1616" t="s">
        <v>10532</v>
      </c>
      <c r="AH1616" t="s">
        <v>314</v>
      </c>
      <c r="AU1616" t="s">
        <v>112</v>
      </c>
      <c r="AV1616" t="s">
        <v>17264</v>
      </c>
      <c r="AW1616" t="s">
        <v>114</v>
      </c>
      <c r="AX1616" t="s">
        <v>17265</v>
      </c>
      <c r="AY1616" t="s">
        <v>17266</v>
      </c>
      <c r="AZ1616" t="s">
        <v>4</v>
      </c>
      <c r="BA1616" s="3" t="s">
        <v>115</v>
      </c>
      <c r="BB1616" s="6" t="s">
        <v>95</v>
      </c>
      <c r="BC1616" s="3" t="s">
        <v>95</v>
      </c>
      <c r="BD1616" t="s">
        <v>4</v>
      </c>
      <c r="BE1616">
        <v>3103</v>
      </c>
      <c r="BF1616" t="s">
        <v>97</v>
      </c>
      <c r="BI1616" t="s">
        <v>17267</v>
      </c>
      <c r="BJ1616">
        <v>54.277299999999997</v>
      </c>
      <c r="BK1616">
        <v>51.622399999999999</v>
      </c>
      <c r="BL1616">
        <v>28.3186</v>
      </c>
      <c r="BM1616">
        <v>56.342199999999998</v>
      </c>
      <c r="BN1616">
        <v>56.342199999999998</v>
      </c>
      <c r="BO1616">
        <v>54.8673</v>
      </c>
      <c r="BP1616">
        <v>21.533899999999999</v>
      </c>
      <c r="CK1616">
        <v>4</v>
      </c>
      <c r="CL1616" t="s">
        <v>4</v>
      </c>
      <c r="CM1616" t="s">
        <v>98</v>
      </c>
      <c r="CN1616" t="s">
        <v>98</v>
      </c>
      <c r="CO1616" t="s">
        <v>99</v>
      </c>
      <c r="CP1616" t="s">
        <v>100</v>
      </c>
      <c r="CQ1616" t="s">
        <v>100</v>
      </c>
      <c r="CR1616" t="s">
        <v>100</v>
      </c>
      <c r="CS1616" t="s">
        <v>101</v>
      </c>
      <c r="CT1616" t="s">
        <v>100</v>
      </c>
      <c r="CU1616" t="s">
        <v>102</v>
      </c>
      <c r="CV1616" t="s">
        <v>100</v>
      </c>
    </row>
    <row r="1617" spans="1:100">
      <c r="A1617" s="3" t="s">
        <v>17268</v>
      </c>
      <c r="B1617" s="4" t="s">
        <v>17269</v>
      </c>
      <c r="C1617">
        <v>28.993581416458401</v>
      </c>
      <c r="D1617">
        <v>6.6205096584645799</v>
      </c>
      <c r="E1617">
        <v>2.1296565620924199</v>
      </c>
      <c r="F1617">
        <v>8.0652992282506303E-2</v>
      </c>
      <c r="G1617" t="s">
        <v>4</v>
      </c>
      <c r="H1617">
        <v>28.993581416458401</v>
      </c>
      <c r="I1617">
        <v>2.7995733329581798</v>
      </c>
      <c r="J1617">
        <v>3.2908411963245099</v>
      </c>
      <c r="K1617">
        <v>9.8621156702021102E-3</v>
      </c>
      <c r="L1617" t="s">
        <v>4</v>
      </c>
      <c r="M1617">
        <v>6.6205096584645799</v>
      </c>
      <c r="N1617">
        <v>2.7995733329581798</v>
      </c>
      <c r="O1617">
        <v>1.16118463423209</v>
      </c>
      <c r="P1617">
        <v>0.42276490006885498</v>
      </c>
      <c r="Q1617" t="s">
        <v>4</v>
      </c>
      <c r="R1617" s="4" t="s">
        <v>87</v>
      </c>
      <c r="S1617" t="s">
        <v>4</v>
      </c>
      <c r="T1617" t="s">
        <v>88</v>
      </c>
      <c r="U1617" t="s">
        <v>89</v>
      </c>
      <c r="V1617" t="s">
        <v>90</v>
      </c>
      <c r="W1617" t="s">
        <v>91</v>
      </c>
      <c r="X1617" t="s">
        <v>4</v>
      </c>
      <c r="Y1617" t="s">
        <v>92</v>
      </c>
      <c r="Z1617" t="s">
        <v>92</v>
      </c>
      <c r="AA1617" t="s">
        <v>92</v>
      </c>
      <c r="AB1617" t="s">
        <v>4</v>
      </c>
      <c r="AC1617" s="3" t="s">
        <v>93</v>
      </c>
      <c r="AD1617" t="s">
        <v>4</v>
      </c>
      <c r="AE1617" s="4" t="s">
        <v>94</v>
      </c>
      <c r="AZ1617" t="s">
        <v>4</v>
      </c>
      <c r="BA1617" s="3" t="s">
        <v>95</v>
      </c>
      <c r="BB1617" t="s">
        <v>96</v>
      </c>
      <c r="BC1617" s="3" t="s">
        <v>95</v>
      </c>
      <c r="BD1617" t="s">
        <v>4</v>
      </c>
      <c r="BE1617">
        <v>1753</v>
      </c>
      <c r="BF1617" t="s">
        <v>151</v>
      </c>
      <c r="BL1617">
        <v>68.8172</v>
      </c>
      <c r="BM1617">
        <v>69.892499999999998</v>
      </c>
      <c r="BN1617">
        <v>70.967699999999994</v>
      </c>
      <c r="BO1617">
        <v>51.612900000000003</v>
      </c>
      <c r="CK1617">
        <v>2</v>
      </c>
      <c r="CL1617" t="s">
        <v>4</v>
      </c>
      <c r="CM1617" t="s">
        <v>98</v>
      </c>
      <c r="CN1617" t="s">
        <v>98</v>
      </c>
      <c r="CO1617" t="s">
        <v>99</v>
      </c>
      <c r="CP1617" t="s">
        <v>100</v>
      </c>
      <c r="CQ1617" t="s">
        <v>100</v>
      </c>
      <c r="CR1617" t="s">
        <v>100</v>
      </c>
      <c r="CS1617" t="s">
        <v>101</v>
      </c>
      <c r="CT1617" t="s">
        <v>100</v>
      </c>
      <c r="CU1617" t="s">
        <v>102</v>
      </c>
      <c r="CV1617" t="s">
        <v>100</v>
      </c>
    </row>
    <row r="1618" spans="1:100">
      <c r="A1618" s="3" t="s">
        <v>17270</v>
      </c>
      <c r="B1618" s="4" t="s">
        <v>17271</v>
      </c>
      <c r="C1618">
        <v>96.189825827105096</v>
      </c>
      <c r="D1618">
        <v>24.8436691692689</v>
      </c>
      <c r="E1618">
        <v>1.9549884818866099</v>
      </c>
      <c r="F1618">
        <v>5.5576749669590898E-2</v>
      </c>
      <c r="G1618" t="s">
        <v>4</v>
      </c>
      <c r="H1618">
        <v>96.189825827105096</v>
      </c>
      <c r="I1618">
        <v>13.487308735089201</v>
      </c>
      <c r="J1618">
        <v>2.8225834365404601</v>
      </c>
      <c r="K1618">
        <v>4.7802527735263996E-3</v>
      </c>
      <c r="L1618" t="s">
        <v>4</v>
      </c>
      <c r="M1618">
        <v>24.8436691692689</v>
      </c>
      <c r="N1618">
        <v>13.487308735089201</v>
      </c>
      <c r="O1618">
        <v>0.86759495465384495</v>
      </c>
      <c r="P1618">
        <v>0.44055925851094802</v>
      </c>
      <c r="Q1618" t="s">
        <v>4</v>
      </c>
      <c r="R1618" s="4" t="s">
        <v>87</v>
      </c>
      <c r="S1618" t="s">
        <v>4</v>
      </c>
      <c r="T1618" t="s">
        <v>92</v>
      </c>
      <c r="U1618" t="s">
        <v>92</v>
      </c>
      <c r="V1618" t="s">
        <v>92</v>
      </c>
      <c r="W1618" t="s">
        <v>92</v>
      </c>
      <c r="X1618" t="s">
        <v>4</v>
      </c>
      <c r="Y1618" t="s">
        <v>92</v>
      </c>
      <c r="Z1618" t="s">
        <v>92</v>
      </c>
      <c r="AA1618" t="s">
        <v>92</v>
      </c>
      <c r="AB1618" t="s">
        <v>4</v>
      </c>
      <c r="AC1618" s="3" t="s">
        <v>93</v>
      </c>
      <c r="AD1618" t="s">
        <v>4</v>
      </c>
      <c r="AE1618" s="4" t="s">
        <v>94</v>
      </c>
      <c r="AZ1618" t="s">
        <v>4</v>
      </c>
      <c r="BA1618" s="3" t="s">
        <v>115</v>
      </c>
      <c r="BB1618" s="6" t="s">
        <v>95</v>
      </c>
      <c r="BC1618" s="3" t="s">
        <v>782</v>
      </c>
      <c r="BD1618" t="s">
        <v>4</v>
      </c>
      <c r="BE1618">
        <v>1610</v>
      </c>
      <c r="BF1618" t="s">
        <v>151</v>
      </c>
      <c r="BG1618">
        <v>73.023300000000006</v>
      </c>
      <c r="CK1618">
        <v>2</v>
      </c>
      <c r="CL1618" t="s">
        <v>4</v>
      </c>
      <c r="CM1618" t="s">
        <v>98</v>
      </c>
      <c r="CN1618" t="s">
        <v>98</v>
      </c>
      <c r="CO1618" t="s">
        <v>99</v>
      </c>
      <c r="CP1618" t="s">
        <v>100</v>
      </c>
      <c r="CQ1618" t="s">
        <v>100</v>
      </c>
      <c r="CR1618" t="s">
        <v>100</v>
      </c>
      <c r="CS1618" t="s">
        <v>101</v>
      </c>
      <c r="CT1618" t="s">
        <v>100</v>
      </c>
      <c r="CU1618" t="s">
        <v>102</v>
      </c>
      <c r="CV1618" t="s">
        <v>100</v>
      </c>
    </row>
    <row r="1619" spans="1:100">
      <c r="A1619" s="3" t="s">
        <v>17272</v>
      </c>
      <c r="B1619" s="4" t="s">
        <v>17273</v>
      </c>
      <c r="C1619">
        <v>191.83406755102999</v>
      </c>
      <c r="D1619">
        <v>56.462381777588398</v>
      </c>
      <c r="E1619">
        <v>1.7669605699861699</v>
      </c>
      <c r="F1619">
        <v>7.5572149604082303E-2</v>
      </c>
      <c r="G1619" t="s">
        <v>4</v>
      </c>
      <c r="H1619">
        <v>191.83406755102999</v>
      </c>
      <c r="I1619">
        <v>32.502545229940303</v>
      </c>
      <c r="J1619">
        <v>2.5625809562509398</v>
      </c>
      <c r="K1619">
        <v>7.4351405387545798E-3</v>
      </c>
      <c r="L1619" t="s">
        <v>4</v>
      </c>
      <c r="M1619">
        <v>56.462381777588398</v>
      </c>
      <c r="N1619">
        <v>32.502545229940303</v>
      </c>
      <c r="O1619">
        <v>0.79562038626476494</v>
      </c>
      <c r="P1619">
        <v>0.456318158611766</v>
      </c>
      <c r="Q1619" t="s">
        <v>4</v>
      </c>
      <c r="R1619" s="4" t="s">
        <v>87</v>
      </c>
      <c r="S1619" t="s">
        <v>4</v>
      </c>
      <c r="T1619" t="s">
        <v>17274</v>
      </c>
      <c r="U1619" t="s">
        <v>17275</v>
      </c>
      <c r="V1619" t="s">
        <v>17276</v>
      </c>
      <c r="W1619" t="s">
        <v>203</v>
      </c>
      <c r="X1619" t="s">
        <v>4</v>
      </c>
      <c r="Y1619" t="s">
        <v>17277</v>
      </c>
      <c r="Z1619" t="s">
        <v>17278</v>
      </c>
      <c r="AA1619" t="s">
        <v>17279</v>
      </c>
      <c r="AB1619" t="s">
        <v>4</v>
      </c>
      <c r="AC1619" s="3" t="s">
        <v>17280</v>
      </c>
      <c r="AD1619" t="s">
        <v>4</v>
      </c>
      <c r="AE1619" t="s">
        <v>17281</v>
      </c>
      <c r="AF1619" t="s">
        <v>834</v>
      </c>
      <c r="AG1619" t="s">
        <v>17282</v>
      </c>
      <c r="AH1619" t="s">
        <v>112</v>
      </c>
      <c r="AU1619" t="s">
        <v>112</v>
      </c>
      <c r="AV1619" t="s">
        <v>17283</v>
      </c>
      <c r="AW1619" t="s">
        <v>114</v>
      </c>
      <c r="AX1619" t="s">
        <v>3312</v>
      </c>
      <c r="AY1619" t="s">
        <v>17284</v>
      </c>
      <c r="AZ1619" t="s">
        <v>4</v>
      </c>
      <c r="BA1619" s="3" t="s">
        <v>115</v>
      </c>
      <c r="BB1619" s="6" t="s">
        <v>95</v>
      </c>
      <c r="BC1619" s="3" t="s">
        <v>95</v>
      </c>
      <c r="BD1619" t="s">
        <v>4</v>
      </c>
      <c r="BE1619">
        <v>6227</v>
      </c>
      <c r="BF1619" t="s">
        <v>213</v>
      </c>
      <c r="BG1619">
        <v>95.668400000000005</v>
      </c>
      <c r="BH1619" t="s">
        <v>17285</v>
      </c>
      <c r="BI1619">
        <v>76.672600000000003</v>
      </c>
      <c r="BJ1619">
        <v>60.7256</v>
      </c>
      <c r="BK1619">
        <v>57.539000000000001</v>
      </c>
      <c r="BL1619" t="s">
        <v>17286</v>
      </c>
      <c r="BM1619">
        <v>62.394799999999996</v>
      </c>
      <c r="BN1619">
        <v>62.808700000000002</v>
      </c>
      <c r="BO1619">
        <v>61.608499999999999</v>
      </c>
      <c r="BP1619">
        <v>33.246000000000002</v>
      </c>
      <c r="BQ1619">
        <v>19.1751</v>
      </c>
      <c r="BR1619">
        <v>18.706</v>
      </c>
      <c r="BS1619">
        <v>21.1891</v>
      </c>
      <c r="BV1619" t="s">
        <v>17287</v>
      </c>
      <c r="BW1619">
        <v>23.3825</v>
      </c>
      <c r="BX1619">
        <v>23.189399999999999</v>
      </c>
      <c r="BY1619">
        <v>4.4282000000000004</v>
      </c>
      <c r="BZ1619" t="s">
        <v>17288</v>
      </c>
      <c r="CA1619">
        <v>22.8445</v>
      </c>
      <c r="CI1619">
        <v>5.1041499999999997</v>
      </c>
      <c r="CK1619">
        <v>8</v>
      </c>
      <c r="CL1619" t="s">
        <v>4</v>
      </c>
      <c r="CM1619" t="s">
        <v>17289</v>
      </c>
      <c r="CN1619" t="s">
        <v>17290</v>
      </c>
      <c r="CO1619" t="s">
        <v>219</v>
      </c>
      <c r="CP1619" t="s">
        <v>100</v>
      </c>
      <c r="CQ1619" t="s">
        <v>100</v>
      </c>
      <c r="CR1619" t="s">
        <v>100</v>
      </c>
      <c r="CS1619" t="s">
        <v>101</v>
      </c>
      <c r="CT1619" t="s">
        <v>100</v>
      </c>
      <c r="CU1619" t="s">
        <v>102</v>
      </c>
      <c r="CV1619" t="s">
        <v>100</v>
      </c>
    </row>
    <row r="1620" spans="1:100">
      <c r="A1620" s="3" t="s">
        <v>17291</v>
      </c>
      <c r="B1620" s="4" t="s">
        <v>17292</v>
      </c>
      <c r="C1620">
        <v>166.04638581612201</v>
      </c>
      <c r="D1620">
        <v>62.284690677056901</v>
      </c>
      <c r="E1620">
        <v>1.41701862437918</v>
      </c>
      <c r="F1620">
        <v>8.8453586849619195E-2</v>
      </c>
      <c r="G1620" t="s">
        <v>4</v>
      </c>
      <c r="H1620">
        <v>166.04638581612201</v>
      </c>
      <c r="I1620">
        <v>39.409850472539503</v>
      </c>
      <c r="J1620">
        <v>2.0792973294701298</v>
      </c>
      <c r="K1620">
        <v>9.4817890475850201E-3</v>
      </c>
      <c r="L1620" t="s">
        <v>4</v>
      </c>
      <c r="M1620">
        <v>62.284690677056901</v>
      </c>
      <c r="N1620">
        <v>39.409850472539503</v>
      </c>
      <c r="O1620">
        <v>0.662278705090946</v>
      </c>
      <c r="P1620">
        <v>0.45896592720940199</v>
      </c>
      <c r="Q1620" t="s">
        <v>4</v>
      </c>
      <c r="R1620" s="4" t="s">
        <v>87</v>
      </c>
      <c r="S1620" t="s">
        <v>4</v>
      </c>
      <c r="T1620" t="s">
        <v>92</v>
      </c>
      <c r="U1620" t="s">
        <v>92</v>
      </c>
      <c r="V1620" t="s">
        <v>92</v>
      </c>
      <c r="W1620" t="s">
        <v>92</v>
      </c>
      <c r="X1620" t="s">
        <v>4</v>
      </c>
      <c r="Y1620" t="s">
        <v>5047</v>
      </c>
      <c r="Z1620" t="s">
        <v>5048</v>
      </c>
      <c r="AA1620" t="s">
        <v>5049</v>
      </c>
      <c r="AB1620" t="s">
        <v>4</v>
      </c>
      <c r="AC1620" s="3" t="s">
        <v>14214</v>
      </c>
      <c r="AD1620" t="s">
        <v>4</v>
      </c>
      <c r="AE1620" t="s">
        <v>14215</v>
      </c>
      <c r="AF1620" t="s">
        <v>17293</v>
      </c>
      <c r="AG1620" t="s">
        <v>17294</v>
      </c>
      <c r="AH1620" t="s">
        <v>112</v>
      </c>
      <c r="AU1620" t="s">
        <v>112</v>
      </c>
      <c r="AV1620" t="s">
        <v>14218</v>
      </c>
      <c r="AW1620" t="s">
        <v>114</v>
      </c>
      <c r="AX1620" t="s">
        <v>144</v>
      </c>
      <c r="AY1620" t="s">
        <v>5056</v>
      </c>
      <c r="AZ1620" t="s">
        <v>4</v>
      </c>
      <c r="BA1620" s="3" t="s">
        <v>115</v>
      </c>
      <c r="BB1620" t="s">
        <v>96</v>
      </c>
      <c r="BC1620" s="3" t="s">
        <v>197</v>
      </c>
      <c r="BD1620" t="s">
        <v>4</v>
      </c>
      <c r="BE1620">
        <v>6036</v>
      </c>
      <c r="BF1620" t="s">
        <v>213</v>
      </c>
      <c r="BG1620">
        <v>97.826099999999997</v>
      </c>
      <c r="BH1620">
        <v>77.826099999999997</v>
      </c>
      <c r="BI1620">
        <v>44.058</v>
      </c>
      <c r="BJ1620">
        <v>17.8261</v>
      </c>
      <c r="BL1620">
        <v>45.507199999999997</v>
      </c>
      <c r="BM1620">
        <v>22.608699999999999</v>
      </c>
      <c r="BN1620">
        <v>70.289900000000003</v>
      </c>
      <c r="BO1620">
        <v>68.405799999999999</v>
      </c>
      <c r="BP1620">
        <v>29.130400000000002</v>
      </c>
      <c r="BR1620" t="s">
        <v>17295</v>
      </c>
      <c r="BS1620" t="s">
        <v>17296</v>
      </c>
      <c r="BT1620" t="s">
        <v>17297</v>
      </c>
      <c r="BU1620" t="s">
        <v>17298</v>
      </c>
      <c r="BV1620" t="s">
        <v>17299</v>
      </c>
      <c r="BX1620" t="s">
        <v>17300</v>
      </c>
      <c r="BY1620" t="s">
        <v>17301</v>
      </c>
      <c r="BZ1620" t="s">
        <v>17302</v>
      </c>
      <c r="CA1620" t="s">
        <v>17303</v>
      </c>
      <c r="CI1620">
        <v>13.478300000000001</v>
      </c>
      <c r="CK1620">
        <v>8</v>
      </c>
      <c r="CL1620" t="s">
        <v>4</v>
      </c>
      <c r="CM1620" t="s">
        <v>14228</v>
      </c>
      <c r="CN1620" t="s">
        <v>17304</v>
      </c>
      <c r="CO1620" t="s">
        <v>99</v>
      </c>
      <c r="CP1620" t="s">
        <v>100</v>
      </c>
      <c r="CQ1620" t="s">
        <v>100</v>
      </c>
      <c r="CR1620" t="s">
        <v>100</v>
      </c>
      <c r="CS1620" t="s">
        <v>101</v>
      </c>
      <c r="CT1620" t="s">
        <v>100</v>
      </c>
      <c r="CU1620" t="s">
        <v>102</v>
      </c>
      <c r="CV1620" t="s">
        <v>100</v>
      </c>
    </row>
    <row r="1621" spans="1:100">
      <c r="A1621" s="3" t="s">
        <v>17305</v>
      </c>
      <c r="B1621" s="4" t="s">
        <v>17306</v>
      </c>
      <c r="C1621">
        <v>41.194434428163497</v>
      </c>
      <c r="D1621">
        <v>14.611339501557699</v>
      </c>
      <c r="E1621">
        <v>1.50474272386048</v>
      </c>
      <c r="F1621">
        <v>5.5002959318052602E-2</v>
      </c>
      <c r="G1621" t="s">
        <v>4</v>
      </c>
      <c r="H1621">
        <v>41.194434428163497</v>
      </c>
      <c r="I1621">
        <v>9.3698608227015399</v>
      </c>
      <c r="J1621">
        <v>2.1716171465948699</v>
      </c>
      <c r="K1621">
        <v>6.3621722589621002E-3</v>
      </c>
      <c r="L1621" t="s">
        <v>4</v>
      </c>
      <c r="M1621">
        <v>14.611339501557699</v>
      </c>
      <c r="N1621">
        <v>9.3698608227015399</v>
      </c>
      <c r="O1621">
        <v>0.66687442273438602</v>
      </c>
      <c r="P1621">
        <v>0.46516749387580603</v>
      </c>
      <c r="Q1621" t="s">
        <v>4</v>
      </c>
      <c r="R1621" s="4" t="s">
        <v>87</v>
      </c>
      <c r="S1621" t="s">
        <v>4</v>
      </c>
      <c r="T1621" t="s">
        <v>460</v>
      </c>
      <c r="U1621" t="s">
        <v>461</v>
      </c>
      <c r="V1621" t="s">
        <v>462</v>
      </c>
      <c r="W1621" t="s">
        <v>123</v>
      </c>
      <c r="X1621" t="s">
        <v>4</v>
      </c>
      <c r="Y1621" t="s">
        <v>17307</v>
      </c>
      <c r="Z1621" t="s">
        <v>17308</v>
      </c>
      <c r="AA1621" t="s">
        <v>17309</v>
      </c>
      <c r="AB1621" t="s">
        <v>4</v>
      </c>
      <c r="AC1621" s="3" t="s">
        <v>93</v>
      </c>
      <c r="AD1621" t="s">
        <v>4</v>
      </c>
      <c r="AE1621" t="s">
        <v>17310</v>
      </c>
      <c r="AF1621" t="s">
        <v>17311</v>
      </c>
      <c r="AG1621" t="s">
        <v>17312</v>
      </c>
      <c r="AH1621" t="s">
        <v>112</v>
      </c>
      <c r="AU1621" t="s">
        <v>112</v>
      </c>
      <c r="AV1621" t="s">
        <v>17313</v>
      </c>
      <c r="AW1621" t="s">
        <v>114</v>
      </c>
      <c r="AX1621" t="s">
        <v>144</v>
      </c>
      <c r="AY1621" t="s">
        <v>17314</v>
      </c>
      <c r="AZ1621" t="s">
        <v>4</v>
      </c>
      <c r="BA1621" s="3" t="s">
        <v>95</v>
      </c>
      <c r="BB1621" s="6" t="s">
        <v>95</v>
      </c>
      <c r="BC1621" s="3" t="s">
        <v>95</v>
      </c>
      <c r="BD1621" t="s">
        <v>4</v>
      </c>
      <c r="BE1621">
        <v>7791</v>
      </c>
      <c r="BF1621" t="s">
        <v>213</v>
      </c>
      <c r="BG1621">
        <v>56.607900000000001</v>
      </c>
      <c r="BH1621">
        <v>21.8062</v>
      </c>
      <c r="BI1621" t="s">
        <v>17315</v>
      </c>
      <c r="BJ1621">
        <v>54.625500000000002</v>
      </c>
      <c r="BK1621">
        <v>52.422899999999998</v>
      </c>
      <c r="BL1621">
        <v>31.7181</v>
      </c>
      <c r="BM1621">
        <v>50.881100000000004</v>
      </c>
      <c r="BN1621">
        <v>65.1982</v>
      </c>
      <c r="BO1621">
        <v>18.942699999999999</v>
      </c>
      <c r="BQ1621">
        <v>27.753299999999999</v>
      </c>
      <c r="BR1621">
        <v>25.550699999999999</v>
      </c>
      <c r="BS1621">
        <v>24.889900000000001</v>
      </c>
      <c r="BU1621">
        <v>10.132199999999999</v>
      </c>
      <c r="BV1621" t="s">
        <v>17316</v>
      </c>
      <c r="BW1621">
        <v>25.330400000000001</v>
      </c>
      <c r="BX1621" t="s">
        <v>17317</v>
      </c>
      <c r="BZ1621">
        <v>24.889900000000001</v>
      </c>
      <c r="CA1621">
        <v>24.229099999999999</v>
      </c>
      <c r="CF1621">
        <v>29.9559</v>
      </c>
      <c r="CG1621" t="s">
        <v>17318</v>
      </c>
      <c r="CH1621">
        <v>12.3348</v>
      </c>
      <c r="CI1621">
        <v>29.0749</v>
      </c>
      <c r="CK1621">
        <v>8</v>
      </c>
      <c r="CL1621" t="s">
        <v>4</v>
      </c>
      <c r="CM1621" t="s">
        <v>17319</v>
      </c>
      <c r="CN1621" t="s">
        <v>17320</v>
      </c>
      <c r="CO1621" t="s">
        <v>99</v>
      </c>
      <c r="CP1621" t="s">
        <v>100</v>
      </c>
      <c r="CQ1621" t="s">
        <v>100</v>
      </c>
      <c r="CR1621" t="s">
        <v>100</v>
      </c>
      <c r="CS1621" t="s">
        <v>101</v>
      </c>
      <c r="CT1621" t="s">
        <v>100</v>
      </c>
      <c r="CU1621" t="s">
        <v>102</v>
      </c>
      <c r="CV1621" t="s">
        <v>100</v>
      </c>
    </row>
    <row r="1622" spans="1:100" ht="17" customHeight="1">
      <c r="A1622" s="3" t="s">
        <v>17321</v>
      </c>
      <c r="B1622" s="4" t="s">
        <v>17322</v>
      </c>
      <c r="C1622">
        <v>34.377803797420697</v>
      </c>
      <c r="D1622">
        <v>10.7439370241239</v>
      </c>
      <c r="E1622">
        <v>1.67547999835021</v>
      </c>
      <c r="F1622">
        <v>5.4947799155446599E-2</v>
      </c>
      <c r="G1622" t="s">
        <v>4</v>
      </c>
      <c r="H1622">
        <v>34.377803797420697</v>
      </c>
      <c r="I1622">
        <v>6.9940753310221702</v>
      </c>
      <c r="J1622">
        <v>2.3122166759865301</v>
      </c>
      <c r="K1622">
        <v>9.4693310341806107E-3</v>
      </c>
      <c r="L1622" t="s">
        <v>4</v>
      </c>
      <c r="M1622">
        <v>10.7439370241239</v>
      </c>
      <c r="N1622">
        <v>6.9940753310221702</v>
      </c>
      <c r="O1622">
        <v>0.63673667763631503</v>
      </c>
      <c r="P1622">
        <v>0.54164388822561904</v>
      </c>
      <c r="Q1622" t="s">
        <v>4</v>
      </c>
      <c r="R1622" s="4" t="s">
        <v>87</v>
      </c>
      <c r="S1622" t="s">
        <v>4</v>
      </c>
      <c r="T1622" t="s">
        <v>92</v>
      </c>
      <c r="U1622" t="s">
        <v>92</v>
      </c>
      <c r="V1622" t="s">
        <v>92</v>
      </c>
      <c r="W1622" t="s">
        <v>92</v>
      </c>
      <c r="X1622" t="s">
        <v>4</v>
      </c>
      <c r="Y1622" t="s">
        <v>92</v>
      </c>
      <c r="Z1622" t="s">
        <v>92</v>
      </c>
      <c r="AA1622" t="s">
        <v>92</v>
      </c>
      <c r="AB1622" t="s">
        <v>4</v>
      </c>
      <c r="AC1622" s="3" t="s">
        <v>93</v>
      </c>
      <c r="AD1622" t="s">
        <v>4</v>
      </c>
      <c r="AE1622" s="4" t="s">
        <v>94</v>
      </c>
      <c r="AZ1622" t="s">
        <v>4</v>
      </c>
      <c r="BA1622" s="3" t="s">
        <v>95</v>
      </c>
      <c r="BB1622" s="6" t="s">
        <v>95</v>
      </c>
      <c r="BC1622" s="3" t="s">
        <v>95</v>
      </c>
      <c r="BD1622" t="s">
        <v>4</v>
      </c>
      <c r="BE1622">
        <v>1450</v>
      </c>
      <c r="BF1622" t="s">
        <v>151</v>
      </c>
      <c r="BI1622">
        <v>37.254899999999999</v>
      </c>
      <c r="CK1622">
        <v>2</v>
      </c>
      <c r="CL1622" t="s">
        <v>4</v>
      </c>
      <c r="CM1622" t="s">
        <v>98</v>
      </c>
      <c r="CN1622" t="s">
        <v>98</v>
      </c>
      <c r="CO1622" t="s">
        <v>99</v>
      </c>
      <c r="CP1622" t="s">
        <v>100</v>
      </c>
      <c r="CQ1622" t="s">
        <v>100</v>
      </c>
      <c r="CR1622" t="s">
        <v>100</v>
      </c>
      <c r="CS1622" t="s">
        <v>101</v>
      </c>
      <c r="CT1622" t="s">
        <v>100</v>
      </c>
      <c r="CU1622" t="s">
        <v>102</v>
      </c>
      <c r="CV1622" t="s">
        <v>100</v>
      </c>
    </row>
  </sheetData>
  <conditionalFormatting sqref="M2:N1622 H2:I1622 C2:D1622">
    <cfRule type="colorScale" priority="5">
      <colorScale>
        <cfvo type="min"/>
        <cfvo type="percentile" val="50"/>
        <cfvo type="max"/>
        <color rgb="FF63BE7B"/>
        <color rgb="FFFFEB84"/>
        <color rgb="FFF8696B"/>
      </colorScale>
    </cfRule>
  </conditionalFormatting>
  <conditionalFormatting sqref="E2:E1622 J2:J1622 O2:O1622">
    <cfRule type="cellIs" dxfId="8" priority="3" operator="lessThan">
      <formula>-2</formula>
    </cfRule>
    <cfRule type="cellIs" dxfId="7" priority="4" operator="greaterThan">
      <formula>2</formula>
    </cfRule>
  </conditionalFormatting>
  <conditionalFormatting sqref="F2:F1622 K2:K1622 P2:P1622">
    <cfRule type="cellIs" dxfId="6" priority="2" operator="lessThan">
      <formula>0.01</formula>
    </cfRule>
  </conditionalFormatting>
  <conditionalFormatting sqref="BG2:CJ9 BG11:CJ1622 BG10:BV10 BX10:CJ10">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33DE-B5C1-C44E-82AC-FD083F987018}">
  <dimension ref="A1:CV214"/>
  <sheetViews>
    <sheetView workbookViewId="0">
      <selection sqref="A1:XFD1"/>
    </sheetView>
  </sheetViews>
  <sheetFormatPr baseColWidth="10" defaultRowHeight="16"/>
  <cols>
    <col min="1" max="1" width="21.6640625" customWidth="1"/>
    <col min="2" max="2" width="18.5" customWidth="1"/>
    <col min="3" max="3" width="17.83203125" customWidth="1"/>
    <col min="4" max="4" width="17.83203125" bestFit="1" customWidth="1"/>
    <col min="5" max="6" width="20.83203125" bestFit="1" customWidth="1"/>
    <col min="7" max="7" width="4.1640625" customWidth="1"/>
    <col min="8" max="9" width="17.83203125" bestFit="1" customWidth="1"/>
    <col min="10" max="10" width="22.1640625" bestFit="1" customWidth="1"/>
    <col min="11" max="11" width="21.6640625" bestFit="1" customWidth="1"/>
    <col min="12" max="12" width="4.1640625" customWidth="1"/>
    <col min="13" max="14" width="17.83203125" bestFit="1" customWidth="1"/>
    <col min="15" max="15" width="20.83203125" bestFit="1" customWidth="1"/>
    <col min="16" max="16" width="21.6640625" bestFit="1" customWidth="1"/>
    <col min="17" max="17" width="5" customWidth="1"/>
    <col min="18" max="18" width="18.5" customWidth="1"/>
    <col min="19" max="19" width="5" customWidth="1"/>
    <col min="20" max="23" width="19.83203125" customWidth="1"/>
    <col min="24" max="24" width="5.33203125" customWidth="1"/>
    <col min="25" max="25" width="19.83203125" customWidth="1"/>
    <col min="26" max="26" width="25.33203125" customWidth="1"/>
    <col min="27" max="27" width="32.33203125" customWidth="1"/>
    <col min="28" max="28" width="4.5" customWidth="1"/>
    <col min="29" max="29" width="39" customWidth="1"/>
    <col min="30" max="30" width="4.83203125" customWidth="1"/>
    <col min="31" max="31" width="16.1640625" customWidth="1"/>
    <col min="34" max="34" width="13.5" customWidth="1"/>
    <col min="35" max="35" width="14.83203125" customWidth="1"/>
    <col min="37" max="37" width="11.6640625" customWidth="1"/>
    <col min="39" max="39" width="16.1640625" customWidth="1"/>
    <col min="40" max="40" width="12.33203125" customWidth="1"/>
    <col min="41" max="41" width="12.6640625" customWidth="1"/>
    <col min="42" max="42" width="12.5" customWidth="1"/>
    <col min="46" max="46" width="12.1640625" customWidth="1"/>
    <col min="47" max="47" width="16" customWidth="1"/>
    <col min="48" max="48" width="15" customWidth="1"/>
    <col min="51" max="51" width="63.6640625" customWidth="1"/>
    <col min="52" max="52" width="4.83203125" customWidth="1"/>
    <col min="53" max="53" width="17.33203125" bestFit="1" customWidth="1"/>
    <col min="54" max="54" width="28.1640625" bestFit="1" customWidth="1"/>
    <col min="55" max="55" width="21.1640625" customWidth="1"/>
    <col min="56" max="56" width="4.83203125" customWidth="1"/>
    <col min="59" max="78" width="5" customWidth="1"/>
    <col min="79" max="79" width="10" customWidth="1"/>
    <col min="80" max="88" width="5" customWidth="1"/>
    <col min="90" max="90" width="4.83203125" customWidth="1"/>
    <col min="91" max="92" width="32" customWidth="1"/>
    <col min="93" max="93" width="44.6640625" customWidth="1"/>
    <col min="99" max="99" width="13" bestFit="1" customWidth="1"/>
    <col min="100" max="100" width="64.6640625" bestFit="1" customWidth="1"/>
  </cols>
  <sheetData>
    <row r="1" spans="1:100" s="2" customFormat="1">
      <c r="A1" s="1" t="s">
        <v>0</v>
      </c>
      <c r="B1" s="1" t="s">
        <v>1</v>
      </c>
      <c r="C1" s="2" t="s">
        <v>17323</v>
      </c>
      <c r="D1" s="2" t="s">
        <v>17324</v>
      </c>
      <c r="E1" s="2" t="s">
        <v>2</v>
      </c>
      <c r="F1" s="2" t="s">
        <v>3</v>
      </c>
      <c r="G1" s="2" t="s">
        <v>4</v>
      </c>
      <c r="H1" s="2" t="s">
        <v>17323</v>
      </c>
      <c r="I1" s="2" t="s">
        <v>17325</v>
      </c>
      <c r="J1" s="2" t="s">
        <v>5</v>
      </c>
      <c r="K1" s="2" t="s">
        <v>6</v>
      </c>
      <c r="L1" s="2" t="s">
        <v>4</v>
      </c>
      <c r="M1" s="2" t="s">
        <v>17324</v>
      </c>
      <c r="N1" s="2" t="s">
        <v>17325</v>
      </c>
      <c r="O1" s="2" t="s">
        <v>7</v>
      </c>
      <c r="P1" s="2" t="s">
        <v>8</v>
      </c>
      <c r="Q1" s="2" t="s">
        <v>4</v>
      </c>
      <c r="R1" s="1" t="s">
        <v>9</v>
      </c>
      <c r="S1" s="2" t="s">
        <v>4</v>
      </c>
      <c r="T1" s="2" t="s">
        <v>10</v>
      </c>
      <c r="U1" s="2" t="s">
        <v>11</v>
      </c>
      <c r="V1" s="2" t="s">
        <v>12</v>
      </c>
      <c r="W1" s="2" t="s">
        <v>13</v>
      </c>
      <c r="X1" s="2" t="s">
        <v>4</v>
      </c>
      <c r="Y1" s="2" t="s">
        <v>14</v>
      </c>
      <c r="Z1" s="2" t="s">
        <v>15</v>
      </c>
      <c r="AA1" s="2" t="s">
        <v>16</v>
      </c>
      <c r="AB1" s="2" t="s">
        <v>4</v>
      </c>
      <c r="AC1" s="1" t="s">
        <v>17</v>
      </c>
      <c r="AD1" s="2" t="s">
        <v>4</v>
      </c>
      <c r="AE1" s="2" t="s">
        <v>18</v>
      </c>
      <c r="AF1" s="2" t="s">
        <v>19</v>
      </c>
      <c r="AG1" s="2" t="s">
        <v>20</v>
      </c>
      <c r="AH1" s="2" t="s">
        <v>21</v>
      </c>
      <c r="AI1" s="2" t="s">
        <v>22</v>
      </c>
      <c r="AJ1" s="2" t="s">
        <v>23</v>
      </c>
      <c r="AK1" s="2" t="s">
        <v>24</v>
      </c>
      <c r="AL1" s="2" t="s">
        <v>25</v>
      </c>
      <c r="AM1" s="2" t="s">
        <v>26</v>
      </c>
      <c r="AN1" s="2" t="s">
        <v>27</v>
      </c>
      <c r="AO1" s="2" t="s">
        <v>28</v>
      </c>
      <c r="AP1" s="2" t="s">
        <v>29</v>
      </c>
      <c r="AQ1" s="2" t="s">
        <v>30</v>
      </c>
      <c r="AR1" s="2" t="s">
        <v>31</v>
      </c>
      <c r="AS1" s="2" t="s">
        <v>32</v>
      </c>
      <c r="AT1" s="2" t="s">
        <v>33</v>
      </c>
      <c r="AU1" s="2" t="s">
        <v>34</v>
      </c>
      <c r="AV1" s="2" t="s">
        <v>35</v>
      </c>
      <c r="AW1" s="2" t="s">
        <v>36</v>
      </c>
      <c r="AX1" s="2" t="s">
        <v>37</v>
      </c>
      <c r="AY1" s="2" t="s">
        <v>38</v>
      </c>
      <c r="AZ1" s="2" t="s">
        <v>4</v>
      </c>
      <c r="BA1" s="1" t="s">
        <v>39</v>
      </c>
      <c r="BB1" s="2" t="s">
        <v>40</v>
      </c>
      <c r="BC1" s="1" t="s">
        <v>41</v>
      </c>
      <c r="BD1" s="2" t="s">
        <v>4</v>
      </c>
      <c r="BE1" s="1" t="s">
        <v>42</v>
      </c>
      <c r="BF1" s="1" t="s">
        <v>43</v>
      </c>
      <c r="BG1" s="1" t="s">
        <v>44</v>
      </c>
      <c r="BH1" s="1" t="s">
        <v>45</v>
      </c>
      <c r="BI1" s="1" t="s">
        <v>46</v>
      </c>
      <c r="BJ1" s="1" t="s">
        <v>47</v>
      </c>
      <c r="BK1" s="1" t="s">
        <v>48</v>
      </c>
      <c r="BL1" s="1" t="s">
        <v>49</v>
      </c>
      <c r="BM1" s="1" t="s">
        <v>50</v>
      </c>
      <c r="BN1" s="1" t="s">
        <v>51</v>
      </c>
      <c r="BO1" s="1" t="s">
        <v>52</v>
      </c>
      <c r="BP1" s="1" t="s">
        <v>53</v>
      </c>
      <c r="BQ1" s="1" t="s">
        <v>54</v>
      </c>
      <c r="BR1" s="1" t="s">
        <v>55</v>
      </c>
      <c r="BS1" s="1" t="s">
        <v>56</v>
      </c>
      <c r="BT1" s="1" t="s">
        <v>57</v>
      </c>
      <c r="BU1" s="1" t="s">
        <v>58</v>
      </c>
      <c r="BV1" s="1" t="s">
        <v>59</v>
      </c>
      <c r="BW1" s="1" t="s">
        <v>60</v>
      </c>
      <c r="BX1" s="1" t="s">
        <v>61</v>
      </c>
      <c r="BY1" s="1" t="s">
        <v>62</v>
      </c>
      <c r="BZ1" s="1" t="s">
        <v>63</v>
      </c>
      <c r="CA1" s="1" t="s">
        <v>64</v>
      </c>
      <c r="CB1" s="1" t="s">
        <v>65</v>
      </c>
      <c r="CC1" s="1" t="s">
        <v>66</v>
      </c>
      <c r="CD1" s="1" t="s">
        <v>67</v>
      </c>
      <c r="CE1" s="1" t="s">
        <v>68</v>
      </c>
      <c r="CF1" s="1" t="s">
        <v>69</v>
      </c>
      <c r="CG1" s="1" t="s">
        <v>70</v>
      </c>
      <c r="CH1" s="1" t="s">
        <v>71</v>
      </c>
      <c r="CI1" s="1" t="s">
        <v>72</v>
      </c>
      <c r="CJ1" s="1" t="s">
        <v>73</v>
      </c>
      <c r="CK1" s="1" t="s">
        <v>74</v>
      </c>
      <c r="CL1" s="2" t="s">
        <v>4</v>
      </c>
      <c r="CM1" s="2" t="s">
        <v>75</v>
      </c>
      <c r="CN1" s="2" t="s">
        <v>76</v>
      </c>
      <c r="CO1" s="2" t="s">
        <v>77</v>
      </c>
      <c r="CP1" s="2" t="s">
        <v>78</v>
      </c>
      <c r="CQ1" s="2" t="s">
        <v>79</v>
      </c>
      <c r="CR1" s="2" t="s">
        <v>80</v>
      </c>
      <c r="CS1" s="2" t="s">
        <v>81</v>
      </c>
      <c r="CT1" s="2" t="s">
        <v>82</v>
      </c>
      <c r="CU1" s="2" t="s">
        <v>83</v>
      </c>
      <c r="CV1" s="2" t="s">
        <v>84</v>
      </c>
    </row>
    <row r="2" spans="1:100">
      <c r="A2" s="3" t="s">
        <v>85</v>
      </c>
      <c r="B2" s="4" t="s">
        <v>86</v>
      </c>
      <c r="C2">
        <v>22.6527127297894</v>
      </c>
      <c r="D2">
        <v>0.291850698664749</v>
      </c>
      <c r="E2">
        <v>6.0548169029276497</v>
      </c>
      <c r="F2">
        <v>6.8548727866318501E-4</v>
      </c>
      <c r="G2" t="s">
        <v>4</v>
      </c>
      <c r="H2">
        <v>22.6527127297894</v>
      </c>
      <c r="I2">
        <v>1.34807101142369</v>
      </c>
      <c r="J2">
        <v>3.8447206555503999</v>
      </c>
      <c r="K2">
        <v>9.2202540226505592E-3</v>
      </c>
      <c r="L2" t="s">
        <v>4</v>
      </c>
      <c r="M2">
        <v>0.291850698664749</v>
      </c>
      <c r="N2">
        <v>1.34807101142369</v>
      </c>
      <c r="O2">
        <f>-2.21009624737725</f>
        <v>-2.2100962473772499</v>
      </c>
      <c r="P2">
        <v>0.29288122059830901</v>
      </c>
      <c r="Q2" t="s">
        <v>4</v>
      </c>
      <c r="R2" s="4" t="s">
        <v>87</v>
      </c>
      <c r="S2" t="s">
        <v>4</v>
      </c>
      <c r="T2" t="s">
        <v>88</v>
      </c>
      <c r="U2" t="s">
        <v>89</v>
      </c>
      <c r="V2" t="s">
        <v>90</v>
      </c>
      <c r="W2" t="s">
        <v>91</v>
      </c>
      <c r="X2" t="s">
        <v>4</v>
      </c>
      <c r="Y2" t="s">
        <v>92</v>
      </c>
      <c r="Z2" t="s">
        <v>92</v>
      </c>
      <c r="AA2" t="s">
        <v>92</v>
      </c>
      <c r="AB2" t="s">
        <v>4</v>
      </c>
      <c r="AC2" s="3" t="s">
        <v>93</v>
      </c>
      <c r="AD2" t="s">
        <v>4</v>
      </c>
      <c r="AE2" s="4" t="s">
        <v>94</v>
      </c>
      <c r="AZ2" t="s">
        <v>4</v>
      </c>
      <c r="BA2" s="3" t="s">
        <v>95</v>
      </c>
      <c r="BB2" t="s">
        <v>96</v>
      </c>
      <c r="BC2" s="3" t="s">
        <v>95</v>
      </c>
      <c r="BD2" t="s">
        <v>4</v>
      </c>
      <c r="BE2">
        <v>2830</v>
      </c>
      <c r="BF2" t="s">
        <v>97</v>
      </c>
      <c r="CK2">
        <v>4</v>
      </c>
      <c r="CL2" t="s">
        <v>4</v>
      </c>
      <c r="CM2" t="s">
        <v>98</v>
      </c>
      <c r="CN2" t="s">
        <v>98</v>
      </c>
      <c r="CO2" t="s">
        <v>99</v>
      </c>
      <c r="CP2">
        <v>1</v>
      </c>
      <c r="CQ2" t="s">
        <v>100</v>
      </c>
      <c r="CR2" t="s">
        <v>100</v>
      </c>
      <c r="CS2" t="s">
        <v>101</v>
      </c>
      <c r="CT2" t="s">
        <v>100</v>
      </c>
      <c r="CU2" t="s">
        <v>102</v>
      </c>
      <c r="CV2" t="s">
        <v>100</v>
      </c>
    </row>
    <row r="3" spans="1:100">
      <c r="A3" s="3" t="s">
        <v>103</v>
      </c>
      <c r="B3" s="4" t="s">
        <v>104</v>
      </c>
      <c r="C3">
        <v>278.00344329299702</v>
      </c>
      <c r="D3">
        <v>59.5886989364881</v>
      </c>
      <c r="E3">
        <v>2.2254997155909302</v>
      </c>
      <c r="F3" s="5">
        <v>4.1006017135467503E-15</v>
      </c>
      <c r="G3" t="s">
        <v>4</v>
      </c>
      <c r="H3">
        <v>278.00344329299702</v>
      </c>
      <c r="I3">
        <v>61.321839587696303</v>
      </c>
      <c r="J3">
        <v>2.1724332850883301</v>
      </c>
      <c r="K3" s="5">
        <v>5.1057477823349101E-14</v>
      </c>
      <c r="L3" t="s">
        <v>4</v>
      </c>
      <c r="M3">
        <v>59.5886989364881</v>
      </c>
      <c r="N3">
        <v>61.321839587696303</v>
      </c>
      <c r="O3">
        <f>0.0530664305026081</f>
        <v>5.3066430502608099E-2</v>
      </c>
      <c r="P3">
        <v>0.89870397377268196</v>
      </c>
      <c r="Q3" t="s">
        <v>4</v>
      </c>
      <c r="R3" s="4" t="s">
        <v>87</v>
      </c>
      <c r="S3" t="s">
        <v>4</v>
      </c>
      <c r="T3" t="s">
        <v>92</v>
      </c>
      <c r="U3" t="s">
        <v>92</v>
      </c>
      <c r="V3" t="s">
        <v>92</v>
      </c>
      <c r="W3" t="s">
        <v>92</v>
      </c>
      <c r="X3" t="s">
        <v>4</v>
      </c>
      <c r="Y3" t="s">
        <v>105</v>
      </c>
      <c r="Z3" t="s">
        <v>106</v>
      </c>
      <c r="AA3" t="s">
        <v>107</v>
      </c>
      <c r="AB3" t="s">
        <v>4</v>
      </c>
      <c r="AC3" s="3" t="s">
        <v>108</v>
      </c>
      <c r="AD3" t="s">
        <v>4</v>
      </c>
      <c r="AE3" t="s">
        <v>109</v>
      </c>
      <c r="AF3" t="s">
        <v>110</v>
      </c>
      <c r="AG3" t="s">
        <v>111</v>
      </c>
      <c r="AH3" t="s">
        <v>112</v>
      </c>
      <c r="AU3" t="s">
        <v>112</v>
      </c>
      <c r="AV3" t="s">
        <v>113</v>
      </c>
      <c r="AW3" t="s">
        <v>114</v>
      </c>
      <c r="AZ3" t="s">
        <v>4</v>
      </c>
      <c r="BA3" s="3" t="s">
        <v>115</v>
      </c>
      <c r="BB3" s="6" t="s">
        <v>95</v>
      </c>
      <c r="BC3" s="3" t="s">
        <v>95</v>
      </c>
      <c r="BD3" t="s">
        <v>4</v>
      </c>
      <c r="BE3">
        <v>4407</v>
      </c>
      <c r="BF3" t="s">
        <v>112</v>
      </c>
      <c r="BG3">
        <v>85.7881</v>
      </c>
      <c r="BH3">
        <v>87.338499999999996</v>
      </c>
      <c r="BI3">
        <v>75.193799999999996</v>
      </c>
      <c r="BJ3">
        <v>82.687299999999993</v>
      </c>
      <c r="BK3" t="s">
        <v>116</v>
      </c>
      <c r="BL3">
        <v>51.421199999999999</v>
      </c>
      <c r="BM3">
        <v>52.713200000000001</v>
      </c>
      <c r="BN3">
        <v>52.454799999999999</v>
      </c>
      <c r="BO3">
        <v>60.723500000000001</v>
      </c>
      <c r="BP3">
        <v>52.971600000000002</v>
      </c>
      <c r="BR3" t="s">
        <v>117</v>
      </c>
      <c r="BS3">
        <v>39.793300000000002</v>
      </c>
      <c r="CK3">
        <v>5</v>
      </c>
      <c r="CL3" t="s">
        <v>4</v>
      </c>
      <c r="CM3" t="s">
        <v>98</v>
      </c>
      <c r="CN3" t="s">
        <v>98</v>
      </c>
      <c r="CO3" t="s">
        <v>99</v>
      </c>
      <c r="CP3">
        <v>2</v>
      </c>
      <c r="CQ3" t="s">
        <v>100</v>
      </c>
      <c r="CR3" t="s">
        <v>100</v>
      </c>
      <c r="CS3" t="s">
        <v>101</v>
      </c>
      <c r="CT3" t="s">
        <v>100</v>
      </c>
      <c r="CU3" t="s">
        <v>102</v>
      </c>
      <c r="CV3" t="s">
        <v>100</v>
      </c>
    </row>
    <row r="4" spans="1:100">
      <c r="A4" s="3" t="s">
        <v>118</v>
      </c>
      <c r="B4" s="4" t="s">
        <v>119</v>
      </c>
      <c r="C4">
        <v>106.78970680649201</v>
      </c>
      <c r="D4">
        <v>16.675857548861899</v>
      </c>
      <c r="E4">
        <v>2.6772444127998898</v>
      </c>
      <c r="F4" s="5">
        <v>4.3415209360211703E-6</v>
      </c>
      <c r="G4" t="s">
        <v>4</v>
      </c>
      <c r="H4">
        <v>106.78970680649201</v>
      </c>
      <c r="I4">
        <v>18.0056398737919</v>
      </c>
      <c r="J4">
        <v>2.5844997941571899</v>
      </c>
      <c r="K4" s="5">
        <v>1.0969423012388501E-5</v>
      </c>
      <c r="L4" t="s">
        <v>4</v>
      </c>
      <c r="M4">
        <v>16.675857548861899</v>
      </c>
      <c r="N4">
        <v>18.0056398737919</v>
      </c>
      <c r="O4">
        <f>0.092744618642696</f>
        <v>9.2744618642695995E-2</v>
      </c>
      <c r="P4">
        <v>0.91115459299697199</v>
      </c>
      <c r="Q4" t="s">
        <v>4</v>
      </c>
      <c r="R4" s="4" t="s">
        <v>87</v>
      </c>
      <c r="S4" t="s">
        <v>4</v>
      </c>
      <c r="T4" t="s">
        <v>120</v>
      </c>
      <c r="U4" t="s">
        <v>121</v>
      </c>
      <c r="V4" t="s">
        <v>122</v>
      </c>
      <c r="W4" t="s">
        <v>123</v>
      </c>
      <c r="X4" t="s">
        <v>4</v>
      </c>
      <c r="Y4" t="s">
        <v>124</v>
      </c>
      <c r="Z4" t="s">
        <v>125</v>
      </c>
      <c r="AA4" t="s">
        <v>126</v>
      </c>
      <c r="AB4" t="s">
        <v>4</v>
      </c>
      <c r="AC4" s="3" t="s">
        <v>127</v>
      </c>
      <c r="AD4" t="s">
        <v>4</v>
      </c>
      <c r="AE4" t="s">
        <v>128</v>
      </c>
      <c r="AF4" t="s">
        <v>129</v>
      </c>
      <c r="AG4" t="s">
        <v>130</v>
      </c>
      <c r="AH4" t="s">
        <v>112</v>
      </c>
      <c r="AU4" t="s">
        <v>112</v>
      </c>
      <c r="AV4" t="s">
        <v>131</v>
      </c>
      <c r="AW4" t="s">
        <v>114</v>
      </c>
      <c r="AX4" t="s">
        <v>132</v>
      </c>
      <c r="AY4" t="s">
        <v>133</v>
      </c>
      <c r="AZ4" t="s">
        <v>4</v>
      </c>
      <c r="BA4" s="3" t="s">
        <v>95</v>
      </c>
      <c r="BB4" s="6" t="s">
        <v>95</v>
      </c>
      <c r="BC4" s="3" t="s">
        <v>95</v>
      </c>
      <c r="BD4" t="s">
        <v>4</v>
      </c>
      <c r="BE4">
        <v>4408</v>
      </c>
      <c r="BF4" t="s">
        <v>112</v>
      </c>
      <c r="BG4">
        <v>97.523799999999994</v>
      </c>
      <c r="BH4">
        <v>99.8095</v>
      </c>
      <c r="BI4">
        <v>95.047600000000003</v>
      </c>
      <c r="BJ4">
        <v>57.714300000000001</v>
      </c>
      <c r="BK4">
        <v>56.571399999999997</v>
      </c>
      <c r="BL4">
        <v>32.1905</v>
      </c>
      <c r="BM4">
        <v>64.381</v>
      </c>
      <c r="BN4">
        <v>75.8095</v>
      </c>
      <c r="BO4">
        <v>52.381</v>
      </c>
      <c r="CK4">
        <v>5</v>
      </c>
      <c r="CL4" t="s">
        <v>4</v>
      </c>
      <c r="CM4" t="s">
        <v>98</v>
      </c>
      <c r="CN4" t="s">
        <v>98</v>
      </c>
      <c r="CO4" t="s">
        <v>99</v>
      </c>
      <c r="CP4">
        <v>3</v>
      </c>
      <c r="CQ4" t="s">
        <v>100</v>
      </c>
      <c r="CR4" t="s">
        <v>100</v>
      </c>
      <c r="CS4" t="s">
        <v>101</v>
      </c>
      <c r="CT4" t="s">
        <v>100</v>
      </c>
      <c r="CU4" t="s">
        <v>102</v>
      </c>
      <c r="CV4" t="s">
        <v>100</v>
      </c>
    </row>
    <row r="5" spans="1:100">
      <c r="A5" s="3" t="s">
        <v>134</v>
      </c>
      <c r="B5" s="4" t="s">
        <v>135</v>
      </c>
      <c r="C5">
        <v>37.269175985653398</v>
      </c>
      <c r="D5">
        <v>6.77940281412479</v>
      </c>
      <c r="E5">
        <v>2.46547424551756</v>
      </c>
      <c r="F5">
        <v>8.0663885604586802E-3</v>
      </c>
      <c r="G5" t="s">
        <v>4</v>
      </c>
      <c r="H5">
        <v>37.269175985653398</v>
      </c>
      <c r="I5">
        <v>5.6026192753870303</v>
      </c>
      <c r="J5">
        <v>2.8409102470521002</v>
      </c>
      <c r="K5">
        <v>2.96881254418993E-3</v>
      </c>
      <c r="L5" t="s">
        <v>4</v>
      </c>
      <c r="M5">
        <v>6.77940281412479</v>
      </c>
      <c r="N5">
        <v>5.6026192753870303</v>
      </c>
      <c r="O5">
        <v>0.37543600153453999</v>
      </c>
      <c r="P5">
        <v>0.75895316022119697</v>
      </c>
      <c r="Q5" t="s">
        <v>4</v>
      </c>
      <c r="R5" s="4" t="s">
        <v>87</v>
      </c>
      <c r="S5" t="s">
        <v>4</v>
      </c>
      <c r="T5" t="s">
        <v>92</v>
      </c>
      <c r="U5" t="s">
        <v>92</v>
      </c>
      <c r="V5" t="s">
        <v>92</v>
      </c>
      <c r="W5" t="s">
        <v>92</v>
      </c>
      <c r="X5" t="s">
        <v>4</v>
      </c>
      <c r="Y5" t="s">
        <v>136</v>
      </c>
      <c r="Z5" t="s">
        <v>137</v>
      </c>
      <c r="AA5" t="s">
        <v>138</v>
      </c>
      <c r="AB5" t="s">
        <v>4</v>
      </c>
      <c r="AC5" s="3" t="s">
        <v>139</v>
      </c>
      <c r="AD5" t="s">
        <v>4</v>
      </c>
      <c r="AE5" t="s">
        <v>140</v>
      </c>
      <c r="AF5" t="s">
        <v>141</v>
      </c>
      <c r="AG5" t="s">
        <v>142</v>
      </c>
      <c r="AH5" t="s">
        <v>112</v>
      </c>
      <c r="AU5" t="s">
        <v>112</v>
      </c>
      <c r="AV5" t="s">
        <v>143</v>
      </c>
      <c r="AW5" t="s">
        <v>114</v>
      </c>
      <c r="AX5" t="s">
        <v>144</v>
      </c>
      <c r="AY5" t="s">
        <v>145</v>
      </c>
      <c r="AZ5" t="s">
        <v>4</v>
      </c>
      <c r="BA5" s="3" t="s">
        <v>95</v>
      </c>
      <c r="BB5" s="6" t="s">
        <v>95</v>
      </c>
      <c r="BC5" s="3" t="s">
        <v>95</v>
      </c>
      <c r="BD5" t="s">
        <v>4</v>
      </c>
      <c r="BE5">
        <v>4409</v>
      </c>
      <c r="BF5" t="s">
        <v>112</v>
      </c>
      <c r="BG5">
        <v>89.411799999999999</v>
      </c>
      <c r="BH5">
        <v>90</v>
      </c>
      <c r="BI5">
        <v>87.058800000000005</v>
      </c>
      <c r="BJ5">
        <v>88.235299999999995</v>
      </c>
      <c r="BK5">
        <v>88.235299999999995</v>
      </c>
      <c r="BL5">
        <v>82.941199999999995</v>
      </c>
      <c r="BM5">
        <v>75.882400000000004</v>
      </c>
      <c r="BN5">
        <v>84.7059</v>
      </c>
      <c r="BO5">
        <v>88.235299999999995</v>
      </c>
      <c r="CK5">
        <v>5</v>
      </c>
      <c r="CL5" t="s">
        <v>4</v>
      </c>
      <c r="CM5" t="s">
        <v>98</v>
      </c>
      <c r="CN5" t="s">
        <v>98</v>
      </c>
      <c r="CO5" t="s">
        <v>99</v>
      </c>
      <c r="CP5">
        <v>4</v>
      </c>
      <c r="CQ5" t="s">
        <v>100</v>
      </c>
      <c r="CR5" t="s">
        <v>100</v>
      </c>
      <c r="CS5" t="s">
        <v>101</v>
      </c>
      <c r="CT5" t="s">
        <v>100</v>
      </c>
      <c r="CU5" t="s">
        <v>102</v>
      </c>
      <c r="CV5" t="s">
        <v>100</v>
      </c>
    </row>
    <row r="6" spans="1:100">
      <c r="A6" s="3" t="s">
        <v>146</v>
      </c>
      <c r="B6" s="4" t="s">
        <v>147</v>
      </c>
      <c r="C6">
        <v>118.53705367828999</v>
      </c>
      <c r="D6">
        <v>25.332464015155299</v>
      </c>
      <c r="E6">
        <v>2.2275788149249598</v>
      </c>
      <c r="F6" s="5">
        <v>3.7660971052120802E-5</v>
      </c>
      <c r="G6" t="s">
        <v>4</v>
      </c>
      <c r="H6">
        <v>118.53705367828999</v>
      </c>
      <c r="I6">
        <v>18.5182137754556</v>
      </c>
      <c r="J6">
        <v>2.7314252217428199</v>
      </c>
      <c r="K6" s="5">
        <v>7.9965277784175197E-7</v>
      </c>
      <c r="L6" t="s">
        <v>4</v>
      </c>
      <c r="M6">
        <v>25.332464015155299</v>
      </c>
      <c r="N6">
        <v>18.5182137754556</v>
      </c>
      <c r="O6">
        <v>0.50384640681785398</v>
      </c>
      <c r="P6">
        <v>0.44445477006769402</v>
      </c>
      <c r="Q6" t="s">
        <v>4</v>
      </c>
      <c r="R6" s="4" t="s">
        <v>87</v>
      </c>
      <c r="S6" t="s">
        <v>4</v>
      </c>
      <c r="T6" t="s">
        <v>92</v>
      </c>
      <c r="U6" t="s">
        <v>92</v>
      </c>
      <c r="V6" t="s">
        <v>92</v>
      </c>
      <c r="W6" t="s">
        <v>92</v>
      </c>
      <c r="X6" t="s">
        <v>4</v>
      </c>
      <c r="Y6" t="s">
        <v>92</v>
      </c>
      <c r="Z6" t="s">
        <v>92</v>
      </c>
      <c r="AA6" t="s">
        <v>92</v>
      </c>
      <c r="AB6" t="s">
        <v>4</v>
      </c>
      <c r="AC6" s="3" t="s">
        <v>93</v>
      </c>
      <c r="AD6" t="s">
        <v>4</v>
      </c>
      <c r="AE6" s="4" t="s">
        <v>94</v>
      </c>
      <c r="AZ6" t="s">
        <v>4</v>
      </c>
      <c r="BA6" s="3" t="s">
        <v>95</v>
      </c>
      <c r="BB6" s="6" t="s">
        <v>95</v>
      </c>
      <c r="BC6" s="3" t="s">
        <v>95</v>
      </c>
      <c r="BD6" t="s">
        <v>4</v>
      </c>
      <c r="BE6">
        <v>2158</v>
      </c>
      <c r="BF6" t="s">
        <v>148</v>
      </c>
      <c r="BG6">
        <v>60.3352</v>
      </c>
      <c r="BH6">
        <v>62.569800000000001</v>
      </c>
      <c r="BI6">
        <v>56.424599999999998</v>
      </c>
      <c r="BJ6">
        <v>39.106099999999998</v>
      </c>
      <c r="BK6">
        <v>46.927399999999999</v>
      </c>
      <c r="BL6">
        <v>44.692700000000002</v>
      </c>
      <c r="BM6">
        <v>33.240200000000002</v>
      </c>
      <c r="BN6">
        <v>32.960900000000002</v>
      </c>
      <c r="BO6">
        <v>39.944099999999999</v>
      </c>
      <c r="CK6">
        <v>3</v>
      </c>
      <c r="CL6" t="s">
        <v>4</v>
      </c>
      <c r="CM6" t="s">
        <v>98</v>
      </c>
      <c r="CN6" t="s">
        <v>98</v>
      </c>
      <c r="CO6" t="s">
        <v>99</v>
      </c>
      <c r="CP6">
        <v>5</v>
      </c>
      <c r="CQ6" t="s">
        <v>100</v>
      </c>
      <c r="CR6" t="s">
        <v>100</v>
      </c>
      <c r="CS6" t="s">
        <v>101</v>
      </c>
      <c r="CT6" t="s">
        <v>100</v>
      </c>
      <c r="CU6" t="s">
        <v>102</v>
      </c>
      <c r="CV6" t="s">
        <v>100</v>
      </c>
    </row>
    <row r="7" spans="1:100">
      <c r="A7" s="3" t="s">
        <v>149</v>
      </c>
      <c r="B7" s="4" t="s">
        <v>150</v>
      </c>
      <c r="C7">
        <v>458.35809401081298</v>
      </c>
      <c r="D7">
        <v>94.609884855250797</v>
      </c>
      <c r="E7">
        <v>2.2743197638754298</v>
      </c>
      <c r="F7">
        <v>2.6990446656627299E-4</v>
      </c>
      <c r="G7" t="s">
        <v>4</v>
      </c>
      <c r="H7">
        <v>458.35809401081298</v>
      </c>
      <c r="I7">
        <v>15.2919306967141</v>
      </c>
      <c r="J7">
        <v>4.8230137612831001</v>
      </c>
      <c r="K7" s="5">
        <v>2.8202320093465301E-14</v>
      </c>
      <c r="L7" t="s">
        <v>4</v>
      </c>
      <c r="M7">
        <v>94.609884855250797</v>
      </c>
      <c r="N7">
        <v>15.2919306967141</v>
      </c>
      <c r="O7">
        <v>2.5486939974076699</v>
      </c>
      <c r="P7" s="5">
        <v>9.5233639145207694E-5</v>
      </c>
      <c r="Q7" t="s">
        <v>4</v>
      </c>
      <c r="R7" s="4" t="s">
        <v>87</v>
      </c>
      <c r="S7" t="s">
        <v>4</v>
      </c>
      <c r="T7" t="s">
        <v>92</v>
      </c>
      <c r="U7" t="s">
        <v>92</v>
      </c>
      <c r="V7" t="s">
        <v>92</v>
      </c>
      <c r="W7" t="s">
        <v>92</v>
      </c>
      <c r="X7" t="s">
        <v>4</v>
      </c>
      <c r="Y7" t="s">
        <v>92</v>
      </c>
      <c r="Z7" t="s">
        <v>92</v>
      </c>
      <c r="AA7" t="s">
        <v>92</v>
      </c>
      <c r="AB7" t="s">
        <v>4</v>
      </c>
      <c r="AC7" s="3" t="s">
        <v>93</v>
      </c>
      <c r="AD7" t="s">
        <v>4</v>
      </c>
      <c r="AE7" s="4" t="s">
        <v>94</v>
      </c>
      <c r="AZ7" t="s">
        <v>4</v>
      </c>
      <c r="BA7" s="3" t="s">
        <v>95</v>
      </c>
      <c r="BB7" s="6" t="s">
        <v>95</v>
      </c>
      <c r="BC7" s="3" t="s">
        <v>95</v>
      </c>
      <c r="BD7" t="s">
        <v>4</v>
      </c>
      <c r="BE7">
        <v>1362</v>
      </c>
      <c r="BF7" t="s">
        <v>151</v>
      </c>
      <c r="BG7">
        <v>76.271199999999993</v>
      </c>
      <c r="BH7">
        <v>67.2316</v>
      </c>
      <c r="BJ7">
        <v>44.067799999999998</v>
      </c>
      <c r="BM7">
        <v>39.548000000000002</v>
      </c>
      <c r="BN7">
        <v>37.2881</v>
      </c>
      <c r="BO7">
        <v>41.807899999999997</v>
      </c>
      <c r="CK7">
        <v>2</v>
      </c>
      <c r="CL7" t="s">
        <v>4</v>
      </c>
      <c r="CM7" t="s">
        <v>98</v>
      </c>
      <c r="CN7" t="s">
        <v>98</v>
      </c>
      <c r="CO7" t="s">
        <v>99</v>
      </c>
      <c r="CP7">
        <v>6</v>
      </c>
      <c r="CQ7" t="s">
        <v>100</v>
      </c>
      <c r="CR7" t="s">
        <v>100</v>
      </c>
      <c r="CS7" t="s">
        <v>101</v>
      </c>
      <c r="CT7" t="s">
        <v>152</v>
      </c>
      <c r="CU7" t="s">
        <v>102</v>
      </c>
      <c r="CV7" t="s">
        <v>100</v>
      </c>
    </row>
    <row r="8" spans="1:100">
      <c r="A8" s="3" t="s">
        <v>153</v>
      </c>
      <c r="B8" s="4" t="s">
        <v>154</v>
      </c>
      <c r="C8">
        <v>198.598765974353</v>
      </c>
      <c r="D8">
        <v>31.8169840156562</v>
      </c>
      <c r="E8">
        <v>2.6411939844122201</v>
      </c>
      <c r="F8" s="5">
        <v>1.1347521793261E-5</v>
      </c>
      <c r="G8" t="s">
        <v>4</v>
      </c>
      <c r="H8">
        <v>198.598765974353</v>
      </c>
      <c r="I8">
        <v>8.7584382598172201</v>
      </c>
      <c r="J8">
        <v>4.4968648712956503</v>
      </c>
      <c r="K8" s="5">
        <v>6.6387563664133404E-12</v>
      </c>
      <c r="L8" t="s">
        <v>4</v>
      </c>
      <c r="M8">
        <v>31.8169840156562</v>
      </c>
      <c r="N8">
        <v>8.7584382598172201</v>
      </c>
      <c r="O8">
        <v>1.85567088688344</v>
      </c>
      <c r="P8">
        <v>7.8166077562066595E-3</v>
      </c>
      <c r="Q8" t="s">
        <v>4</v>
      </c>
      <c r="R8" s="4" t="s">
        <v>87</v>
      </c>
      <c r="S8" t="s">
        <v>4</v>
      </c>
      <c r="T8" t="s">
        <v>92</v>
      </c>
      <c r="U8" t="s">
        <v>92</v>
      </c>
      <c r="V8" t="s">
        <v>92</v>
      </c>
      <c r="W8" t="s">
        <v>92</v>
      </c>
      <c r="X8" t="s">
        <v>4</v>
      </c>
      <c r="Y8" t="s">
        <v>155</v>
      </c>
      <c r="Z8" t="s">
        <v>156</v>
      </c>
      <c r="AA8" t="s">
        <v>157</v>
      </c>
      <c r="AB8" t="s">
        <v>4</v>
      </c>
      <c r="AC8" s="3" t="s">
        <v>158</v>
      </c>
      <c r="AD8" t="s">
        <v>4</v>
      </c>
      <c r="AE8" t="s">
        <v>159</v>
      </c>
      <c r="AF8" t="s">
        <v>160</v>
      </c>
      <c r="AG8" t="s">
        <v>161</v>
      </c>
      <c r="AH8" t="s">
        <v>112</v>
      </c>
      <c r="AJ8" t="s">
        <v>162</v>
      </c>
      <c r="AK8" t="s">
        <v>163</v>
      </c>
      <c r="AL8" t="s">
        <v>164</v>
      </c>
      <c r="AQ8" t="s">
        <v>165</v>
      </c>
      <c r="AU8" t="s">
        <v>112</v>
      </c>
      <c r="AV8" t="s">
        <v>166</v>
      </c>
      <c r="AW8" t="s">
        <v>114</v>
      </c>
      <c r="AX8" t="s">
        <v>167</v>
      </c>
      <c r="AY8" t="s">
        <v>168</v>
      </c>
      <c r="AZ8" t="s">
        <v>4</v>
      </c>
      <c r="BA8" s="3" t="s">
        <v>95</v>
      </c>
      <c r="BB8" s="6" t="s">
        <v>95</v>
      </c>
      <c r="BC8" s="3" t="s">
        <v>95</v>
      </c>
      <c r="BD8" t="s">
        <v>4</v>
      </c>
      <c r="BE8">
        <v>10294</v>
      </c>
      <c r="BF8" t="s">
        <v>169</v>
      </c>
      <c r="BG8" t="s">
        <v>170</v>
      </c>
      <c r="BH8">
        <v>99.779300000000006</v>
      </c>
      <c r="BJ8" t="s">
        <v>171</v>
      </c>
      <c r="BK8" t="s">
        <v>172</v>
      </c>
      <c r="BQ8" t="s">
        <v>173</v>
      </c>
      <c r="BR8" t="s">
        <v>174</v>
      </c>
      <c r="BS8">
        <v>18.542999999999999</v>
      </c>
      <c r="BT8">
        <v>9.05077</v>
      </c>
      <c r="BU8">
        <v>21.412800000000001</v>
      </c>
      <c r="BV8" t="s">
        <v>175</v>
      </c>
      <c r="BW8">
        <v>19.205300000000001</v>
      </c>
      <c r="BX8">
        <v>21.633600000000001</v>
      </c>
      <c r="BY8">
        <v>19.8675</v>
      </c>
      <c r="BZ8">
        <v>15.452500000000001</v>
      </c>
      <c r="CA8" t="s">
        <v>176</v>
      </c>
      <c r="CC8">
        <v>20.750599999999999</v>
      </c>
      <c r="CD8">
        <v>19.425999999999998</v>
      </c>
      <c r="CE8" t="s">
        <v>177</v>
      </c>
      <c r="CF8">
        <v>21.412800000000001</v>
      </c>
      <c r="CG8" t="s">
        <v>178</v>
      </c>
      <c r="CH8" t="s">
        <v>179</v>
      </c>
      <c r="CI8" t="s">
        <v>180</v>
      </c>
      <c r="CJ8" t="s">
        <v>181</v>
      </c>
      <c r="CK8">
        <v>9</v>
      </c>
      <c r="CL8" t="s">
        <v>4</v>
      </c>
      <c r="CM8" t="s">
        <v>182</v>
      </c>
      <c r="CN8" t="s">
        <v>183</v>
      </c>
      <c r="CO8" t="s">
        <v>184</v>
      </c>
      <c r="CP8">
        <v>7</v>
      </c>
      <c r="CQ8" t="s">
        <v>100</v>
      </c>
      <c r="CR8" t="s">
        <v>100</v>
      </c>
      <c r="CS8" t="s">
        <v>101</v>
      </c>
      <c r="CT8" s="7" t="s">
        <v>152</v>
      </c>
      <c r="CU8" t="s">
        <v>102</v>
      </c>
      <c r="CV8" t="s">
        <v>100</v>
      </c>
    </row>
    <row r="9" spans="1:100">
      <c r="A9" s="3" t="s">
        <v>185</v>
      </c>
      <c r="B9" s="4" t="s">
        <v>186</v>
      </c>
      <c r="C9">
        <v>126.73737476905499</v>
      </c>
      <c r="D9">
        <v>11.8750715883053</v>
      </c>
      <c r="E9">
        <v>3.4240387849774101</v>
      </c>
      <c r="F9" s="5">
        <v>2.2510531168823399E-10</v>
      </c>
      <c r="G9" t="s">
        <v>4</v>
      </c>
      <c r="H9">
        <v>126.73737476905499</v>
      </c>
      <c r="I9">
        <v>15.5178171086747</v>
      </c>
      <c r="J9">
        <v>3.0859780114852602</v>
      </c>
      <c r="K9" s="5">
        <v>1.38229434387322E-8</v>
      </c>
      <c r="L9" t="s">
        <v>4</v>
      </c>
      <c r="M9">
        <v>11.8750715883053</v>
      </c>
      <c r="N9">
        <v>15.5178171086747</v>
      </c>
      <c r="O9">
        <f>0.338060773492151</f>
        <v>0.33806077349215102</v>
      </c>
      <c r="P9">
        <v>0.63907628695580898</v>
      </c>
      <c r="Q9" t="s">
        <v>4</v>
      </c>
      <c r="R9" s="4" t="s">
        <v>87</v>
      </c>
      <c r="S9" t="s">
        <v>4</v>
      </c>
      <c r="T9" t="s">
        <v>92</v>
      </c>
      <c r="U9" t="s">
        <v>92</v>
      </c>
      <c r="V9" t="s">
        <v>92</v>
      </c>
      <c r="W9" t="s">
        <v>92</v>
      </c>
      <c r="X9" t="s">
        <v>4</v>
      </c>
      <c r="Y9" t="s">
        <v>92</v>
      </c>
      <c r="Z9" t="s">
        <v>92</v>
      </c>
      <c r="AA9" t="s">
        <v>92</v>
      </c>
      <c r="AB9" t="s">
        <v>4</v>
      </c>
      <c r="AC9" s="3" t="s">
        <v>93</v>
      </c>
      <c r="AD9" t="s">
        <v>4</v>
      </c>
      <c r="AE9" s="4" t="s">
        <v>94</v>
      </c>
      <c r="AZ9" t="s">
        <v>4</v>
      </c>
      <c r="BA9" s="3" t="s">
        <v>95</v>
      </c>
      <c r="BB9" s="6" t="s">
        <v>95</v>
      </c>
      <c r="BC9" s="3" t="s">
        <v>95</v>
      </c>
      <c r="BD9" t="s">
        <v>4</v>
      </c>
      <c r="BE9">
        <v>2839</v>
      </c>
      <c r="BF9" t="s">
        <v>97</v>
      </c>
      <c r="BG9">
        <v>97.530900000000003</v>
      </c>
      <c r="BI9">
        <v>85.185199999999995</v>
      </c>
      <c r="BJ9">
        <v>55.555599999999998</v>
      </c>
      <c r="BK9">
        <v>48.148099999999999</v>
      </c>
      <c r="BP9">
        <v>30.8642</v>
      </c>
      <c r="CK9">
        <v>4</v>
      </c>
      <c r="CL9" t="s">
        <v>4</v>
      </c>
      <c r="CM9" t="s">
        <v>98</v>
      </c>
      <c r="CN9" t="s">
        <v>98</v>
      </c>
      <c r="CO9" t="s">
        <v>99</v>
      </c>
      <c r="CP9">
        <v>8</v>
      </c>
      <c r="CQ9" t="s">
        <v>100</v>
      </c>
      <c r="CR9" t="s">
        <v>100</v>
      </c>
      <c r="CS9" t="s">
        <v>101</v>
      </c>
      <c r="CT9" t="s">
        <v>100</v>
      </c>
      <c r="CU9" t="s">
        <v>102</v>
      </c>
      <c r="CV9" t="s">
        <v>100</v>
      </c>
    </row>
    <row r="10" spans="1:100">
      <c r="A10" s="3" t="s">
        <v>187</v>
      </c>
      <c r="B10" s="4" t="s">
        <v>188</v>
      </c>
      <c r="C10">
        <v>80.659514590935004</v>
      </c>
      <c r="D10">
        <v>12.407799681330699</v>
      </c>
      <c r="E10">
        <v>2.7105906379356401</v>
      </c>
      <c r="F10">
        <v>3.22001230355984E-4</v>
      </c>
      <c r="G10" t="s">
        <v>4</v>
      </c>
      <c r="H10">
        <v>80.659514590935004</v>
      </c>
      <c r="I10">
        <v>10.473723456090999</v>
      </c>
      <c r="J10">
        <v>2.9307725596482102</v>
      </c>
      <c r="K10">
        <v>1.2308483410464999E-4</v>
      </c>
      <c r="L10" t="s">
        <v>4</v>
      </c>
      <c r="M10">
        <v>12.407799681330699</v>
      </c>
      <c r="N10">
        <v>10.473723456090999</v>
      </c>
      <c r="O10">
        <v>0.220181921712578</v>
      </c>
      <c r="P10">
        <v>0.82877809920327306</v>
      </c>
      <c r="Q10" t="s">
        <v>4</v>
      </c>
      <c r="R10" s="4" t="s">
        <v>87</v>
      </c>
      <c r="S10" t="s">
        <v>4</v>
      </c>
      <c r="T10" t="s">
        <v>189</v>
      </c>
      <c r="U10" t="s">
        <v>190</v>
      </c>
      <c r="V10" t="s">
        <v>191</v>
      </c>
      <c r="W10" t="s">
        <v>192</v>
      </c>
      <c r="X10" t="s">
        <v>4</v>
      </c>
      <c r="Y10" t="s">
        <v>193</v>
      </c>
      <c r="Z10" t="s">
        <v>194</v>
      </c>
      <c r="AA10" t="s">
        <v>195</v>
      </c>
      <c r="AB10" t="s">
        <v>4</v>
      </c>
      <c r="AC10" s="3" t="s">
        <v>196</v>
      </c>
      <c r="AD10" t="s">
        <v>4</v>
      </c>
      <c r="AE10" s="4" t="s">
        <v>94</v>
      </c>
      <c r="AZ10" t="s">
        <v>4</v>
      </c>
      <c r="BA10" s="3" t="s">
        <v>95</v>
      </c>
      <c r="BB10" t="s">
        <v>96</v>
      </c>
      <c r="BC10" s="3" t="s">
        <v>197</v>
      </c>
      <c r="BD10" t="s">
        <v>4</v>
      </c>
      <c r="BE10">
        <v>4418</v>
      </c>
      <c r="BF10" t="s">
        <v>112</v>
      </c>
      <c r="BG10">
        <v>97.109800000000007</v>
      </c>
      <c r="BH10">
        <v>73.121399999999994</v>
      </c>
      <c r="BI10">
        <v>79.768799999999999</v>
      </c>
      <c r="BJ10">
        <v>75.722499999999997</v>
      </c>
      <c r="BK10">
        <v>64.161799999999999</v>
      </c>
      <c r="BL10">
        <v>32.0809</v>
      </c>
      <c r="BM10">
        <v>72.832400000000007</v>
      </c>
      <c r="BN10">
        <v>73.121399999999994</v>
      </c>
      <c r="BO10">
        <v>53.179200000000002</v>
      </c>
      <c r="BP10">
        <v>9.8265899999999995</v>
      </c>
      <c r="BQ10">
        <v>19.9422</v>
      </c>
      <c r="CK10">
        <v>5</v>
      </c>
      <c r="CL10" t="s">
        <v>4</v>
      </c>
      <c r="CM10" t="s">
        <v>98</v>
      </c>
      <c r="CN10" t="s">
        <v>98</v>
      </c>
      <c r="CO10" t="s">
        <v>99</v>
      </c>
      <c r="CP10">
        <v>9</v>
      </c>
      <c r="CQ10" t="s">
        <v>100</v>
      </c>
      <c r="CR10" t="s">
        <v>100</v>
      </c>
      <c r="CS10" t="s">
        <v>101</v>
      </c>
      <c r="CT10" t="s">
        <v>100</v>
      </c>
      <c r="CU10" t="s">
        <v>102</v>
      </c>
      <c r="CV10" t="s">
        <v>100</v>
      </c>
    </row>
    <row r="11" spans="1:100">
      <c r="A11" s="3" t="s">
        <v>198</v>
      </c>
      <c r="B11" s="4" t="s">
        <v>199</v>
      </c>
      <c r="C11">
        <v>22710.248060553899</v>
      </c>
      <c r="D11">
        <v>3839.8130890910902</v>
      </c>
      <c r="E11">
        <v>2.5641765480644101</v>
      </c>
      <c r="F11" s="5">
        <v>3.9211649232387402E-5</v>
      </c>
      <c r="G11" t="s">
        <v>4</v>
      </c>
      <c r="H11">
        <v>22710.248060553899</v>
      </c>
      <c r="I11">
        <v>691.82612052544698</v>
      </c>
      <c r="J11">
        <v>5.03468006324991</v>
      </c>
      <c r="K11" s="5">
        <v>1.3292886011712901E-17</v>
      </c>
      <c r="L11" t="s">
        <v>4</v>
      </c>
      <c r="M11">
        <v>3839.8130890910902</v>
      </c>
      <c r="N11">
        <v>691.82612052544698</v>
      </c>
      <c r="O11">
        <v>2.4705035151854999</v>
      </c>
      <c r="P11" s="5">
        <v>4.2441378773086798E-5</v>
      </c>
      <c r="Q11" t="s">
        <v>4</v>
      </c>
      <c r="R11" s="4" t="s">
        <v>87</v>
      </c>
      <c r="S11" t="s">
        <v>4</v>
      </c>
      <c r="T11" t="s">
        <v>200</v>
      </c>
      <c r="U11" t="s">
        <v>201</v>
      </c>
      <c r="V11" t="s">
        <v>202</v>
      </c>
      <c r="W11" t="s">
        <v>203</v>
      </c>
      <c r="X11" t="s">
        <v>4</v>
      </c>
      <c r="Y11" t="s">
        <v>204</v>
      </c>
      <c r="Z11" t="s">
        <v>205</v>
      </c>
      <c r="AA11" t="s">
        <v>206</v>
      </c>
      <c r="AB11" t="s">
        <v>4</v>
      </c>
      <c r="AC11" s="3" t="s">
        <v>207</v>
      </c>
      <c r="AD11" t="s">
        <v>4</v>
      </c>
      <c r="AE11" t="s">
        <v>208</v>
      </c>
      <c r="AF11" t="s">
        <v>209</v>
      </c>
      <c r="AG11" t="s">
        <v>210</v>
      </c>
      <c r="AH11" t="s">
        <v>112</v>
      </c>
      <c r="AU11" t="s">
        <v>112</v>
      </c>
      <c r="AV11" t="s">
        <v>211</v>
      </c>
      <c r="AW11" t="s">
        <v>114</v>
      </c>
      <c r="AX11" t="s">
        <v>132</v>
      </c>
      <c r="AY11" t="s">
        <v>212</v>
      </c>
      <c r="AZ11" t="s">
        <v>4</v>
      </c>
      <c r="BA11" s="3" t="s">
        <v>95</v>
      </c>
      <c r="BB11" s="6" t="s">
        <v>95</v>
      </c>
      <c r="BC11" s="3" t="s">
        <v>95</v>
      </c>
      <c r="BD11" t="s">
        <v>4</v>
      </c>
      <c r="BE11">
        <v>8057</v>
      </c>
      <c r="BF11" t="s">
        <v>213</v>
      </c>
      <c r="BG11">
        <v>99.369100000000003</v>
      </c>
      <c r="BH11">
        <v>99.053600000000003</v>
      </c>
      <c r="BI11">
        <v>89.5899</v>
      </c>
      <c r="BK11">
        <v>3.7854899999999998</v>
      </c>
      <c r="BL11">
        <v>63.7224</v>
      </c>
      <c r="BM11">
        <v>76.025199999999998</v>
      </c>
      <c r="BN11">
        <v>74.763400000000004</v>
      </c>
      <c r="BO11">
        <v>76.656199999999998</v>
      </c>
      <c r="BQ11">
        <v>37.854900000000001</v>
      </c>
      <c r="BR11">
        <v>35.646700000000003</v>
      </c>
      <c r="BS11">
        <v>36.908499999999997</v>
      </c>
      <c r="BT11">
        <v>31.5457</v>
      </c>
      <c r="BU11">
        <v>35.9621</v>
      </c>
      <c r="BV11" t="s">
        <v>214</v>
      </c>
      <c r="BW11">
        <v>32.492100000000001</v>
      </c>
      <c r="BX11">
        <v>38.485799999999998</v>
      </c>
      <c r="BZ11">
        <v>25.236599999999999</v>
      </c>
      <c r="CA11">
        <v>37.223999999999997</v>
      </c>
      <c r="CC11">
        <v>39.432200000000002</v>
      </c>
      <c r="CD11" t="s">
        <v>215</v>
      </c>
      <c r="CE11" t="s">
        <v>216</v>
      </c>
      <c r="CF11">
        <v>38.170299999999997</v>
      </c>
      <c r="CG11">
        <v>40.063099999999999</v>
      </c>
      <c r="CH11">
        <v>40.063099999999999</v>
      </c>
      <c r="CI11">
        <v>40.378500000000003</v>
      </c>
      <c r="CK11">
        <v>8</v>
      </c>
      <c r="CL11" t="s">
        <v>4</v>
      </c>
      <c r="CM11" t="s">
        <v>217</v>
      </c>
      <c r="CN11" t="s">
        <v>218</v>
      </c>
      <c r="CO11" t="s">
        <v>219</v>
      </c>
      <c r="CP11">
        <v>10</v>
      </c>
      <c r="CQ11" t="s">
        <v>100</v>
      </c>
      <c r="CR11" t="s">
        <v>100</v>
      </c>
      <c r="CS11" t="s">
        <v>101</v>
      </c>
      <c r="CT11" t="s">
        <v>152</v>
      </c>
      <c r="CU11" t="s">
        <v>102</v>
      </c>
      <c r="CV11" t="s">
        <v>100</v>
      </c>
    </row>
    <row r="12" spans="1:100">
      <c r="A12" s="3" t="s">
        <v>220</v>
      </c>
      <c r="B12" s="4" t="s">
        <v>221</v>
      </c>
      <c r="C12">
        <v>4493.9623062463997</v>
      </c>
      <c r="D12">
        <v>125.405345931995</v>
      </c>
      <c r="E12">
        <v>5.1604695397820501</v>
      </c>
      <c r="F12" s="5">
        <v>2.1033662437617799E-43</v>
      </c>
      <c r="G12" t="s">
        <v>4</v>
      </c>
      <c r="H12">
        <v>4493.9623062463997</v>
      </c>
      <c r="I12">
        <v>92.740088051464994</v>
      </c>
      <c r="J12">
        <v>5.5806362675157999</v>
      </c>
      <c r="K12" s="5">
        <v>7.0258098889446998E-50</v>
      </c>
      <c r="L12" t="s">
        <v>4</v>
      </c>
      <c r="M12">
        <v>125.405345931995</v>
      </c>
      <c r="N12">
        <v>92.740088051464994</v>
      </c>
      <c r="O12">
        <v>0.42016672773374403</v>
      </c>
      <c r="P12">
        <v>0.34931593739393901</v>
      </c>
      <c r="Q12" t="s">
        <v>4</v>
      </c>
      <c r="R12" s="4" t="s">
        <v>87</v>
      </c>
      <c r="S12" t="s">
        <v>4</v>
      </c>
      <c r="T12" t="s">
        <v>200</v>
      </c>
      <c r="U12" t="s">
        <v>201</v>
      </c>
      <c r="V12" t="s">
        <v>202</v>
      </c>
      <c r="W12" t="s">
        <v>203</v>
      </c>
      <c r="X12" t="s">
        <v>4</v>
      </c>
      <c r="Y12" t="s">
        <v>204</v>
      </c>
      <c r="Z12" t="s">
        <v>205</v>
      </c>
      <c r="AA12" t="s">
        <v>206</v>
      </c>
      <c r="AB12" t="s">
        <v>4</v>
      </c>
      <c r="AC12" s="3" t="s">
        <v>207</v>
      </c>
      <c r="AD12" t="s">
        <v>4</v>
      </c>
      <c r="AE12" t="s">
        <v>222</v>
      </c>
      <c r="AF12" t="s">
        <v>223</v>
      </c>
      <c r="AG12" t="s">
        <v>224</v>
      </c>
      <c r="AH12" t="s">
        <v>112</v>
      </c>
      <c r="AU12" t="s">
        <v>112</v>
      </c>
      <c r="AV12" t="s">
        <v>211</v>
      </c>
      <c r="AW12" t="s">
        <v>114</v>
      </c>
      <c r="AX12" t="s">
        <v>132</v>
      </c>
      <c r="AY12" t="s">
        <v>212</v>
      </c>
      <c r="AZ12" t="s">
        <v>4</v>
      </c>
      <c r="BA12" s="3" t="s">
        <v>95</v>
      </c>
      <c r="BB12" s="6" t="s">
        <v>95</v>
      </c>
      <c r="BC12" s="3" t="s">
        <v>95</v>
      </c>
      <c r="BD12" t="s">
        <v>4</v>
      </c>
      <c r="BE12">
        <v>10295</v>
      </c>
      <c r="BF12" t="s">
        <v>169</v>
      </c>
      <c r="BG12">
        <v>98.070700000000002</v>
      </c>
      <c r="BH12">
        <v>99.035399999999996</v>
      </c>
      <c r="BI12">
        <v>92.283000000000001</v>
      </c>
      <c r="BJ12">
        <v>67.845699999999994</v>
      </c>
      <c r="BK12">
        <v>57.877800000000001</v>
      </c>
      <c r="BL12">
        <v>60.771700000000003</v>
      </c>
      <c r="BM12">
        <v>60.450200000000002</v>
      </c>
      <c r="BN12">
        <v>60.450200000000002</v>
      </c>
      <c r="BO12">
        <v>62.057899999999997</v>
      </c>
      <c r="BP12" t="s">
        <v>225</v>
      </c>
      <c r="BR12">
        <v>42.765300000000003</v>
      </c>
      <c r="BS12" t="s">
        <v>226</v>
      </c>
      <c r="BT12">
        <v>44.051400000000001</v>
      </c>
      <c r="BU12">
        <v>45.980699999999999</v>
      </c>
      <c r="BV12" t="s">
        <v>227</v>
      </c>
      <c r="BW12">
        <v>43.4084</v>
      </c>
      <c r="BX12" t="s">
        <v>228</v>
      </c>
      <c r="BZ12" t="s">
        <v>229</v>
      </c>
      <c r="CA12">
        <v>43.729900000000001</v>
      </c>
      <c r="CB12">
        <v>29.903500000000001</v>
      </c>
      <c r="CC12">
        <v>37.298999999999999</v>
      </c>
      <c r="CD12" t="s">
        <v>230</v>
      </c>
      <c r="CE12" t="s">
        <v>231</v>
      </c>
      <c r="CF12" t="s">
        <v>232</v>
      </c>
      <c r="CG12">
        <v>42.122199999999999</v>
      </c>
      <c r="CH12">
        <v>41.157600000000002</v>
      </c>
      <c r="CI12">
        <v>46.623800000000003</v>
      </c>
      <c r="CJ12">
        <v>39.228299999999997</v>
      </c>
      <c r="CK12">
        <v>9</v>
      </c>
      <c r="CL12" t="s">
        <v>4</v>
      </c>
      <c r="CM12" t="s">
        <v>233</v>
      </c>
      <c r="CN12" t="s">
        <v>234</v>
      </c>
      <c r="CO12" t="s">
        <v>219</v>
      </c>
      <c r="CP12">
        <v>11</v>
      </c>
      <c r="CQ12" t="s">
        <v>100</v>
      </c>
      <c r="CR12" t="s">
        <v>100</v>
      </c>
      <c r="CS12" t="s">
        <v>101</v>
      </c>
      <c r="CT12" t="s">
        <v>100</v>
      </c>
      <c r="CU12" t="s">
        <v>102</v>
      </c>
      <c r="CV12" t="s">
        <v>235</v>
      </c>
    </row>
    <row r="13" spans="1:100">
      <c r="A13" s="3" t="s">
        <v>236</v>
      </c>
      <c r="B13" s="4" t="s">
        <v>237</v>
      </c>
      <c r="C13">
        <v>289.53973952738397</v>
      </c>
      <c r="D13">
        <v>48.543021015915897</v>
      </c>
      <c r="E13">
        <v>2.5782842348643098</v>
      </c>
      <c r="F13" s="5">
        <v>3.6326233110663301E-8</v>
      </c>
      <c r="G13" t="s">
        <v>4</v>
      </c>
      <c r="H13">
        <v>289.53973952738397</v>
      </c>
      <c r="I13">
        <v>16.631395744810799</v>
      </c>
      <c r="J13">
        <v>4.0559442925598201</v>
      </c>
      <c r="K13" s="5">
        <v>4.8283290960652098E-16</v>
      </c>
      <c r="L13" t="s">
        <v>4</v>
      </c>
      <c r="M13">
        <v>48.543021015915897</v>
      </c>
      <c r="N13">
        <v>16.631395744810799</v>
      </c>
      <c r="O13">
        <v>1.4776600576955099</v>
      </c>
      <c r="P13">
        <v>5.8270974172907504E-3</v>
      </c>
      <c r="Q13" t="s">
        <v>4</v>
      </c>
      <c r="R13" s="4" t="s">
        <v>87</v>
      </c>
      <c r="S13" t="s">
        <v>4</v>
      </c>
      <c r="T13" t="s">
        <v>92</v>
      </c>
      <c r="U13" t="s">
        <v>92</v>
      </c>
      <c r="V13" t="s">
        <v>92</v>
      </c>
      <c r="W13" t="s">
        <v>92</v>
      </c>
      <c r="X13" t="s">
        <v>4</v>
      </c>
      <c r="Y13" t="s">
        <v>92</v>
      </c>
      <c r="Z13" t="s">
        <v>92</v>
      </c>
      <c r="AA13" t="s">
        <v>92</v>
      </c>
      <c r="AB13" t="s">
        <v>4</v>
      </c>
      <c r="AC13" s="3" t="s">
        <v>93</v>
      </c>
      <c r="AD13" t="s">
        <v>4</v>
      </c>
      <c r="AE13" s="4" t="s">
        <v>94</v>
      </c>
      <c r="AZ13" t="s">
        <v>4</v>
      </c>
      <c r="BA13" s="3" t="s">
        <v>115</v>
      </c>
      <c r="BB13" s="6" t="s">
        <v>95</v>
      </c>
      <c r="BC13" s="3" t="s">
        <v>95</v>
      </c>
      <c r="BD13" t="s">
        <v>4</v>
      </c>
      <c r="BE13">
        <v>1369</v>
      </c>
      <c r="BF13" t="s">
        <v>151</v>
      </c>
      <c r="BG13" t="s">
        <v>238</v>
      </c>
      <c r="CK13">
        <v>2</v>
      </c>
      <c r="CL13" t="s">
        <v>4</v>
      </c>
      <c r="CM13" t="s">
        <v>98</v>
      </c>
      <c r="CN13" t="s">
        <v>98</v>
      </c>
      <c r="CO13" t="s">
        <v>99</v>
      </c>
      <c r="CP13">
        <v>12</v>
      </c>
      <c r="CQ13" t="s">
        <v>100</v>
      </c>
      <c r="CR13" t="s">
        <v>100</v>
      </c>
      <c r="CS13" t="s">
        <v>101</v>
      </c>
      <c r="CT13" s="7" t="s">
        <v>152</v>
      </c>
      <c r="CU13" t="s">
        <v>102</v>
      </c>
      <c r="CV13" t="s">
        <v>100</v>
      </c>
    </row>
    <row r="14" spans="1:100">
      <c r="A14" s="3" t="s">
        <v>239</v>
      </c>
      <c r="B14" s="4" t="s">
        <v>240</v>
      </c>
      <c r="C14">
        <v>585.53326583528201</v>
      </c>
      <c r="D14">
        <v>100.031369471212</v>
      </c>
      <c r="E14">
        <v>2.5493626372304798</v>
      </c>
      <c r="F14" s="5">
        <v>1.1062121680458899E-8</v>
      </c>
      <c r="G14" t="s">
        <v>4</v>
      </c>
      <c r="H14">
        <v>585.53326583528201</v>
      </c>
      <c r="I14">
        <v>40.895572540505</v>
      </c>
      <c r="J14">
        <v>3.83381063027712</v>
      </c>
      <c r="K14" s="5">
        <v>2.2463673672962001E-17</v>
      </c>
      <c r="L14" t="s">
        <v>4</v>
      </c>
      <c r="M14">
        <v>100.031369471212</v>
      </c>
      <c r="N14">
        <v>40.895572540505</v>
      </c>
      <c r="O14">
        <v>1.2844479930466399</v>
      </c>
      <c r="P14">
        <v>7.6717085489891798E-3</v>
      </c>
      <c r="Q14" t="s">
        <v>4</v>
      </c>
      <c r="R14" s="4" t="s">
        <v>87</v>
      </c>
      <c r="S14" t="s">
        <v>4</v>
      </c>
      <c r="T14" t="s">
        <v>92</v>
      </c>
      <c r="U14" t="s">
        <v>92</v>
      </c>
      <c r="V14" t="s">
        <v>92</v>
      </c>
      <c r="W14" t="s">
        <v>92</v>
      </c>
      <c r="X14" t="s">
        <v>4</v>
      </c>
      <c r="Y14" t="s">
        <v>92</v>
      </c>
      <c r="Z14" t="s">
        <v>92</v>
      </c>
      <c r="AA14" t="s">
        <v>92</v>
      </c>
      <c r="AB14" t="s">
        <v>4</v>
      </c>
      <c r="AC14" s="3" t="s">
        <v>93</v>
      </c>
      <c r="AD14" t="s">
        <v>4</v>
      </c>
      <c r="AE14" s="4" t="s">
        <v>94</v>
      </c>
      <c r="AZ14" t="s">
        <v>4</v>
      </c>
      <c r="BA14" s="3" t="s">
        <v>115</v>
      </c>
      <c r="BB14" s="6" t="s">
        <v>95</v>
      </c>
      <c r="BC14" s="3" t="s">
        <v>95</v>
      </c>
      <c r="BD14" t="s">
        <v>4</v>
      </c>
      <c r="BE14">
        <v>1376</v>
      </c>
      <c r="BF14" t="s">
        <v>151</v>
      </c>
      <c r="BG14">
        <v>93.063599999999994</v>
      </c>
      <c r="BH14">
        <v>86.705200000000005</v>
      </c>
      <c r="BI14">
        <v>79.768799999999999</v>
      </c>
      <c r="CK14">
        <v>2</v>
      </c>
      <c r="CL14" t="s">
        <v>4</v>
      </c>
      <c r="CM14" t="s">
        <v>98</v>
      </c>
      <c r="CN14" t="s">
        <v>98</v>
      </c>
      <c r="CO14" t="s">
        <v>99</v>
      </c>
      <c r="CP14">
        <v>13</v>
      </c>
      <c r="CQ14" t="s">
        <v>100</v>
      </c>
      <c r="CR14" t="s">
        <v>100</v>
      </c>
      <c r="CS14" t="s">
        <v>101</v>
      </c>
      <c r="CT14" s="7" t="s">
        <v>152</v>
      </c>
      <c r="CU14" t="s">
        <v>102</v>
      </c>
      <c r="CV14" t="s">
        <v>100</v>
      </c>
    </row>
    <row r="15" spans="1:100">
      <c r="A15" s="3" t="s">
        <v>241</v>
      </c>
      <c r="B15" s="4" t="s">
        <v>242</v>
      </c>
      <c r="C15">
        <v>195.47888854499499</v>
      </c>
      <c r="D15">
        <v>43.9479895050167</v>
      </c>
      <c r="E15">
        <v>2.15323235098553</v>
      </c>
      <c r="F15">
        <v>1.65466486605424E-3</v>
      </c>
      <c r="G15" t="s">
        <v>4</v>
      </c>
      <c r="H15">
        <v>195.47888854499499</v>
      </c>
      <c r="I15">
        <v>25.932604338286001</v>
      </c>
      <c r="J15">
        <v>2.9097929965268898</v>
      </c>
      <c r="K15" s="5">
        <v>1.6077463175146398E-5</v>
      </c>
      <c r="L15" t="s">
        <v>4</v>
      </c>
      <c r="M15">
        <v>43.9479895050167</v>
      </c>
      <c r="N15">
        <v>25.932604338286001</v>
      </c>
      <c r="O15">
        <v>0.75656064554136004</v>
      </c>
      <c r="P15">
        <v>0.32045528383887001</v>
      </c>
      <c r="Q15" t="s">
        <v>4</v>
      </c>
      <c r="R15" s="4" t="s">
        <v>87</v>
      </c>
      <c r="S15" t="s">
        <v>4</v>
      </c>
      <c r="T15" t="s">
        <v>92</v>
      </c>
      <c r="U15" t="s">
        <v>92</v>
      </c>
      <c r="V15" t="s">
        <v>92</v>
      </c>
      <c r="W15" t="s">
        <v>92</v>
      </c>
      <c r="X15" t="s">
        <v>4</v>
      </c>
      <c r="Y15" t="s">
        <v>92</v>
      </c>
      <c r="Z15" t="s">
        <v>92</v>
      </c>
      <c r="AA15" t="s">
        <v>92</v>
      </c>
      <c r="AB15" t="s">
        <v>4</v>
      </c>
      <c r="AC15" s="3" t="s">
        <v>93</v>
      </c>
      <c r="AD15" t="s">
        <v>4</v>
      </c>
      <c r="AE15" t="s">
        <v>243</v>
      </c>
      <c r="AF15" t="s">
        <v>244</v>
      </c>
      <c r="AG15" t="s">
        <v>245</v>
      </c>
      <c r="AH15" t="s">
        <v>112</v>
      </c>
      <c r="AU15" t="s">
        <v>112</v>
      </c>
      <c r="AV15" t="s">
        <v>246</v>
      </c>
      <c r="AW15" t="s">
        <v>114</v>
      </c>
      <c r="AZ15" t="s">
        <v>4</v>
      </c>
      <c r="BA15" s="3" t="s">
        <v>115</v>
      </c>
      <c r="BB15" s="6" t="s">
        <v>95</v>
      </c>
      <c r="BC15" s="3" t="s">
        <v>95</v>
      </c>
      <c r="BD15" t="s">
        <v>4</v>
      </c>
      <c r="BE15">
        <v>4436</v>
      </c>
      <c r="BF15" t="s">
        <v>112</v>
      </c>
      <c r="BG15">
        <v>94.5839</v>
      </c>
      <c r="BH15">
        <v>63.143999999999998</v>
      </c>
      <c r="BI15">
        <v>72.126800000000003</v>
      </c>
      <c r="BJ15">
        <v>40.819000000000003</v>
      </c>
      <c r="BK15">
        <v>66.050200000000004</v>
      </c>
      <c r="BL15">
        <v>21.2682</v>
      </c>
      <c r="BM15">
        <v>42.007899999999999</v>
      </c>
      <c r="BN15">
        <v>57.595799999999997</v>
      </c>
      <c r="BO15">
        <v>54.689599999999999</v>
      </c>
      <c r="BP15">
        <v>22.0608</v>
      </c>
      <c r="BR15">
        <v>16.644600000000001</v>
      </c>
      <c r="BS15">
        <v>19.418800000000001</v>
      </c>
      <c r="CK15">
        <v>5</v>
      </c>
      <c r="CL15" t="s">
        <v>4</v>
      </c>
      <c r="CM15" t="s">
        <v>98</v>
      </c>
      <c r="CN15" t="s">
        <v>98</v>
      </c>
      <c r="CO15" t="s">
        <v>99</v>
      </c>
      <c r="CP15">
        <v>14</v>
      </c>
      <c r="CQ15" t="s">
        <v>100</v>
      </c>
      <c r="CR15" t="s">
        <v>100</v>
      </c>
      <c r="CS15" t="s">
        <v>101</v>
      </c>
      <c r="CT15" t="s">
        <v>100</v>
      </c>
      <c r="CU15" t="s">
        <v>102</v>
      </c>
      <c r="CV15" t="s">
        <v>100</v>
      </c>
    </row>
    <row r="16" spans="1:100">
      <c r="A16" s="3" t="s">
        <v>247</v>
      </c>
      <c r="B16" s="4" t="s">
        <v>248</v>
      </c>
      <c r="C16">
        <v>149.02337760744501</v>
      </c>
      <c r="D16">
        <v>36.330200746382403</v>
      </c>
      <c r="E16">
        <v>2.0398641794971502</v>
      </c>
      <c r="F16">
        <v>4.9863876740438801E-4</v>
      </c>
      <c r="G16" t="s">
        <v>4</v>
      </c>
      <c r="H16">
        <v>149.02337760744501</v>
      </c>
      <c r="I16">
        <v>16.014839828070102</v>
      </c>
      <c r="J16">
        <v>3.2428377662480199</v>
      </c>
      <c r="K16" s="5">
        <v>6.3419305075183202E-8</v>
      </c>
      <c r="L16" t="s">
        <v>4</v>
      </c>
      <c r="M16">
        <v>36.330200746382403</v>
      </c>
      <c r="N16">
        <v>16.014839828070102</v>
      </c>
      <c r="O16">
        <v>1.20297358675086</v>
      </c>
      <c r="P16">
        <v>6.4766546671403302E-2</v>
      </c>
      <c r="Q16" t="s">
        <v>4</v>
      </c>
      <c r="R16" s="4" t="s">
        <v>87</v>
      </c>
      <c r="S16" t="s">
        <v>4</v>
      </c>
      <c r="T16" t="s">
        <v>92</v>
      </c>
      <c r="U16" t="s">
        <v>92</v>
      </c>
      <c r="V16" t="s">
        <v>92</v>
      </c>
      <c r="W16" t="s">
        <v>92</v>
      </c>
      <c r="X16" t="s">
        <v>4</v>
      </c>
      <c r="Y16" t="s">
        <v>92</v>
      </c>
      <c r="Z16" t="s">
        <v>92</v>
      </c>
      <c r="AA16" t="s">
        <v>92</v>
      </c>
      <c r="AB16" t="s">
        <v>4</v>
      </c>
      <c r="AC16" s="3" t="s">
        <v>93</v>
      </c>
      <c r="AD16" t="s">
        <v>4</v>
      </c>
      <c r="AE16" s="4" t="s">
        <v>94</v>
      </c>
      <c r="AZ16" t="s">
        <v>4</v>
      </c>
      <c r="BA16" s="3" t="s">
        <v>95</v>
      </c>
      <c r="BB16" s="6" t="s">
        <v>95</v>
      </c>
      <c r="BC16" s="3" t="s">
        <v>95</v>
      </c>
      <c r="BD16" t="s">
        <v>4</v>
      </c>
      <c r="BE16">
        <v>2866</v>
      </c>
      <c r="BF16" t="s">
        <v>97</v>
      </c>
      <c r="BG16">
        <v>84.761899999999997</v>
      </c>
      <c r="BH16">
        <v>90.793599999999998</v>
      </c>
      <c r="BI16">
        <v>65.714299999999994</v>
      </c>
      <c r="BJ16" t="s">
        <v>249</v>
      </c>
      <c r="BK16">
        <v>47.301600000000001</v>
      </c>
      <c r="BL16">
        <v>70.476200000000006</v>
      </c>
      <c r="BM16">
        <v>66.666700000000006</v>
      </c>
      <c r="BN16">
        <v>66.666700000000006</v>
      </c>
      <c r="BO16">
        <v>30.1587</v>
      </c>
      <c r="BP16">
        <v>33.650799999999997</v>
      </c>
      <c r="CK16">
        <v>4</v>
      </c>
      <c r="CL16" t="s">
        <v>4</v>
      </c>
      <c r="CM16" t="s">
        <v>98</v>
      </c>
      <c r="CN16" t="s">
        <v>98</v>
      </c>
      <c r="CO16" t="s">
        <v>99</v>
      </c>
      <c r="CP16">
        <v>15</v>
      </c>
      <c r="CQ16" t="s">
        <v>100</v>
      </c>
      <c r="CR16" t="s">
        <v>100</v>
      </c>
      <c r="CS16" t="s">
        <v>101</v>
      </c>
      <c r="CT16" t="s">
        <v>100</v>
      </c>
      <c r="CU16" t="s">
        <v>102</v>
      </c>
      <c r="CV16" t="s">
        <v>100</v>
      </c>
    </row>
    <row r="17" spans="1:100">
      <c r="A17" s="3" t="s">
        <v>250</v>
      </c>
      <c r="B17" s="4" t="s">
        <v>251</v>
      </c>
      <c r="C17">
        <v>161.00285680936801</v>
      </c>
      <c r="D17">
        <v>39.385946744868797</v>
      </c>
      <c r="E17">
        <v>2.0356295484312699</v>
      </c>
      <c r="F17">
        <v>1.3814311975494801E-3</v>
      </c>
      <c r="G17" t="s">
        <v>4</v>
      </c>
      <c r="H17">
        <v>161.00285680936801</v>
      </c>
      <c r="I17">
        <v>20.125138414639402</v>
      </c>
      <c r="J17">
        <v>3.0062583230654001</v>
      </c>
      <c r="K17" s="5">
        <v>2.2812359303828199E-6</v>
      </c>
      <c r="L17" t="s">
        <v>4</v>
      </c>
      <c r="M17">
        <v>39.385946744868797</v>
      </c>
      <c r="N17">
        <v>20.125138414639402</v>
      </c>
      <c r="O17">
        <v>0.970628774634124</v>
      </c>
      <c r="P17">
        <v>0.16670299301664901</v>
      </c>
      <c r="Q17" t="s">
        <v>4</v>
      </c>
      <c r="R17" s="4" t="s">
        <v>87</v>
      </c>
      <c r="S17" t="s">
        <v>4</v>
      </c>
      <c r="T17" t="s">
        <v>92</v>
      </c>
      <c r="U17" t="s">
        <v>92</v>
      </c>
      <c r="V17" t="s">
        <v>92</v>
      </c>
      <c r="W17" t="s">
        <v>92</v>
      </c>
      <c r="X17" t="s">
        <v>4</v>
      </c>
      <c r="Y17" t="s">
        <v>92</v>
      </c>
      <c r="Z17" t="s">
        <v>92</v>
      </c>
      <c r="AA17" t="s">
        <v>92</v>
      </c>
      <c r="AB17" t="s">
        <v>4</v>
      </c>
      <c r="AC17" s="3" t="s">
        <v>93</v>
      </c>
      <c r="AD17" t="s">
        <v>4</v>
      </c>
      <c r="AE17" s="4" t="s">
        <v>94</v>
      </c>
      <c r="AZ17" t="s">
        <v>4</v>
      </c>
      <c r="BA17" s="3" t="s">
        <v>95</v>
      </c>
      <c r="BB17" s="6" t="s">
        <v>95</v>
      </c>
      <c r="BC17" s="3" t="s">
        <v>95</v>
      </c>
      <c r="BD17" t="s">
        <v>4</v>
      </c>
      <c r="BE17">
        <v>2193</v>
      </c>
      <c r="BF17" t="s">
        <v>148</v>
      </c>
      <c r="BG17">
        <v>89.130399999999995</v>
      </c>
      <c r="BH17" t="s">
        <v>252</v>
      </c>
      <c r="BJ17">
        <v>53.069099999999999</v>
      </c>
      <c r="BK17">
        <v>52.557499999999997</v>
      </c>
      <c r="BL17">
        <v>15.3453</v>
      </c>
      <c r="BM17" t="s">
        <v>253</v>
      </c>
      <c r="BN17">
        <v>43.989800000000002</v>
      </c>
      <c r="BO17">
        <v>23.273700000000002</v>
      </c>
      <c r="CK17">
        <v>3</v>
      </c>
      <c r="CL17" t="s">
        <v>4</v>
      </c>
      <c r="CM17" t="s">
        <v>98</v>
      </c>
      <c r="CN17" t="s">
        <v>98</v>
      </c>
      <c r="CO17" t="s">
        <v>99</v>
      </c>
      <c r="CP17">
        <v>16</v>
      </c>
      <c r="CQ17" t="s">
        <v>100</v>
      </c>
      <c r="CR17" t="s">
        <v>100</v>
      </c>
      <c r="CS17" t="s">
        <v>101</v>
      </c>
      <c r="CT17" t="s">
        <v>100</v>
      </c>
      <c r="CU17" t="s">
        <v>102</v>
      </c>
      <c r="CV17" t="s">
        <v>100</v>
      </c>
    </row>
    <row r="18" spans="1:100">
      <c r="A18" s="3" t="s">
        <v>254</v>
      </c>
      <c r="B18" s="4" t="s">
        <v>255</v>
      </c>
      <c r="C18">
        <v>180.248676462232</v>
      </c>
      <c r="D18">
        <v>36.095739014807997</v>
      </c>
      <c r="E18">
        <v>2.3229345541724902</v>
      </c>
      <c r="F18">
        <v>6.7977618242034499E-4</v>
      </c>
      <c r="G18" t="s">
        <v>4</v>
      </c>
      <c r="H18">
        <v>180.248676462232</v>
      </c>
      <c r="I18">
        <v>20.317906490101201</v>
      </c>
      <c r="J18">
        <v>3.1251959995892298</v>
      </c>
      <c r="K18" s="5">
        <v>4.3279142621873298E-6</v>
      </c>
      <c r="L18" t="s">
        <v>4</v>
      </c>
      <c r="M18">
        <v>36.095739014807997</v>
      </c>
      <c r="N18">
        <v>20.317906490101201</v>
      </c>
      <c r="O18">
        <v>0.80226144541674504</v>
      </c>
      <c r="P18">
        <v>0.29674767603762398</v>
      </c>
      <c r="Q18" t="s">
        <v>4</v>
      </c>
      <c r="R18" s="4" t="s">
        <v>87</v>
      </c>
      <c r="S18" t="s">
        <v>4</v>
      </c>
      <c r="T18" t="s">
        <v>88</v>
      </c>
      <c r="U18" t="s">
        <v>89</v>
      </c>
      <c r="V18" t="s">
        <v>90</v>
      </c>
      <c r="W18" t="s">
        <v>91</v>
      </c>
      <c r="X18" t="s">
        <v>4</v>
      </c>
      <c r="Y18" t="s">
        <v>92</v>
      </c>
      <c r="Z18" t="s">
        <v>92</v>
      </c>
      <c r="AA18" t="s">
        <v>92</v>
      </c>
      <c r="AB18" t="s">
        <v>4</v>
      </c>
      <c r="AC18" s="3" t="s">
        <v>93</v>
      </c>
      <c r="AD18" t="s">
        <v>4</v>
      </c>
      <c r="AE18" s="4" t="s">
        <v>94</v>
      </c>
      <c r="AZ18" t="s">
        <v>4</v>
      </c>
      <c r="BA18" s="3" t="s">
        <v>95</v>
      </c>
      <c r="BB18" t="s">
        <v>96</v>
      </c>
      <c r="BC18" s="3" t="s">
        <v>197</v>
      </c>
      <c r="BD18" t="s">
        <v>4</v>
      </c>
      <c r="BE18">
        <v>2203</v>
      </c>
      <c r="BF18" t="s">
        <v>148</v>
      </c>
      <c r="BG18">
        <v>76.915300000000002</v>
      </c>
      <c r="BH18">
        <v>97.479799999999997</v>
      </c>
      <c r="BI18">
        <v>16.3306</v>
      </c>
      <c r="BJ18" t="s">
        <v>256</v>
      </c>
      <c r="BK18">
        <v>37.6008</v>
      </c>
      <c r="BM18">
        <v>64.415300000000002</v>
      </c>
      <c r="BN18" t="s">
        <v>257</v>
      </c>
      <c r="BO18">
        <v>73.689499999999995</v>
      </c>
      <c r="CK18">
        <v>3</v>
      </c>
      <c r="CL18" t="s">
        <v>4</v>
      </c>
      <c r="CM18" t="s">
        <v>98</v>
      </c>
      <c r="CN18" t="s">
        <v>98</v>
      </c>
      <c r="CO18" t="s">
        <v>99</v>
      </c>
      <c r="CP18">
        <v>17</v>
      </c>
      <c r="CQ18" t="s">
        <v>100</v>
      </c>
      <c r="CR18" t="s">
        <v>100</v>
      </c>
      <c r="CS18" t="s">
        <v>101</v>
      </c>
      <c r="CT18" t="s">
        <v>100</v>
      </c>
      <c r="CU18" t="s">
        <v>102</v>
      </c>
      <c r="CV18" t="s">
        <v>100</v>
      </c>
    </row>
    <row r="19" spans="1:100">
      <c r="A19" s="3" t="s">
        <v>258</v>
      </c>
      <c r="B19" s="4" t="s">
        <v>259</v>
      </c>
      <c r="C19">
        <v>110.73822836968399</v>
      </c>
      <c r="D19">
        <v>25.235241295419701</v>
      </c>
      <c r="E19">
        <v>2.1384541405267101</v>
      </c>
      <c r="F19">
        <v>9.8702926157075398E-3</v>
      </c>
      <c r="G19" t="s">
        <v>4</v>
      </c>
      <c r="H19">
        <v>110.73822836968399</v>
      </c>
      <c r="I19">
        <v>19.8228997426679</v>
      </c>
      <c r="J19">
        <v>2.5034917773545602</v>
      </c>
      <c r="K19">
        <v>2.1249709859326601E-3</v>
      </c>
      <c r="L19" t="s">
        <v>4</v>
      </c>
      <c r="M19">
        <v>25.235241295419701</v>
      </c>
      <c r="N19">
        <v>19.8228997426679</v>
      </c>
      <c r="O19">
        <v>0.36503763682784401</v>
      </c>
      <c r="P19">
        <v>0.71307597758715202</v>
      </c>
      <c r="Q19" t="s">
        <v>4</v>
      </c>
      <c r="R19" s="4" t="s">
        <v>87</v>
      </c>
      <c r="S19" t="s">
        <v>4</v>
      </c>
      <c r="T19" t="s">
        <v>92</v>
      </c>
      <c r="U19" t="s">
        <v>92</v>
      </c>
      <c r="V19" t="s">
        <v>92</v>
      </c>
      <c r="W19" t="s">
        <v>92</v>
      </c>
      <c r="X19" t="s">
        <v>4</v>
      </c>
      <c r="Y19" t="s">
        <v>92</v>
      </c>
      <c r="Z19" t="s">
        <v>92</v>
      </c>
      <c r="AA19" t="s">
        <v>92</v>
      </c>
      <c r="AB19" t="s">
        <v>4</v>
      </c>
      <c r="AC19" s="3" t="s">
        <v>93</v>
      </c>
      <c r="AD19" t="s">
        <v>4</v>
      </c>
      <c r="AE19" s="4" t="s">
        <v>94</v>
      </c>
      <c r="AZ19" t="s">
        <v>4</v>
      </c>
      <c r="BA19" s="3" t="s">
        <v>95</v>
      </c>
      <c r="BB19" s="6" t="s">
        <v>95</v>
      </c>
      <c r="BC19" s="3" t="s">
        <v>95</v>
      </c>
      <c r="BD19" t="s">
        <v>4</v>
      </c>
      <c r="BE19">
        <v>2208</v>
      </c>
      <c r="BF19" t="s">
        <v>148</v>
      </c>
      <c r="BG19">
        <v>70.637100000000004</v>
      </c>
      <c r="BH19">
        <v>86.980599999999995</v>
      </c>
      <c r="BI19">
        <v>70.637100000000004</v>
      </c>
      <c r="BJ19" t="s">
        <v>260</v>
      </c>
      <c r="CK19">
        <v>3</v>
      </c>
      <c r="CL19" t="s">
        <v>4</v>
      </c>
      <c r="CM19" t="s">
        <v>98</v>
      </c>
      <c r="CN19" t="s">
        <v>98</v>
      </c>
      <c r="CO19" t="s">
        <v>99</v>
      </c>
      <c r="CP19">
        <v>18</v>
      </c>
      <c r="CQ19" t="s">
        <v>100</v>
      </c>
      <c r="CR19" t="s">
        <v>100</v>
      </c>
      <c r="CS19" t="s">
        <v>101</v>
      </c>
      <c r="CT19" t="s">
        <v>100</v>
      </c>
      <c r="CU19" t="s">
        <v>102</v>
      </c>
      <c r="CV19" t="s">
        <v>100</v>
      </c>
    </row>
    <row r="20" spans="1:100">
      <c r="A20" s="3" t="s">
        <v>261</v>
      </c>
      <c r="B20" s="4" t="s">
        <v>262</v>
      </c>
      <c r="C20">
        <v>128.348098005201</v>
      </c>
      <c r="D20">
        <v>19.351704380064898</v>
      </c>
      <c r="E20">
        <v>2.72686988410037</v>
      </c>
      <c r="F20">
        <v>5.0700330189182004E-4</v>
      </c>
      <c r="G20" t="s">
        <v>4</v>
      </c>
      <c r="H20">
        <v>128.348098005201</v>
      </c>
      <c r="I20">
        <v>9.0954560126731501</v>
      </c>
      <c r="J20">
        <v>3.8066684037420302</v>
      </c>
      <c r="K20" s="5">
        <v>2.2288390872190099E-6</v>
      </c>
      <c r="L20" t="s">
        <v>4</v>
      </c>
      <c r="M20">
        <v>19.351704380064898</v>
      </c>
      <c r="N20">
        <v>9.0954560126731501</v>
      </c>
      <c r="O20">
        <v>1.07979851964167</v>
      </c>
      <c r="P20">
        <v>0.23395914020665701</v>
      </c>
      <c r="Q20" t="s">
        <v>4</v>
      </c>
      <c r="R20" s="4" t="s">
        <v>87</v>
      </c>
      <c r="S20" t="s">
        <v>4</v>
      </c>
      <c r="T20" t="s">
        <v>92</v>
      </c>
      <c r="U20" t="s">
        <v>92</v>
      </c>
      <c r="V20" t="s">
        <v>92</v>
      </c>
      <c r="W20" t="s">
        <v>92</v>
      </c>
      <c r="X20" t="s">
        <v>4</v>
      </c>
      <c r="Y20" t="s">
        <v>92</v>
      </c>
      <c r="Z20" t="s">
        <v>92</v>
      </c>
      <c r="AA20" t="s">
        <v>92</v>
      </c>
      <c r="AB20" t="s">
        <v>4</v>
      </c>
      <c r="AC20" s="3" t="s">
        <v>93</v>
      </c>
      <c r="AD20" t="s">
        <v>4</v>
      </c>
      <c r="AE20" s="4" t="s">
        <v>94</v>
      </c>
      <c r="AZ20" t="s">
        <v>4</v>
      </c>
      <c r="BA20" s="3" t="s">
        <v>95</v>
      </c>
      <c r="BB20" s="6" t="s">
        <v>95</v>
      </c>
      <c r="BC20" s="3" t="s">
        <v>95</v>
      </c>
      <c r="BD20" t="s">
        <v>4</v>
      </c>
      <c r="BE20">
        <v>2892</v>
      </c>
      <c r="BF20" t="s">
        <v>97</v>
      </c>
      <c r="BG20">
        <v>97.857100000000003</v>
      </c>
      <c r="BH20">
        <v>98.571399999999997</v>
      </c>
      <c r="BI20">
        <v>95</v>
      </c>
      <c r="BJ20" t="s">
        <v>263</v>
      </c>
      <c r="BK20">
        <v>71.428600000000003</v>
      </c>
      <c r="BL20">
        <v>27.142900000000001</v>
      </c>
      <c r="BM20">
        <v>70</v>
      </c>
      <c r="BN20">
        <v>70</v>
      </c>
      <c r="BO20">
        <v>71.428600000000003</v>
      </c>
      <c r="BP20">
        <v>20.714300000000001</v>
      </c>
      <c r="CK20">
        <v>4</v>
      </c>
      <c r="CL20" t="s">
        <v>4</v>
      </c>
      <c r="CM20" t="s">
        <v>98</v>
      </c>
      <c r="CN20" t="s">
        <v>98</v>
      </c>
      <c r="CO20" t="s">
        <v>99</v>
      </c>
      <c r="CP20">
        <v>19</v>
      </c>
      <c r="CQ20" t="s">
        <v>100</v>
      </c>
      <c r="CR20" t="s">
        <v>100</v>
      </c>
      <c r="CS20" t="s">
        <v>101</v>
      </c>
      <c r="CT20" t="s">
        <v>100</v>
      </c>
      <c r="CU20" t="s">
        <v>102</v>
      </c>
      <c r="CV20" t="s">
        <v>100</v>
      </c>
    </row>
    <row r="21" spans="1:100">
      <c r="A21" s="3" t="s">
        <v>264</v>
      </c>
      <c r="B21" s="4" t="s">
        <v>265</v>
      </c>
      <c r="C21">
        <v>32.292518214907602</v>
      </c>
      <c r="D21">
        <v>5.6482682499433698</v>
      </c>
      <c r="E21">
        <v>2.5133805921180898</v>
      </c>
      <c r="F21">
        <v>8.2430212106458095E-3</v>
      </c>
      <c r="G21" t="s">
        <v>4</v>
      </c>
      <c r="H21">
        <v>32.292518214907602</v>
      </c>
      <c r="I21">
        <v>2.9524289736792602</v>
      </c>
      <c r="J21">
        <v>3.3957604280790501</v>
      </c>
      <c r="K21">
        <v>1.0227066088340799E-3</v>
      </c>
      <c r="L21" t="s">
        <v>4</v>
      </c>
      <c r="M21">
        <v>5.6482682499433698</v>
      </c>
      <c r="N21">
        <v>2.9524289736792602</v>
      </c>
      <c r="O21">
        <v>0.88237983596095404</v>
      </c>
      <c r="P21">
        <v>0.47151190929172598</v>
      </c>
      <c r="Q21" t="s">
        <v>4</v>
      </c>
      <c r="R21" s="4" t="s">
        <v>87</v>
      </c>
      <c r="S21" t="s">
        <v>4</v>
      </c>
      <c r="T21" t="s">
        <v>88</v>
      </c>
      <c r="U21" t="s">
        <v>89</v>
      </c>
      <c r="V21" t="s">
        <v>90</v>
      </c>
      <c r="W21" t="s">
        <v>91</v>
      </c>
      <c r="X21" t="s">
        <v>4</v>
      </c>
      <c r="Y21" t="s">
        <v>92</v>
      </c>
      <c r="Z21" t="s">
        <v>92</v>
      </c>
      <c r="AA21" t="s">
        <v>92</v>
      </c>
      <c r="AB21" t="s">
        <v>4</v>
      </c>
      <c r="AC21" s="3" t="s">
        <v>93</v>
      </c>
      <c r="AD21" t="s">
        <v>4</v>
      </c>
      <c r="AE21" s="4" t="s">
        <v>94</v>
      </c>
      <c r="AZ21" t="s">
        <v>4</v>
      </c>
      <c r="BA21" s="3" t="s">
        <v>95</v>
      </c>
      <c r="BB21" t="s">
        <v>96</v>
      </c>
      <c r="BC21" s="3" t="s">
        <v>95</v>
      </c>
      <c r="BD21" t="s">
        <v>4</v>
      </c>
      <c r="BE21">
        <v>1409</v>
      </c>
      <c r="BF21" t="s">
        <v>151</v>
      </c>
      <c r="BG21">
        <v>94.155799999999999</v>
      </c>
      <c r="BH21">
        <v>97.402600000000007</v>
      </c>
      <c r="BI21">
        <v>90.909099999999995</v>
      </c>
      <c r="BJ21" t="s">
        <v>266</v>
      </c>
      <c r="BK21">
        <v>62.012999999999998</v>
      </c>
      <c r="BO21" t="s">
        <v>267</v>
      </c>
      <c r="CK21">
        <v>2</v>
      </c>
      <c r="CL21" t="s">
        <v>4</v>
      </c>
      <c r="CM21" t="s">
        <v>98</v>
      </c>
      <c r="CN21" t="s">
        <v>98</v>
      </c>
      <c r="CO21" t="s">
        <v>99</v>
      </c>
      <c r="CP21">
        <v>20</v>
      </c>
      <c r="CQ21" t="s">
        <v>100</v>
      </c>
      <c r="CR21" t="s">
        <v>100</v>
      </c>
      <c r="CS21" t="s">
        <v>101</v>
      </c>
      <c r="CT21" t="s">
        <v>100</v>
      </c>
      <c r="CU21" t="s">
        <v>102</v>
      </c>
      <c r="CV21" t="s">
        <v>100</v>
      </c>
    </row>
    <row r="22" spans="1:100">
      <c r="A22" s="3" t="s">
        <v>268</v>
      </c>
      <c r="B22" s="4" t="s">
        <v>269</v>
      </c>
      <c r="C22">
        <v>49.945277256207397</v>
      </c>
      <c r="D22">
        <v>9.3438552589742798</v>
      </c>
      <c r="E22">
        <v>2.4143751208565001</v>
      </c>
      <c r="F22">
        <v>3.1571385041170999E-3</v>
      </c>
      <c r="G22" t="s">
        <v>4</v>
      </c>
      <c r="H22">
        <v>49.945277256207397</v>
      </c>
      <c r="I22">
        <v>5.5184158638923204</v>
      </c>
      <c r="J22">
        <v>3.1743656650373602</v>
      </c>
      <c r="K22">
        <v>2.2629438703504601E-4</v>
      </c>
      <c r="L22" t="s">
        <v>4</v>
      </c>
      <c r="M22">
        <v>9.3438552589742798</v>
      </c>
      <c r="N22">
        <v>5.5184158638923204</v>
      </c>
      <c r="O22">
        <v>0.75999054418086198</v>
      </c>
      <c r="P22">
        <v>0.453616005610121</v>
      </c>
      <c r="Q22" t="s">
        <v>4</v>
      </c>
      <c r="R22" s="4" t="s">
        <v>87</v>
      </c>
      <c r="S22" t="s">
        <v>4</v>
      </c>
      <c r="T22" t="s">
        <v>270</v>
      </c>
      <c r="U22" t="s">
        <v>271</v>
      </c>
      <c r="V22" t="s">
        <v>272</v>
      </c>
      <c r="W22" t="s">
        <v>203</v>
      </c>
      <c r="X22" t="s">
        <v>4</v>
      </c>
      <c r="Y22" t="s">
        <v>273</v>
      </c>
      <c r="Z22" t="s">
        <v>274</v>
      </c>
      <c r="AA22" t="s">
        <v>275</v>
      </c>
      <c r="AB22" t="s">
        <v>4</v>
      </c>
      <c r="AC22" s="3" t="s">
        <v>276</v>
      </c>
      <c r="AD22" t="s">
        <v>4</v>
      </c>
      <c r="AE22" t="s">
        <v>277</v>
      </c>
      <c r="AF22" t="s">
        <v>278</v>
      </c>
      <c r="AG22" t="s">
        <v>279</v>
      </c>
      <c r="AH22" t="s">
        <v>112</v>
      </c>
      <c r="AU22" t="s">
        <v>112</v>
      </c>
      <c r="AV22" t="s">
        <v>280</v>
      </c>
      <c r="AW22" t="s">
        <v>114</v>
      </c>
      <c r="AX22" t="s">
        <v>132</v>
      </c>
      <c r="AY22" t="s">
        <v>281</v>
      </c>
      <c r="AZ22" t="s">
        <v>4</v>
      </c>
      <c r="BA22" s="3" t="s">
        <v>95</v>
      </c>
      <c r="BB22" s="6" t="s">
        <v>95</v>
      </c>
      <c r="BC22" s="3" t="s">
        <v>95</v>
      </c>
      <c r="BD22" t="s">
        <v>4</v>
      </c>
      <c r="BE22">
        <v>5207</v>
      </c>
      <c r="BF22" t="s">
        <v>282</v>
      </c>
      <c r="BG22">
        <v>98.153000000000006</v>
      </c>
      <c r="BH22">
        <v>99.208399999999997</v>
      </c>
      <c r="BI22">
        <v>96.306100000000001</v>
      </c>
      <c r="BJ22">
        <v>84.168899999999994</v>
      </c>
      <c r="BK22">
        <v>22.427399999999999</v>
      </c>
      <c r="BO22">
        <v>18.4697</v>
      </c>
      <c r="BP22">
        <v>56.200499999999998</v>
      </c>
      <c r="BR22">
        <v>60.422199999999997</v>
      </c>
      <c r="BS22">
        <v>53.561999999999998</v>
      </c>
      <c r="BW22">
        <v>46.965699999999998</v>
      </c>
      <c r="CB22">
        <v>16.622699999999998</v>
      </c>
      <c r="CD22">
        <v>26.649100000000001</v>
      </c>
      <c r="CK22">
        <v>6</v>
      </c>
      <c r="CL22" t="s">
        <v>4</v>
      </c>
      <c r="CM22" t="s">
        <v>98</v>
      </c>
      <c r="CN22" t="s">
        <v>98</v>
      </c>
      <c r="CO22" t="s">
        <v>99</v>
      </c>
      <c r="CP22">
        <v>21</v>
      </c>
      <c r="CQ22" t="s">
        <v>100</v>
      </c>
      <c r="CR22" t="s">
        <v>100</v>
      </c>
      <c r="CS22" t="s">
        <v>101</v>
      </c>
      <c r="CT22" t="s">
        <v>100</v>
      </c>
      <c r="CU22" t="s">
        <v>102</v>
      </c>
      <c r="CV22" t="s">
        <v>100</v>
      </c>
    </row>
    <row r="23" spans="1:100">
      <c r="A23" s="3" t="s">
        <v>283</v>
      </c>
      <c r="B23" s="4" t="s">
        <v>284</v>
      </c>
      <c r="C23">
        <v>39.490342550656301</v>
      </c>
      <c r="D23">
        <v>5.7678610601669096</v>
      </c>
      <c r="E23">
        <v>2.7800815530556999</v>
      </c>
      <c r="F23">
        <v>4.5149635579494404E-3</v>
      </c>
      <c r="G23" t="s">
        <v>4</v>
      </c>
      <c r="H23">
        <v>39.490342550656301</v>
      </c>
      <c r="I23">
        <v>1.93533642871265</v>
      </c>
      <c r="J23">
        <v>4.3828551924442598</v>
      </c>
      <c r="K23">
        <v>1.49819696553171E-4</v>
      </c>
      <c r="L23" t="s">
        <v>4</v>
      </c>
      <c r="M23">
        <v>5.7678610601669096</v>
      </c>
      <c r="N23">
        <v>1.93533642871265</v>
      </c>
      <c r="O23">
        <v>1.6027736393885601</v>
      </c>
      <c r="P23">
        <v>0.21885482651907401</v>
      </c>
      <c r="Q23" t="s">
        <v>4</v>
      </c>
      <c r="R23" s="4" t="s">
        <v>87</v>
      </c>
      <c r="S23" t="s">
        <v>4</v>
      </c>
      <c r="T23" t="s">
        <v>92</v>
      </c>
      <c r="U23" t="s">
        <v>92</v>
      </c>
      <c r="V23" t="s">
        <v>92</v>
      </c>
      <c r="W23" t="s">
        <v>92</v>
      </c>
      <c r="X23" t="s">
        <v>4</v>
      </c>
      <c r="Y23" t="s">
        <v>92</v>
      </c>
      <c r="Z23" t="s">
        <v>92</v>
      </c>
      <c r="AA23" t="s">
        <v>92</v>
      </c>
      <c r="AB23" t="s">
        <v>4</v>
      </c>
      <c r="AC23" s="3" t="s">
        <v>93</v>
      </c>
      <c r="AD23" t="s">
        <v>4</v>
      </c>
      <c r="AE23" s="4" t="s">
        <v>94</v>
      </c>
      <c r="AZ23" t="s">
        <v>4</v>
      </c>
      <c r="BA23" s="3" t="s">
        <v>95</v>
      </c>
      <c r="BB23" s="6" t="s">
        <v>95</v>
      </c>
      <c r="BC23" s="3" t="s">
        <v>95</v>
      </c>
      <c r="BD23" t="s">
        <v>4</v>
      </c>
      <c r="BE23">
        <v>2900</v>
      </c>
      <c r="BF23" t="s">
        <v>97</v>
      </c>
      <c r="BG23">
        <v>51.7241</v>
      </c>
      <c r="BI23">
        <v>42.758600000000001</v>
      </c>
      <c r="BJ23">
        <v>56.551699999999997</v>
      </c>
      <c r="BK23">
        <v>50.344799999999999</v>
      </c>
      <c r="BM23">
        <v>42.758600000000001</v>
      </c>
      <c r="BN23">
        <v>42.758600000000001</v>
      </c>
      <c r="BO23">
        <v>48.2759</v>
      </c>
      <c r="BP23">
        <v>6.8965500000000004</v>
      </c>
      <c r="CK23">
        <v>4</v>
      </c>
      <c r="CL23" t="s">
        <v>4</v>
      </c>
      <c r="CM23" t="s">
        <v>98</v>
      </c>
      <c r="CN23" t="s">
        <v>98</v>
      </c>
      <c r="CO23" t="s">
        <v>99</v>
      </c>
      <c r="CP23">
        <v>22</v>
      </c>
      <c r="CQ23" t="s">
        <v>100</v>
      </c>
      <c r="CR23" t="s">
        <v>100</v>
      </c>
      <c r="CS23" t="s">
        <v>101</v>
      </c>
      <c r="CT23" t="s">
        <v>100</v>
      </c>
      <c r="CU23" t="s">
        <v>102</v>
      </c>
      <c r="CV23" t="s">
        <v>100</v>
      </c>
    </row>
    <row r="24" spans="1:100">
      <c r="A24" s="3" t="s">
        <v>285</v>
      </c>
      <c r="B24" s="4" t="s">
        <v>286</v>
      </c>
      <c r="C24">
        <v>66.115044988638303</v>
      </c>
      <c r="D24">
        <v>11.119112302534599</v>
      </c>
      <c r="E24">
        <v>2.5838774724384801</v>
      </c>
      <c r="F24">
        <v>8.3894775947811195E-4</v>
      </c>
      <c r="G24" t="s">
        <v>4</v>
      </c>
      <c r="H24">
        <v>66.115044988638303</v>
      </c>
      <c r="I24">
        <v>1.64774300646701</v>
      </c>
      <c r="J24">
        <v>5.2317408011183701</v>
      </c>
      <c r="K24" s="5">
        <v>5.2086234067133305E-7</v>
      </c>
      <c r="L24" t="s">
        <v>4</v>
      </c>
      <c r="M24">
        <v>11.119112302534599</v>
      </c>
      <c r="N24">
        <v>1.64774300646701</v>
      </c>
      <c r="O24">
        <v>2.64786332867989</v>
      </c>
      <c r="P24">
        <v>1.66905193848132E-2</v>
      </c>
      <c r="Q24" t="s">
        <v>4</v>
      </c>
      <c r="R24" s="4" t="s">
        <v>87</v>
      </c>
      <c r="S24" t="s">
        <v>4</v>
      </c>
      <c r="T24" t="s">
        <v>92</v>
      </c>
      <c r="U24" t="s">
        <v>92</v>
      </c>
      <c r="V24" t="s">
        <v>92</v>
      </c>
      <c r="W24" t="s">
        <v>92</v>
      </c>
      <c r="X24" t="s">
        <v>4</v>
      </c>
      <c r="Y24" t="s">
        <v>92</v>
      </c>
      <c r="Z24" t="s">
        <v>92</v>
      </c>
      <c r="AA24" t="s">
        <v>92</v>
      </c>
      <c r="AB24" t="s">
        <v>4</v>
      </c>
      <c r="AC24" s="3" t="s">
        <v>93</v>
      </c>
      <c r="AD24" t="s">
        <v>4</v>
      </c>
      <c r="AE24" s="4" t="s">
        <v>94</v>
      </c>
      <c r="AZ24" t="s">
        <v>4</v>
      </c>
      <c r="BA24" s="3" t="s">
        <v>95</v>
      </c>
      <c r="BB24" s="6" t="s">
        <v>95</v>
      </c>
      <c r="BC24" s="3" t="s">
        <v>95</v>
      </c>
      <c r="BD24" t="s">
        <v>4</v>
      </c>
      <c r="BE24">
        <v>1415</v>
      </c>
      <c r="BF24" t="s">
        <v>151</v>
      </c>
      <c r="BG24">
        <v>88.333299999999994</v>
      </c>
      <c r="CK24">
        <v>2</v>
      </c>
      <c r="CL24" t="s">
        <v>4</v>
      </c>
      <c r="CM24" t="s">
        <v>98</v>
      </c>
      <c r="CN24" t="s">
        <v>98</v>
      </c>
      <c r="CO24" t="s">
        <v>99</v>
      </c>
      <c r="CP24">
        <v>23</v>
      </c>
      <c r="CQ24" t="s">
        <v>100</v>
      </c>
      <c r="CR24" t="s">
        <v>100</v>
      </c>
      <c r="CS24" t="s">
        <v>101</v>
      </c>
      <c r="CT24" s="7" t="s">
        <v>152</v>
      </c>
      <c r="CU24" t="s">
        <v>102</v>
      </c>
      <c r="CV24" t="s">
        <v>100</v>
      </c>
    </row>
    <row r="25" spans="1:100">
      <c r="A25" s="3" t="s">
        <v>287</v>
      </c>
      <c r="B25" s="4" t="s">
        <v>288</v>
      </c>
      <c r="C25">
        <v>62.7458405626816</v>
      </c>
      <c r="D25">
        <v>12.6720229934262</v>
      </c>
      <c r="E25">
        <v>2.30982750437733</v>
      </c>
      <c r="F25">
        <v>1.2577072847055901E-3</v>
      </c>
      <c r="G25" t="s">
        <v>4</v>
      </c>
      <c r="H25">
        <v>62.7458405626816</v>
      </c>
      <c r="I25">
        <v>8.1085598997007402</v>
      </c>
      <c r="J25">
        <v>2.9804941336355699</v>
      </c>
      <c r="K25" s="5">
        <v>6.5101972887638505E-5</v>
      </c>
      <c r="L25" t="s">
        <v>4</v>
      </c>
      <c r="M25">
        <v>12.6720229934262</v>
      </c>
      <c r="N25">
        <v>8.1085598997007402</v>
      </c>
      <c r="O25">
        <v>0.67066662925824205</v>
      </c>
      <c r="P25">
        <v>0.44683010394221401</v>
      </c>
      <c r="Q25" t="s">
        <v>4</v>
      </c>
      <c r="R25" s="4" t="s">
        <v>87</v>
      </c>
      <c r="S25" t="s">
        <v>4</v>
      </c>
      <c r="T25" t="s">
        <v>92</v>
      </c>
      <c r="U25" t="s">
        <v>92</v>
      </c>
      <c r="V25" t="s">
        <v>92</v>
      </c>
      <c r="W25" t="s">
        <v>92</v>
      </c>
      <c r="X25" t="s">
        <v>4</v>
      </c>
      <c r="Y25" t="s">
        <v>92</v>
      </c>
      <c r="Z25" t="s">
        <v>92</v>
      </c>
      <c r="AA25" t="s">
        <v>92</v>
      </c>
      <c r="AB25" t="s">
        <v>4</v>
      </c>
      <c r="AC25" s="3" t="s">
        <v>93</v>
      </c>
      <c r="AD25" t="s">
        <v>4</v>
      </c>
      <c r="AE25" s="4" t="s">
        <v>94</v>
      </c>
      <c r="AZ25" t="s">
        <v>4</v>
      </c>
      <c r="BA25" s="3" t="s">
        <v>95</v>
      </c>
      <c r="BB25" s="6" t="s">
        <v>95</v>
      </c>
      <c r="BC25" s="3" t="s">
        <v>197</v>
      </c>
      <c r="BD25" t="s">
        <v>4</v>
      </c>
      <c r="BE25">
        <v>2216</v>
      </c>
      <c r="BF25" t="s">
        <v>148</v>
      </c>
      <c r="BG25">
        <v>57.788899999999998</v>
      </c>
      <c r="BH25">
        <v>98.995000000000005</v>
      </c>
      <c r="BJ25">
        <v>47.236199999999997</v>
      </c>
      <c r="BK25">
        <v>41.206000000000003</v>
      </c>
      <c r="BL25">
        <v>44.2211</v>
      </c>
      <c r="BM25">
        <v>55.7789</v>
      </c>
      <c r="BN25" t="s">
        <v>289</v>
      </c>
      <c r="BO25">
        <v>36.683399999999999</v>
      </c>
      <c r="CK25">
        <v>3</v>
      </c>
      <c r="CL25" t="s">
        <v>4</v>
      </c>
      <c r="CM25" t="s">
        <v>98</v>
      </c>
      <c r="CN25" t="s">
        <v>98</v>
      </c>
      <c r="CO25" t="s">
        <v>99</v>
      </c>
      <c r="CP25">
        <v>24</v>
      </c>
      <c r="CQ25" t="s">
        <v>100</v>
      </c>
      <c r="CR25" t="s">
        <v>100</v>
      </c>
      <c r="CS25" t="s">
        <v>101</v>
      </c>
      <c r="CT25" t="s">
        <v>100</v>
      </c>
      <c r="CU25" t="s">
        <v>102</v>
      </c>
      <c r="CV25" t="s">
        <v>100</v>
      </c>
    </row>
    <row r="26" spans="1:100">
      <c r="A26" s="3" t="s">
        <v>290</v>
      </c>
      <c r="B26" s="4" t="s">
        <v>291</v>
      </c>
      <c r="C26">
        <v>708.80880161239099</v>
      </c>
      <c r="D26">
        <v>99.467526375689104</v>
      </c>
      <c r="E26">
        <v>2.8289286498392201</v>
      </c>
      <c r="F26" s="5">
        <v>1.4781531744784801E-14</v>
      </c>
      <c r="G26" t="s">
        <v>4</v>
      </c>
      <c r="H26">
        <v>708.80880161239099</v>
      </c>
      <c r="I26">
        <v>38.910811781182097</v>
      </c>
      <c r="J26">
        <v>4.1814611886724</v>
      </c>
      <c r="K26" s="5">
        <v>1.46394817680233E-27</v>
      </c>
      <c r="L26" t="s">
        <v>4</v>
      </c>
      <c r="M26">
        <v>99.467526375689104</v>
      </c>
      <c r="N26">
        <v>38.910811781182097</v>
      </c>
      <c r="O26">
        <v>1.3525325388331799</v>
      </c>
      <c r="P26">
        <v>9.6003408183065403E-4</v>
      </c>
      <c r="Q26" t="s">
        <v>4</v>
      </c>
      <c r="R26" s="4" t="s">
        <v>87</v>
      </c>
      <c r="S26" t="s">
        <v>4</v>
      </c>
      <c r="T26" t="s">
        <v>92</v>
      </c>
      <c r="U26" t="s">
        <v>92</v>
      </c>
      <c r="V26" t="s">
        <v>92</v>
      </c>
      <c r="W26" t="s">
        <v>92</v>
      </c>
      <c r="X26" t="s">
        <v>4</v>
      </c>
      <c r="Y26" t="s">
        <v>292</v>
      </c>
      <c r="Z26" t="s">
        <v>293</v>
      </c>
      <c r="AA26" t="s">
        <v>294</v>
      </c>
      <c r="AB26" t="s">
        <v>4</v>
      </c>
      <c r="AC26" s="3" t="s">
        <v>295</v>
      </c>
      <c r="AD26" t="s">
        <v>4</v>
      </c>
      <c r="AE26" t="s">
        <v>296</v>
      </c>
      <c r="AF26" t="s">
        <v>297</v>
      </c>
      <c r="AG26" t="s">
        <v>298</v>
      </c>
      <c r="AH26" t="s">
        <v>112</v>
      </c>
      <c r="AI26" t="s">
        <v>299</v>
      </c>
      <c r="AJ26" t="s">
        <v>300</v>
      </c>
      <c r="AL26" t="s">
        <v>301</v>
      </c>
      <c r="AM26" t="s">
        <v>302</v>
      </c>
      <c r="AQ26" t="s">
        <v>303</v>
      </c>
      <c r="AU26" t="s">
        <v>112</v>
      </c>
      <c r="AV26" t="s">
        <v>304</v>
      </c>
      <c r="AW26" t="s">
        <v>114</v>
      </c>
      <c r="AX26" t="s">
        <v>132</v>
      </c>
      <c r="AY26" t="s">
        <v>305</v>
      </c>
      <c r="AZ26" t="s">
        <v>4</v>
      </c>
      <c r="BA26" s="3" t="s">
        <v>95</v>
      </c>
      <c r="BB26" s="6" t="s">
        <v>95</v>
      </c>
      <c r="BC26" s="3" t="s">
        <v>95</v>
      </c>
      <c r="BD26" t="s">
        <v>4</v>
      </c>
      <c r="BE26">
        <v>4469</v>
      </c>
      <c r="BF26" t="s">
        <v>112</v>
      </c>
      <c r="BG26">
        <v>79.214399999999998</v>
      </c>
      <c r="BH26">
        <v>53.027799999999999</v>
      </c>
      <c r="BJ26">
        <v>43.535200000000003</v>
      </c>
      <c r="BK26">
        <v>40.261899999999997</v>
      </c>
      <c r="BM26">
        <v>45.335500000000003</v>
      </c>
      <c r="BN26">
        <v>52.373199999999997</v>
      </c>
      <c r="BO26">
        <v>53.355200000000004</v>
      </c>
      <c r="BP26">
        <v>17.184899999999999</v>
      </c>
      <c r="CK26">
        <v>5</v>
      </c>
      <c r="CL26" t="s">
        <v>4</v>
      </c>
      <c r="CM26" t="s">
        <v>98</v>
      </c>
      <c r="CN26" t="s">
        <v>98</v>
      </c>
      <c r="CO26" t="s">
        <v>99</v>
      </c>
      <c r="CP26">
        <v>25</v>
      </c>
      <c r="CQ26" t="s">
        <v>100</v>
      </c>
      <c r="CR26" t="s">
        <v>100</v>
      </c>
      <c r="CS26" t="s">
        <v>101</v>
      </c>
      <c r="CT26" s="7" t="s">
        <v>152</v>
      </c>
      <c r="CU26" t="s">
        <v>102</v>
      </c>
      <c r="CV26" t="s">
        <v>100</v>
      </c>
    </row>
    <row r="27" spans="1:100">
      <c r="A27" s="3" t="s">
        <v>306</v>
      </c>
      <c r="B27" s="4" t="s">
        <v>307</v>
      </c>
      <c r="C27">
        <v>60.9762136674453</v>
      </c>
      <c r="D27">
        <v>8.2826805417578306</v>
      </c>
      <c r="E27">
        <v>2.9052553923412101</v>
      </c>
      <c r="F27" s="5">
        <v>3.47101317326215E-5</v>
      </c>
      <c r="G27" t="s">
        <v>4</v>
      </c>
      <c r="H27">
        <v>60.9762136674453</v>
      </c>
      <c r="I27">
        <v>3.76724154731451</v>
      </c>
      <c r="J27">
        <v>3.9360185861076</v>
      </c>
      <c r="K27" s="5">
        <v>9.3273263871849898E-7</v>
      </c>
      <c r="L27" t="s">
        <v>4</v>
      </c>
      <c r="M27">
        <v>8.2826805417578306</v>
      </c>
      <c r="N27">
        <v>3.76724154731451</v>
      </c>
      <c r="O27">
        <v>1.0307631937663799</v>
      </c>
      <c r="P27">
        <v>0.27507423857330199</v>
      </c>
      <c r="Q27" t="s">
        <v>4</v>
      </c>
      <c r="R27" s="4" t="s">
        <v>87</v>
      </c>
      <c r="S27" t="s">
        <v>4</v>
      </c>
      <c r="T27" t="s">
        <v>92</v>
      </c>
      <c r="U27" t="s">
        <v>92</v>
      </c>
      <c r="V27" t="s">
        <v>92</v>
      </c>
      <c r="W27" t="s">
        <v>92</v>
      </c>
      <c r="X27" t="s">
        <v>4</v>
      </c>
      <c r="Y27" t="s">
        <v>308</v>
      </c>
      <c r="Z27" t="s">
        <v>309</v>
      </c>
      <c r="AA27" t="s">
        <v>310</v>
      </c>
      <c r="AB27" t="s">
        <v>4</v>
      </c>
      <c r="AC27" s="3" t="s">
        <v>295</v>
      </c>
      <c r="AD27" t="s">
        <v>4</v>
      </c>
      <c r="AE27" t="s">
        <v>311</v>
      </c>
      <c r="AF27" t="s">
        <v>312</v>
      </c>
      <c r="AG27" t="s">
        <v>313</v>
      </c>
      <c r="AH27" t="s">
        <v>314</v>
      </c>
      <c r="AU27" t="s">
        <v>112</v>
      </c>
      <c r="AV27" t="s">
        <v>315</v>
      </c>
      <c r="AW27" t="s">
        <v>114</v>
      </c>
      <c r="AX27" t="s">
        <v>144</v>
      </c>
      <c r="AY27" t="s">
        <v>316</v>
      </c>
      <c r="AZ27" t="s">
        <v>4</v>
      </c>
      <c r="BA27" s="3" t="s">
        <v>95</v>
      </c>
      <c r="BB27" s="6" t="s">
        <v>95</v>
      </c>
      <c r="BC27" s="3" t="s">
        <v>95</v>
      </c>
      <c r="BD27" t="s">
        <v>4</v>
      </c>
      <c r="BE27">
        <v>4470</v>
      </c>
      <c r="BF27" t="s">
        <v>112</v>
      </c>
      <c r="BG27">
        <v>91.851900000000001</v>
      </c>
      <c r="BJ27">
        <v>22.222200000000001</v>
      </c>
      <c r="BK27">
        <v>59.259300000000003</v>
      </c>
      <c r="BM27">
        <v>70.370400000000004</v>
      </c>
      <c r="BN27">
        <v>70.370400000000004</v>
      </c>
      <c r="BO27">
        <v>71.851900000000001</v>
      </c>
      <c r="BP27">
        <v>24.444400000000002</v>
      </c>
      <c r="CK27">
        <v>5</v>
      </c>
      <c r="CL27" t="s">
        <v>4</v>
      </c>
      <c r="CM27" t="s">
        <v>98</v>
      </c>
      <c r="CN27" t="s">
        <v>98</v>
      </c>
      <c r="CO27" t="s">
        <v>99</v>
      </c>
      <c r="CP27">
        <v>26</v>
      </c>
      <c r="CQ27" t="s">
        <v>100</v>
      </c>
      <c r="CR27" t="s">
        <v>100</v>
      </c>
      <c r="CS27" t="s">
        <v>101</v>
      </c>
      <c r="CT27" t="s">
        <v>100</v>
      </c>
      <c r="CU27" t="s">
        <v>102</v>
      </c>
      <c r="CV27" t="s">
        <v>100</v>
      </c>
    </row>
    <row r="28" spans="1:100">
      <c r="A28" s="3" t="s">
        <v>317</v>
      </c>
      <c r="B28" s="4" t="s">
        <v>318</v>
      </c>
      <c r="C28">
        <v>70.4067273382758</v>
      </c>
      <c r="D28">
        <v>12.9833026547901</v>
      </c>
      <c r="E28">
        <v>2.44850115025808</v>
      </c>
      <c r="F28">
        <v>8.3452046868251299E-4</v>
      </c>
      <c r="G28" t="s">
        <v>4</v>
      </c>
      <c r="H28">
        <v>70.4067273382758</v>
      </c>
      <c r="I28">
        <v>3.3267924843477901</v>
      </c>
      <c r="J28">
        <v>4.2265851572510398</v>
      </c>
      <c r="K28" s="5">
        <v>6.1447940245544097E-7</v>
      </c>
      <c r="L28" t="s">
        <v>4</v>
      </c>
      <c r="M28">
        <v>12.9833026547901</v>
      </c>
      <c r="N28">
        <v>3.3267924843477901</v>
      </c>
      <c r="O28">
        <v>1.77808400699295</v>
      </c>
      <c r="P28">
        <v>5.39871544031892E-2</v>
      </c>
      <c r="Q28" t="s">
        <v>4</v>
      </c>
      <c r="R28" s="4" t="s">
        <v>87</v>
      </c>
      <c r="S28" t="s">
        <v>4</v>
      </c>
      <c r="T28" t="s">
        <v>92</v>
      </c>
      <c r="U28" t="s">
        <v>92</v>
      </c>
      <c r="V28" t="s">
        <v>92</v>
      </c>
      <c r="W28" t="s">
        <v>92</v>
      </c>
      <c r="X28" t="s">
        <v>4</v>
      </c>
      <c r="Y28" t="s">
        <v>92</v>
      </c>
      <c r="Z28" t="s">
        <v>92</v>
      </c>
      <c r="AA28" t="s">
        <v>92</v>
      </c>
      <c r="AB28" t="s">
        <v>4</v>
      </c>
      <c r="AC28" s="3" t="s">
        <v>93</v>
      </c>
      <c r="AD28" t="s">
        <v>4</v>
      </c>
      <c r="AE28" s="4" t="s">
        <v>94</v>
      </c>
      <c r="AZ28" t="s">
        <v>4</v>
      </c>
      <c r="BA28" s="3" t="s">
        <v>95</v>
      </c>
      <c r="BB28" s="6" t="s">
        <v>95</v>
      </c>
      <c r="BC28" s="3" t="s">
        <v>95</v>
      </c>
      <c r="BD28" t="s">
        <v>4</v>
      </c>
      <c r="BE28">
        <v>2221</v>
      </c>
      <c r="BF28" t="s">
        <v>148</v>
      </c>
      <c r="BG28">
        <v>77.971000000000004</v>
      </c>
      <c r="BH28">
        <v>79.710099999999997</v>
      </c>
      <c r="BI28">
        <v>80.289900000000003</v>
      </c>
      <c r="BL28">
        <v>26.376799999999999</v>
      </c>
      <c r="BM28">
        <v>38.260899999999999</v>
      </c>
      <c r="BN28" t="s">
        <v>319</v>
      </c>
      <c r="CK28">
        <v>3</v>
      </c>
      <c r="CL28" t="s">
        <v>4</v>
      </c>
      <c r="CM28" t="s">
        <v>98</v>
      </c>
      <c r="CN28" t="s">
        <v>98</v>
      </c>
      <c r="CO28" t="s">
        <v>99</v>
      </c>
      <c r="CP28">
        <v>27</v>
      </c>
      <c r="CQ28" t="s">
        <v>100</v>
      </c>
      <c r="CR28" t="s">
        <v>100</v>
      </c>
      <c r="CS28" t="s">
        <v>101</v>
      </c>
      <c r="CT28" t="s">
        <v>100</v>
      </c>
      <c r="CU28" t="s">
        <v>102</v>
      </c>
      <c r="CV28" t="s">
        <v>100</v>
      </c>
    </row>
    <row r="29" spans="1:100">
      <c r="A29" s="3" t="s">
        <v>320</v>
      </c>
      <c r="B29" s="4" t="s">
        <v>321</v>
      </c>
      <c r="C29">
        <v>153.17856127893401</v>
      </c>
      <c r="D29">
        <v>4.5952919565969603</v>
      </c>
      <c r="E29">
        <v>5.1138137007258599</v>
      </c>
      <c r="F29" s="5">
        <v>3.0774102981699798E-8</v>
      </c>
      <c r="G29" t="s">
        <v>4</v>
      </c>
      <c r="H29">
        <v>153.17856127893401</v>
      </c>
      <c r="I29">
        <v>7.4224458211912099</v>
      </c>
      <c r="J29">
        <v>4.3941138843375898</v>
      </c>
      <c r="K29" s="5">
        <v>1.2031362732561101E-6</v>
      </c>
      <c r="L29" t="s">
        <v>4</v>
      </c>
      <c r="M29">
        <v>4.5952919565969603</v>
      </c>
      <c r="N29">
        <v>7.4224458211912099</v>
      </c>
      <c r="O29">
        <f>0.719699816388264</f>
        <v>0.71969981638826397</v>
      </c>
      <c r="P29">
        <v>0.53436015225010602</v>
      </c>
      <c r="Q29" t="s">
        <v>4</v>
      </c>
      <c r="R29" s="4" t="s">
        <v>87</v>
      </c>
      <c r="S29" t="s">
        <v>4</v>
      </c>
      <c r="T29" t="s">
        <v>92</v>
      </c>
      <c r="U29" t="s">
        <v>92</v>
      </c>
      <c r="V29" t="s">
        <v>92</v>
      </c>
      <c r="W29" t="s">
        <v>92</v>
      </c>
      <c r="X29" t="s">
        <v>4</v>
      </c>
      <c r="Y29" t="s">
        <v>92</v>
      </c>
      <c r="Z29" t="s">
        <v>92</v>
      </c>
      <c r="AA29" t="s">
        <v>92</v>
      </c>
      <c r="AB29" t="s">
        <v>4</v>
      </c>
      <c r="AC29" s="3" t="s">
        <v>93</v>
      </c>
      <c r="AD29" t="s">
        <v>4</v>
      </c>
      <c r="AE29" s="4" t="s">
        <v>94</v>
      </c>
      <c r="AZ29" t="s">
        <v>4</v>
      </c>
      <c r="BA29" s="3" t="s">
        <v>95</v>
      </c>
      <c r="BB29" s="6" t="s">
        <v>95</v>
      </c>
      <c r="BC29" s="3" t="s">
        <v>197</v>
      </c>
      <c r="BD29" t="s">
        <v>4</v>
      </c>
      <c r="BE29">
        <v>320</v>
      </c>
      <c r="BF29" t="s">
        <v>322</v>
      </c>
      <c r="CK29">
        <v>1</v>
      </c>
      <c r="CL29" t="s">
        <v>4</v>
      </c>
      <c r="CM29" t="s">
        <v>98</v>
      </c>
      <c r="CN29" t="s">
        <v>98</v>
      </c>
      <c r="CO29" t="s">
        <v>99</v>
      </c>
      <c r="CP29">
        <v>28</v>
      </c>
      <c r="CQ29" t="s">
        <v>100</v>
      </c>
      <c r="CR29" t="s">
        <v>100</v>
      </c>
      <c r="CS29" t="s">
        <v>101</v>
      </c>
      <c r="CT29" t="s">
        <v>100</v>
      </c>
      <c r="CU29" t="s">
        <v>102</v>
      </c>
      <c r="CV29" t="s">
        <v>100</v>
      </c>
    </row>
    <row r="30" spans="1:100">
      <c r="A30" s="3" t="s">
        <v>323</v>
      </c>
      <c r="B30" s="4" t="s">
        <v>324</v>
      </c>
      <c r="C30">
        <v>205.75905120975699</v>
      </c>
      <c r="D30">
        <v>37.7924863546653</v>
      </c>
      <c r="E30">
        <v>2.4524562058556998</v>
      </c>
      <c r="F30" s="5">
        <v>3.0556628471590199E-9</v>
      </c>
      <c r="G30" t="s">
        <v>4</v>
      </c>
      <c r="H30">
        <v>205.75905120975699</v>
      </c>
      <c r="I30">
        <v>35.7504101478617</v>
      </c>
      <c r="J30">
        <v>2.5213013158619</v>
      </c>
      <c r="K30" s="5">
        <v>1.85911422398851E-9</v>
      </c>
      <c r="L30" t="s">
        <v>4</v>
      </c>
      <c r="M30">
        <v>37.7924863546653</v>
      </c>
      <c r="N30">
        <v>35.7504101478617</v>
      </c>
      <c r="O30">
        <v>6.8845110006202997E-2</v>
      </c>
      <c r="P30">
        <v>0.90782756494085404</v>
      </c>
      <c r="Q30" t="s">
        <v>4</v>
      </c>
      <c r="R30" s="4" t="s">
        <v>87</v>
      </c>
      <c r="S30" t="s">
        <v>4</v>
      </c>
      <c r="T30" t="s">
        <v>325</v>
      </c>
      <c r="U30" t="s">
        <v>326</v>
      </c>
      <c r="V30" t="s">
        <v>327</v>
      </c>
      <c r="W30" t="s">
        <v>328</v>
      </c>
      <c r="X30" t="s">
        <v>4</v>
      </c>
      <c r="Y30" t="s">
        <v>329</v>
      </c>
      <c r="Z30" t="s">
        <v>330</v>
      </c>
      <c r="AA30" t="s">
        <v>331</v>
      </c>
      <c r="AB30" t="s">
        <v>4</v>
      </c>
      <c r="AC30" s="3" t="s">
        <v>332</v>
      </c>
      <c r="AD30" t="s">
        <v>4</v>
      </c>
      <c r="AE30" t="s">
        <v>333</v>
      </c>
      <c r="AF30" t="s">
        <v>334</v>
      </c>
      <c r="AG30" t="s">
        <v>335</v>
      </c>
      <c r="AH30" t="s">
        <v>112</v>
      </c>
      <c r="AJ30" t="s">
        <v>336</v>
      </c>
      <c r="AK30" t="s">
        <v>337</v>
      </c>
      <c r="AL30" t="s">
        <v>338</v>
      </c>
      <c r="AM30" t="s">
        <v>339</v>
      </c>
      <c r="AO30" t="s">
        <v>340</v>
      </c>
      <c r="AP30" t="s">
        <v>341</v>
      </c>
      <c r="AQ30" t="s">
        <v>342</v>
      </c>
      <c r="AS30" t="s">
        <v>343</v>
      </c>
      <c r="AU30" t="s">
        <v>112</v>
      </c>
      <c r="AV30" t="s">
        <v>344</v>
      </c>
      <c r="AW30" t="s">
        <v>114</v>
      </c>
      <c r="AX30" t="s">
        <v>345</v>
      </c>
      <c r="AY30" t="s">
        <v>346</v>
      </c>
      <c r="AZ30" t="s">
        <v>4</v>
      </c>
      <c r="BA30" s="3" t="s">
        <v>95</v>
      </c>
      <c r="BB30" t="s">
        <v>96</v>
      </c>
      <c r="BC30" s="3" t="s">
        <v>197</v>
      </c>
      <c r="BD30" t="s">
        <v>4</v>
      </c>
      <c r="BE30">
        <v>8124</v>
      </c>
      <c r="BF30" t="s">
        <v>213</v>
      </c>
      <c r="BG30">
        <v>37.036999999999999</v>
      </c>
      <c r="BJ30" t="s">
        <v>347</v>
      </c>
      <c r="BN30">
        <v>24.305599999999998</v>
      </c>
      <c r="BP30">
        <v>22.685199999999998</v>
      </c>
      <c r="BS30" t="s">
        <v>348</v>
      </c>
      <c r="BU30" t="s">
        <v>349</v>
      </c>
      <c r="BV30" t="s">
        <v>350</v>
      </c>
      <c r="BW30">
        <v>10.8796</v>
      </c>
      <c r="BZ30">
        <v>36.1111</v>
      </c>
      <c r="CB30">
        <v>13.4259</v>
      </c>
      <c r="CC30">
        <v>30.324100000000001</v>
      </c>
      <c r="CD30" t="s">
        <v>351</v>
      </c>
      <c r="CF30" t="s">
        <v>352</v>
      </c>
      <c r="CG30">
        <v>35.416699999999999</v>
      </c>
      <c r="CH30">
        <v>32.870399999999997</v>
      </c>
      <c r="CI30">
        <v>31.0185</v>
      </c>
      <c r="CK30">
        <v>8</v>
      </c>
      <c r="CL30" t="s">
        <v>4</v>
      </c>
      <c r="CM30" t="s">
        <v>98</v>
      </c>
      <c r="CN30" t="s">
        <v>98</v>
      </c>
      <c r="CO30" t="s">
        <v>99</v>
      </c>
      <c r="CP30">
        <v>29</v>
      </c>
      <c r="CQ30" t="s">
        <v>100</v>
      </c>
      <c r="CR30" t="s">
        <v>100</v>
      </c>
      <c r="CS30" t="s">
        <v>101</v>
      </c>
      <c r="CT30" t="s">
        <v>100</v>
      </c>
      <c r="CU30" t="s">
        <v>102</v>
      </c>
      <c r="CV30" t="s">
        <v>100</v>
      </c>
    </row>
    <row r="31" spans="1:100">
      <c r="A31" s="3" t="s">
        <v>353</v>
      </c>
      <c r="B31" s="4" t="s">
        <v>354</v>
      </c>
      <c r="C31">
        <v>85.603148103666101</v>
      </c>
      <c r="D31">
        <v>14.716669657993</v>
      </c>
      <c r="E31">
        <v>2.53871185893047</v>
      </c>
      <c r="F31">
        <v>4.2711255544439497E-3</v>
      </c>
      <c r="G31" t="s">
        <v>4</v>
      </c>
      <c r="H31">
        <v>85.603148103666101</v>
      </c>
      <c r="I31">
        <v>12.543797666328301</v>
      </c>
      <c r="J31">
        <v>2.7629328094691199</v>
      </c>
      <c r="K31">
        <v>1.7256695962222599E-3</v>
      </c>
      <c r="L31" t="s">
        <v>4</v>
      </c>
      <c r="M31">
        <v>14.716669657993</v>
      </c>
      <c r="N31">
        <v>12.543797666328301</v>
      </c>
      <c r="O31">
        <v>0.22422095053864199</v>
      </c>
      <c r="P31">
        <v>0.84609479621803096</v>
      </c>
      <c r="Q31" t="s">
        <v>4</v>
      </c>
      <c r="R31" s="4" t="s">
        <v>87</v>
      </c>
      <c r="S31" t="s">
        <v>4</v>
      </c>
      <c r="T31" t="s">
        <v>88</v>
      </c>
      <c r="U31" t="s">
        <v>89</v>
      </c>
      <c r="V31" t="s">
        <v>90</v>
      </c>
      <c r="W31" t="s">
        <v>91</v>
      </c>
      <c r="X31" t="s">
        <v>4</v>
      </c>
      <c r="Y31" t="s">
        <v>92</v>
      </c>
      <c r="Z31" t="s">
        <v>92</v>
      </c>
      <c r="AA31" t="s">
        <v>92</v>
      </c>
      <c r="AB31" t="s">
        <v>4</v>
      </c>
      <c r="AC31" s="3" t="s">
        <v>93</v>
      </c>
      <c r="AD31" t="s">
        <v>4</v>
      </c>
      <c r="AE31" s="4" t="s">
        <v>94</v>
      </c>
      <c r="AZ31" t="s">
        <v>4</v>
      </c>
      <c r="BA31" s="3" t="s">
        <v>95</v>
      </c>
      <c r="BB31" t="s">
        <v>96</v>
      </c>
      <c r="BC31" s="3" t="s">
        <v>95</v>
      </c>
      <c r="BD31" t="s">
        <v>4</v>
      </c>
      <c r="BE31">
        <v>2915</v>
      </c>
      <c r="BF31" t="s">
        <v>97</v>
      </c>
      <c r="BG31" t="s">
        <v>355</v>
      </c>
      <c r="BI31">
        <v>80.193200000000004</v>
      </c>
      <c r="BJ31" t="s">
        <v>356</v>
      </c>
      <c r="BK31">
        <v>77.294700000000006</v>
      </c>
      <c r="BL31">
        <v>60.869599999999998</v>
      </c>
      <c r="BM31">
        <v>60.869599999999998</v>
      </c>
      <c r="BN31" t="s">
        <v>357</v>
      </c>
      <c r="BO31">
        <v>75.845399999999998</v>
      </c>
      <c r="BP31">
        <v>35.748800000000003</v>
      </c>
      <c r="CK31">
        <v>4</v>
      </c>
      <c r="CL31" t="s">
        <v>4</v>
      </c>
      <c r="CM31" t="s">
        <v>98</v>
      </c>
      <c r="CN31" t="s">
        <v>98</v>
      </c>
      <c r="CO31" t="s">
        <v>99</v>
      </c>
      <c r="CP31">
        <v>30</v>
      </c>
      <c r="CQ31" t="s">
        <v>100</v>
      </c>
      <c r="CR31" t="s">
        <v>100</v>
      </c>
      <c r="CS31" t="s">
        <v>101</v>
      </c>
      <c r="CT31" t="s">
        <v>100</v>
      </c>
      <c r="CU31" t="s">
        <v>102</v>
      </c>
      <c r="CV31" t="s">
        <v>100</v>
      </c>
    </row>
    <row r="32" spans="1:100">
      <c r="A32" s="3" t="s">
        <v>358</v>
      </c>
      <c r="B32" s="4" t="s">
        <v>359</v>
      </c>
      <c r="C32">
        <v>51.7585476865315</v>
      </c>
      <c r="D32">
        <v>11.783106164651</v>
      </c>
      <c r="E32">
        <v>2.1480831781047498</v>
      </c>
      <c r="F32">
        <v>5.9930512800259296E-3</v>
      </c>
      <c r="G32" t="s">
        <v>4</v>
      </c>
      <c r="H32">
        <v>51.7585476865315</v>
      </c>
      <c r="I32">
        <v>2.0881920694337301</v>
      </c>
      <c r="J32">
        <v>4.7607638874553597</v>
      </c>
      <c r="K32" s="5">
        <v>3.3291305802307601E-6</v>
      </c>
      <c r="L32" t="s">
        <v>4</v>
      </c>
      <c r="M32">
        <v>11.783106164651</v>
      </c>
      <c r="N32">
        <v>2.0881920694337301</v>
      </c>
      <c r="O32">
        <v>2.6126807093506002</v>
      </c>
      <c r="P32">
        <v>1.5516364664520299E-2</v>
      </c>
      <c r="Q32" t="s">
        <v>4</v>
      </c>
      <c r="R32" s="4" t="s">
        <v>87</v>
      </c>
      <c r="S32" t="s">
        <v>4</v>
      </c>
      <c r="T32" t="s">
        <v>360</v>
      </c>
      <c r="U32" t="s">
        <v>361</v>
      </c>
      <c r="V32" t="s">
        <v>362</v>
      </c>
      <c r="W32" t="s">
        <v>328</v>
      </c>
      <c r="X32" t="s">
        <v>4</v>
      </c>
      <c r="Y32" t="s">
        <v>363</v>
      </c>
      <c r="Z32" t="s">
        <v>364</v>
      </c>
      <c r="AA32" t="s">
        <v>365</v>
      </c>
      <c r="AB32" t="s">
        <v>4</v>
      </c>
      <c r="AC32" s="3" t="s">
        <v>366</v>
      </c>
      <c r="AD32" t="s">
        <v>4</v>
      </c>
      <c r="AE32" t="s">
        <v>367</v>
      </c>
      <c r="AF32" t="s">
        <v>368</v>
      </c>
      <c r="AG32" t="s">
        <v>369</v>
      </c>
      <c r="AH32" t="s">
        <v>314</v>
      </c>
      <c r="AU32" t="s">
        <v>112</v>
      </c>
      <c r="AV32" t="s">
        <v>370</v>
      </c>
      <c r="AW32" t="s">
        <v>114</v>
      </c>
      <c r="AX32" t="s">
        <v>371</v>
      </c>
      <c r="AY32" t="s">
        <v>372</v>
      </c>
      <c r="AZ32" t="s">
        <v>4</v>
      </c>
      <c r="BA32" s="3" t="s">
        <v>95</v>
      </c>
      <c r="BB32" s="6" t="s">
        <v>95</v>
      </c>
      <c r="BC32" s="3" t="s">
        <v>95</v>
      </c>
      <c r="BD32" t="s">
        <v>4</v>
      </c>
      <c r="BE32">
        <v>8145</v>
      </c>
      <c r="BF32" t="s">
        <v>213</v>
      </c>
      <c r="BG32">
        <v>82.035899999999998</v>
      </c>
      <c r="BH32">
        <v>100</v>
      </c>
      <c r="CE32">
        <v>24.550899999999999</v>
      </c>
      <c r="CF32">
        <v>26.946100000000001</v>
      </c>
      <c r="CG32" t="s">
        <v>373</v>
      </c>
      <c r="CK32">
        <v>8</v>
      </c>
      <c r="CL32" t="s">
        <v>4</v>
      </c>
      <c r="CM32" t="s">
        <v>98</v>
      </c>
      <c r="CN32" t="s">
        <v>98</v>
      </c>
      <c r="CO32" t="s">
        <v>99</v>
      </c>
      <c r="CP32">
        <v>31</v>
      </c>
      <c r="CQ32" t="s">
        <v>100</v>
      </c>
      <c r="CR32" t="s">
        <v>100</v>
      </c>
      <c r="CS32" t="s">
        <v>101</v>
      </c>
      <c r="CT32" s="7" t="s">
        <v>152</v>
      </c>
      <c r="CU32" t="s">
        <v>102</v>
      </c>
      <c r="CV32" t="s">
        <v>100</v>
      </c>
    </row>
    <row r="33" spans="1:100">
      <c r="A33" s="3" t="s">
        <v>374</v>
      </c>
      <c r="B33" s="4" t="s">
        <v>375</v>
      </c>
      <c r="C33">
        <v>401.34160608222902</v>
      </c>
      <c r="D33">
        <v>62.943153716463698</v>
      </c>
      <c r="E33">
        <v>2.67523031493814</v>
      </c>
      <c r="F33" s="5">
        <v>1.4027040543695199E-9</v>
      </c>
      <c r="G33" t="s">
        <v>4</v>
      </c>
      <c r="H33">
        <v>401.34160608222902</v>
      </c>
      <c r="I33">
        <v>26.069908796738702</v>
      </c>
      <c r="J33">
        <v>3.9063889225050201</v>
      </c>
      <c r="K33" s="5">
        <v>1.95775843170009E-17</v>
      </c>
      <c r="L33" t="s">
        <v>4</v>
      </c>
      <c r="M33">
        <v>62.943153716463698</v>
      </c>
      <c r="N33">
        <v>26.069908796738702</v>
      </c>
      <c r="O33">
        <v>1.2311586075668799</v>
      </c>
      <c r="P33">
        <v>1.32205816055043E-2</v>
      </c>
      <c r="Q33" t="s">
        <v>4</v>
      </c>
      <c r="R33" s="4" t="s">
        <v>87</v>
      </c>
      <c r="S33" t="s">
        <v>4</v>
      </c>
      <c r="T33" t="s">
        <v>376</v>
      </c>
      <c r="U33" t="s">
        <v>377</v>
      </c>
      <c r="V33" t="s">
        <v>378</v>
      </c>
      <c r="W33" t="s">
        <v>328</v>
      </c>
      <c r="X33" t="s">
        <v>4</v>
      </c>
      <c r="Y33" t="s">
        <v>379</v>
      </c>
      <c r="Z33" t="s">
        <v>380</v>
      </c>
      <c r="AA33" t="s">
        <v>381</v>
      </c>
      <c r="AB33" t="s">
        <v>4</v>
      </c>
      <c r="AC33" s="3" t="s">
        <v>382</v>
      </c>
      <c r="AD33" t="s">
        <v>4</v>
      </c>
      <c r="AE33" t="s">
        <v>383</v>
      </c>
      <c r="AF33" t="s">
        <v>384</v>
      </c>
      <c r="AG33" t="s">
        <v>385</v>
      </c>
      <c r="AH33" t="s">
        <v>386</v>
      </c>
      <c r="AU33" t="s">
        <v>112</v>
      </c>
      <c r="AV33" t="s">
        <v>387</v>
      </c>
      <c r="AW33" t="s">
        <v>114</v>
      </c>
      <c r="AX33" t="s">
        <v>132</v>
      </c>
      <c r="AY33" t="s">
        <v>388</v>
      </c>
      <c r="AZ33" t="s">
        <v>4</v>
      </c>
      <c r="BA33" s="3" t="s">
        <v>95</v>
      </c>
      <c r="BB33" t="s">
        <v>96</v>
      </c>
      <c r="BC33" s="3" t="s">
        <v>197</v>
      </c>
      <c r="BD33" t="s">
        <v>4</v>
      </c>
      <c r="BE33">
        <v>8158</v>
      </c>
      <c r="BF33" t="s">
        <v>213</v>
      </c>
      <c r="BI33">
        <v>50.759</v>
      </c>
      <c r="BJ33">
        <v>7.49526</v>
      </c>
      <c r="BL33">
        <v>14.611000000000001</v>
      </c>
      <c r="BM33">
        <v>59.582500000000003</v>
      </c>
      <c r="BN33">
        <v>63.662199999999999</v>
      </c>
      <c r="BP33">
        <v>5.5977199999999998</v>
      </c>
      <c r="BQ33">
        <v>6.1669799999999997</v>
      </c>
      <c r="BT33">
        <v>4.5540799999999999</v>
      </c>
      <c r="BU33">
        <v>1.8975299999999999</v>
      </c>
      <c r="BV33" t="s">
        <v>389</v>
      </c>
      <c r="BY33">
        <v>4.1745700000000001</v>
      </c>
      <c r="BZ33">
        <v>1.8026599999999999</v>
      </c>
      <c r="CB33">
        <v>6.7362399999999996</v>
      </c>
      <c r="CC33">
        <v>6.5464900000000004</v>
      </c>
      <c r="CD33" t="s">
        <v>390</v>
      </c>
      <c r="CE33" t="s">
        <v>391</v>
      </c>
      <c r="CF33" t="s">
        <v>392</v>
      </c>
      <c r="CG33" t="s">
        <v>393</v>
      </c>
      <c r="CH33" t="s">
        <v>394</v>
      </c>
      <c r="CI33">
        <v>4.9335899999999997</v>
      </c>
      <c r="CK33">
        <v>8</v>
      </c>
      <c r="CL33" t="s">
        <v>4</v>
      </c>
      <c r="CM33" t="s">
        <v>98</v>
      </c>
      <c r="CN33" t="s">
        <v>98</v>
      </c>
      <c r="CO33" t="s">
        <v>99</v>
      </c>
      <c r="CP33">
        <v>32</v>
      </c>
      <c r="CQ33" t="s">
        <v>100</v>
      </c>
      <c r="CR33" t="s">
        <v>100</v>
      </c>
      <c r="CS33" t="s">
        <v>101</v>
      </c>
      <c r="CT33" s="7" t="s">
        <v>152</v>
      </c>
      <c r="CU33" t="s">
        <v>102</v>
      </c>
      <c r="CV33" t="s">
        <v>100</v>
      </c>
    </row>
    <row r="34" spans="1:100">
      <c r="A34" s="3" t="s">
        <v>395</v>
      </c>
      <c r="B34" s="4" t="s">
        <v>396</v>
      </c>
      <c r="C34">
        <v>91.9801842526402</v>
      </c>
      <c r="D34">
        <v>20.568297717944201</v>
      </c>
      <c r="E34">
        <v>2.15700657888457</v>
      </c>
      <c r="F34">
        <v>4.2209098481873703E-3</v>
      </c>
      <c r="G34" t="s">
        <v>4</v>
      </c>
      <c r="H34">
        <v>91.9801842526402</v>
      </c>
      <c r="I34">
        <v>4.8877654023919197</v>
      </c>
      <c r="J34">
        <v>4.2086368610972702</v>
      </c>
      <c r="K34" s="5">
        <v>3.8241062809613098E-7</v>
      </c>
      <c r="L34" t="s">
        <v>4</v>
      </c>
      <c r="M34">
        <v>20.568297717944201</v>
      </c>
      <c r="N34">
        <v>4.8877654023919197</v>
      </c>
      <c r="O34">
        <v>2.0516302822127002</v>
      </c>
      <c r="P34">
        <v>1.9361541694960498E-2</v>
      </c>
      <c r="Q34" t="s">
        <v>4</v>
      </c>
      <c r="R34" s="4" t="s">
        <v>87</v>
      </c>
      <c r="S34" t="s">
        <v>4</v>
      </c>
      <c r="T34" t="s">
        <v>92</v>
      </c>
      <c r="U34" t="s">
        <v>92</v>
      </c>
      <c r="V34" t="s">
        <v>92</v>
      </c>
      <c r="W34" t="s">
        <v>92</v>
      </c>
      <c r="X34" t="s">
        <v>4</v>
      </c>
      <c r="Y34" t="s">
        <v>92</v>
      </c>
      <c r="Z34" t="s">
        <v>92</v>
      </c>
      <c r="AA34" t="s">
        <v>92</v>
      </c>
      <c r="AB34" t="s">
        <v>4</v>
      </c>
      <c r="AC34" s="3" t="s">
        <v>93</v>
      </c>
      <c r="AD34" t="s">
        <v>4</v>
      </c>
      <c r="AE34" s="4" t="s">
        <v>94</v>
      </c>
      <c r="AZ34" t="s">
        <v>4</v>
      </c>
      <c r="BA34" s="3" t="s">
        <v>95</v>
      </c>
      <c r="BB34" s="6" t="s">
        <v>95</v>
      </c>
      <c r="BC34" s="3" t="s">
        <v>95</v>
      </c>
      <c r="BD34" t="s">
        <v>4</v>
      </c>
      <c r="BE34">
        <v>1447</v>
      </c>
      <c r="BF34" t="s">
        <v>151</v>
      </c>
      <c r="BI34" t="s">
        <v>397</v>
      </c>
      <c r="CK34">
        <v>2</v>
      </c>
      <c r="CL34" t="s">
        <v>4</v>
      </c>
      <c r="CM34" t="s">
        <v>98</v>
      </c>
      <c r="CN34" t="s">
        <v>98</v>
      </c>
      <c r="CO34" t="s">
        <v>99</v>
      </c>
      <c r="CP34">
        <v>33</v>
      </c>
      <c r="CQ34" t="s">
        <v>100</v>
      </c>
      <c r="CR34" t="s">
        <v>100</v>
      </c>
      <c r="CS34" t="s">
        <v>101</v>
      </c>
      <c r="CT34" s="7" t="s">
        <v>152</v>
      </c>
      <c r="CU34" t="s">
        <v>102</v>
      </c>
      <c r="CV34" t="s">
        <v>100</v>
      </c>
    </row>
    <row r="35" spans="1:100">
      <c r="A35" s="3" t="s">
        <v>398</v>
      </c>
      <c r="B35" s="4" t="s">
        <v>399</v>
      </c>
      <c r="C35">
        <v>62.018697068034697</v>
      </c>
      <c r="D35">
        <v>7.4075708658019002</v>
      </c>
      <c r="E35">
        <v>3.0544350863877501</v>
      </c>
      <c r="F35">
        <v>1.7578110020593601E-4</v>
      </c>
      <c r="G35" t="s">
        <v>4</v>
      </c>
      <c r="H35">
        <v>62.018697068034697</v>
      </c>
      <c r="I35">
        <v>2.8056126193570199</v>
      </c>
      <c r="J35">
        <v>4.3612740942950499</v>
      </c>
      <c r="K35" s="5">
        <v>3.3390878638790301E-6</v>
      </c>
      <c r="L35" t="s">
        <v>4</v>
      </c>
      <c r="M35">
        <v>7.4075708658019002</v>
      </c>
      <c r="N35">
        <v>2.8056126193570199</v>
      </c>
      <c r="O35">
        <v>1.3068390079073</v>
      </c>
      <c r="P35">
        <v>0.226187329982692</v>
      </c>
      <c r="Q35" t="s">
        <v>4</v>
      </c>
      <c r="R35" s="4" t="s">
        <v>87</v>
      </c>
      <c r="S35" t="s">
        <v>4</v>
      </c>
      <c r="T35" t="s">
        <v>92</v>
      </c>
      <c r="U35" t="s">
        <v>92</v>
      </c>
      <c r="V35" t="s">
        <v>92</v>
      </c>
      <c r="W35" t="s">
        <v>92</v>
      </c>
      <c r="X35" t="s">
        <v>4</v>
      </c>
      <c r="Y35" t="s">
        <v>92</v>
      </c>
      <c r="Z35" t="s">
        <v>92</v>
      </c>
      <c r="AA35" t="s">
        <v>92</v>
      </c>
      <c r="AB35" t="s">
        <v>4</v>
      </c>
      <c r="AC35" s="3" t="s">
        <v>93</v>
      </c>
      <c r="AD35" t="s">
        <v>4</v>
      </c>
      <c r="AE35" s="4" t="s">
        <v>94</v>
      </c>
      <c r="AZ35" t="s">
        <v>4</v>
      </c>
      <c r="BA35" s="3" t="s">
        <v>95</v>
      </c>
      <c r="BB35" s="6" t="s">
        <v>95</v>
      </c>
      <c r="BC35" s="3" t="s">
        <v>95</v>
      </c>
      <c r="BD35" t="s">
        <v>4</v>
      </c>
      <c r="BE35">
        <v>1449</v>
      </c>
      <c r="BF35" t="s">
        <v>151</v>
      </c>
      <c r="BG35">
        <v>78</v>
      </c>
      <c r="BI35">
        <v>68</v>
      </c>
      <c r="BL35">
        <v>29.333300000000001</v>
      </c>
      <c r="CK35">
        <v>2</v>
      </c>
      <c r="CL35" t="s">
        <v>4</v>
      </c>
      <c r="CM35" t="s">
        <v>98</v>
      </c>
      <c r="CN35" t="s">
        <v>98</v>
      </c>
      <c r="CO35" t="s">
        <v>99</v>
      </c>
      <c r="CP35">
        <v>34</v>
      </c>
      <c r="CQ35" t="s">
        <v>100</v>
      </c>
      <c r="CR35" t="s">
        <v>100</v>
      </c>
      <c r="CS35" t="s">
        <v>101</v>
      </c>
      <c r="CT35" t="s">
        <v>100</v>
      </c>
      <c r="CU35" t="s">
        <v>102</v>
      </c>
      <c r="CV35" t="s">
        <v>100</v>
      </c>
    </row>
    <row r="36" spans="1:100">
      <c r="A36" s="3" t="s">
        <v>400</v>
      </c>
      <c r="B36" s="4" t="s">
        <v>401</v>
      </c>
      <c r="C36">
        <v>1617.9443878070199</v>
      </c>
      <c r="D36">
        <v>382.17302217423298</v>
      </c>
      <c r="E36">
        <v>2.0805008574064399</v>
      </c>
      <c r="F36" s="5">
        <v>1.1431103979184899E-17</v>
      </c>
      <c r="G36" t="s">
        <v>4</v>
      </c>
      <c r="H36">
        <v>1617.9443878070199</v>
      </c>
      <c r="I36">
        <v>260.53277799190602</v>
      </c>
      <c r="J36">
        <v>2.6286176867959901</v>
      </c>
      <c r="K36" s="5">
        <v>1.86034201633969E-27</v>
      </c>
      <c r="L36" t="s">
        <v>4</v>
      </c>
      <c r="M36">
        <v>382.17302217423298</v>
      </c>
      <c r="N36">
        <v>260.53277799190602</v>
      </c>
      <c r="O36">
        <v>0.54811682938954998</v>
      </c>
      <c r="P36">
        <v>3.85815377988806E-2</v>
      </c>
      <c r="Q36" t="s">
        <v>4</v>
      </c>
      <c r="R36" s="4" t="s">
        <v>87</v>
      </c>
      <c r="S36" t="s">
        <v>4</v>
      </c>
      <c r="T36" t="s">
        <v>402</v>
      </c>
      <c r="U36" t="s">
        <v>403</v>
      </c>
      <c r="V36" t="s">
        <v>404</v>
      </c>
      <c r="W36" t="s">
        <v>203</v>
      </c>
      <c r="X36" t="s">
        <v>4</v>
      </c>
      <c r="Y36" t="s">
        <v>405</v>
      </c>
      <c r="Z36" t="s">
        <v>406</v>
      </c>
      <c r="AA36" t="s">
        <v>407</v>
      </c>
      <c r="AB36" t="s">
        <v>4</v>
      </c>
      <c r="AC36" s="3" t="s">
        <v>408</v>
      </c>
      <c r="AD36" t="s">
        <v>4</v>
      </c>
      <c r="AE36" t="s">
        <v>409</v>
      </c>
      <c r="AF36" t="s">
        <v>410</v>
      </c>
      <c r="AG36" t="s">
        <v>411</v>
      </c>
      <c r="AH36" t="s">
        <v>112</v>
      </c>
      <c r="AU36" t="s">
        <v>112</v>
      </c>
      <c r="AV36" t="s">
        <v>412</v>
      </c>
      <c r="AW36" t="s">
        <v>114</v>
      </c>
      <c r="AX36" t="s">
        <v>132</v>
      </c>
      <c r="AY36" t="s">
        <v>281</v>
      </c>
      <c r="AZ36" t="s">
        <v>4</v>
      </c>
      <c r="BA36" s="3" t="s">
        <v>95</v>
      </c>
      <c r="BB36" s="6" t="s">
        <v>95</v>
      </c>
      <c r="BC36" s="3" t="s">
        <v>95</v>
      </c>
      <c r="BD36" t="s">
        <v>4</v>
      </c>
      <c r="BE36">
        <v>5762</v>
      </c>
      <c r="BF36" t="s">
        <v>386</v>
      </c>
      <c r="BG36">
        <v>26.763100000000001</v>
      </c>
      <c r="BH36">
        <v>99.638300000000001</v>
      </c>
      <c r="BI36">
        <v>94.032499999999999</v>
      </c>
      <c r="BJ36">
        <v>79.023499999999999</v>
      </c>
      <c r="BK36">
        <v>74.864400000000003</v>
      </c>
      <c r="BM36">
        <v>75.768500000000003</v>
      </c>
      <c r="BN36">
        <v>78.661799999999999</v>
      </c>
      <c r="BO36">
        <v>76.130200000000002</v>
      </c>
      <c r="BS36">
        <v>25.316500000000001</v>
      </c>
      <c r="BX36">
        <v>25.1356</v>
      </c>
      <c r="CB36">
        <v>7.4141000000000004</v>
      </c>
      <c r="CC36" t="s">
        <v>413</v>
      </c>
      <c r="CD36" t="s">
        <v>414</v>
      </c>
      <c r="CE36">
        <v>16.998200000000001</v>
      </c>
      <c r="CF36">
        <v>18.444800000000001</v>
      </c>
      <c r="CK36">
        <v>7</v>
      </c>
      <c r="CL36" t="s">
        <v>4</v>
      </c>
      <c r="CM36" t="s">
        <v>98</v>
      </c>
      <c r="CN36" t="s">
        <v>98</v>
      </c>
      <c r="CO36" t="s">
        <v>99</v>
      </c>
      <c r="CP36">
        <v>35</v>
      </c>
      <c r="CQ36" t="s">
        <v>100</v>
      </c>
      <c r="CR36" t="s">
        <v>100</v>
      </c>
      <c r="CS36" t="s">
        <v>101</v>
      </c>
      <c r="CT36" t="s">
        <v>100</v>
      </c>
      <c r="CU36" t="s">
        <v>102</v>
      </c>
      <c r="CV36" t="s">
        <v>100</v>
      </c>
    </row>
    <row r="37" spans="1:100">
      <c r="A37" s="3" t="s">
        <v>415</v>
      </c>
      <c r="B37" s="4" t="s">
        <v>416</v>
      </c>
      <c r="C37">
        <v>3529.0468016187201</v>
      </c>
      <c r="D37">
        <v>776.516025477374</v>
      </c>
      <c r="E37">
        <v>2.1840914162631599</v>
      </c>
      <c r="F37" s="5">
        <v>2.0394282346863099E-9</v>
      </c>
      <c r="G37" t="s">
        <v>4</v>
      </c>
      <c r="H37">
        <v>3529.0468016187201</v>
      </c>
      <c r="I37">
        <v>136.25307915526801</v>
      </c>
      <c r="J37">
        <v>4.6783891573612699</v>
      </c>
      <c r="K37" s="5">
        <v>5.2870286448331E-39</v>
      </c>
      <c r="L37" t="s">
        <v>4</v>
      </c>
      <c r="M37">
        <v>776.516025477374</v>
      </c>
      <c r="N37">
        <v>136.25307915526801</v>
      </c>
      <c r="O37">
        <v>2.49429774109811</v>
      </c>
      <c r="P37" s="5">
        <v>7.3932348496096301E-12</v>
      </c>
      <c r="Q37" t="s">
        <v>4</v>
      </c>
      <c r="R37" s="4" t="s">
        <v>87</v>
      </c>
      <c r="S37" t="s">
        <v>4</v>
      </c>
      <c r="T37" t="s">
        <v>92</v>
      </c>
      <c r="U37" t="s">
        <v>92</v>
      </c>
      <c r="V37" t="s">
        <v>92</v>
      </c>
      <c r="W37" t="s">
        <v>92</v>
      </c>
      <c r="X37" t="s">
        <v>4</v>
      </c>
      <c r="Y37" t="s">
        <v>92</v>
      </c>
      <c r="Z37" t="s">
        <v>92</v>
      </c>
      <c r="AA37" t="s">
        <v>92</v>
      </c>
      <c r="AB37" t="s">
        <v>4</v>
      </c>
      <c r="AC37" s="3" t="s">
        <v>93</v>
      </c>
      <c r="AD37" t="s">
        <v>4</v>
      </c>
      <c r="AE37" s="4" t="s">
        <v>94</v>
      </c>
      <c r="AZ37" t="s">
        <v>4</v>
      </c>
      <c r="BA37" s="3" t="s">
        <v>95</v>
      </c>
      <c r="BB37" s="6" t="s">
        <v>95</v>
      </c>
      <c r="BC37" s="3" t="s">
        <v>95</v>
      </c>
      <c r="BD37" t="s">
        <v>4</v>
      </c>
      <c r="BE37">
        <v>1451</v>
      </c>
      <c r="BF37" t="s">
        <v>151</v>
      </c>
      <c r="BG37">
        <v>91.078100000000006</v>
      </c>
      <c r="BH37">
        <v>95.539000000000001</v>
      </c>
      <c r="BI37">
        <v>85.130099999999999</v>
      </c>
      <c r="BJ37" t="s">
        <v>417</v>
      </c>
      <c r="BL37">
        <v>23.420100000000001</v>
      </c>
      <c r="BM37">
        <v>37.918199999999999</v>
      </c>
      <c r="BN37">
        <v>39.033499999999997</v>
      </c>
      <c r="BO37">
        <v>38.29</v>
      </c>
      <c r="CK37">
        <v>2</v>
      </c>
      <c r="CL37" t="s">
        <v>4</v>
      </c>
      <c r="CM37" t="s">
        <v>98</v>
      </c>
      <c r="CN37" t="s">
        <v>98</v>
      </c>
      <c r="CO37" t="s">
        <v>99</v>
      </c>
      <c r="CP37">
        <v>36</v>
      </c>
      <c r="CQ37" t="s">
        <v>100</v>
      </c>
      <c r="CR37" t="s">
        <v>100</v>
      </c>
      <c r="CS37" t="s">
        <v>101</v>
      </c>
      <c r="CT37" t="s">
        <v>152</v>
      </c>
      <c r="CU37" t="s">
        <v>102</v>
      </c>
      <c r="CV37" t="s">
        <v>100</v>
      </c>
    </row>
    <row r="38" spans="1:100">
      <c r="A38" s="3" t="s">
        <v>418</v>
      </c>
      <c r="B38" s="4" t="s">
        <v>419</v>
      </c>
      <c r="C38">
        <v>46.424908364657497</v>
      </c>
      <c r="D38">
        <v>9.0714335230087002</v>
      </c>
      <c r="E38">
        <v>2.36678673363848</v>
      </c>
      <c r="F38">
        <v>2.1217739720238299E-3</v>
      </c>
      <c r="G38" t="s">
        <v>4</v>
      </c>
      <c r="H38">
        <v>46.424908364657497</v>
      </c>
      <c r="I38">
        <v>2.6093719344244999</v>
      </c>
      <c r="J38">
        <v>4.1006331287870204</v>
      </c>
      <c r="K38" s="5">
        <v>1.00421341616029E-5</v>
      </c>
      <c r="L38" t="s">
        <v>4</v>
      </c>
      <c r="M38">
        <v>9.0714335230087002</v>
      </c>
      <c r="N38">
        <v>2.6093719344244999</v>
      </c>
      <c r="O38">
        <v>1.7338463951485299</v>
      </c>
      <c r="P38">
        <v>8.9530974004926198E-2</v>
      </c>
      <c r="Q38" t="s">
        <v>4</v>
      </c>
      <c r="R38" s="4" t="s">
        <v>87</v>
      </c>
      <c r="S38" t="s">
        <v>4</v>
      </c>
      <c r="T38" t="s">
        <v>420</v>
      </c>
      <c r="U38" t="s">
        <v>421</v>
      </c>
      <c r="V38" t="s">
        <v>422</v>
      </c>
      <c r="W38" t="s">
        <v>91</v>
      </c>
      <c r="X38" t="s">
        <v>4</v>
      </c>
      <c r="Y38" t="s">
        <v>423</v>
      </c>
      <c r="Z38" t="s">
        <v>424</v>
      </c>
      <c r="AA38" t="s">
        <v>425</v>
      </c>
      <c r="AB38" t="s">
        <v>4</v>
      </c>
      <c r="AC38" s="3" t="s">
        <v>426</v>
      </c>
      <c r="AD38" t="s">
        <v>4</v>
      </c>
      <c r="AE38" t="s">
        <v>427</v>
      </c>
      <c r="AF38" t="s">
        <v>428</v>
      </c>
      <c r="AG38" t="s">
        <v>429</v>
      </c>
      <c r="AH38" t="s">
        <v>112</v>
      </c>
      <c r="AU38" t="s">
        <v>112</v>
      </c>
      <c r="AV38" t="s">
        <v>430</v>
      </c>
      <c r="AW38" t="s">
        <v>114</v>
      </c>
      <c r="AX38" t="s">
        <v>144</v>
      </c>
      <c r="AY38" t="s">
        <v>431</v>
      </c>
      <c r="AZ38" t="s">
        <v>4</v>
      </c>
      <c r="BA38" s="3" t="s">
        <v>95</v>
      </c>
      <c r="BB38" t="s">
        <v>96</v>
      </c>
      <c r="BC38" s="3" t="s">
        <v>95</v>
      </c>
      <c r="BD38" t="s">
        <v>4</v>
      </c>
      <c r="BE38">
        <v>1452</v>
      </c>
      <c r="BF38" t="s">
        <v>151</v>
      </c>
      <c r="BG38">
        <v>95.483900000000006</v>
      </c>
      <c r="BH38">
        <v>94.838700000000003</v>
      </c>
      <c r="BI38">
        <v>88.387100000000004</v>
      </c>
      <c r="BN38" t="s">
        <v>432</v>
      </c>
      <c r="BO38" t="s">
        <v>433</v>
      </c>
      <c r="CK38">
        <v>2</v>
      </c>
      <c r="CL38" t="s">
        <v>4</v>
      </c>
      <c r="CM38" t="s">
        <v>98</v>
      </c>
      <c r="CN38" t="s">
        <v>98</v>
      </c>
      <c r="CO38" t="s">
        <v>99</v>
      </c>
      <c r="CP38">
        <v>37</v>
      </c>
      <c r="CQ38" t="s">
        <v>100</v>
      </c>
      <c r="CR38" t="s">
        <v>100</v>
      </c>
      <c r="CS38" t="s">
        <v>101</v>
      </c>
      <c r="CT38" t="s">
        <v>100</v>
      </c>
      <c r="CU38" t="s">
        <v>102</v>
      </c>
      <c r="CV38" t="s">
        <v>100</v>
      </c>
    </row>
    <row r="39" spans="1:100">
      <c r="A39" s="3" t="s">
        <v>434</v>
      </c>
      <c r="B39" s="4" t="s">
        <v>435</v>
      </c>
      <c r="C39">
        <v>1059.5789783989101</v>
      </c>
      <c r="D39">
        <v>39.911009821232703</v>
      </c>
      <c r="E39">
        <v>4.7368455858622198</v>
      </c>
      <c r="F39" s="5">
        <v>7.89304142794003E-61</v>
      </c>
      <c r="G39" t="s">
        <v>4</v>
      </c>
      <c r="H39">
        <v>1059.5789783989101</v>
      </c>
      <c r="I39">
        <v>19.022732418758501</v>
      </c>
      <c r="J39">
        <v>5.81900118542492</v>
      </c>
      <c r="K39" s="5">
        <v>5.1619016631593896E-65</v>
      </c>
      <c r="L39" t="s">
        <v>4</v>
      </c>
      <c r="M39">
        <v>39.911009821232703</v>
      </c>
      <c r="N39">
        <v>19.022732418758501</v>
      </c>
      <c r="O39">
        <v>1.0821555995626999</v>
      </c>
      <c r="P39">
        <v>5.3736133535858604E-3</v>
      </c>
      <c r="Q39" t="s">
        <v>4</v>
      </c>
      <c r="R39" s="4" t="s">
        <v>87</v>
      </c>
      <c r="S39" t="s">
        <v>4</v>
      </c>
      <c r="T39" t="s">
        <v>92</v>
      </c>
      <c r="U39" t="s">
        <v>92</v>
      </c>
      <c r="V39" t="s">
        <v>92</v>
      </c>
      <c r="W39" t="s">
        <v>92</v>
      </c>
      <c r="X39" t="s">
        <v>4</v>
      </c>
      <c r="Y39" t="s">
        <v>92</v>
      </c>
      <c r="Z39" t="s">
        <v>92</v>
      </c>
      <c r="AA39" t="s">
        <v>92</v>
      </c>
      <c r="AB39" t="s">
        <v>4</v>
      </c>
      <c r="AC39" s="3" t="s">
        <v>93</v>
      </c>
      <c r="AD39" t="s">
        <v>4</v>
      </c>
      <c r="AE39" s="4" t="s">
        <v>94</v>
      </c>
      <c r="AZ39" t="s">
        <v>4</v>
      </c>
      <c r="BA39" s="3" t="s">
        <v>95</v>
      </c>
      <c r="BB39" s="6" t="s">
        <v>95</v>
      </c>
      <c r="BC39" s="3" t="s">
        <v>95</v>
      </c>
      <c r="BD39" t="s">
        <v>4</v>
      </c>
      <c r="BE39">
        <v>1456</v>
      </c>
      <c r="BF39" t="s">
        <v>151</v>
      </c>
      <c r="BG39">
        <v>97.058800000000005</v>
      </c>
      <c r="BH39">
        <v>100</v>
      </c>
      <c r="CK39">
        <v>2</v>
      </c>
      <c r="CL39" t="s">
        <v>4</v>
      </c>
      <c r="CM39" t="s">
        <v>98</v>
      </c>
      <c r="CN39" t="s">
        <v>98</v>
      </c>
      <c r="CO39" t="s">
        <v>99</v>
      </c>
      <c r="CP39">
        <v>38</v>
      </c>
      <c r="CQ39" t="s">
        <v>100</v>
      </c>
      <c r="CR39" t="s">
        <v>100</v>
      </c>
      <c r="CS39" t="s">
        <v>101</v>
      </c>
      <c r="CT39" s="7" t="s">
        <v>152</v>
      </c>
      <c r="CU39" t="s">
        <v>102</v>
      </c>
      <c r="CV39" t="s">
        <v>100</v>
      </c>
    </row>
    <row r="40" spans="1:100">
      <c r="A40" s="3" t="s">
        <v>436</v>
      </c>
      <c r="B40" s="4" t="s">
        <v>437</v>
      </c>
      <c r="C40">
        <v>116.113167691852</v>
      </c>
      <c r="D40">
        <v>19.438503494808302</v>
      </c>
      <c r="E40">
        <v>2.5758257806910598</v>
      </c>
      <c r="F40" s="5">
        <v>9.2561855141181299E-6</v>
      </c>
      <c r="G40" t="s">
        <v>4</v>
      </c>
      <c r="H40">
        <v>116.113167691852</v>
      </c>
      <c r="I40">
        <v>19.339616340455901</v>
      </c>
      <c r="J40">
        <v>2.52971933434636</v>
      </c>
      <c r="K40" s="5">
        <v>1.50005742549746E-5</v>
      </c>
      <c r="L40" t="s">
        <v>4</v>
      </c>
      <c r="M40">
        <v>19.438503494808302</v>
      </c>
      <c r="N40">
        <v>19.339616340455901</v>
      </c>
      <c r="O40">
        <f>0.0461064463446921</f>
        <v>4.6106446344692097E-2</v>
      </c>
      <c r="P40">
        <v>0.95525443981340996</v>
      </c>
      <c r="Q40" t="s">
        <v>4</v>
      </c>
      <c r="R40" s="4" t="s">
        <v>87</v>
      </c>
      <c r="S40" t="s">
        <v>4</v>
      </c>
      <c r="T40" t="s">
        <v>92</v>
      </c>
      <c r="U40" t="s">
        <v>92</v>
      </c>
      <c r="V40" t="s">
        <v>92</v>
      </c>
      <c r="W40" t="s">
        <v>92</v>
      </c>
      <c r="X40" t="s">
        <v>4</v>
      </c>
      <c r="Y40" t="s">
        <v>92</v>
      </c>
      <c r="Z40" t="s">
        <v>92</v>
      </c>
      <c r="AA40" t="s">
        <v>92</v>
      </c>
      <c r="AB40" t="s">
        <v>4</v>
      </c>
      <c r="AC40" s="3" t="s">
        <v>93</v>
      </c>
      <c r="AD40" t="s">
        <v>4</v>
      </c>
      <c r="AE40" s="4" t="s">
        <v>94</v>
      </c>
      <c r="AZ40" t="s">
        <v>4</v>
      </c>
      <c r="BA40" s="3" t="s">
        <v>95</v>
      </c>
      <c r="BB40" s="6" t="s">
        <v>95</v>
      </c>
      <c r="BC40" s="3" t="s">
        <v>95</v>
      </c>
      <c r="BD40" t="s">
        <v>4</v>
      </c>
      <c r="BE40">
        <v>1074</v>
      </c>
      <c r="BF40" t="s">
        <v>151</v>
      </c>
      <c r="BJ40">
        <v>59.223300000000002</v>
      </c>
      <c r="BM40">
        <v>30.097100000000001</v>
      </c>
      <c r="BO40">
        <v>47.572800000000001</v>
      </c>
      <c r="CK40">
        <v>2</v>
      </c>
      <c r="CL40" t="s">
        <v>4</v>
      </c>
      <c r="CM40" t="s">
        <v>98</v>
      </c>
      <c r="CN40" t="s">
        <v>98</v>
      </c>
      <c r="CO40" t="s">
        <v>99</v>
      </c>
      <c r="CP40">
        <v>39</v>
      </c>
      <c r="CQ40" t="s">
        <v>100</v>
      </c>
      <c r="CR40" t="s">
        <v>100</v>
      </c>
      <c r="CS40" t="s">
        <v>101</v>
      </c>
      <c r="CT40" t="s">
        <v>100</v>
      </c>
      <c r="CU40" t="s">
        <v>102</v>
      </c>
      <c r="CV40" t="s">
        <v>100</v>
      </c>
    </row>
    <row r="41" spans="1:100">
      <c r="A41" s="3" t="s">
        <v>438</v>
      </c>
      <c r="B41" s="4" t="s">
        <v>439</v>
      </c>
      <c r="C41">
        <v>32.727220602768497</v>
      </c>
      <c r="D41">
        <v>3.01172176417704</v>
      </c>
      <c r="E41">
        <v>3.4803404047236102</v>
      </c>
      <c r="F41">
        <v>6.9774016214909696E-4</v>
      </c>
      <c r="G41" t="s">
        <v>4</v>
      </c>
      <c r="H41">
        <v>32.727220602768497</v>
      </c>
      <c r="I41">
        <v>2.4252098222896601</v>
      </c>
      <c r="J41">
        <v>3.8004721532357899</v>
      </c>
      <c r="K41">
        <v>5.7636965565147297E-4</v>
      </c>
      <c r="L41" t="s">
        <v>4</v>
      </c>
      <c r="M41">
        <v>3.01172176417704</v>
      </c>
      <c r="N41">
        <v>2.4252098222896601</v>
      </c>
      <c r="O41">
        <v>0.32013174851218801</v>
      </c>
      <c r="P41">
        <v>0.83452456231717997</v>
      </c>
      <c r="Q41" t="s">
        <v>4</v>
      </c>
      <c r="R41" s="4" t="s">
        <v>87</v>
      </c>
      <c r="S41" t="s">
        <v>4</v>
      </c>
      <c r="T41" t="s">
        <v>88</v>
      </c>
      <c r="U41" t="s">
        <v>89</v>
      </c>
      <c r="V41" t="s">
        <v>90</v>
      </c>
      <c r="W41" t="s">
        <v>91</v>
      </c>
      <c r="X41" t="s">
        <v>4</v>
      </c>
      <c r="Y41" t="s">
        <v>92</v>
      </c>
      <c r="Z41" t="s">
        <v>92</v>
      </c>
      <c r="AA41" t="s">
        <v>92</v>
      </c>
      <c r="AB41" t="s">
        <v>4</v>
      </c>
      <c r="AC41" s="3" t="s">
        <v>93</v>
      </c>
      <c r="AD41" t="s">
        <v>4</v>
      </c>
      <c r="AE41" s="4" t="s">
        <v>94</v>
      </c>
      <c r="AZ41" t="s">
        <v>4</v>
      </c>
      <c r="BA41" s="3" t="s">
        <v>95</v>
      </c>
      <c r="BB41" t="s">
        <v>96</v>
      </c>
      <c r="BC41" s="3" t="s">
        <v>95</v>
      </c>
      <c r="BD41" t="s">
        <v>4</v>
      </c>
      <c r="BE41">
        <v>1085</v>
      </c>
      <c r="BF41" t="s">
        <v>151</v>
      </c>
      <c r="BG41">
        <v>88.953500000000005</v>
      </c>
      <c r="BI41">
        <v>54.069800000000001</v>
      </c>
      <c r="BJ41">
        <v>67.441900000000004</v>
      </c>
      <c r="BL41">
        <v>59.302300000000002</v>
      </c>
      <c r="BM41" t="s">
        <v>440</v>
      </c>
      <c r="BN41" t="s">
        <v>441</v>
      </c>
      <c r="BO41" t="s">
        <v>442</v>
      </c>
      <c r="CK41">
        <v>2</v>
      </c>
      <c r="CL41" t="s">
        <v>4</v>
      </c>
      <c r="CM41" t="s">
        <v>98</v>
      </c>
      <c r="CN41" t="s">
        <v>98</v>
      </c>
      <c r="CO41" t="s">
        <v>99</v>
      </c>
      <c r="CP41">
        <v>40</v>
      </c>
      <c r="CQ41" t="s">
        <v>100</v>
      </c>
      <c r="CR41" t="s">
        <v>100</v>
      </c>
      <c r="CS41" t="s">
        <v>101</v>
      </c>
      <c r="CT41" t="s">
        <v>100</v>
      </c>
      <c r="CU41" t="s">
        <v>102</v>
      </c>
      <c r="CV41" t="s">
        <v>100</v>
      </c>
    </row>
    <row r="42" spans="1:100">
      <c r="A42" s="3" t="s">
        <v>443</v>
      </c>
      <c r="B42" s="4" t="s">
        <v>444</v>
      </c>
      <c r="C42">
        <v>86.830574357169198</v>
      </c>
      <c r="D42">
        <v>14.591468118820201</v>
      </c>
      <c r="E42">
        <v>2.5829391741677101</v>
      </c>
      <c r="F42">
        <v>1.84482206993608E-3</v>
      </c>
      <c r="G42" t="s">
        <v>4</v>
      </c>
      <c r="H42">
        <v>86.830574357169198</v>
      </c>
      <c r="I42">
        <v>15.358922181554799</v>
      </c>
      <c r="J42">
        <v>2.52224321928218</v>
      </c>
      <c r="K42">
        <v>2.1672129572509699E-3</v>
      </c>
      <c r="L42" t="s">
        <v>4</v>
      </c>
      <c r="M42">
        <v>14.591468118820201</v>
      </c>
      <c r="N42">
        <v>15.358922181554799</v>
      </c>
      <c r="O42">
        <f>0.0606959548855323</f>
        <v>6.0695954885532297E-2</v>
      </c>
      <c r="P42">
        <v>0.95694608701559503</v>
      </c>
      <c r="Q42" t="s">
        <v>4</v>
      </c>
      <c r="R42" s="4" t="s">
        <v>87</v>
      </c>
      <c r="S42" t="s">
        <v>4</v>
      </c>
      <c r="T42" t="s">
        <v>445</v>
      </c>
      <c r="U42" t="s">
        <v>446</v>
      </c>
      <c r="V42" t="s">
        <v>447</v>
      </c>
      <c r="W42" t="s">
        <v>91</v>
      </c>
      <c r="X42" t="s">
        <v>4</v>
      </c>
      <c r="Y42" t="s">
        <v>448</v>
      </c>
      <c r="Z42" t="s">
        <v>449</v>
      </c>
      <c r="AA42" t="s">
        <v>450</v>
      </c>
      <c r="AB42" t="s">
        <v>4</v>
      </c>
      <c r="AC42" s="3" t="s">
        <v>451</v>
      </c>
      <c r="AD42" t="s">
        <v>4</v>
      </c>
      <c r="AE42" t="s">
        <v>452</v>
      </c>
      <c r="AF42" t="s">
        <v>453</v>
      </c>
      <c r="AG42" t="s">
        <v>454</v>
      </c>
      <c r="AH42" t="s">
        <v>112</v>
      </c>
      <c r="AU42" t="s">
        <v>112</v>
      </c>
      <c r="AV42" t="s">
        <v>455</v>
      </c>
      <c r="AW42" t="s">
        <v>114</v>
      </c>
      <c r="AX42" t="s">
        <v>144</v>
      </c>
      <c r="AY42" t="s">
        <v>456</v>
      </c>
      <c r="AZ42" t="s">
        <v>4</v>
      </c>
      <c r="BA42" s="3" t="s">
        <v>115</v>
      </c>
      <c r="BB42" t="s">
        <v>96</v>
      </c>
      <c r="BC42" s="3" t="s">
        <v>95</v>
      </c>
      <c r="BD42" t="s">
        <v>4</v>
      </c>
      <c r="BE42">
        <v>4556</v>
      </c>
      <c r="BF42" t="s">
        <v>112</v>
      </c>
      <c r="BH42">
        <v>87.648499999999999</v>
      </c>
      <c r="BJ42">
        <v>38.0047</v>
      </c>
      <c r="BK42">
        <v>55.819499999999998</v>
      </c>
      <c r="BM42">
        <v>34.441800000000001</v>
      </c>
      <c r="BN42">
        <v>35.3919</v>
      </c>
      <c r="BO42">
        <v>40.8551</v>
      </c>
      <c r="BR42" t="s">
        <v>457</v>
      </c>
      <c r="BS42">
        <v>27.5534</v>
      </c>
      <c r="CK42">
        <v>5</v>
      </c>
      <c r="CL42" t="s">
        <v>4</v>
      </c>
      <c r="CM42" t="s">
        <v>98</v>
      </c>
      <c r="CN42" t="s">
        <v>98</v>
      </c>
      <c r="CO42" t="s">
        <v>99</v>
      </c>
      <c r="CP42">
        <v>41</v>
      </c>
      <c r="CQ42" t="s">
        <v>100</v>
      </c>
      <c r="CR42" t="s">
        <v>100</v>
      </c>
      <c r="CS42" t="s">
        <v>101</v>
      </c>
      <c r="CT42" t="s">
        <v>100</v>
      </c>
      <c r="CU42" t="s">
        <v>102</v>
      </c>
      <c r="CV42" t="s">
        <v>100</v>
      </c>
    </row>
    <row r="43" spans="1:100">
      <c r="A43" s="3" t="s">
        <v>458</v>
      </c>
      <c r="B43" s="4" t="s">
        <v>459</v>
      </c>
      <c r="C43">
        <v>89.102060860546203</v>
      </c>
      <c r="D43">
        <v>13.5277037066829</v>
      </c>
      <c r="E43">
        <v>2.7244593856682702</v>
      </c>
      <c r="F43">
        <v>8.2020101694509301E-4</v>
      </c>
      <c r="G43" t="s">
        <v>4</v>
      </c>
      <c r="H43">
        <v>89.102060860546203</v>
      </c>
      <c r="I43">
        <v>20.4908959619809</v>
      </c>
      <c r="J43">
        <v>2.1383390454511302</v>
      </c>
      <c r="K43">
        <v>7.7022602652145403E-3</v>
      </c>
      <c r="L43" t="s">
        <v>4</v>
      </c>
      <c r="M43">
        <v>13.5277037066829</v>
      </c>
      <c r="N43">
        <v>20.4908959619809</v>
      </c>
      <c r="O43">
        <f>0.586120340217132</f>
        <v>0.586120340217132</v>
      </c>
      <c r="P43">
        <v>0.53436015225010602</v>
      </c>
      <c r="Q43" t="s">
        <v>4</v>
      </c>
      <c r="R43" s="4" t="s">
        <v>87</v>
      </c>
      <c r="S43" t="s">
        <v>4</v>
      </c>
      <c r="T43" t="s">
        <v>460</v>
      </c>
      <c r="U43" t="s">
        <v>461</v>
      </c>
      <c r="V43" t="s">
        <v>462</v>
      </c>
      <c r="W43" t="s">
        <v>123</v>
      </c>
      <c r="X43" t="s">
        <v>4</v>
      </c>
      <c r="Y43" t="s">
        <v>463</v>
      </c>
      <c r="Z43" t="s">
        <v>464</v>
      </c>
      <c r="AA43" t="s">
        <v>465</v>
      </c>
      <c r="AB43" t="s">
        <v>4</v>
      </c>
      <c r="AC43" s="3" t="s">
        <v>466</v>
      </c>
      <c r="AD43" t="s">
        <v>4</v>
      </c>
      <c r="AE43" t="s">
        <v>467</v>
      </c>
      <c r="AF43" t="s">
        <v>468</v>
      </c>
      <c r="AG43" t="s">
        <v>469</v>
      </c>
      <c r="AH43" t="s">
        <v>169</v>
      </c>
      <c r="AU43" t="s">
        <v>112</v>
      </c>
      <c r="AV43" t="s">
        <v>470</v>
      </c>
      <c r="AW43" t="s">
        <v>114</v>
      </c>
      <c r="AX43" t="s">
        <v>144</v>
      </c>
      <c r="AY43" t="s">
        <v>471</v>
      </c>
      <c r="AZ43" t="s">
        <v>4</v>
      </c>
      <c r="BA43" s="3" t="s">
        <v>95</v>
      </c>
      <c r="BB43" s="6" t="s">
        <v>95</v>
      </c>
      <c r="BC43" s="3" t="s">
        <v>197</v>
      </c>
      <c r="BD43" t="s">
        <v>4</v>
      </c>
      <c r="BE43">
        <v>8226</v>
      </c>
      <c r="BF43" t="s">
        <v>213</v>
      </c>
      <c r="BI43">
        <v>29.1221</v>
      </c>
      <c r="BP43">
        <v>10.2784</v>
      </c>
      <c r="BQ43">
        <v>6.6381199999999998</v>
      </c>
      <c r="BR43">
        <v>9.2077100000000005</v>
      </c>
      <c r="BS43">
        <v>13.276199999999999</v>
      </c>
      <c r="BW43">
        <v>14.1328</v>
      </c>
      <c r="BX43">
        <v>13.9186</v>
      </c>
      <c r="BZ43">
        <v>11.7773</v>
      </c>
      <c r="CB43">
        <v>8.7794399999999992</v>
      </c>
      <c r="CE43">
        <v>12.633800000000001</v>
      </c>
      <c r="CF43" t="s">
        <v>472</v>
      </c>
      <c r="CG43" t="s">
        <v>473</v>
      </c>
      <c r="CH43" t="s">
        <v>474</v>
      </c>
      <c r="CI43">
        <v>13.062099999999999</v>
      </c>
      <c r="CK43">
        <v>8</v>
      </c>
      <c r="CL43" t="s">
        <v>4</v>
      </c>
      <c r="CM43" t="s">
        <v>98</v>
      </c>
      <c r="CN43" t="s">
        <v>98</v>
      </c>
      <c r="CO43" t="s">
        <v>99</v>
      </c>
      <c r="CP43">
        <v>42</v>
      </c>
      <c r="CQ43" t="s">
        <v>100</v>
      </c>
      <c r="CR43" t="s">
        <v>100</v>
      </c>
      <c r="CS43" t="s">
        <v>101</v>
      </c>
      <c r="CT43" t="s">
        <v>100</v>
      </c>
      <c r="CU43" t="s">
        <v>102</v>
      </c>
      <c r="CV43" t="s">
        <v>100</v>
      </c>
    </row>
    <row r="44" spans="1:100">
      <c r="A44" s="3" t="s">
        <v>475</v>
      </c>
      <c r="B44" s="4" t="s">
        <v>476</v>
      </c>
      <c r="C44">
        <v>37.192004440831099</v>
      </c>
      <c r="D44">
        <v>5.1759612389673704</v>
      </c>
      <c r="E44">
        <v>2.85734458180176</v>
      </c>
      <c r="F44">
        <v>5.7356068357213999E-3</v>
      </c>
      <c r="G44" t="s">
        <v>4</v>
      </c>
      <c r="H44">
        <v>37.192004440831099</v>
      </c>
      <c r="I44">
        <v>4.0295677845452298</v>
      </c>
      <c r="J44">
        <v>3.2595640127660799</v>
      </c>
      <c r="K44">
        <v>2.3199080210958901E-3</v>
      </c>
      <c r="L44" t="s">
        <v>4</v>
      </c>
      <c r="M44">
        <v>5.1759612389673704</v>
      </c>
      <c r="N44">
        <v>4.0295677845452298</v>
      </c>
      <c r="O44">
        <v>0.402219430964319</v>
      </c>
      <c r="P44">
        <v>0.77155833215904601</v>
      </c>
      <c r="Q44" t="s">
        <v>4</v>
      </c>
      <c r="R44" s="4" t="s">
        <v>87</v>
      </c>
      <c r="S44" t="s">
        <v>4</v>
      </c>
      <c r="T44" t="s">
        <v>92</v>
      </c>
      <c r="U44" t="s">
        <v>92</v>
      </c>
      <c r="V44" t="s">
        <v>92</v>
      </c>
      <c r="W44" t="s">
        <v>92</v>
      </c>
      <c r="X44" t="s">
        <v>4</v>
      </c>
      <c r="Y44" t="s">
        <v>92</v>
      </c>
      <c r="Z44" t="s">
        <v>92</v>
      </c>
      <c r="AA44" t="s">
        <v>92</v>
      </c>
      <c r="AB44" t="s">
        <v>4</v>
      </c>
      <c r="AC44" s="3" t="s">
        <v>93</v>
      </c>
      <c r="AD44" t="s">
        <v>4</v>
      </c>
      <c r="AE44" t="s">
        <v>477</v>
      </c>
      <c r="AF44" t="s">
        <v>478</v>
      </c>
      <c r="AG44" t="s">
        <v>479</v>
      </c>
      <c r="AH44" t="s">
        <v>112</v>
      </c>
      <c r="AU44" t="s">
        <v>112</v>
      </c>
      <c r="AV44" t="s">
        <v>480</v>
      </c>
      <c r="AW44" t="s">
        <v>114</v>
      </c>
      <c r="AZ44" t="s">
        <v>4</v>
      </c>
      <c r="BA44" s="3" t="s">
        <v>95</v>
      </c>
      <c r="BB44" s="6" t="s">
        <v>95</v>
      </c>
      <c r="BC44" s="3" t="s">
        <v>197</v>
      </c>
      <c r="BD44" t="s">
        <v>4</v>
      </c>
      <c r="BE44">
        <v>4562</v>
      </c>
      <c r="BF44" t="s">
        <v>112</v>
      </c>
      <c r="BG44">
        <v>99.163200000000003</v>
      </c>
      <c r="BH44">
        <v>84.100399999999993</v>
      </c>
      <c r="BI44">
        <v>86.610900000000001</v>
      </c>
      <c r="BJ44">
        <v>77.405900000000003</v>
      </c>
      <c r="BK44">
        <v>68.200800000000001</v>
      </c>
      <c r="BL44">
        <v>66.108800000000002</v>
      </c>
      <c r="BM44">
        <v>69.456100000000006</v>
      </c>
      <c r="BN44">
        <v>73.640199999999993</v>
      </c>
      <c r="BO44">
        <v>66.945599999999999</v>
      </c>
      <c r="BP44">
        <v>46.025100000000002</v>
      </c>
      <c r="BQ44">
        <v>39.749000000000002</v>
      </c>
      <c r="BR44">
        <v>35.9833</v>
      </c>
      <c r="BS44">
        <v>45.188299999999998</v>
      </c>
      <c r="BT44">
        <v>41.004199999999997</v>
      </c>
      <c r="BU44">
        <v>34.728000000000002</v>
      </c>
      <c r="BV44" t="s">
        <v>481</v>
      </c>
      <c r="BW44">
        <v>41.004199999999997</v>
      </c>
      <c r="BX44">
        <v>30.543900000000001</v>
      </c>
      <c r="BY44">
        <v>32.217599999999997</v>
      </c>
      <c r="CA44">
        <v>31.799199999999999</v>
      </c>
      <c r="CK44">
        <v>5</v>
      </c>
      <c r="CL44" t="s">
        <v>4</v>
      </c>
      <c r="CM44" t="s">
        <v>482</v>
      </c>
      <c r="CN44" t="s">
        <v>483</v>
      </c>
      <c r="CO44" t="s">
        <v>99</v>
      </c>
      <c r="CP44">
        <v>43</v>
      </c>
      <c r="CQ44" t="s">
        <v>100</v>
      </c>
      <c r="CR44" t="s">
        <v>100</v>
      </c>
      <c r="CS44" t="s">
        <v>101</v>
      </c>
      <c r="CT44" t="s">
        <v>100</v>
      </c>
      <c r="CU44" t="s">
        <v>102</v>
      </c>
      <c r="CV44" t="s">
        <v>100</v>
      </c>
    </row>
    <row r="45" spans="1:100">
      <c r="A45" s="3" t="s">
        <v>484</v>
      </c>
      <c r="B45" s="4" t="s">
        <v>485</v>
      </c>
      <c r="C45">
        <v>345.812003612637</v>
      </c>
      <c r="D45">
        <v>27.761733735878</v>
      </c>
      <c r="E45">
        <v>3.6448063647781401</v>
      </c>
      <c r="F45" s="5">
        <v>5.2790001857066299E-8</v>
      </c>
      <c r="G45" t="s">
        <v>4</v>
      </c>
      <c r="H45">
        <v>345.812003612637</v>
      </c>
      <c r="I45">
        <v>16.208513836074498</v>
      </c>
      <c r="J45">
        <v>4.4719392151987298</v>
      </c>
      <c r="K45" s="5">
        <v>6.1380913584775194E-11</v>
      </c>
      <c r="L45" t="s">
        <v>4</v>
      </c>
      <c r="M45">
        <v>27.761733735878</v>
      </c>
      <c r="N45">
        <v>16.208513836074498</v>
      </c>
      <c r="O45">
        <v>0.82713285042059204</v>
      </c>
      <c r="P45">
        <v>0.29705986099980602</v>
      </c>
      <c r="Q45" t="s">
        <v>4</v>
      </c>
      <c r="R45" s="4" t="s">
        <v>87</v>
      </c>
      <c r="S45" t="s">
        <v>4</v>
      </c>
      <c r="T45" t="s">
        <v>92</v>
      </c>
      <c r="U45" t="s">
        <v>92</v>
      </c>
      <c r="V45" t="s">
        <v>92</v>
      </c>
      <c r="W45" t="s">
        <v>92</v>
      </c>
      <c r="X45" t="s">
        <v>4</v>
      </c>
      <c r="Y45" t="s">
        <v>486</v>
      </c>
      <c r="Z45" t="s">
        <v>487</v>
      </c>
      <c r="AA45" t="s">
        <v>488</v>
      </c>
      <c r="AB45" t="s">
        <v>4</v>
      </c>
      <c r="AC45" s="3" t="s">
        <v>93</v>
      </c>
      <c r="AD45" t="s">
        <v>4</v>
      </c>
      <c r="AE45" t="s">
        <v>489</v>
      </c>
      <c r="AF45" t="s">
        <v>490</v>
      </c>
      <c r="AG45" t="s">
        <v>491</v>
      </c>
      <c r="AH45" t="s">
        <v>112</v>
      </c>
      <c r="AU45" t="s">
        <v>112</v>
      </c>
      <c r="AV45" t="s">
        <v>492</v>
      </c>
      <c r="AW45" t="s">
        <v>114</v>
      </c>
      <c r="AZ45" t="s">
        <v>4</v>
      </c>
      <c r="BA45" s="3" t="s">
        <v>95</v>
      </c>
      <c r="BB45" s="6" t="s">
        <v>95</v>
      </c>
      <c r="BC45" s="3" t="s">
        <v>95</v>
      </c>
      <c r="BD45" t="s">
        <v>4</v>
      </c>
      <c r="BE45">
        <v>4563</v>
      </c>
      <c r="BF45" t="s">
        <v>112</v>
      </c>
      <c r="BG45">
        <v>79.577500000000001</v>
      </c>
      <c r="BH45">
        <v>94.835700000000003</v>
      </c>
      <c r="BI45">
        <v>87.089200000000005</v>
      </c>
      <c r="BJ45">
        <v>67.605599999999995</v>
      </c>
      <c r="BK45">
        <v>69.718299999999999</v>
      </c>
      <c r="BL45">
        <v>65.492999999999995</v>
      </c>
      <c r="BM45">
        <v>65.962400000000002</v>
      </c>
      <c r="BN45">
        <v>65.258200000000002</v>
      </c>
      <c r="BO45">
        <v>41.314599999999999</v>
      </c>
      <c r="BP45">
        <v>40.140799999999999</v>
      </c>
      <c r="BR45">
        <v>29.108000000000001</v>
      </c>
      <c r="BS45">
        <v>29.108000000000001</v>
      </c>
      <c r="BW45">
        <v>25.1174</v>
      </c>
      <c r="BX45">
        <v>26.5258</v>
      </c>
      <c r="BZ45">
        <v>25.5869</v>
      </c>
      <c r="CA45">
        <v>26.7606</v>
      </c>
      <c r="CK45">
        <v>5</v>
      </c>
      <c r="CL45" t="s">
        <v>4</v>
      </c>
      <c r="CM45" t="s">
        <v>493</v>
      </c>
      <c r="CN45" t="s">
        <v>494</v>
      </c>
      <c r="CO45" t="s">
        <v>99</v>
      </c>
      <c r="CP45">
        <v>44</v>
      </c>
      <c r="CQ45" t="s">
        <v>100</v>
      </c>
      <c r="CR45" t="s">
        <v>100</v>
      </c>
      <c r="CS45" t="s">
        <v>101</v>
      </c>
      <c r="CT45" t="s">
        <v>100</v>
      </c>
      <c r="CU45" t="s">
        <v>102</v>
      </c>
      <c r="CV45" t="s">
        <v>100</v>
      </c>
    </row>
    <row r="46" spans="1:100">
      <c r="A46" s="3" t="s">
        <v>495</v>
      </c>
      <c r="B46" s="4" t="s">
        <v>496</v>
      </c>
      <c r="C46">
        <v>31.440958224530998</v>
      </c>
      <c r="D46">
        <v>4.7399224584689499</v>
      </c>
      <c r="E46">
        <v>2.73116439530191</v>
      </c>
      <c r="F46">
        <v>2.3824728636106002E-3</v>
      </c>
      <c r="G46" t="s">
        <v>4</v>
      </c>
      <c r="H46">
        <v>31.440958224530998</v>
      </c>
      <c r="I46">
        <v>0.97370750075516699</v>
      </c>
      <c r="J46">
        <v>5.1042533751126102</v>
      </c>
      <c r="K46">
        <v>1.2891959135506601E-4</v>
      </c>
      <c r="L46" t="s">
        <v>4</v>
      </c>
      <c r="M46">
        <v>4.7399224584689499</v>
      </c>
      <c r="N46">
        <v>0.97370750075516699</v>
      </c>
      <c r="O46">
        <v>2.3730889798107002</v>
      </c>
      <c r="P46">
        <v>0.103812913524651</v>
      </c>
      <c r="Q46" t="s">
        <v>4</v>
      </c>
      <c r="R46" s="4" t="s">
        <v>87</v>
      </c>
      <c r="S46" t="s">
        <v>4</v>
      </c>
      <c r="T46" t="s">
        <v>92</v>
      </c>
      <c r="U46" t="s">
        <v>92</v>
      </c>
      <c r="V46" t="s">
        <v>92</v>
      </c>
      <c r="W46" t="s">
        <v>92</v>
      </c>
      <c r="X46" t="s">
        <v>4</v>
      </c>
      <c r="Y46" t="s">
        <v>92</v>
      </c>
      <c r="Z46" t="s">
        <v>92</v>
      </c>
      <c r="AA46" t="s">
        <v>92</v>
      </c>
      <c r="AB46" t="s">
        <v>4</v>
      </c>
      <c r="AC46" s="3" t="s">
        <v>93</v>
      </c>
      <c r="AD46" t="s">
        <v>4</v>
      </c>
      <c r="AE46" s="4" t="s">
        <v>94</v>
      </c>
      <c r="AZ46" t="s">
        <v>4</v>
      </c>
      <c r="BA46" s="3" t="s">
        <v>95</v>
      </c>
      <c r="BB46" s="6" t="s">
        <v>95</v>
      </c>
      <c r="BC46" s="3" t="s">
        <v>95</v>
      </c>
      <c r="BD46" t="s">
        <v>4</v>
      </c>
      <c r="BE46">
        <v>126</v>
      </c>
      <c r="BF46" t="s">
        <v>322</v>
      </c>
      <c r="CK46">
        <v>1</v>
      </c>
      <c r="CL46" t="s">
        <v>4</v>
      </c>
      <c r="CM46" t="s">
        <v>98</v>
      </c>
      <c r="CN46" t="s">
        <v>98</v>
      </c>
      <c r="CO46" t="s">
        <v>99</v>
      </c>
      <c r="CP46">
        <v>45</v>
      </c>
      <c r="CQ46" t="s">
        <v>100</v>
      </c>
      <c r="CR46" t="s">
        <v>100</v>
      </c>
      <c r="CS46" t="s">
        <v>101</v>
      </c>
      <c r="CT46" t="s">
        <v>100</v>
      </c>
      <c r="CU46" t="s">
        <v>102</v>
      </c>
      <c r="CV46" t="s">
        <v>100</v>
      </c>
    </row>
    <row r="47" spans="1:100">
      <c r="A47" s="3" t="s">
        <v>497</v>
      </c>
      <c r="B47" s="4" t="s">
        <v>498</v>
      </c>
      <c r="C47">
        <v>38.564617599175897</v>
      </c>
      <c r="D47">
        <v>5.4039163205853296</v>
      </c>
      <c r="E47">
        <v>2.8397063370204201</v>
      </c>
      <c r="F47">
        <v>1.37201752183638E-3</v>
      </c>
      <c r="G47" t="s">
        <v>4</v>
      </c>
      <c r="H47">
        <v>38.564617599175897</v>
      </c>
      <c r="I47">
        <v>4.0729528287566703</v>
      </c>
      <c r="J47">
        <v>3.2410277454896499</v>
      </c>
      <c r="K47">
        <v>5.3872779292328304E-4</v>
      </c>
      <c r="L47" t="s">
        <v>4</v>
      </c>
      <c r="M47">
        <v>5.4039163205853296</v>
      </c>
      <c r="N47">
        <v>4.0729528287566703</v>
      </c>
      <c r="O47">
        <v>0.40132140846923398</v>
      </c>
      <c r="P47">
        <v>0.74194008625601804</v>
      </c>
      <c r="Q47" t="s">
        <v>4</v>
      </c>
      <c r="R47" s="4" t="s">
        <v>87</v>
      </c>
      <c r="S47" t="s">
        <v>4</v>
      </c>
      <c r="T47" t="s">
        <v>92</v>
      </c>
      <c r="U47" t="s">
        <v>92</v>
      </c>
      <c r="V47" t="s">
        <v>92</v>
      </c>
      <c r="W47" t="s">
        <v>92</v>
      </c>
      <c r="X47" t="s">
        <v>4</v>
      </c>
      <c r="Y47" t="s">
        <v>92</v>
      </c>
      <c r="Z47" t="s">
        <v>92</v>
      </c>
      <c r="AA47" t="s">
        <v>92</v>
      </c>
      <c r="AB47" t="s">
        <v>4</v>
      </c>
      <c r="AC47" s="3" t="s">
        <v>93</v>
      </c>
      <c r="AD47" t="s">
        <v>4</v>
      </c>
      <c r="AE47" s="4" t="s">
        <v>94</v>
      </c>
      <c r="AZ47" t="s">
        <v>4</v>
      </c>
      <c r="BA47" s="3" t="s">
        <v>95</v>
      </c>
      <c r="BB47" s="6" t="s">
        <v>95</v>
      </c>
      <c r="BC47" s="3" t="s">
        <v>95</v>
      </c>
      <c r="BD47" t="s">
        <v>4</v>
      </c>
      <c r="BE47">
        <v>1473</v>
      </c>
      <c r="BF47" t="s">
        <v>151</v>
      </c>
      <c r="BG47" t="s">
        <v>499</v>
      </c>
      <c r="CK47">
        <v>2</v>
      </c>
      <c r="CL47" t="s">
        <v>4</v>
      </c>
      <c r="CM47" t="s">
        <v>98</v>
      </c>
      <c r="CN47" t="s">
        <v>98</v>
      </c>
      <c r="CO47" t="s">
        <v>99</v>
      </c>
      <c r="CP47">
        <v>46</v>
      </c>
      <c r="CQ47" t="s">
        <v>100</v>
      </c>
      <c r="CR47" t="s">
        <v>100</v>
      </c>
      <c r="CS47" t="s">
        <v>101</v>
      </c>
      <c r="CT47" t="s">
        <v>100</v>
      </c>
      <c r="CU47" t="s">
        <v>102</v>
      </c>
      <c r="CV47" t="s">
        <v>100</v>
      </c>
    </row>
    <row r="48" spans="1:100">
      <c r="A48" s="3" t="s">
        <v>500</v>
      </c>
      <c r="B48" s="4" t="s">
        <v>501</v>
      </c>
      <c r="C48">
        <v>101.502935370873</v>
      </c>
      <c r="D48">
        <v>18.2020387741916</v>
      </c>
      <c r="E48">
        <v>2.4838262926547001</v>
      </c>
      <c r="F48" s="5">
        <v>1.03822204243239E-6</v>
      </c>
      <c r="G48" t="s">
        <v>4</v>
      </c>
      <c r="H48">
        <v>101.502935370873</v>
      </c>
      <c r="I48">
        <v>15.514344499204</v>
      </c>
      <c r="J48">
        <v>2.6965847986067799</v>
      </c>
      <c r="K48" s="5">
        <v>2.8930876473387602E-7</v>
      </c>
      <c r="L48" t="s">
        <v>4</v>
      </c>
      <c r="M48">
        <v>18.2020387741916</v>
      </c>
      <c r="N48">
        <v>15.514344499204</v>
      </c>
      <c r="O48">
        <v>0.21275850595208001</v>
      </c>
      <c r="P48">
        <v>0.76113314638361795</v>
      </c>
      <c r="Q48" t="s">
        <v>4</v>
      </c>
      <c r="R48" s="4" t="s">
        <v>87</v>
      </c>
      <c r="S48" t="s">
        <v>4</v>
      </c>
      <c r="T48" t="s">
        <v>92</v>
      </c>
      <c r="U48" t="s">
        <v>92</v>
      </c>
      <c r="V48" t="s">
        <v>92</v>
      </c>
      <c r="W48" t="s">
        <v>92</v>
      </c>
      <c r="X48" t="s">
        <v>4</v>
      </c>
      <c r="Y48" t="s">
        <v>92</v>
      </c>
      <c r="Z48" t="s">
        <v>92</v>
      </c>
      <c r="AA48" t="s">
        <v>92</v>
      </c>
      <c r="AB48" t="s">
        <v>4</v>
      </c>
      <c r="AC48" s="3" t="s">
        <v>93</v>
      </c>
      <c r="AD48" t="s">
        <v>4</v>
      </c>
      <c r="AE48" s="4" t="s">
        <v>94</v>
      </c>
      <c r="AZ48" t="s">
        <v>4</v>
      </c>
      <c r="BA48" s="3" t="s">
        <v>95</v>
      </c>
      <c r="BB48" s="6" t="s">
        <v>95</v>
      </c>
      <c r="BC48" s="3" t="s">
        <v>95</v>
      </c>
      <c r="BD48" t="s">
        <v>4</v>
      </c>
      <c r="BE48">
        <v>1481</v>
      </c>
      <c r="BF48" t="s">
        <v>151</v>
      </c>
      <c r="BG48">
        <v>91.612899999999996</v>
      </c>
      <c r="BH48">
        <v>35.483899999999998</v>
      </c>
      <c r="BI48">
        <v>74.193600000000004</v>
      </c>
      <c r="BJ48">
        <v>38.709699999999998</v>
      </c>
      <c r="CK48">
        <v>2</v>
      </c>
      <c r="CL48" t="s">
        <v>4</v>
      </c>
      <c r="CM48" t="s">
        <v>98</v>
      </c>
      <c r="CN48" t="s">
        <v>98</v>
      </c>
      <c r="CO48" t="s">
        <v>99</v>
      </c>
      <c r="CP48">
        <v>47</v>
      </c>
      <c r="CQ48" t="s">
        <v>100</v>
      </c>
      <c r="CR48" t="s">
        <v>100</v>
      </c>
      <c r="CS48" t="s">
        <v>101</v>
      </c>
      <c r="CT48" t="s">
        <v>100</v>
      </c>
      <c r="CU48" t="s">
        <v>102</v>
      </c>
      <c r="CV48" t="s">
        <v>100</v>
      </c>
    </row>
    <row r="49" spans="1:100">
      <c r="A49" s="3" t="s">
        <v>502</v>
      </c>
      <c r="B49" s="4" t="s">
        <v>503</v>
      </c>
      <c r="C49">
        <v>48.315613647442703</v>
      </c>
      <c r="D49">
        <v>8.9518407127851596</v>
      </c>
      <c r="E49">
        <v>2.4359661179063199</v>
      </c>
      <c r="F49">
        <v>7.6719752383872996E-3</v>
      </c>
      <c r="G49" t="s">
        <v>4</v>
      </c>
      <c r="H49">
        <v>48.315613647442703</v>
      </c>
      <c r="I49">
        <v>4.36658553740115</v>
      </c>
      <c r="J49">
        <v>3.5014355530686601</v>
      </c>
      <c r="K49">
        <v>3.1153390964650402E-4</v>
      </c>
      <c r="L49" t="s">
        <v>4</v>
      </c>
      <c r="M49">
        <v>8.9518407127851596</v>
      </c>
      <c r="N49">
        <v>4.36658553740115</v>
      </c>
      <c r="O49">
        <v>1.0654694351623399</v>
      </c>
      <c r="P49">
        <v>0.338624406724083</v>
      </c>
      <c r="Q49" t="s">
        <v>4</v>
      </c>
      <c r="R49" s="4" t="s">
        <v>87</v>
      </c>
      <c r="S49" t="s">
        <v>4</v>
      </c>
      <c r="T49" t="s">
        <v>504</v>
      </c>
      <c r="U49" t="s">
        <v>505</v>
      </c>
      <c r="V49" t="s">
        <v>506</v>
      </c>
      <c r="W49" t="s">
        <v>507</v>
      </c>
      <c r="X49" t="s">
        <v>4</v>
      </c>
      <c r="Y49" t="s">
        <v>508</v>
      </c>
      <c r="Z49" t="s">
        <v>509</v>
      </c>
      <c r="AA49" t="s">
        <v>510</v>
      </c>
      <c r="AB49" t="s">
        <v>4</v>
      </c>
      <c r="AC49" s="3" t="s">
        <v>511</v>
      </c>
      <c r="AD49" t="s">
        <v>4</v>
      </c>
      <c r="AE49" s="4" t="s">
        <v>94</v>
      </c>
      <c r="AZ49" t="s">
        <v>4</v>
      </c>
      <c r="BA49" s="3" t="s">
        <v>95</v>
      </c>
      <c r="BB49" t="s">
        <v>96</v>
      </c>
      <c r="BC49" s="3" t="s">
        <v>95</v>
      </c>
      <c r="BD49" t="s">
        <v>4</v>
      </c>
      <c r="BE49">
        <v>4586</v>
      </c>
      <c r="BF49" t="s">
        <v>112</v>
      </c>
      <c r="BI49">
        <v>87.919499999999999</v>
      </c>
      <c r="BK49">
        <v>32.885899999999999</v>
      </c>
      <c r="BN49">
        <v>33.557000000000002</v>
      </c>
      <c r="BQ49">
        <v>35.234900000000003</v>
      </c>
      <c r="BW49" t="s">
        <v>512</v>
      </c>
      <c r="BX49">
        <v>26.174499999999998</v>
      </c>
      <c r="BY49">
        <v>30.2013</v>
      </c>
      <c r="BZ49">
        <v>34.563800000000001</v>
      </c>
      <c r="CA49" t="s">
        <v>513</v>
      </c>
      <c r="CK49">
        <v>5</v>
      </c>
      <c r="CL49" t="s">
        <v>4</v>
      </c>
      <c r="CM49" t="s">
        <v>514</v>
      </c>
      <c r="CN49" t="s">
        <v>515</v>
      </c>
      <c r="CO49" t="s">
        <v>516</v>
      </c>
      <c r="CP49">
        <v>48</v>
      </c>
      <c r="CQ49" t="s">
        <v>100</v>
      </c>
      <c r="CR49" t="s">
        <v>100</v>
      </c>
      <c r="CS49" t="s">
        <v>101</v>
      </c>
      <c r="CT49" t="s">
        <v>100</v>
      </c>
      <c r="CU49" t="s">
        <v>102</v>
      </c>
      <c r="CV49" t="s">
        <v>100</v>
      </c>
    </row>
    <row r="50" spans="1:100">
      <c r="A50" s="3" t="s">
        <v>517</v>
      </c>
      <c r="B50" s="4" t="s">
        <v>518</v>
      </c>
      <c r="C50">
        <v>215.66978619329601</v>
      </c>
      <c r="D50">
        <v>53.074677801163801</v>
      </c>
      <c r="E50">
        <v>2.0244059929876101</v>
      </c>
      <c r="F50">
        <v>5.20495841212394E-3</v>
      </c>
      <c r="G50" t="s">
        <v>4</v>
      </c>
      <c r="H50">
        <v>215.66978619329601</v>
      </c>
      <c r="I50">
        <v>30.023328428150101</v>
      </c>
      <c r="J50">
        <v>2.8425266120312598</v>
      </c>
      <c r="K50" s="5">
        <v>5.8659431276855898E-5</v>
      </c>
      <c r="L50" t="s">
        <v>4</v>
      </c>
      <c r="M50">
        <v>53.074677801163801</v>
      </c>
      <c r="N50">
        <v>30.023328428150101</v>
      </c>
      <c r="O50">
        <v>0.81812061904364897</v>
      </c>
      <c r="P50">
        <v>0.29940274881966</v>
      </c>
      <c r="Q50" t="s">
        <v>4</v>
      </c>
      <c r="R50" s="4" t="s">
        <v>87</v>
      </c>
      <c r="S50" t="s">
        <v>4</v>
      </c>
      <c r="T50" t="s">
        <v>92</v>
      </c>
      <c r="U50" t="s">
        <v>92</v>
      </c>
      <c r="V50" t="s">
        <v>92</v>
      </c>
      <c r="W50" t="s">
        <v>92</v>
      </c>
      <c r="X50" t="s">
        <v>4</v>
      </c>
      <c r="Y50" t="s">
        <v>92</v>
      </c>
      <c r="Z50" t="s">
        <v>92</v>
      </c>
      <c r="AA50" t="s">
        <v>92</v>
      </c>
      <c r="AB50" t="s">
        <v>4</v>
      </c>
      <c r="AC50" s="3" t="s">
        <v>93</v>
      </c>
      <c r="AD50" t="s">
        <v>4</v>
      </c>
      <c r="AE50" s="4" t="s">
        <v>94</v>
      </c>
      <c r="AZ50" t="s">
        <v>4</v>
      </c>
      <c r="BA50" s="3" t="s">
        <v>95</v>
      </c>
      <c r="BB50" s="6" t="s">
        <v>95</v>
      </c>
      <c r="BC50" s="3" t="s">
        <v>95</v>
      </c>
      <c r="BD50" t="s">
        <v>4</v>
      </c>
      <c r="BE50">
        <v>1484</v>
      </c>
      <c r="BF50" t="s">
        <v>151</v>
      </c>
      <c r="BG50">
        <v>81.998199999999997</v>
      </c>
      <c r="BH50">
        <v>41.674199999999999</v>
      </c>
      <c r="BI50">
        <v>76.5077</v>
      </c>
      <c r="BJ50">
        <v>12.421200000000001</v>
      </c>
      <c r="CK50">
        <v>2</v>
      </c>
      <c r="CL50" t="s">
        <v>4</v>
      </c>
      <c r="CM50" t="s">
        <v>98</v>
      </c>
      <c r="CN50" t="s">
        <v>98</v>
      </c>
      <c r="CO50" t="s">
        <v>99</v>
      </c>
      <c r="CP50">
        <v>49</v>
      </c>
      <c r="CQ50" t="s">
        <v>100</v>
      </c>
      <c r="CR50" t="s">
        <v>100</v>
      </c>
      <c r="CS50" t="s">
        <v>101</v>
      </c>
      <c r="CT50" t="s">
        <v>100</v>
      </c>
      <c r="CU50" t="s">
        <v>102</v>
      </c>
      <c r="CV50" t="s">
        <v>100</v>
      </c>
    </row>
    <row r="51" spans="1:100">
      <c r="A51" s="3" t="s">
        <v>519</v>
      </c>
      <c r="B51" s="4" t="s">
        <v>520</v>
      </c>
      <c r="C51">
        <v>109.50187325848199</v>
      </c>
      <c r="D51">
        <v>26.6638352872151</v>
      </c>
      <c r="E51">
        <v>2.0391070950537</v>
      </c>
      <c r="F51">
        <v>5.8059821172880503E-3</v>
      </c>
      <c r="G51" t="s">
        <v>4</v>
      </c>
      <c r="H51">
        <v>109.50187325848199</v>
      </c>
      <c r="I51">
        <v>20.253836909765099</v>
      </c>
      <c r="J51">
        <v>2.4381185294630501</v>
      </c>
      <c r="K51">
        <v>8.4525194744805696E-4</v>
      </c>
      <c r="L51" t="s">
        <v>4</v>
      </c>
      <c r="M51">
        <v>26.6638352872151</v>
      </c>
      <c r="N51">
        <v>20.253836909765099</v>
      </c>
      <c r="O51">
        <v>0.39901143440935199</v>
      </c>
      <c r="P51">
        <v>0.65045731761559</v>
      </c>
      <c r="Q51" t="s">
        <v>4</v>
      </c>
      <c r="R51" s="4" t="s">
        <v>87</v>
      </c>
      <c r="S51" t="s">
        <v>4</v>
      </c>
      <c r="T51" t="s">
        <v>92</v>
      </c>
      <c r="U51" t="s">
        <v>92</v>
      </c>
      <c r="V51" t="s">
        <v>92</v>
      </c>
      <c r="W51" t="s">
        <v>92</v>
      </c>
      <c r="X51" t="s">
        <v>4</v>
      </c>
      <c r="Y51" t="s">
        <v>92</v>
      </c>
      <c r="Z51" t="s">
        <v>92</v>
      </c>
      <c r="AA51" t="s">
        <v>92</v>
      </c>
      <c r="AB51" t="s">
        <v>4</v>
      </c>
      <c r="AC51" s="3" t="s">
        <v>93</v>
      </c>
      <c r="AD51" t="s">
        <v>4</v>
      </c>
      <c r="AE51" s="4" t="s">
        <v>94</v>
      </c>
      <c r="AZ51" t="s">
        <v>4</v>
      </c>
      <c r="BA51" s="3" t="s">
        <v>115</v>
      </c>
      <c r="BB51" s="6" t="s">
        <v>95</v>
      </c>
      <c r="BC51" s="3" t="s">
        <v>197</v>
      </c>
      <c r="BD51" t="s">
        <v>4</v>
      </c>
      <c r="BE51">
        <v>1489</v>
      </c>
      <c r="BF51" t="s">
        <v>151</v>
      </c>
      <c r="BG51">
        <v>80.855000000000004</v>
      </c>
      <c r="BH51">
        <v>82.527900000000002</v>
      </c>
      <c r="BI51" t="s">
        <v>521</v>
      </c>
      <c r="BJ51">
        <v>36.245399999999997</v>
      </c>
      <c r="BK51">
        <v>20.446100000000001</v>
      </c>
      <c r="BL51">
        <v>26.951699999999999</v>
      </c>
      <c r="BN51">
        <v>29.553899999999999</v>
      </c>
      <c r="BO51">
        <v>18.959099999999999</v>
      </c>
      <c r="CK51">
        <v>2</v>
      </c>
      <c r="CL51" t="s">
        <v>4</v>
      </c>
      <c r="CM51" t="s">
        <v>98</v>
      </c>
      <c r="CN51" t="s">
        <v>98</v>
      </c>
      <c r="CO51" t="s">
        <v>99</v>
      </c>
      <c r="CP51">
        <v>50</v>
      </c>
      <c r="CQ51" t="s">
        <v>100</v>
      </c>
      <c r="CR51" t="s">
        <v>100</v>
      </c>
      <c r="CS51" t="s">
        <v>101</v>
      </c>
      <c r="CT51" t="s">
        <v>100</v>
      </c>
      <c r="CU51" t="s">
        <v>102</v>
      </c>
      <c r="CV51" t="s">
        <v>100</v>
      </c>
    </row>
    <row r="52" spans="1:100">
      <c r="A52" s="3" t="s">
        <v>522</v>
      </c>
      <c r="B52" s="4" t="s">
        <v>523</v>
      </c>
      <c r="C52">
        <v>39.673045879210001</v>
      </c>
      <c r="D52">
        <v>7.0401515912229096</v>
      </c>
      <c r="E52">
        <v>2.5013724351079101</v>
      </c>
      <c r="F52">
        <v>4.7860014669304498E-3</v>
      </c>
      <c r="G52" t="s">
        <v>4</v>
      </c>
      <c r="H52">
        <v>39.673045879210001</v>
      </c>
      <c r="I52">
        <v>5.3776387959689202</v>
      </c>
      <c r="J52">
        <v>2.8729046957387698</v>
      </c>
      <c r="K52">
        <v>1.6745084743179199E-3</v>
      </c>
      <c r="L52" t="s">
        <v>4</v>
      </c>
      <c r="M52">
        <v>7.0401515912229096</v>
      </c>
      <c r="N52">
        <v>5.3776387959689202</v>
      </c>
      <c r="O52">
        <v>0.37153226063085998</v>
      </c>
      <c r="P52">
        <v>0.75091491622311302</v>
      </c>
      <c r="Q52" t="s">
        <v>4</v>
      </c>
      <c r="R52" s="4" t="s">
        <v>87</v>
      </c>
      <c r="S52" t="s">
        <v>4</v>
      </c>
      <c r="T52" t="s">
        <v>524</v>
      </c>
      <c r="U52" t="s">
        <v>525</v>
      </c>
      <c r="V52" t="s">
        <v>526</v>
      </c>
      <c r="W52" t="s">
        <v>203</v>
      </c>
      <c r="X52" t="s">
        <v>4</v>
      </c>
      <c r="Y52" t="s">
        <v>527</v>
      </c>
      <c r="Z52" t="s">
        <v>528</v>
      </c>
      <c r="AA52" t="s">
        <v>529</v>
      </c>
      <c r="AB52" t="s">
        <v>4</v>
      </c>
      <c r="AC52" s="3" t="s">
        <v>530</v>
      </c>
      <c r="AD52" t="s">
        <v>4</v>
      </c>
      <c r="AE52" t="s">
        <v>531</v>
      </c>
      <c r="AF52" t="s">
        <v>532</v>
      </c>
      <c r="AG52" t="s">
        <v>533</v>
      </c>
      <c r="AH52" t="s">
        <v>534</v>
      </c>
      <c r="AU52" t="s">
        <v>112</v>
      </c>
      <c r="AV52" t="s">
        <v>535</v>
      </c>
      <c r="AW52" t="s">
        <v>114</v>
      </c>
      <c r="AX52" t="s">
        <v>536</v>
      </c>
      <c r="AY52" t="s">
        <v>537</v>
      </c>
      <c r="AZ52" t="s">
        <v>4</v>
      </c>
      <c r="BA52" s="3" t="s">
        <v>95</v>
      </c>
      <c r="BB52" s="6" t="s">
        <v>95</v>
      </c>
      <c r="BC52" s="3" t="s">
        <v>95</v>
      </c>
      <c r="BD52" t="s">
        <v>4</v>
      </c>
      <c r="BE52">
        <v>8287</v>
      </c>
      <c r="BF52" t="s">
        <v>213</v>
      </c>
      <c r="BG52">
        <v>38.772500000000001</v>
      </c>
      <c r="BH52">
        <v>28.293399999999998</v>
      </c>
      <c r="BI52">
        <v>80.538899999999998</v>
      </c>
      <c r="BJ52">
        <v>9.1317400000000006</v>
      </c>
      <c r="BK52">
        <v>61.377200000000002</v>
      </c>
      <c r="BL52">
        <v>15.568899999999999</v>
      </c>
      <c r="BM52">
        <v>68.862300000000005</v>
      </c>
      <c r="BN52">
        <v>73.053899999999999</v>
      </c>
      <c r="BP52">
        <v>43.862299999999998</v>
      </c>
      <c r="BQ52">
        <v>40.119799999999998</v>
      </c>
      <c r="BR52">
        <v>47.155700000000003</v>
      </c>
      <c r="BX52">
        <v>31.886199999999999</v>
      </c>
      <c r="BY52" t="s">
        <v>538</v>
      </c>
      <c r="BZ52">
        <v>21.2575</v>
      </c>
      <c r="CB52">
        <v>45.209600000000002</v>
      </c>
      <c r="CE52">
        <v>22.904199999999999</v>
      </c>
      <c r="CG52" t="s">
        <v>539</v>
      </c>
      <c r="CH52" t="s">
        <v>540</v>
      </c>
      <c r="CI52" t="s">
        <v>541</v>
      </c>
      <c r="CK52">
        <v>8</v>
      </c>
      <c r="CL52" t="s">
        <v>4</v>
      </c>
      <c r="CM52" t="s">
        <v>98</v>
      </c>
      <c r="CN52" t="s">
        <v>98</v>
      </c>
      <c r="CO52" t="s">
        <v>99</v>
      </c>
      <c r="CP52">
        <v>51</v>
      </c>
      <c r="CQ52" t="s">
        <v>100</v>
      </c>
      <c r="CR52" t="s">
        <v>100</v>
      </c>
      <c r="CS52" t="s">
        <v>101</v>
      </c>
      <c r="CT52" t="s">
        <v>100</v>
      </c>
      <c r="CU52" t="s">
        <v>102</v>
      </c>
      <c r="CV52" t="s">
        <v>100</v>
      </c>
    </row>
    <row r="53" spans="1:100">
      <c r="A53" s="3" t="s">
        <v>542</v>
      </c>
      <c r="B53" s="4" t="s">
        <v>543</v>
      </c>
      <c r="C53">
        <v>71.510926760251294</v>
      </c>
      <c r="D53">
        <v>11.6078161612507</v>
      </c>
      <c r="E53">
        <v>2.6301834614053901</v>
      </c>
      <c r="F53">
        <v>1.2236006793163101E-3</v>
      </c>
      <c r="G53" t="s">
        <v>4</v>
      </c>
      <c r="H53">
        <v>71.510926760251294</v>
      </c>
      <c r="I53">
        <v>11.760291564106801</v>
      </c>
      <c r="J53">
        <v>2.5851348429145702</v>
      </c>
      <c r="K53">
        <v>1.4371299363091601E-3</v>
      </c>
      <c r="L53" t="s">
        <v>4</v>
      </c>
      <c r="M53">
        <v>11.6078161612507</v>
      </c>
      <c r="N53">
        <v>11.760291564106801</v>
      </c>
      <c r="O53">
        <f>0.0450486184908201</f>
        <v>4.5048618490820098E-2</v>
      </c>
      <c r="P53">
        <v>0.96856242566470396</v>
      </c>
      <c r="Q53" t="s">
        <v>4</v>
      </c>
      <c r="R53" s="4" t="s">
        <v>87</v>
      </c>
      <c r="S53" t="s">
        <v>4</v>
      </c>
      <c r="T53" t="s">
        <v>92</v>
      </c>
      <c r="U53" t="s">
        <v>92</v>
      </c>
      <c r="V53" t="s">
        <v>92</v>
      </c>
      <c r="W53" t="s">
        <v>92</v>
      </c>
      <c r="X53" t="s">
        <v>4</v>
      </c>
      <c r="Y53" t="s">
        <v>92</v>
      </c>
      <c r="Z53" t="s">
        <v>92</v>
      </c>
      <c r="AA53" t="s">
        <v>92</v>
      </c>
      <c r="AB53" t="s">
        <v>4</v>
      </c>
      <c r="AC53" s="3" t="s">
        <v>93</v>
      </c>
      <c r="AD53" t="s">
        <v>4</v>
      </c>
      <c r="AE53" s="4" t="s">
        <v>94</v>
      </c>
      <c r="AZ53" t="s">
        <v>4</v>
      </c>
      <c r="BA53" s="3" t="s">
        <v>95</v>
      </c>
      <c r="BB53" s="6" t="s">
        <v>95</v>
      </c>
      <c r="BC53" s="3" t="s">
        <v>95</v>
      </c>
      <c r="BD53" t="s">
        <v>4</v>
      </c>
      <c r="BE53">
        <v>1490</v>
      </c>
      <c r="BF53" t="s">
        <v>151</v>
      </c>
      <c r="CK53">
        <v>2</v>
      </c>
      <c r="CL53" t="s">
        <v>4</v>
      </c>
      <c r="CM53" t="s">
        <v>98</v>
      </c>
      <c r="CN53" t="s">
        <v>98</v>
      </c>
      <c r="CO53" t="s">
        <v>99</v>
      </c>
      <c r="CP53">
        <v>52</v>
      </c>
      <c r="CQ53" t="s">
        <v>100</v>
      </c>
      <c r="CR53" t="s">
        <v>100</v>
      </c>
      <c r="CS53" t="s">
        <v>101</v>
      </c>
      <c r="CT53" t="s">
        <v>100</v>
      </c>
      <c r="CU53" t="s">
        <v>102</v>
      </c>
      <c r="CV53" t="s">
        <v>100</v>
      </c>
    </row>
    <row r="54" spans="1:100">
      <c r="A54" s="3" t="s">
        <v>544</v>
      </c>
      <c r="B54" s="4" t="s">
        <v>545</v>
      </c>
      <c r="C54">
        <v>39.8417462823191</v>
      </c>
      <c r="D54">
        <v>7.88763388060962</v>
      </c>
      <c r="E54">
        <v>2.3526429490124001</v>
      </c>
      <c r="F54">
        <v>7.2102815407083598E-3</v>
      </c>
      <c r="G54" t="s">
        <v>4</v>
      </c>
      <c r="H54">
        <v>39.8417462823191</v>
      </c>
      <c r="I54">
        <v>6.7196705209937804</v>
      </c>
      <c r="J54">
        <v>2.52218677485132</v>
      </c>
      <c r="K54">
        <v>4.44895538163815E-3</v>
      </c>
      <c r="L54" t="s">
        <v>4</v>
      </c>
      <c r="M54">
        <v>7.88763388060962</v>
      </c>
      <c r="N54">
        <v>6.7196705209937804</v>
      </c>
      <c r="O54">
        <v>0.169543825838915</v>
      </c>
      <c r="P54">
        <v>0.88760964768128903</v>
      </c>
      <c r="Q54" t="s">
        <v>4</v>
      </c>
      <c r="R54" s="4" t="s">
        <v>87</v>
      </c>
      <c r="S54" t="s">
        <v>4</v>
      </c>
      <c r="T54" t="s">
        <v>92</v>
      </c>
      <c r="U54" t="s">
        <v>92</v>
      </c>
      <c r="V54" t="s">
        <v>92</v>
      </c>
      <c r="W54" t="s">
        <v>92</v>
      </c>
      <c r="X54" t="s">
        <v>4</v>
      </c>
      <c r="Y54" t="s">
        <v>92</v>
      </c>
      <c r="Z54" t="s">
        <v>92</v>
      </c>
      <c r="AA54" t="s">
        <v>92</v>
      </c>
      <c r="AB54" t="s">
        <v>4</v>
      </c>
      <c r="AC54" s="3" t="s">
        <v>93</v>
      </c>
      <c r="AD54" t="s">
        <v>4</v>
      </c>
      <c r="AE54" s="4" t="s">
        <v>94</v>
      </c>
      <c r="AZ54" t="s">
        <v>4</v>
      </c>
      <c r="BA54" s="3" t="s">
        <v>95</v>
      </c>
      <c r="BB54" s="6" t="s">
        <v>95</v>
      </c>
      <c r="BC54" s="3" t="s">
        <v>95</v>
      </c>
      <c r="BD54" t="s">
        <v>4</v>
      </c>
      <c r="BE54">
        <v>1491</v>
      </c>
      <c r="BF54" t="s">
        <v>151</v>
      </c>
      <c r="CK54">
        <v>2</v>
      </c>
      <c r="CL54" t="s">
        <v>4</v>
      </c>
      <c r="CM54" t="s">
        <v>98</v>
      </c>
      <c r="CN54" t="s">
        <v>98</v>
      </c>
      <c r="CO54" t="s">
        <v>99</v>
      </c>
      <c r="CP54">
        <v>53</v>
      </c>
      <c r="CQ54" t="s">
        <v>100</v>
      </c>
      <c r="CR54" t="s">
        <v>100</v>
      </c>
      <c r="CS54" t="s">
        <v>101</v>
      </c>
      <c r="CT54" t="s">
        <v>100</v>
      </c>
      <c r="CU54" t="s">
        <v>102</v>
      </c>
      <c r="CV54" t="s">
        <v>100</v>
      </c>
    </row>
    <row r="55" spans="1:100">
      <c r="A55" s="3" t="s">
        <v>546</v>
      </c>
      <c r="B55" s="4" t="s">
        <v>547</v>
      </c>
      <c r="C55">
        <v>36.6089037270144</v>
      </c>
      <c r="D55">
        <v>8.4355094674998607</v>
      </c>
      <c r="E55">
        <v>2.1123718276221402</v>
      </c>
      <c r="F55">
        <v>1.55876915149641E-3</v>
      </c>
      <c r="G55" t="s">
        <v>4</v>
      </c>
      <c r="H55">
        <v>36.6089037270144</v>
      </c>
      <c r="I55">
        <v>9.1256524446673506</v>
      </c>
      <c r="J55">
        <v>2.0118947643703899</v>
      </c>
      <c r="K55">
        <v>3.03456908691343E-3</v>
      </c>
      <c r="L55" t="s">
        <v>4</v>
      </c>
      <c r="M55">
        <v>8.4355094674998607</v>
      </c>
      <c r="N55">
        <v>9.1256524446673506</v>
      </c>
      <c r="O55">
        <f>0.100477063251755</f>
        <v>0.100477063251755</v>
      </c>
      <c r="P55">
        <v>0.91735097278055999</v>
      </c>
      <c r="Q55" t="s">
        <v>4</v>
      </c>
      <c r="R55" s="4" t="s">
        <v>87</v>
      </c>
      <c r="S55" t="s">
        <v>4</v>
      </c>
      <c r="T55" t="s">
        <v>92</v>
      </c>
      <c r="U55" t="s">
        <v>92</v>
      </c>
      <c r="V55" t="s">
        <v>92</v>
      </c>
      <c r="W55" t="s">
        <v>92</v>
      </c>
      <c r="X55" t="s">
        <v>4</v>
      </c>
      <c r="Y55" t="s">
        <v>92</v>
      </c>
      <c r="Z55" t="s">
        <v>92</v>
      </c>
      <c r="AA55" t="s">
        <v>92</v>
      </c>
      <c r="AB55" t="s">
        <v>4</v>
      </c>
      <c r="AC55" s="3" t="s">
        <v>93</v>
      </c>
      <c r="AD55" t="s">
        <v>4</v>
      </c>
      <c r="AE55" s="4" t="s">
        <v>94</v>
      </c>
      <c r="AZ55" t="s">
        <v>4</v>
      </c>
      <c r="BA55" s="3" t="s">
        <v>95</v>
      </c>
      <c r="BB55" s="6" t="s">
        <v>95</v>
      </c>
      <c r="BC55" s="3" t="s">
        <v>95</v>
      </c>
      <c r="BD55" t="s">
        <v>4</v>
      </c>
      <c r="BE55">
        <v>134</v>
      </c>
      <c r="BF55" t="s">
        <v>322</v>
      </c>
      <c r="CK55">
        <v>1</v>
      </c>
      <c r="CL55" t="s">
        <v>4</v>
      </c>
      <c r="CM55" t="s">
        <v>98</v>
      </c>
      <c r="CN55" t="s">
        <v>98</v>
      </c>
      <c r="CO55" t="s">
        <v>99</v>
      </c>
      <c r="CP55">
        <v>54</v>
      </c>
      <c r="CQ55" t="s">
        <v>100</v>
      </c>
      <c r="CR55" t="s">
        <v>100</v>
      </c>
      <c r="CS55" t="s">
        <v>101</v>
      </c>
      <c r="CT55" t="s">
        <v>100</v>
      </c>
      <c r="CU55" t="s">
        <v>102</v>
      </c>
      <c r="CV55" t="s">
        <v>100</v>
      </c>
    </row>
    <row r="56" spans="1:100">
      <c r="A56" s="3" t="s">
        <v>548</v>
      </c>
      <c r="B56" s="4" t="s">
        <v>549</v>
      </c>
      <c r="C56">
        <v>35.659379106070404</v>
      </c>
      <c r="D56">
        <v>7.1351491298363303</v>
      </c>
      <c r="E56">
        <v>2.33655619301507</v>
      </c>
      <c r="F56">
        <v>9.7569699453131902E-4</v>
      </c>
      <c r="G56" t="s">
        <v>4</v>
      </c>
      <c r="H56">
        <v>35.659379106070404</v>
      </c>
      <c r="I56">
        <v>3.7732808337133501</v>
      </c>
      <c r="J56">
        <v>3.1657898340250901</v>
      </c>
      <c r="K56" s="5">
        <v>7.5776464899879499E-5</v>
      </c>
      <c r="L56" t="s">
        <v>4</v>
      </c>
      <c r="M56">
        <v>7.1351491298363303</v>
      </c>
      <c r="N56">
        <v>3.7732808337133501</v>
      </c>
      <c r="O56">
        <v>0.82923364101001196</v>
      </c>
      <c r="P56">
        <v>0.38696625122760597</v>
      </c>
      <c r="Q56" t="s">
        <v>4</v>
      </c>
      <c r="R56" s="4" t="s">
        <v>87</v>
      </c>
      <c r="S56" t="s">
        <v>4</v>
      </c>
      <c r="T56" t="s">
        <v>88</v>
      </c>
      <c r="U56" t="s">
        <v>89</v>
      </c>
      <c r="V56" t="s">
        <v>90</v>
      </c>
      <c r="W56" t="s">
        <v>91</v>
      </c>
      <c r="X56" t="s">
        <v>4</v>
      </c>
      <c r="Y56" t="s">
        <v>92</v>
      </c>
      <c r="Z56" t="s">
        <v>92</v>
      </c>
      <c r="AA56" t="s">
        <v>92</v>
      </c>
      <c r="AB56" t="s">
        <v>4</v>
      </c>
      <c r="AC56" s="3" t="s">
        <v>93</v>
      </c>
      <c r="AD56" t="s">
        <v>4</v>
      </c>
      <c r="AE56" s="4" t="s">
        <v>94</v>
      </c>
      <c r="AZ56" t="s">
        <v>4</v>
      </c>
      <c r="BA56" s="3" t="s">
        <v>95</v>
      </c>
      <c r="BB56" t="s">
        <v>96</v>
      </c>
      <c r="BC56" s="3" t="s">
        <v>95</v>
      </c>
      <c r="BD56" t="s">
        <v>4</v>
      </c>
      <c r="BE56">
        <v>379</v>
      </c>
      <c r="BF56" t="s">
        <v>322</v>
      </c>
      <c r="CK56">
        <v>1</v>
      </c>
      <c r="CL56" t="s">
        <v>4</v>
      </c>
      <c r="CM56" t="s">
        <v>98</v>
      </c>
      <c r="CN56" t="s">
        <v>98</v>
      </c>
      <c r="CO56" t="s">
        <v>99</v>
      </c>
      <c r="CP56">
        <v>55</v>
      </c>
      <c r="CQ56" t="s">
        <v>100</v>
      </c>
      <c r="CR56" t="s">
        <v>100</v>
      </c>
      <c r="CS56" t="s">
        <v>101</v>
      </c>
      <c r="CT56" t="s">
        <v>100</v>
      </c>
      <c r="CU56" t="s">
        <v>102</v>
      </c>
      <c r="CV56" t="s">
        <v>100</v>
      </c>
    </row>
    <row r="57" spans="1:100">
      <c r="A57" s="3" t="s">
        <v>550</v>
      </c>
      <c r="B57" s="4" t="s">
        <v>551</v>
      </c>
      <c r="C57">
        <v>30.549606492472201</v>
      </c>
      <c r="D57">
        <v>2.8757321062134098</v>
      </c>
      <c r="E57">
        <v>3.41610729444024</v>
      </c>
      <c r="F57">
        <v>1.31607314065682E-3</v>
      </c>
      <c r="G57" t="s">
        <v>4</v>
      </c>
      <c r="H57">
        <v>30.549606492472201</v>
      </c>
      <c r="I57">
        <v>4.81307388676671</v>
      </c>
      <c r="J57">
        <v>2.7435922213213</v>
      </c>
      <c r="K57">
        <v>8.1475649065451197E-3</v>
      </c>
      <c r="L57" t="s">
        <v>4</v>
      </c>
      <c r="M57">
        <v>2.8757321062134098</v>
      </c>
      <c r="N57">
        <v>4.81307388676671</v>
      </c>
      <c r="O57">
        <f>0.672515073118949</f>
        <v>0.67251507311894898</v>
      </c>
      <c r="P57">
        <v>0.61455033026164196</v>
      </c>
      <c r="Q57" t="s">
        <v>4</v>
      </c>
      <c r="R57" s="4" t="s">
        <v>87</v>
      </c>
      <c r="S57" t="s">
        <v>4</v>
      </c>
      <c r="T57" t="s">
        <v>92</v>
      </c>
      <c r="U57" t="s">
        <v>92</v>
      </c>
      <c r="V57" t="s">
        <v>92</v>
      </c>
      <c r="W57" t="s">
        <v>92</v>
      </c>
      <c r="X57" t="s">
        <v>4</v>
      </c>
      <c r="Y57" t="s">
        <v>92</v>
      </c>
      <c r="Z57" t="s">
        <v>92</v>
      </c>
      <c r="AA57" t="s">
        <v>92</v>
      </c>
      <c r="AB57" t="s">
        <v>4</v>
      </c>
      <c r="AC57" s="3" t="s">
        <v>93</v>
      </c>
      <c r="AD57" t="s">
        <v>4</v>
      </c>
      <c r="AE57" s="4" t="s">
        <v>94</v>
      </c>
      <c r="AZ57" t="s">
        <v>4</v>
      </c>
      <c r="BA57" s="3" t="s">
        <v>95</v>
      </c>
      <c r="BB57" s="6" t="s">
        <v>95</v>
      </c>
      <c r="BC57" s="3" t="s">
        <v>95</v>
      </c>
      <c r="BD57" t="s">
        <v>4</v>
      </c>
      <c r="BE57">
        <v>137</v>
      </c>
      <c r="BF57" t="s">
        <v>322</v>
      </c>
      <c r="CK57">
        <v>1</v>
      </c>
      <c r="CL57" t="s">
        <v>4</v>
      </c>
      <c r="CM57" t="s">
        <v>98</v>
      </c>
      <c r="CN57" t="s">
        <v>98</v>
      </c>
      <c r="CO57" t="s">
        <v>99</v>
      </c>
      <c r="CP57">
        <v>56</v>
      </c>
      <c r="CQ57" t="s">
        <v>100</v>
      </c>
      <c r="CR57" t="s">
        <v>100</v>
      </c>
      <c r="CS57" t="s">
        <v>101</v>
      </c>
      <c r="CT57" t="s">
        <v>100</v>
      </c>
      <c r="CU57" t="s">
        <v>102</v>
      </c>
      <c r="CV57" t="s">
        <v>100</v>
      </c>
    </row>
    <row r="58" spans="1:100">
      <c r="A58" s="3" t="s">
        <v>552</v>
      </c>
      <c r="B58" s="4" t="s">
        <v>553</v>
      </c>
      <c r="C58">
        <v>32.977630256587801</v>
      </c>
      <c r="D58">
        <v>6.8432984311715801</v>
      </c>
      <c r="E58">
        <v>2.2845121380525302</v>
      </c>
      <c r="F58">
        <v>3.2164074752616301E-3</v>
      </c>
      <c r="G58" t="s">
        <v>4</v>
      </c>
      <c r="H58">
        <v>32.977630256587801</v>
      </c>
      <c r="I58">
        <v>1.31072525361109</v>
      </c>
      <c r="J58">
        <v>4.6146266561681202</v>
      </c>
      <c r="K58" s="5">
        <v>3.66939024053208E-5</v>
      </c>
      <c r="L58" t="s">
        <v>4</v>
      </c>
      <c r="M58">
        <v>6.8432984311715801</v>
      </c>
      <c r="N58">
        <v>1.31072525361109</v>
      </c>
      <c r="O58">
        <v>2.33011451811559</v>
      </c>
      <c r="P58">
        <v>5.3575209871186399E-2</v>
      </c>
      <c r="Q58" t="s">
        <v>4</v>
      </c>
      <c r="R58" s="4" t="s">
        <v>87</v>
      </c>
      <c r="S58" t="s">
        <v>4</v>
      </c>
      <c r="T58" t="s">
        <v>92</v>
      </c>
      <c r="U58" t="s">
        <v>92</v>
      </c>
      <c r="V58" t="s">
        <v>92</v>
      </c>
      <c r="W58" t="s">
        <v>92</v>
      </c>
      <c r="X58" t="s">
        <v>4</v>
      </c>
      <c r="Y58" t="s">
        <v>92</v>
      </c>
      <c r="Z58" t="s">
        <v>92</v>
      </c>
      <c r="AA58" t="s">
        <v>92</v>
      </c>
      <c r="AB58" t="s">
        <v>4</v>
      </c>
      <c r="AC58" s="3" t="s">
        <v>93</v>
      </c>
      <c r="AD58" t="s">
        <v>4</v>
      </c>
      <c r="AE58" s="4" t="s">
        <v>94</v>
      </c>
      <c r="AZ58" t="s">
        <v>4</v>
      </c>
      <c r="BA58" s="3" t="s">
        <v>95</v>
      </c>
      <c r="BB58" s="6" t="s">
        <v>95</v>
      </c>
      <c r="BC58" s="3" t="s">
        <v>95</v>
      </c>
      <c r="BD58" t="s">
        <v>4</v>
      </c>
      <c r="BE58">
        <v>397</v>
      </c>
      <c r="BF58" t="s">
        <v>322</v>
      </c>
      <c r="CK58">
        <v>1</v>
      </c>
      <c r="CL58" t="s">
        <v>4</v>
      </c>
      <c r="CM58" t="s">
        <v>98</v>
      </c>
      <c r="CN58" t="s">
        <v>98</v>
      </c>
      <c r="CO58" t="s">
        <v>99</v>
      </c>
      <c r="CP58">
        <v>57</v>
      </c>
      <c r="CQ58" t="s">
        <v>100</v>
      </c>
      <c r="CR58" t="s">
        <v>100</v>
      </c>
      <c r="CS58" t="s">
        <v>101</v>
      </c>
      <c r="CT58" t="s">
        <v>100</v>
      </c>
      <c r="CU58" t="s">
        <v>102</v>
      </c>
      <c r="CV58" t="s">
        <v>100</v>
      </c>
    </row>
    <row r="59" spans="1:100">
      <c r="A59" s="3" t="s">
        <v>554</v>
      </c>
      <c r="B59" s="4" t="s">
        <v>555</v>
      </c>
      <c r="C59">
        <v>50.016812698245502</v>
      </c>
      <c r="D59">
        <v>5.8516280599512003</v>
      </c>
      <c r="E59">
        <v>3.0855912912264798</v>
      </c>
      <c r="F59">
        <v>9.7518601049400395E-4</v>
      </c>
      <c r="G59" t="s">
        <v>4</v>
      </c>
      <c r="H59">
        <v>50.016812698245502</v>
      </c>
      <c r="I59">
        <v>3.5396943909682199</v>
      </c>
      <c r="J59">
        <v>3.8777978776168198</v>
      </c>
      <c r="K59">
        <v>1.22020585132977E-4</v>
      </c>
      <c r="L59" t="s">
        <v>4</v>
      </c>
      <c r="M59">
        <v>5.8516280599512003</v>
      </c>
      <c r="N59">
        <v>3.5396943909682199</v>
      </c>
      <c r="O59">
        <v>0.79220658639034802</v>
      </c>
      <c r="P59">
        <v>0.51701311366901903</v>
      </c>
      <c r="Q59" t="s">
        <v>4</v>
      </c>
      <c r="R59" s="4" t="s">
        <v>87</v>
      </c>
      <c r="S59" t="s">
        <v>4</v>
      </c>
      <c r="T59" t="s">
        <v>189</v>
      </c>
      <c r="U59" t="s">
        <v>190</v>
      </c>
      <c r="V59" t="s">
        <v>191</v>
      </c>
      <c r="W59" t="s">
        <v>192</v>
      </c>
      <c r="X59" t="s">
        <v>4</v>
      </c>
      <c r="Y59" t="s">
        <v>92</v>
      </c>
      <c r="Z59" t="s">
        <v>92</v>
      </c>
      <c r="AA59" t="s">
        <v>92</v>
      </c>
      <c r="AB59" t="s">
        <v>4</v>
      </c>
      <c r="AC59" s="3" t="s">
        <v>93</v>
      </c>
      <c r="AD59" t="s">
        <v>4</v>
      </c>
      <c r="AE59" s="4" t="s">
        <v>94</v>
      </c>
      <c r="AZ59" t="s">
        <v>4</v>
      </c>
      <c r="BA59" s="3" t="s">
        <v>95</v>
      </c>
      <c r="BB59" t="s">
        <v>96</v>
      </c>
      <c r="BC59" s="3" t="s">
        <v>95</v>
      </c>
      <c r="BD59" t="s">
        <v>4</v>
      </c>
      <c r="BE59">
        <v>2334</v>
      </c>
      <c r="BF59" t="s">
        <v>148</v>
      </c>
      <c r="BG59">
        <v>58.173099999999998</v>
      </c>
      <c r="BH59">
        <v>23.557700000000001</v>
      </c>
      <c r="BI59">
        <v>87.980800000000002</v>
      </c>
      <c r="BJ59">
        <v>39.423099999999998</v>
      </c>
      <c r="BN59">
        <v>52.403799999999997</v>
      </c>
      <c r="CK59">
        <v>3</v>
      </c>
      <c r="CL59" t="s">
        <v>4</v>
      </c>
      <c r="CM59" t="s">
        <v>98</v>
      </c>
      <c r="CN59" t="s">
        <v>98</v>
      </c>
      <c r="CO59" t="s">
        <v>99</v>
      </c>
      <c r="CP59">
        <v>58</v>
      </c>
      <c r="CQ59" t="s">
        <v>100</v>
      </c>
      <c r="CR59" t="s">
        <v>100</v>
      </c>
      <c r="CS59" t="s">
        <v>101</v>
      </c>
      <c r="CT59" t="s">
        <v>100</v>
      </c>
      <c r="CU59" t="s">
        <v>102</v>
      </c>
      <c r="CV59" t="s">
        <v>100</v>
      </c>
    </row>
    <row r="60" spans="1:100">
      <c r="A60" s="3" t="s">
        <v>556</v>
      </c>
      <c r="B60" s="4" t="s">
        <v>557</v>
      </c>
      <c r="C60">
        <v>47.815948210396002</v>
      </c>
      <c r="D60">
        <v>7.7158184122067404</v>
      </c>
      <c r="E60">
        <v>2.6209960210308698</v>
      </c>
      <c r="F60">
        <v>2.0596079934270899E-3</v>
      </c>
      <c r="G60" t="s">
        <v>4</v>
      </c>
      <c r="H60">
        <v>47.815948210396002</v>
      </c>
      <c r="I60">
        <v>3.8767121438241499</v>
      </c>
      <c r="J60">
        <v>3.6554884118867701</v>
      </c>
      <c r="K60" s="5">
        <v>8.5497071662636801E-5</v>
      </c>
      <c r="L60" t="s">
        <v>4</v>
      </c>
      <c r="M60">
        <v>7.7158184122067404</v>
      </c>
      <c r="N60">
        <v>3.8767121438241499</v>
      </c>
      <c r="O60">
        <v>1.0344923908559001</v>
      </c>
      <c r="P60">
        <v>0.33927757501901001</v>
      </c>
      <c r="Q60" t="s">
        <v>4</v>
      </c>
      <c r="R60" s="4" t="s">
        <v>87</v>
      </c>
      <c r="S60" t="s">
        <v>4</v>
      </c>
      <c r="T60" t="s">
        <v>92</v>
      </c>
      <c r="U60" t="s">
        <v>92</v>
      </c>
      <c r="V60" t="s">
        <v>92</v>
      </c>
      <c r="W60" t="s">
        <v>92</v>
      </c>
      <c r="X60" t="s">
        <v>4</v>
      </c>
      <c r="Y60" t="s">
        <v>92</v>
      </c>
      <c r="Z60" t="s">
        <v>92</v>
      </c>
      <c r="AA60" t="s">
        <v>92</v>
      </c>
      <c r="AB60" t="s">
        <v>4</v>
      </c>
      <c r="AC60" s="3" t="s">
        <v>93</v>
      </c>
      <c r="AD60" t="s">
        <v>4</v>
      </c>
      <c r="AE60" s="4" t="s">
        <v>94</v>
      </c>
      <c r="AZ60" t="s">
        <v>4</v>
      </c>
      <c r="BA60" s="3" t="s">
        <v>95</v>
      </c>
      <c r="BB60" s="6" t="s">
        <v>95</v>
      </c>
      <c r="BC60" s="3" t="s">
        <v>95</v>
      </c>
      <c r="BD60" t="s">
        <v>4</v>
      </c>
      <c r="BE60">
        <v>443</v>
      </c>
      <c r="BF60" t="s">
        <v>322</v>
      </c>
      <c r="CK60">
        <v>1</v>
      </c>
      <c r="CL60" t="s">
        <v>4</v>
      </c>
      <c r="CM60" t="s">
        <v>98</v>
      </c>
      <c r="CN60" t="s">
        <v>98</v>
      </c>
      <c r="CO60" t="s">
        <v>99</v>
      </c>
      <c r="CP60">
        <v>59</v>
      </c>
      <c r="CQ60" t="s">
        <v>100</v>
      </c>
      <c r="CR60" t="s">
        <v>100</v>
      </c>
      <c r="CS60" t="s">
        <v>101</v>
      </c>
      <c r="CT60" t="s">
        <v>100</v>
      </c>
      <c r="CU60" t="s">
        <v>102</v>
      </c>
      <c r="CV60" t="s">
        <v>100</v>
      </c>
    </row>
    <row r="61" spans="1:100">
      <c r="A61" s="3" t="s">
        <v>558</v>
      </c>
      <c r="B61" s="4" t="s">
        <v>559</v>
      </c>
      <c r="C61">
        <v>159.13757321167299</v>
      </c>
      <c r="D61">
        <v>9.3550857978034099</v>
      </c>
      <c r="E61">
        <v>4.1012505922914402</v>
      </c>
      <c r="F61" s="5">
        <v>1.6859788876807101E-13</v>
      </c>
      <c r="G61" t="s">
        <v>4</v>
      </c>
      <c r="H61">
        <v>159.13757321167299</v>
      </c>
      <c r="I61">
        <v>16.529980406661998</v>
      </c>
      <c r="J61">
        <v>3.2787921729684402</v>
      </c>
      <c r="K61" s="5">
        <v>1.35050186296032E-9</v>
      </c>
      <c r="L61" t="s">
        <v>4</v>
      </c>
      <c r="M61">
        <v>9.3550857978034099</v>
      </c>
      <c r="N61">
        <v>16.529980406661998</v>
      </c>
      <c r="O61">
        <f>0.822458419322997</f>
        <v>0.82245841932299701</v>
      </c>
      <c r="P61">
        <v>0.22159384886948899</v>
      </c>
      <c r="Q61" t="s">
        <v>4</v>
      </c>
      <c r="R61" s="4" t="s">
        <v>87</v>
      </c>
      <c r="S61" t="s">
        <v>4</v>
      </c>
      <c r="T61" t="s">
        <v>92</v>
      </c>
      <c r="U61" t="s">
        <v>92</v>
      </c>
      <c r="V61" t="s">
        <v>92</v>
      </c>
      <c r="W61" t="s">
        <v>92</v>
      </c>
      <c r="X61" t="s">
        <v>4</v>
      </c>
      <c r="Y61" t="s">
        <v>92</v>
      </c>
      <c r="Z61" t="s">
        <v>92</v>
      </c>
      <c r="AA61" t="s">
        <v>92</v>
      </c>
      <c r="AB61" t="s">
        <v>4</v>
      </c>
      <c r="AC61" s="3" t="s">
        <v>93</v>
      </c>
      <c r="AD61" t="s">
        <v>4</v>
      </c>
      <c r="AE61" s="4" t="s">
        <v>94</v>
      </c>
      <c r="AZ61" t="s">
        <v>4</v>
      </c>
      <c r="BA61" s="3" t="s">
        <v>95</v>
      </c>
      <c r="BB61" s="6" t="s">
        <v>95</v>
      </c>
      <c r="BC61" s="3" t="s">
        <v>95</v>
      </c>
      <c r="BD61" t="s">
        <v>4</v>
      </c>
      <c r="BE61">
        <v>148</v>
      </c>
      <c r="BF61" t="s">
        <v>322</v>
      </c>
      <c r="CK61">
        <v>1</v>
      </c>
      <c r="CL61" t="s">
        <v>4</v>
      </c>
      <c r="CM61" t="s">
        <v>98</v>
      </c>
      <c r="CN61" t="s">
        <v>98</v>
      </c>
      <c r="CO61" t="s">
        <v>99</v>
      </c>
      <c r="CP61">
        <v>60</v>
      </c>
      <c r="CQ61" t="s">
        <v>100</v>
      </c>
      <c r="CR61" t="s">
        <v>100</v>
      </c>
      <c r="CS61" t="s">
        <v>101</v>
      </c>
      <c r="CT61" t="s">
        <v>100</v>
      </c>
      <c r="CU61" t="s">
        <v>102</v>
      </c>
      <c r="CV61" t="s">
        <v>100</v>
      </c>
    </row>
    <row r="62" spans="1:100">
      <c r="A62" s="3" t="s">
        <v>560</v>
      </c>
      <c r="B62" s="4" t="s">
        <v>561</v>
      </c>
      <c r="C62">
        <v>1472.36672499991</v>
      </c>
      <c r="D62">
        <v>266.70734827744798</v>
      </c>
      <c r="E62">
        <v>2.4641765742082802</v>
      </c>
      <c r="F62" s="5">
        <v>6.6430292115343006E-11</v>
      </c>
      <c r="G62" t="s">
        <v>4</v>
      </c>
      <c r="H62">
        <v>1472.36672499991</v>
      </c>
      <c r="I62">
        <v>36.359470140694903</v>
      </c>
      <c r="J62">
        <v>5.3130524938381196</v>
      </c>
      <c r="K62" s="5">
        <v>4.5732642437861198E-41</v>
      </c>
      <c r="L62" t="s">
        <v>4</v>
      </c>
      <c r="M62">
        <v>266.70734827744798</v>
      </c>
      <c r="N62">
        <v>36.359470140694903</v>
      </c>
      <c r="O62">
        <v>2.8488759196298501</v>
      </c>
      <c r="P62" s="5">
        <v>1.7783624463456E-12</v>
      </c>
      <c r="Q62" t="s">
        <v>4</v>
      </c>
      <c r="R62" s="4" t="s">
        <v>87</v>
      </c>
      <c r="S62" t="s">
        <v>4</v>
      </c>
      <c r="T62" t="s">
        <v>92</v>
      </c>
      <c r="U62" t="s">
        <v>92</v>
      </c>
      <c r="V62" t="s">
        <v>92</v>
      </c>
      <c r="W62" t="s">
        <v>92</v>
      </c>
      <c r="X62" t="s">
        <v>4</v>
      </c>
      <c r="Y62" t="s">
        <v>92</v>
      </c>
      <c r="Z62" t="s">
        <v>92</v>
      </c>
      <c r="AA62" t="s">
        <v>92</v>
      </c>
      <c r="AB62" t="s">
        <v>4</v>
      </c>
      <c r="AC62" s="3" t="s">
        <v>93</v>
      </c>
      <c r="AD62" t="s">
        <v>4</v>
      </c>
      <c r="AE62" t="s">
        <v>562</v>
      </c>
      <c r="AF62" t="s">
        <v>563</v>
      </c>
      <c r="AG62" t="s">
        <v>564</v>
      </c>
      <c r="AH62" t="s">
        <v>314</v>
      </c>
      <c r="AU62" t="s">
        <v>112</v>
      </c>
      <c r="AV62" t="s">
        <v>565</v>
      </c>
      <c r="AW62" t="s">
        <v>114</v>
      </c>
      <c r="AX62" t="s">
        <v>536</v>
      </c>
      <c r="AY62" t="s">
        <v>566</v>
      </c>
      <c r="AZ62" t="s">
        <v>4</v>
      </c>
      <c r="BA62" s="3" t="s">
        <v>95</v>
      </c>
      <c r="BB62" s="6" t="s">
        <v>95</v>
      </c>
      <c r="BC62" s="3" t="s">
        <v>95</v>
      </c>
      <c r="BD62" t="s">
        <v>4</v>
      </c>
      <c r="BE62">
        <v>1533</v>
      </c>
      <c r="BF62" t="s">
        <v>151</v>
      </c>
      <c r="BG62">
        <v>62.5</v>
      </c>
      <c r="CK62">
        <v>2</v>
      </c>
      <c r="CL62" t="s">
        <v>4</v>
      </c>
      <c r="CM62" t="s">
        <v>98</v>
      </c>
      <c r="CN62" t="s">
        <v>98</v>
      </c>
      <c r="CO62" t="s">
        <v>99</v>
      </c>
      <c r="CP62">
        <v>61</v>
      </c>
      <c r="CQ62" t="s">
        <v>100</v>
      </c>
      <c r="CR62" t="s">
        <v>100</v>
      </c>
      <c r="CS62" t="s">
        <v>101</v>
      </c>
      <c r="CT62" t="s">
        <v>152</v>
      </c>
      <c r="CU62" t="s">
        <v>102</v>
      </c>
      <c r="CV62" t="s">
        <v>100</v>
      </c>
    </row>
    <row r="63" spans="1:100">
      <c r="A63" s="3" t="s">
        <v>567</v>
      </c>
      <c r="B63" s="4" t="s">
        <v>568</v>
      </c>
      <c r="C63">
        <v>81.493733547686105</v>
      </c>
      <c r="D63">
        <v>11.0439861466587</v>
      </c>
      <c r="E63">
        <v>2.88210241215809</v>
      </c>
      <c r="F63" s="5">
        <v>3.7507278340527002E-6</v>
      </c>
      <c r="G63" t="s">
        <v>4</v>
      </c>
      <c r="H63">
        <v>81.493733547686105</v>
      </c>
      <c r="I63">
        <v>10.7613168783367</v>
      </c>
      <c r="J63">
        <v>2.91153144920552</v>
      </c>
      <c r="K63" s="5">
        <v>5.2087001234398696E-6</v>
      </c>
      <c r="L63" t="s">
        <v>4</v>
      </c>
      <c r="M63">
        <v>11.0439861466587</v>
      </c>
      <c r="N63">
        <v>10.7613168783367</v>
      </c>
      <c r="O63">
        <v>2.9429037047421801E-2</v>
      </c>
      <c r="P63">
        <v>0.97686882127215202</v>
      </c>
      <c r="Q63" t="s">
        <v>4</v>
      </c>
      <c r="R63" s="4" t="s">
        <v>87</v>
      </c>
      <c r="S63" t="s">
        <v>4</v>
      </c>
      <c r="T63" t="s">
        <v>360</v>
      </c>
      <c r="U63" t="s">
        <v>361</v>
      </c>
      <c r="V63" t="s">
        <v>362</v>
      </c>
      <c r="W63" t="s">
        <v>328</v>
      </c>
      <c r="X63" t="s">
        <v>4</v>
      </c>
      <c r="Y63" t="s">
        <v>363</v>
      </c>
      <c r="Z63" t="s">
        <v>364</v>
      </c>
      <c r="AA63" t="s">
        <v>365</v>
      </c>
      <c r="AB63" t="s">
        <v>4</v>
      </c>
      <c r="AC63" s="3" t="s">
        <v>93</v>
      </c>
      <c r="AD63" t="s">
        <v>4</v>
      </c>
      <c r="AE63" t="s">
        <v>569</v>
      </c>
      <c r="AF63" t="s">
        <v>570</v>
      </c>
      <c r="AG63" t="s">
        <v>571</v>
      </c>
      <c r="AH63" t="s">
        <v>112</v>
      </c>
      <c r="AU63" t="s">
        <v>112</v>
      </c>
      <c r="AV63" t="s">
        <v>572</v>
      </c>
      <c r="AW63" t="s">
        <v>114</v>
      </c>
      <c r="AX63" t="s">
        <v>371</v>
      </c>
      <c r="AY63" t="s">
        <v>573</v>
      </c>
      <c r="AZ63" t="s">
        <v>4</v>
      </c>
      <c r="BA63" s="3" t="s">
        <v>95</v>
      </c>
      <c r="BB63" s="6" t="s">
        <v>95</v>
      </c>
      <c r="BC63" s="3" t="s">
        <v>95</v>
      </c>
      <c r="BD63" t="s">
        <v>4</v>
      </c>
      <c r="BE63">
        <v>8338</v>
      </c>
      <c r="BF63" t="s">
        <v>213</v>
      </c>
      <c r="BG63">
        <v>86.390500000000003</v>
      </c>
      <c r="BH63">
        <v>94.970399999999998</v>
      </c>
      <c r="BI63">
        <v>9.1715999999999998</v>
      </c>
      <c r="BJ63">
        <v>56.508899999999997</v>
      </c>
      <c r="BK63">
        <v>33.432000000000002</v>
      </c>
      <c r="BL63">
        <v>52.070999999999998</v>
      </c>
      <c r="BM63">
        <v>54.437899999999999</v>
      </c>
      <c r="BN63">
        <v>60.6509</v>
      </c>
      <c r="BO63">
        <v>54.733699999999999</v>
      </c>
      <c r="BP63">
        <v>23.668600000000001</v>
      </c>
      <c r="BQ63">
        <v>19.822500000000002</v>
      </c>
      <c r="BT63">
        <v>16.568000000000001</v>
      </c>
      <c r="BW63">
        <v>13.609500000000001</v>
      </c>
      <c r="CA63" t="s">
        <v>574</v>
      </c>
      <c r="CB63" t="s">
        <v>575</v>
      </c>
      <c r="CC63" t="s">
        <v>576</v>
      </c>
      <c r="CD63">
        <v>23.372800000000002</v>
      </c>
      <c r="CE63" t="s">
        <v>577</v>
      </c>
      <c r="CF63">
        <v>21.8935</v>
      </c>
      <c r="CG63" t="s">
        <v>578</v>
      </c>
      <c r="CH63" t="s">
        <v>579</v>
      </c>
      <c r="CI63" t="s">
        <v>580</v>
      </c>
      <c r="CK63">
        <v>8</v>
      </c>
      <c r="CL63" t="s">
        <v>4</v>
      </c>
      <c r="CM63" t="s">
        <v>581</v>
      </c>
      <c r="CN63" t="s">
        <v>582</v>
      </c>
      <c r="CO63" t="s">
        <v>99</v>
      </c>
      <c r="CP63">
        <v>62</v>
      </c>
      <c r="CQ63" t="s">
        <v>100</v>
      </c>
      <c r="CR63" t="s">
        <v>100</v>
      </c>
      <c r="CS63" t="s">
        <v>101</v>
      </c>
      <c r="CT63" t="s">
        <v>100</v>
      </c>
      <c r="CU63" t="s">
        <v>102</v>
      </c>
      <c r="CV63" t="s">
        <v>100</v>
      </c>
    </row>
    <row r="64" spans="1:100">
      <c r="A64" s="3" t="s">
        <v>583</v>
      </c>
      <c r="B64" s="4" t="s">
        <v>584</v>
      </c>
      <c r="C64">
        <v>57.1581446309782</v>
      </c>
      <c r="D64">
        <v>10.6947464809036</v>
      </c>
      <c r="E64">
        <v>2.4175252366108602</v>
      </c>
      <c r="F64" s="5">
        <v>4.8300660099903496E-6</v>
      </c>
      <c r="G64" t="s">
        <v>4</v>
      </c>
      <c r="H64">
        <v>57.1581446309782</v>
      </c>
      <c r="I64">
        <v>11.2824967433274</v>
      </c>
      <c r="J64">
        <v>2.3073541878350801</v>
      </c>
      <c r="K64" s="5">
        <v>2.26750501509386E-5</v>
      </c>
      <c r="L64" t="s">
        <v>4</v>
      </c>
      <c r="M64">
        <v>10.6947464809036</v>
      </c>
      <c r="N64">
        <v>11.2824967433274</v>
      </c>
      <c r="O64">
        <f>0.110171048775784</f>
        <v>0.110171048775784</v>
      </c>
      <c r="P64">
        <v>0.88826879042157003</v>
      </c>
      <c r="Q64" t="s">
        <v>4</v>
      </c>
      <c r="R64" s="4" t="s">
        <v>87</v>
      </c>
      <c r="S64" t="s">
        <v>4</v>
      </c>
      <c r="T64" t="s">
        <v>585</v>
      </c>
      <c r="U64" t="s">
        <v>586</v>
      </c>
      <c r="V64" t="s">
        <v>587</v>
      </c>
      <c r="W64" t="s">
        <v>192</v>
      </c>
      <c r="X64" t="s">
        <v>4</v>
      </c>
      <c r="Y64" t="s">
        <v>588</v>
      </c>
      <c r="Z64" t="s">
        <v>589</v>
      </c>
      <c r="AA64" t="s">
        <v>590</v>
      </c>
      <c r="AB64" t="s">
        <v>4</v>
      </c>
      <c r="AC64" s="3" t="s">
        <v>591</v>
      </c>
      <c r="AD64" t="s">
        <v>4</v>
      </c>
      <c r="AE64" t="s">
        <v>592</v>
      </c>
      <c r="AF64" t="s">
        <v>593</v>
      </c>
      <c r="AG64" t="s">
        <v>594</v>
      </c>
      <c r="AH64" t="s">
        <v>314</v>
      </c>
      <c r="AU64" t="s">
        <v>112</v>
      </c>
      <c r="AV64" t="s">
        <v>595</v>
      </c>
      <c r="AW64" t="s">
        <v>114</v>
      </c>
      <c r="AX64" t="s">
        <v>596</v>
      </c>
      <c r="AY64" t="s">
        <v>597</v>
      </c>
      <c r="AZ64" t="s">
        <v>4</v>
      </c>
      <c r="BA64" s="3" t="s">
        <v>95</v>
      </c>
      <c r="BB64" t="s">
        <v>96</v>
      </c>
      <c r="BC64" s="3" t="s">
        <v>95</v>
      </c>
      <c r="BD64" t="s">
        <v>4</v>
      </c>
      <c r="BE64">
        <v>3174</v>
      </c>
      <c r="BF64" t="s">
        <v>112</v>
      </c>
      <c r="BP64">
        <v>35.526299999999999</v>
      </c>
      <c r="BQ64" t="s">
        <v>598</v>
      </c>
      <c r="BR64">
        <v>36.842100000000002</v>
      </c>
      <c r="BS64">
        <v>32.8947</v>
      </c>
      <c r="CB64">
        <v>17.763200000000001</v>
      </c>
      <c r="CG64" t="s">
        <v>599</v>
      </c>
      <c r="CH64" t="s">
        <v>600</v>
      </c>
      <c r="CI64" t="s">
        <v>601</v>
      </c>
      <c r="CK64">
        <v>5</v>
      </c>
      <c r="CL64" t="s">
        <v>4</v>
      </c>
      <c r="CM64" t="s">
        <v>98</v>
      </c>
      <c r="CN64" t="s">
        <v>98</v>
      </c>
      <c r="CO64" t="s">
        <v>99</v>
      </c>
      <c r="CP64">
        <v>63</v>
      </c>
      <c r="CQ64" t="s">
        <v>100</v>
      </c>
      <c r="CR64" t="s">
        <v>100</v>
      </c>
      <c r="CS64" t="s">
        <v>101</v>
      </c>
      <c r="CT64" t="s">
        <v>100</v>
      </c>
      <c r="CU64" t="s">
        <v>102</v>
      </c>
      <c r="CV64" t="s">
        <v>100</v>
      </c>
    </row>
    <row r="65" spans="1:100">
      <c r="A65" s="3" t="s">
        <v>602</v>
      </c>
      <c r="B65" s="4" t="s">
        <v>603</v>
      </c>
      <c r="C65">
        <v>35.450841421088498</v>
      </c>
      <c r="D65">
        <v>4.3202805257106203</v>
      </c>
      <c r="E65">
        <v>3.0247041439753599</v>
      </c>
      <c r="F65">
        <v>4.1444294803157896E-3</v>
      </c>
      <c r="G65" t="s">
        <v>4</v>
      </c>
      <c r="H65">
        <v>35.450841421088498</v>
      </c>
      <c r="I65">
        <v>0.483834107178163</v>
      </c>
      <c r="J65">
        <v>6.1317943369353598</v>
      </c>
      <c r="K65" s="5">
        <v>8.51992034718178E-5</v>
      </c>
      <c r="L65" t="s">
        <v>4</v>
      </c>
      <c r="M65">
        <v>4.3202805257106203</v>
      </c>
      <c r="N65">
        <v>0.483834107178163</v>
      </c>
      <c r="O65">
        <v>3.1070901929599999</v>
      </c>
      <c r="P65">
        <v>6.42041333329922E-2</v>
      </c>
      <c r="Q65" t="s">
        <v>4</v>
      </c>
      <c r="R65" s="4" t="s">
        <v>87</v>
      </c>
      <c r="S65" t="s">
        <v>4</v>
      </c>
      <c r="T65" t="s">
        <v>92</v>
      </c>
      <c r="U65" t="s">
        <v>92</v>
      </c>
      <c r="V65" t="s">
        <v>92</v>
      </c>
      <c r="W65" t="s">
        <v>92</v>
      </c>
      <c r="X65" t="s">
        <v>4</v>
      </c>
      <c r="Y65" t="s">
        <v>92</v>
      </c>
      <c r="Z65" t="s">
        <v>92</v>
      </c>
      <c r="AA65" t="s">
        <v>92</v>
      </c>
      <c r="AB65" t="s">
        <v>4</v>
      </c>
      <c r="AC65" s="3" t="s">
        <v>93</v>
      </c>
      <c r="AD65" t="s">
        <v>4</v>
      </c>
      <c r="AE65" s="4" t="s">
        <v>94</v>
      </c>
      <c r="AZ65" t="s">
        <v>4</v>
      </c>
      <c r="BA65" s="3" t="s">
        <v>95</v>
      </c>
      <c r="BB65" s="6" t="s">
        <v>95</v>
      </c>
      <c r="BC65" s="3" t="s">
        <v>95</v>
      </c>
      <c r="BD65" t="s">
        <v>4</v>
      </c>
      <c r="BE65">
        <v>754</v>
      </c>
      <c r="BF65" t="s">
        <v>604</v>
      </c>
      <c r="BH65">
        <v>85.507199999999997</v>
      </c>
      <c r="CK65">
        <v>1.5</v>
      </c>
      <c r="CL65" t="s">
        <v>4</v>
      </c>
      <c r="CM65" t="s">
        <v>98</v>
      </c>
      <c r="CN65" t="s">
        <v>98</v>
      </c>
      <c r="CO65" t="s">
        <v>99</v>
      </c>
      <c r="CP65">
        <v>64</v>
      </c>
      <c r="CQ65" t="s">
        <v>100</v>
      </c>
      <c r="CR65" t="s">
        <v>100</v>
      </c>
      <c r="CS65" t="s">
        <v>101</v>
      </c>
      <c r="CT65" t="s">
        <v>100</v>
      </c>
      <c r="CU65" t="s">
        <v>102</v>
      </c>
      <c r="CV65" t="s">
        <v>100</v>
      </c>
    </row>
    <row r="66" spans="1:100">
      <c r="A66" s="3" t="s">
        <v>605</v>
      </c>
      <c r="B66" s="4" t="s">
        <v>606</v>
      </c>
      <c r="C66">
        <v>27.235100226648001</v>
      </c>
      <c r="D66">
        <v>2.73154402437974</v>
      </c>
      <c r="E66">
        <v>3.2926425571550402</v>
      </c>
      <c r="F66">
        <v>9.9141881679133399E-4</v>
      </c>
      <c r="G66" t="s">
        <v>4</v>
      </c>
      <c r="H66">
        <v>27.235100226648001</v>
      </c>
      <c r="I66">
        <v>0.82085186003408706</v>
      </c>
      <c r="J66">
        <v>4.9272196715189596</v>
      </c>
      <c r="K66">
        <v>3.3224839131276398E-4</v>
      </c>
      <c r="L66" t="s">
        <v>4</v>
      </c>
      <c r="M66">
        <v>2.73154402437974</v>
      </c>
      <c r="N66">
        <v>0.82085186003408706</v>
      </c>
      <c r="O66">
        <v>1.6345771143639201</v>
      </c>
      <c r="P66">
        <v>0.30841627531385402</v>
      </c>
      <c r="Q66" t="s">
        <v>4</v>
      </c>
      <c r="R66" s="4" t="s">
        <v>87</v>
      </c>
      <c r="S66" t="s">
        <v>4</v>
      </c>
      <c r="T66" t="s">
        <v>88</v>
      </c>
      <c r="U66" t="s">
        <v>89</v>
      </c>
      <c r="V66" t="s">
        <v>90</v>
      </c>
      <c r="W66" t="s">
        <v>91</v>
      </c>
      <c r="X66" t="s">
        <v>4</v>
      </c>
      <c r="Y66" t="s">
        <v>92</v>
      </c>
      <c r="Z66" t="s">
        <v>92</v>
      </c>
      <c r="AA66" t="s">
        <v>92</v>
      </c>
      <c r="AB66" t="s">
        <v>4</v>
      </c>
      <c r="AC66" s="3" t="s">
        <v>93</v>
      </c>
      <c r="AD66" t="s">
        <v>4</v>
      </c>
      <c r="AE66" s="4" t="s">
        <v>94</v>
      </c>
      <c r="AZ66" t="s">
        <v>4</v>
      </c>
      <c r="BA66" s="3" t="s">
        <v>95</v>
      </c>
      <c r="BB66" t="s">
        <v>96</v>
      </c>
      <c r="BC66" s="3" t="s">
        <v>95</v>
      </c>
      <c r="BD66" t="s">
        <v>4</v>
      </c>
      <c r="BE66">
        <v>1554</v>
      </c>
      <c r="BF66" t="s">
        <v>151</v>
      </c>
      <c r="BG66">
        <v>79.861099999999993</v>
      </c>
      <c r="BH66">
        <v>75.694400000000002</v>
      </c>
      <c r="BI66">
        <v>56.25</v>
      </c>
      <c r="BN66">
        <v>31.944400000000002</v>
      </c>
      <c r="BO66">
        <v>33.333300000000001</v>
      </c>
      <c r="CK66">
        <v>2</v>
      </c>
      <c r="CL66" t="s">
        <v>4</v>
      </c>
      <c r="CM66" t="s">
        <v>98</v>
      </c>
      <c r="CN66" t="s">
        <v>98</v>
      </c>
      <c r="CO66" t="s">
        <v>99</v>
      </c>
      <c r="CP66">
        <v>65</v>
      </c>
      <c r="CQ66" t="s">
        <v>100</v>
      </c>
      <c r="CR66" t="s">
        <v>100</v>
      </c>
      <c r="CS66" t="s">
        <v>101</v>
      </c>
      <c r="CT66" t="s">
        <v>100</v>
      </c>
      <c r="CU66" t="s">
        <v>102</v>
      </c>
      <c r="CV66" t="s">
        <v>100</v>
      </c>
    </row>
    <row r="67" spans="1:100">
      <c r="A67" s="3" t="s">
        <v>607</v>
      </c>
      <c r="B67" s="4" t="s">
        <v>608</v>
      </c>
      <c r="C67">
        <v>83.598931399571498</v>
      </c>
      <c r="D67">
        <v>18.377771197630199</v>
      </c>
      <c r="E67">
        <v>2.17890710979596</v>
      </c>
      <c r="F67" s="5">
        <v>5.6532978219816699E-6</v>
      </c>
      <c r="G67" t="s">
        <v>4</v>
      </c>
      <c r="H67">
        <v>83.598931399571498</v>
      </c>
      <c r="I67">
        <v>5.9048579473585301</v>
      </c>
      <c r="J67">
        <v>3.7510521428928199</v>
      </c>
      <c r="K67" s="5">
        <v>1.5455244368031699E-10</v>
      </c>
      <c r="L67" t="s">
        <v>4</v>
      </c>
      <c r="M67">
        <v>18.377771197630199</v>
      </c>
      <c r="N67">
        <v>5.9048579473585301</v>
      </c>
      <c r="O67">
        <v>1.57214503309687</v>
      </c>
      <c r="P67">
        <v>1.4135567677713101E-2</v>
      </c>
      <c r="Q67" t="s">
        <v>4</v>
      </c>
      <c r="R67" s="4" t="s">
        <v>87</v>
      </c>
      <c r="S67" t="s">
        <v>4</v>
      </c>
      <c r="T67" t="s">
        <v>92</v>
      </c>
      <c r="U67" t="s">
        <v>92</v>
      </c>
      <c r="V67" t="s">
        <v>92</v>
      </c>
      <c r="W67" t="s">
        <v>92</v>
      </c>
      <c r="X67" t="s">
        <v>4</v>
      </c>
      <c r="Y67" t="s">
        <v>92</v>
      </c>
      <c r="Z67" t="s">
        <v>92</v>
      </c>
      <c r="AA67" t="s">
        <v>92</v>
      </c>
      <c r="AB67" t="s">
        <v>4</v>
      </c>
      <c r="AC67" s="3" t="s">
        <v>93</v>
      </c>
      <c r="AD67" t="s">
        <v>4</v>
      </c>
      <c r="AE67" s="4" t="s">
        <v>94</v>
      </c>
      <c r="AZ67" t="s">
        <v>4</v>
      </c>
      <c r="BA67" s="3" t="s">
        <v>95</v>
      </c>
      <c r="BB67" s="6" t="s">
        <v>95</v>
      </c>
      <c r="BC67" s="3" t="s">
        <v>95</v>
      </c>
      <c r="BD67" t="s">
        <v>4</v>
      </c>
      <c r="BE67">
        <v>503</v>
      </c>
      <c r="BF67" t="s">
        <v>322</v>
      </c>
      <c r="CK67">
        <v>1</v>
      </c>
      <c r="CL67" t="s">
        <v>4</v>
      </c>
      <c r="CM67" t="s">
        <v>98</v>
      </c>
      <c r="CN67" t="s">
        <v>98</v>
      </c>
      <c r="CO67" t="s">
        <v>99</v>
      </c>
      <c r="CP67">
        <v>66</v>
      </c>
      <c r="CQ67" t="s">
        <v>100</v>
      </c>
      <c r="CR67" t="s">
        <v>100</v>
      </c>
      <c r="CS67" t="s">
        <v>101</v>
      </c>
      <c r="CT67" s="7" t="s">
        <v>152</v>
      </c>
      <c r="CU67" t="s">
        <v>102</v>
      </c>
      <c r="CV67" t="s">
        <v>100</v>
      </c>
    </row>
    <row r="68" spans="1:100">
      <c r="A68" s="3" t="s">
        <v>609</v>
      </c>
      <c r="B68" s="4" t="s">
        <v>610</v>
      </c>
      <c r="C68">
        <v>80.459584172694704</v>
      </c>
      <c r="D68">
        <v>14.8069433077338</v>
      </c>
      <c r="E68">
        <v>2.43577841405869</v>
      </c>
      <c r="F68">
        <v>4.7929787722697298E-4</v>
      </c>
      <c r="G68" t="s">
        <v>4</v>
      </c>
      <c r="H68">
        <v>80.459584172694704</v>
      </c>
      <c r="I68">
        <v>19.228689106437599</v>
      </c>
      <c r="J68">
        <v>2.02779900143751</v>
      </c>
      <c r="K68">
        <v>3.3511087671309098E-3</v>
      </c>
      <c r="L68" t="s">
        <v>4</v>
      </c>
      <c r="M68">
        <v>14.8069433077338</v>
      </c>
      <c r="N68">
        <v>19.228689106437599</v>
      </c>
      <c r="O68">
        <f>0.407979412621186</f>
        <v>0.40797941262118598</v>
      </c>
      <c r="P68">
        <v>0.62937560255438996</v>
      </c>
      <c r="Q68" t="s">
        <v>4</v>
      </c>
      <c r="R68" s="4" t="s">
        <v>87</v>
      </c>
      <c r="S68" t="s">
        <v>4</v>
      </c>
      <c r="T68" t="s">
        <v>92</v>
      </c>
      <c r="U68" t="s">
        <v>92</v>
      </c>
      <c r="V68" t="s">
        <v>92</v>
      </c>
      <c r="W68" t="s">
        <v>92</v>
      </c>
      <c r="X68" t="s">
        <v>4</v>
      </c>
      <c r="Y68" t="s">
        <v>92</v>
      </c>
      <c r="Z68" t="s">
        <v>92</v>
      </c>
      <c r="AA68" t="s">
        <v>92</v>
      </c>
      <c r="AB68" t="s">
        <v>4</v>
      </c>
      <c r="AC68" s="3" t="s">
        <v>93</v>
      </c>
      <c r="AD68" t="s">
        <v>4</v>
      </c>
      <c r="AE68" s="4" t="s">
        <v>94</v>
      </c>
      <c r="AZ68" t="s">
        <v>4</v>
      </c>
      <c r="BA68" s="3" t="s">
        <v>95</v>
      </c>
      <c r="BB68" t="s">
        <v>96</v>
      </c>
      <c r="BC68" s="3" t="s">
        <v>95</v>
      </c>
      <c r="BD68" t="s">
        <v>4</v>
      </c>
      <c r="BE68">
        <v>1112</v>
      </c>
      <c r="BF68" t="s">
        <v>151</v>
      </c>
      <c r="BG68">
        <v>61.818199999999997</v>
      </c>
      <c r="BH68">
        <v>80</v>
      </c>
      <c r="BI68">
        <v>67.636399999999995</v>
      </c>
      <c r="BO68">
        <v>42.181800000000003</v>
      </c>
      <c r="CK68">
        <v>2</v>
      </c>
      <c r="CL68" t="s">
        <v>4</v>
      </c>
      <c r="CM68" t="s">
        <v>98</v>
      </c>
      <c r="CN68" t="s">
        <v>98</v>
      </c>
      <c r="CO68" t="s">
        <v>99</v>
      </c>
      <c r="CP68">
        <v>67</v>
      </c>
      <c r="CQ68" t="s">
        <v>100</v>
      </c>
      <c r="CR68" t="s">
        <v>100</v>
      </c>
      <c r="CS68" t="s">
        <v>101</v>
      </c>
      <c r="CT68" t="s">
        <v>100</v>
      </c>
      <c r="CU68" t="s">
        <v>102</v>
      </c>
      <c r="CV68" t="s">
        <v>100</v>
      </c>
    </row>
    <row r="69" spans="1:100">
      <c r="A69" s="3" t="s">
        <v>611</v>
      </c>
      <c r="B69" s="4" t="s">
        <v>612</v>
      </c>
      <c r="C69">
        <v>137.59003180061299</v>
      </c>
      <c r="D69">
        <v>26.770063364657599</v>
      </c>
      <c r="E69">
        <v>2.3685209764826798</v>
      </c>
      <c r="F69" s="5">
        <v>3.7308624782084999E-6</v>
      </c>
      <c r="G69" t="s">
        <v>4</v>
      </c>
      <c r="H69">
        <v>137.59003180061299</v>
      </c>
      <c r="I69">
        <v>11.7784094233033</v>
      </c>
      <c r="J69">
        <v>3.5226362203578301</v>
      </c>
      <c r="K69" s="5">
        <v>1.8050502430637801E-10</v>
      </c>
      <c r="L69" t="s">
        <v>4</v>
      </c>
      <c r="M69">
        <v>26.770063364657599</v>
      </c>
      <c r="N69">
        <v>11.7784094233033</v>
      </c>
      <c r="O69">
        <v>1.1541152438751501</v>
      </c>
      <c r="P69">
        <v>5.9385401662417202E-2</v>
      </c>
      <c r="Q69" t="s">
        <v>4</v>
      </c>
      <c r="R69" s="4" t="s">
        <v>87</v>
      </c>
      <c r="S69" t="s">
        <v>4</v>
      </c>
      <c r="T69" t="s">
        <v>88</v>
      </c>
      <c r="U69" t="s">
        <v>89</v>
      </c>
      <c r="V69" t="s">
        <v>90</v>
      </c>
      <c r="W69" t="s">
        <v>91</v>
      </c>
      <c r="X69" t="s">
        <v>4</v>
      </c>
      <c r="Y69" t="s">
        <v>92</v>
      </c>
      <c r="Z69" t="s">
        <v>92</v>
      </c>
      <c r="AA69" t="s">
        <v>92</v>
      </c>
      <c r="AB69" t="s">
        <v>4</v>
      </c>
      <c r="AC69" s="3" t="s">
        <v>93</v>
      </c>
      <c r="AD69" t="s">
        <v>4</v>
      </c>
      <c r="AE69" s="4" t="s">
        <v>94</v>
      </c>
      <c r="AZ69" t="s">
        <v>4</v>
      </c>
      <c r="BA69" s="3" t="s">
        <v>95</v>
      </c>
      <c r="BB69" t="s">
        <v>96</v>
      </c>
      <c r="BC69" s="3" t="s">
        <v>95</v>
      </c>
      <c r="BD69" t="s">
        <v>4</v>
      </c>
      <c r="BE69">
        <v>167</v>
      </c>
      <c r="BF69" t="s">
        <v>322</v>
      </c>
      <c r="CK69">
        <v>1</v>
      </c>
      <c r="CL69" t="s">
        <v>4</v>
      </c>
      <c r="CM69" t="s">
        <v>98</v>
      </c>
      <c r="CN69" t="s">
        <v>98</v>
      </c>
      <c r="CO69" t="s">
        <v>99</v>
      </c>
      <c r="CP69">
        <v>68</v>
      </c>
      <c r="CQ69" t="s">
        <v>100</v>
      </c>
      <c r="CR69" t="s">
        <v>100</v>
      </c>
      <c r="CS69" t="s">
        <v>101</v>
      </c>
      <c r="CT69" t="s">
        <v>100</v>
      </c>
      <c r="CU69" t="s">
        <v>102</v>
      </c>
      <c r="CV69" t="s">
        <v>100</v>
      </c>
    </row>
    <row r="70" spans="1:100">
      <c r="A70" s="3" t="s">
        <v>613</v>
      </c>
      <c r="B70" s="4" t="s">
        <v>614</v>
      </c>
      <c r="C70">
        <v>406.913193001227</v>
      </c>
      <c r="D70">
        <v>25.6394622076849</v>
      </c>
      <c r="E70">
        <v>3.9811980941086</v>
      </c>
      <c r="F70" s="5">
        <v>1.05951517474676E-16</v>
      </c>
      <c r="G70" t="s">
        <v>4</v>
      </c>
      <c r="H70">
        <v>406.913193001227</v>
      </c>
      <c r="I70">
        <v>23.057433557160099</v>
      </c>
      <c r="J70">
        <v>4.0877094436414696</v>
      </c>
      <c r="K70" s="5">
        <v>6.5827908980442204E-17</v>
      </c>
      <c r="L70" t="s">
        <v>4</v>
      </c>
      <c r="M70">
        <v>25.6394622076849</v>
      </c>
      <c r="N70">
        <v>23.057433557160099</v>
      </c>
      <c r="O70">
        <v>0.106511349532872</v>
      </c>
      <c r="P70">
        <v>0.87832474698549201</v>
      </c>
      <c r="Q70" t="s">
        <v>4</v>
      </c>
      <c r="R70" s="4" t="s">
        <v>87</v>
      </c>
      <c r="S70" t="s">
        <v>4</v>
      </c>
      <c r="T70" t="s">
        <v>92</v>
      </c>
      <c r="U70" t="s">
        <v>92</v>
      </c>
      <c r="V70" t="s">
        <v>92</v>
      </c>
      <c r="W70" t="s">
        <v>92</v>
      </c>
      <c r="X70" t="s">
        <v>4</v>
      </c>
      <c r="Y70" t="s">
        <v>615</v>
      </c>
      <c r="Z70" t="s">
        <v>616</v>
      </c>
      <c r="AA70" t="s">
        <v>617</v>
      </c>
      <c r="AB70" t="s">
        <v>4</v>
      </c>
      <c r="AC70" s="3" t="s">
        <v>93</v>
      </c>
      <c r="AD70" t="s">
        <v>4</v>
      </c>
      <c r="AE70" t="s">
        <v>618</v>
      </c>
      <c r="AF70" t="s">
        <v>619</v>
      </c>
      <c r="AG70" t="s">
        <v>620</v>
      </c>
      <c r="AH70" t="s">
        <v>112</v>
      </c>
      <c r="AU70" t="s">
        <v>112</v>
      </c>
      <c r="AV70" t="s">
        <v>621</v>
      </c>
      <c r="AW70" t="s">
        <v>114</v>
      </c>
      <c r="AX70" t="s">
        <v>144</v>
      </c>
      <c r="AY70" t="s">
        <v>622</v>
      </c>
      <c r="AZ70" t="s">
        <v>4</v>
      </c>
      <c r="BA70" s="3" t="s">
        <v>95</v>
      </c>
      <c r="BB70" s="6" t="s">
        <v>95</v>
      </c>
      <c r="BC70" s="3" t="s">
        <v>95</v>
      </c>
      <c r="BD70" t="s">
        <v>4</v>
      </c>
      <c r="BE70">
        <v>5891</v>
      </c>
      <c r="BF70" t="s">
        <v>213</v>
      </c>
      <c r="BJ70">
        <v>49.625900000000001</v>
      </c>
      <c r="BM70">
        <v>24.688300000000002</v>
      </c>
      <c r="BN70">
        <v>37.655900000000003</v>
      </c>
      <c r="BO70">
        <v>29.177099999999999</v>
      </c>
      <c r="BP70">
        <v>23.940100000000001</v>
      </c>
      <c r="BR70">
        <v>18.703199999999999</v>
      </c>
      <c r="BS70">
        <v>15.960100000000001</v>
      </c>
      <c r="BU70">
        <v>18.204499999999999</v>
      </c>
      <c r="BV70" t="s">
        <v>623</v>
      </c>
      <c r="BW70">
        <v>12.967599999999999</v>
      </c>
      <c r="BX70">
        <v>18.9526</v>
      </c>
      <c r="BY70">
        <v>16.209499999999998</v>
      </c>
      <c r="CA70">
        <v>18.204499999999999</v>
      </c>
      <c r="CF70">
        <v>14.214499999999999</v>
      </c>
      <c r="CG70">
        <v>13.4663</v>
      </c>
      <c r="CH70">
        <v>13.4663</v>
      </c>
      <c r="CI70">
        <v>13.4663</v>
      </c>
      <c r="CK70">
        <v>8</v>
      </c>
      <c r="CL70" t="s">
        <v>4</v>
      </c>
      <c r="CM70" t="s">
        <v>624</v>
      </c>
      <c r="CN70" t="s">
        <v>625</v>
      </c>
      <c r="CO70" t="s">
        <v>219</v>
      </c>
      <c r="CP70">
        <v>69</v>
      </c>
      <c r="CQ70" t="s">
        <v>100</v>
      </c>
      <c r="CR70" t="s">
        <v>100</v>
      </c>
      <c r="CS70" t="s">
        <v>101</v>
      </c>
      <c r="CT70" t="s">
        <v>100</v>
      </c>
      <c r="CU70" t="s">
        <v>102</v>
      </c>
      <c r="CV70" t="s">
        <v>100</v>
      </c>
    </row>
    <row r="71" spans="1:100">
      <c r="A71" s="3" t="s">
        <v>626</v>
      </c>
      <c r="B71" s="4" t="s">
        <v>627</v>
      </c>
      <c r="C71">
        <v>72.2159737479368</v>
      </c>
      <c r="D71">
        <v>8.1073905383575404</v>
      </c>
      <c r="E71">
        <v>3.1670852340681699</v>
      </c>
      <c r="F71" s="5">
        <v>2.8123245921338301E-5</v>
      </c>
      <c r="G71" t="s">
        <v>4</v>
      </c>
      <c r="H71">
        <v>72.2159737479368</v>
      </c>
      <c r="I71">
        <v>14.361057535204299</v>
      </c>
      <c r="J71">
        <v>2.3533698262514502</v>
      </c>
      <c r="K71">
        <v>1.49675471624262E-3</v>
      </c>
      <c r="L71" t="s">
        <v>4</v>
      </c>
      <c r="M71">
        <v>8.1073905383575404</v>
      </c>
      <c r="N71">
        <v>14.361057535204299</v>
      </c>
      <c r="O71">
        <f>0.81371540781672</f>
        <v>0.81371540781672003</v>
      </c>
      <c r="P71">
        <v>0.35490201032208901</v>
      </c>
      <c r="Q71" t="s">
        <v>4</v>
      </c>
      <c r="R71" s="4" t="s">
        <v>87</v>
      </c>
      <c r="S71" t="s">
        <v>4</v>
      </c>
      <c r="T71" t="s">
        <v>628</v>
      </c>
      <c r="U71" t="s">
        <v>629</v>
      </c>
      <c r="V71" t="s">
        <v>630</v>
      </c>
      <c r="W71" t="s">
        <v>328</v>
      </c>
      <c r="X71" t="s">
        <v>4</v>
      </c>
      <c r="Y71" t="s">
        <v>631</v>
      </c>
      <c r="Z71" t="s">
        <v>632</v>
      </c>
      <c r="AA71" t="s">
        <v>633</v>
      </c>
      <c r="AB71" t="s">
        <v>4</v>
      </c>
      <c r="AC71" s="3" t="s">
        <v>634</v>
      </c>
      <c r="AD71" t="s">
        <v>4</v>
      </c>
      <c r="AE71" t="s">
        <v>635</v>
      </c>
      <c r="AF71" t="s">
        <v>636</v>
      </c>
      <c r="AG71" t="s">
        <v>637</v>
      </c>
      <c r="AH71" t="s">
        <v>638</v>
      </c>
      <c r="AI71" t="s">
        <v>639</v>
      </c>
      <c r="AL71" t="s">
        <v>640</v>
      </c>
      <c r="AQ71" t="s">
        <v>641</v>
      </c>
      <c r="AR71" t="s">
        <v>642</v>
      </c>
      <c r="AU71" t="s">
        <v>112</v>
      </c>
      <c r="AV71" t="s">
        <v>643</v>
      </c>
      <c r="AW71" t="s">
        <v>114</v>
      </c>
      <c r="AX71" t="s">
        <v>132</v>
      </c>
      <c r="AY71" t="s">
        <v>644</v>
      </c>
      <c r="AZ71" t="s">
        <v>4</v>
      </c>
      <c r="BA71" s="3" t="s">
        <v>95</v>
      </c>
      <c r="BB71" t="s">
        <v>96</v>
      </c>
      <c r="BC71" s="3" t="s">
        <v>197</v>
      </c>
      <c r="BD71" t="s">
        <v>4</v>
      </c>
      <c r="BE71">
        <v>4742</v>
      </c>
      <c r="BF71" t="s">
        <v>282</v>
      </c>
      <c r="BG71">
        <v>72.559899999999999</v>
      </c>
      <c r="BI71">
        <v>28.361000000000001</v>
      </c>
      <c r="BJ71">
        <v>20.2578</v>
      </c>
      <c r="BK71">
        <v>78.084699999999998</v>
      </c>
      <c r="BL71">
        <v>47.145499999999998</v>
      </c>
      <c r="BM71">
        <v>74.033100000000005</v>
      </c>
      <c r="BN71">
        <v>79.742199999999997</v>
      </c>
      <c r="BO71">
        <v>13.2597</v>
      </c>
      <c r="BP71">
        <v>54.327800000000003</v>
      </c>
      <c r="BQ71">
        <v>54.696100000000001</v>
      </c>
      <c r="BR71">
        <v>60.405200000000001</v>
      </c>
      <c r="BS71">
        <v>49.5396</v>
      </c>
      <c r="BT71">
        <v>39.226500000000001</v>
      </c>
      <c r="BW71">
        <v>20.073699999999999</v>
      </c>
      <c r="BX71">
        <v>58.011099999999999</v>
      </c>
      <c r="BY71">
        <v>51.749499999999998</v>
      </c>
      <c r="BZ71">
        <v>52.302</v>
      </c>
      <c r="CA71">
        <v>55.064500000000002</v>
      </c>
      <c r="CB71" t="s">
        <v>645</v>
      </c>
      <c r="CK71">
        <v>6</v>
      </c>
      <c r="CL71" t="s">
        <v>4</v>
      </c>
      <c r="CM71" t="s">
        <v>646</v>
      </c>
      <c r="CN71" t="s">
        <v>647</v>
      </c>
      <c r="CO71" t="s">
        <v>99</v>
      </c>
      <c r="CP71">
        <v>70</v>
      </c>
      <c r="CQ71" t="s">
        <v>100</v>
      </c>
      <c r="CR71" t="s">
        <v>100</v>
      </c>
      <c r="CS71" t="s">
        <v>101</v>
      </c>
      <c r="CT71" t="s">
        <v>100</v>
      </c>
      <c r="CU71" t="s">
        <v>102</v>
      </c>
      <c r="CV71" t="s">
        <v>100</v>
      </c>
    </row>
    <row r="72" spans="1:100">
      <c r="A72" s="3" t="s">
        <v>648</v>
      </c>
      <c r="B72" s="4" t="s">
        <v>649</v>
      </c>
      <c r="C72">
        <v>258.237780003377</v>
      </c>
      <c r="D72">
        <v>53.019162582327702</v>
      </c>
      <c r="E72">
        <v>2.28682058674053</v>
      </c>
      <c r="F72" s="5">
        <v>1.9605627248947501E-11</v>
      </c>
      <c r="G72" t="s">
        <v>4</v>
      </c>
      <c r="H72">
        <v>258.237780003377</v>
      </c>
      <c r="I72">
        <v>33.985700620977603</v>
      </c>
      <c r="J72">
        <v>2.9289936878581599</v>
      </c>
      <c r="K72" s="5">
        <v>2.7672123560602598E-16</v>
      </c>
      <c r="L72" t="s">
        <v>4</v>
      </c>
      <c r="M72">
        <v>53.019162582327702</v>
      </c>
      <c r="N72">
        <v>33.985700620977603</v>
      </c>
      <c r="O72">
        <v>0.64217310111762704</v>
      </c>
      <c r="P72">
        <v>0.117225918910879</v>
      </c>
      <c r="Q72" t="s">
        <v>4</v>
      </c>
      <c r="R72" s="4" t="s">
        <v>87</v>
      </c>
      <c r="S72" t="s">
        <v>4</v>
      </c>
      <c r="T72" t="s">
        <v>92</v>
      </c>
      <c r="U72" t="s">
        <v>92</v>
      </c>
      <c r="V72" t="s">
        <v>92</v>
      </c>
      <c r="W72" t="s">
        <v>92</v>
      </c>
      <c r="X72" t="s">
        <v>4</v>
      </c>
      <c r="Y72" t="s">
        <v>650</v>
      </c>
      <c r="Z72" t="s">
        <v>651</v>
      </c>
      <c r="AA72" t="s">
        <v>652</v>
      </c>
      <c r="AB72" t="s">
        <v>4</v>
      </c>
      <c r="AC72" s="3" t="s">
        <v>653</v>
      </c>
      <c r="AD72" t="s">
        <v>4</v>
      </c>
      <c r="AE72" t="s">
        <v>654</v>
      </c>
      <c r="AF72" t="s">
        <v>655</v>
      </c>
      <c r="AG72" t="s">
        <v>656</v>
      </c>
      <c r="AH72" t="s">
        <v>112</v>
      </c>
      <c r="AU72" t="s">
        <v>112</v>
      </c>
      <c r="AV72" t="s">
        <v>657</v>
      </c>
      <c r="AW72" t="s">
        <v>114</v>
      </c>
      <c r="AX72" t="s">
        <v>144</v>
      </c>
      <c r="AY72" t="s">
        <v>658</v>
      </c>
      <c r="AZ72" t="s">
        <v>4</v>
      </c>
      <c r="BA72" s="3" t="s">
        <v>95</v>
      </c>
      <c r="BB72" t="s">
        <v>96</v>
      </c>
      <c r="BC72" s="3" t="s">
        <v>95</v>
      </c>
      <c r="BD72" t="s">
        <v>4</v>
      </c>
      <c r="BE72">
        <v>3185</v>
      </c>
      <c r="BF72" t="s">
        <v>112</v>
      </c>
      <c r="BG72">
        <v>92.235299999999995</v>
      </c>
      <c r="BH72">
        <v>99.058800000000005</v>
      </c>
      <c r="BI72">
        <v>91.529399999999995</v>
      </c>
      <c r="BK72">
        <v>76.235299999999995</v>
      </c>
      <c r="BM72">
        <v>49.411799999999999</v>
      </c>
      <c r="BN72">
        <v>57.882399999999997</v>
      </c>
      <c r="BO72">
        <v>77.647099999999995</v>
      </c>
      <c r="BP72">
        <v>36.7059</v>
      </c>
      <c r="BQ72">
        <v>20.470600000000001</v>
      </c>
      <c r="BR72">
        <v>23.764700000000001</v>
      </c>
      <c r="BW72" t="s">
        <v>659</v>
      </c>
      <c r="BX72">
        <v>23.2941</v>
      </c>
      <c r="CA72" t="s">
        <v>660</v>
      </c>
      <c r="CK72">
        <v>5</v>
      </c>
      <c r="CL72" t="s">
        <v>4</v>
      </c>
      <c r="CM72" t="s">
        <v>661</v>
      </c>
      <c r="CN72" t="s">
        <v>662</v>
      </c>
      <c r="CO72" t="s">
        <v>663</v>
      </c>
      <c r="CP72">
        <v>71</v>
      </c>
      <c r="CQ72" t="s">
        <v>100</v>
      </c>
      <c r="CR72" t="s">
        <v>100</v>
      </c>
      <c r="CS72" t="s">
        <v>101</v>
      </c>
      <c r="CT72" t="s">
        <v>100</v>
      </c>
      <c r="CU72" t="s">
        <v>102</v>
      </c>
      <c r="CV72" t="s">
        <v>100</v>
      </c>
    </row>
    <row r="73" spans="1:100">
      <c r="A73" s="3" t="s">
        <v>664</v>
      </c>
      <c r="B73" s="4" t="s">
        <v>665</v>
      </c>
      <c r="C73">
        <v>49.648285700405403</v>
      </c>
      <c r="D73">
        <v>12.3637754470214</v>
      </c>
      <c r="E73">
        <v>2.0079729743810999</v>
      </c>
      <c r="F73">
        <v>7.2145641513805597E-3</v>
      </c>
      <c r="G73" t="s">
        <v>4</v>
      </c>
      <c r="H73">
        <v>49.648285700405403</v>
      </c>
      <c r="I73">
        <v>9.69021735386956</v>
      </c>
      <c r="J73">
        <v>2.32573778282597</v>
      </c>
      <c r="K73">
        <v>2.1237814451160902E-3</v>
      </c>
      <c r="L73" t="s">
        <v>4</v>
      </c>
      <c r="M73">
        <v>12.3637754470214</v>
      </c>
      <c r="N73">
        <v>9.69021735386956</v>
      </c>
      <c r="O73">
        <v>0.31776480844487598</v>
      </c>
      <c r="P73">
        <v>0.73857390377368703</v>
      </c>
      <c r="Q73" t="s">
        <v>4</v>
      </c>
      <c r="R73" s="4" t="s">
        <v>87</v>
      </c>
      <c r="S73" t="s">
        <v>4</v>
      </c>
      <c r="T73" t="s">
        <v>88</v>
      </c>
      <c r="U73" t="s">
        <v>89</v>
      </c>
      <c r="V73" t="s">
        <v>90</v>
      </c>
      <c r="W73" t="s">
        <v>91</v>
      </c>
      <c r="X73" t="s">
        <v>4</v>
      </c>
      <c r="Y73" t="s">
        <v>92</v>
      </c>
      <c r="Z73" t="s">
        <v>92</v>
      </c>
      <c r="AA73" t="s">
        <v>92</v>
      </c>
      <c r="AB73" t="s">
        <v>4</v>
      </c>
      <c r="AC73" s="3" t="s">
        <v>93</v>
      </c>
      <c r="AD73" t="s">
        <v>4</v>
      </c>
      <c r="AE73" s="4" t="s">
        <v>94</v>
      </c>
      <c r="AZ73" t="s">
        <v>4</v>
      </c>
      <c r="BA73" s="3" t="s">
        <v>95</v>
      </c>
      <c r="BB73" t="s">
        <v>96</v>
      </c>
      <c r="BC73" s="3" t="s">
        <v>95</v>
      </c>
      <c r="BD73" t="s">
        <v>4</v>
      </c>
      <c r="BE73">
        <v>1859</v>
      </c>
      <c r="BF73" t="s">
        <v>148</v>
      </c>
      <c r="BG73">
        <v>90.575900000000004</v>
      </c>
      <c r="BH73">
        <v>94.240799999999993</v>
      </c>
      <c r="BI73">
        <v>86.3874</v>
      </c>
      <c r="BJ73">
        <v>68.586399999999998</v>
      </c>
      <c r="BK73">
        <v>41.884799999999998</v>
      </c>
      <c r="BO73">
        <v>57.068100000000001</v>
      </c>
      <c r="CK73">
        <v>3</v>
      </c>
      <c r="CL73" t="s">
        <v>4</v>
      </c>
      <c r="CM73" t="s">
        <v>98</v>
      </c>
      <c r="CN73" t="s">
        <v>98</v>
      </c>
      <c r="CO73" t="s">
        <v>99</v>
      </c>
      <c r="CP73">
        <v>72</v>
      </c>
      <c r="CQ73" t="s">
        <v>100</v>
      </c>
      <c r="CR73" t="s">
        <v>100</v>
      </c>
      <c r="CS73" t="s">
        <v>101</v>
      </c>
      <c r="CT73" t="s">
        <v>100</v>
      </c>
      <c r="CU73" t="s">
        <v>102</v>
      </c>
      <c r="CV73" t="s">
        <v>100</v>
      </c>
    </row>
    <row r="74" spans="1:100">
      <c r="A74" s="3" t="s">
        <v>666</v>
      </c>
      <c r="B74" s="4" t="s">
        <v>667</v>
      </c>
      <c r="C74">
        <v>46.801437863633303</v>
      </c>
      <c r="D74">
        <v>10.3502307040212</v>
      </c>
      <c r="E74">
        <v>2.18754870341894</v>
      </c>
      <c r="F74">
        <v>6.0080293987326604E-3</v>
      </c>
      <c r="G74" t="s">
        <v>4</v>
      </c>
      <c r="H74">
        <v>46.801437863633303</v>
      </c>
      <c r="I74">
        <v>7.6186865061237299</v>
      </c>
      <c r="J74">
        <v>2.6426022097275799</v>
      </c>
      <c r="K74">
        <v>1.1996783209700199E-3</v>
      </c>
      <c r="L74" t="s">
        <v>4</v>
      </c>
      <c r="M74">
        <v>10.3502307040212</v>
      </c>
      <c r="N74">
        <v>7.6186865061237299</v>
      </c>
      <c r="O74">
        <v>0.455053506308639</v>
      </c>
      <c r="P74">
        <v>0.65068336417150396</v>
      </c>
      <c r="Q74" t="s">
        <v>4</v>
      </c>
      <c r="R74" s="4" t="s">
        <v>87</v>
      </c>
      <c r="S74" t="s">
        <v>4</v>
      </c>
      <c r="T74" t="s">
        <v>92</v>
      </c>
      <c r="U74" t="s">
        <v>92</v>
      </c>
      <c r="V74" t="s">
        <v>92</v>
      </c>
      <c r="W74" t="s">
        <v>92</v>
      </c>
      <c r="X74" t="s">
        <v>4</v>
      </c>
      <c r="Y74" t="s">
        <v>92</v>
      </c>
      <c r="Z74" t="s">
        <v>92</v>
      </c>
      <c r="AA74" t="s">
        <v>92</v>
      </c>
      <c r="AB74" t="s">
        <v>4</v>
      </c>
      <c r="AC74" s="3" t="s">
        <v>93</v>
      </c>
      <c r="AD74" t="s">
        <v>4</v>
      </c>
      <c r="AE74" s="4" t="s">
        <v>94</v>
      </c>
      <c r="AZ74" t="s">
        <v>4</v>
      </c>
      <c r="BA74" s="3" t="s">
        <v>95</v>
      </c>
      <c r="BB74" s="6" t="s">
        <v>95</v>
      </c>
      <c r="BC74" s="3" t="s">
        <v>95</v>
      </c>
      <c r="BD74" t="s">
        <v>4</v>
      </c>
      <c r="BE74">
        <v>1123</v>
      </c>
      <c r="BF74" t="s">
        <v>151</v>
      </c>
      <c r="CK74">
        <v>2</v>
      </c>
      <c r="CL74" t="s">
        <v>4</v>
      </c>
      <c r="CM74" t="s">
        <v>98</v>
      </c>
      <c r="CN74" t="s">
        <v>98</v>
      </c>
      <c r="CO74" t="s">
        <v>99</v>
      </c>
      <c r="CP74">
        <v>73</v>
      </c>
      <c r="CQ74" t="s">
        <v>100</v>
      </c>
      <c r="CR74" t="s">
        <v>100</v>
      </c>
      <c r="CS74" t="s">
        <v>101</v>
      </c>
      <c r="CT74" t="s">
        <v>100</v>
      </c>
      <c r="CU74" t="s">
        <v>102</v>
      </c>
      <c r="CV74" t="s">
        <v>100</v>
      </c>
    </row>
    <row r="75" spans="1:100">
      <c r="A75" s="3" t="s">
        <v>668</v>
      </c>
      <c r="B75" s="4" t="s">
        <v>669</v>
      </c>
      <c r="C75">
        <v>49.292698650874698</v>
      </c>
      <c r="D75">
        <v>7.5124586021989099</v>
      </c>
      <c r="E75">
        <v>2.71157480411259</v>
      </c>
      <c r="F75">
        <v>8.7080645781818702E-3</v>
      </c>
      <c r="G75" t="s">
        <v>4</v>
      </c>
      <c r="H75">
        <v>49.292698650874698</v>
      </c>
      <c r="I75">
        <v>6.4547776068348801</v>
      </c>
      <c r="J75">
        <v>2.9619296744133199</v>
      </c>
      <c r="K75">
        <v>4.3673276609904601E-3</v>
      </c>
      <c r="L75" t="s">
        <v>4</v>
      </c>
      <c r="M75">
        <v>7.5124586021989099</v>
      </c>
      <c r="N75">
        <v>6.4547776068348801</v>
      </c>
      <c r="O75">
        <v>0.25035487030073</v>
      </c>
      <c r="P75">
        <v>0.85488875068505799</v>
      </c>
      <c r="Q75" t="s">
        <v>4</v>
      </c>
      <c r="R75" s="4" t="s">
        <v>87</v>
      </c>
      <c r="S75" t="s">
        <v>4</v>
      </c>
      <c r="T75" t="s">
        <v>92</v>
      </c>
      <c r="U75" t="s">
        <v>92</v>
      </c>
      <c r="V75" t="s">
        <v>92</v>
      </c>
      <c r="W75" t="s">
        <v>92</v>
      </c>
      <c r="X75" t="s">
        <v>4</v>
      </c>
      <c r="Y75" t="s">
        <v>670</v>
      </c>
      <c r="Z75" t="s">
        <v>671</v>
      </c>
      <c r="AA75" t="s">
        <v>672</v>
      </c>
      <c r="AB75" t="s">
        <v>4</v>
      </c>
      <c r="AC75" s="3" t="s">
        <v>93</v>
      </c>
      <c r="AD75" t="s">
        <v>4</v>
      </c>
      <c r="AE75" s="4" t="s">
        <v>94</v>
      </c>
      <c r="AZ75" t="s">
        <v>4</v>
      </c>
      <c r="BA75" s="3" t="s">
        <v>95</v>
      </c>
      <c r="BB75" s="6" t="s">
        <v>95</v>
      </c>
      <c r="BC75" s="3" t="s">
        <v>95</v>
      </c>
      <c r="BD75" t="s">
        <v>4</v>
      </c>
      <c r="BE75">
        <v>1560</v>
      </c>
      <c r="BF75" t="s">
        <v>151</v>
      </c>
      <c r="BH75">
        <v>84.210499999999996</v>
      </c>
      <c r="BI75">
        <v>86.184200000000004</v>
      </c>
      <c r="BJ75">
        <v>70.3947</v>
      </c>
      <c r="BK75">
        <v>59.210500000000003</v>
      </c>
      <c r="BL75">
        <v>46.052599999999998</v>
      </c>
      <c r="BN75">
        <v>63.157899999999998</v>
      </c>
      <c r="BO75">
        <v>46.052599999999998</v>
      </c>
      <c r="CK75">
        <v>2</v>
      </c>
      <c r="CL75" t="s">
        <v>4</v>
      </c>
      <c r="CM75" t="s">
        <v>98</v>
      </c>
      <c r="CN75" t="s">
        <v>98</v>
      </c>
      <c r="CO75" t="s">
        <v>99</v>
      </c>
      <c r="CP75">
        <v>74</v>
      </c>
      <c r="CQ75" t="s">
        <v>100</v>
      </c>
      <c r="CR75" t="s">
        <v>100</v>
      </c>
      <c r="CS75" t="s">
        <v>101</v>
      </c>
      <c r="CT75" t="s">
        <v>100</v>
      </c>
      <c r="CU75" t="s">
        <v>102</v>
      </c>
      <c r="CV75" t="s">
        <v>100</v>
      </c>
    </row>
    <row r="76" spans="1:100">
      <c r="A76" s="3" t="s">
        <v>673</v>
      </c>
      <c r="B76" s="4" t="s">
        <v>674</v>
      </c>
      <c r="C76">
        <v>1193.5509426077399</v>
      </c>
      <c r="D76">
        <v>148.630270219762</v>
      </c>
      <c r="E76">
        <v>3.00883466751415</v>
      </c>
      <c r="F76" s="5">
        <v>4.2321903272533498E-24</v>
      </c>
      <c r="G76" t="s">
        <v>4</v>
      </c>
      <c r="H76">
        <v>1193.5509426077399</v>
      </c>
      <c r="I76">
        <v>98.212703314916894</v>
      </c>
      <c r="J76">
        <v>3.6230229629253099</v>
      </c>
      <c r="K76" s="5">
        <v>3.7536040931785097E-33</v>
      </c>
      <c r="L76" t="s">
        <v>4</v>
      </c>
      <c r="M76">
        <v>148.630270219762</v>
      </c>
      <c r="N76">
        <v>98.212703314916894</v>
      </c>
      <c r="O76">
        <v>0.61418829541116204</v>
      </c>
      <c r="P76">
        <v>6.9713959119194993E-2</v>
      </c>
      <c r="Q76" t="s">
        <v>4</v>
      </c>
      <c r="R76" s="4" t="s">
        <v>87</v>
      </c>
      <c r="S76" t="s">
        <v>4</v>
      </c>
      <c r="T76" t="s">
        <v>675</v>
      </c>
      <c r="U76" t="s">
        <v>676</v>
      </c>
      <c r="V76" t="s">
        <v>677</v>
      </c>
      <c r="W76" t="s">
        <v>123</v>
      </c>
      <c r="X76" t="s">
        <v>4</v>
      </c>
      <c r="Y76" t="s">
        <v>678</v>
      </c>
      <c r="Z76" t="s">
        <v>679</v>
      </c>
      <c r="AA76" t="s">
        <v>680</v>
      </c>
      <c r="AB76" t="s">
        <v>4</v>
      </c>
      <c r="AC76" s="3" t="s">
        <v>681</v>
      </c>
      <c r="AD76" t="s">
        <v>4</v>
      </c>
      <c r="AE76" s="4" t="s">
        <v>94</v>
      </c>
      <c r="AZ76" t="s">
        <v>4</v>
      </c>
      <c r="BA76" s="3" t="s">
        <v>95</v>
      </c>
      <c r="BB76" s="6" t="s">
        <v>95</v>
      </c>
      <c r="BC76" s="3" t="s">
        <v>95</v>
      </c>
      <c r="BD76" t="s">
        <v>4</v>
      </c>
      <c r="BE76">
        <v>4639</v>
      </c>
      <c r="BF76" t="s">
        <v>112</v>
      </c>
      <c r="BI76">
        <v>80.701800000000006</v>
      </c>
      <c r="BJ76">
        <v>72.514600000000002</v>
      </c>
      <c r="BK76">
        <v>6.4327500000000004</v>
      </c>
      <c r="BO76">
        <v>65.789500000000004</v>
      </c>
      <c r="BP76">
        <v>12.5731</v>
      </c>
      <c r="CK76">
        <v>5</v>
      </c>
      <c r="CL76" t="s">
        <v>4</v>
      </c>
      <c r="CM76" t="s">
        <v>98</v>
      </c>
      <c r="CN76" t="s">
        <v>98</v>
      </c>
      <c r="CO76" t="s">
        <v>99</v>
      </c>
      <c r="CP76">
        <v>75</v>
      </c>
      <c r="CQ76" t="s">
        <v>100</v>
      </c>
      <c r="CR76" t="s">
        <v>100</v>
      </c>
      <c r="CS76" t="s">
        <v>101</v>
      </c>
      <c r="CT76" t="s">
        <v>100</v>
      </c>
      <c r="CU76" t="s">
        <v>102</v>
      </c>
      <c r="CV76" t="s">
        <v>100</v>
      </c>
    </row>
    <row r="77" spans="1:100">
      <c r="A77" s="3" t="s">
        <v>682</v>
      </c>
      <c r="B77" s="4" t="s">
        <v>683</v>
      </c>
      <c r="C77">
        <v>92.824027913077501</v>
      </c>
      <c r="D77">
        <v>18.228325819715199</v>
      </c>
      <c r="E77">
        <v>2.3509636715597999</v>
      </c>
      <c r="F77">
        <v>9.8770599312006397E-3</v>
      </c>
      <c r="G77" t="s">
        <v>4</v>
      </c>
      <c r="H77">
        <v>92.824027913077501</v>
      </c>
      <c r="I77">
        <v>6.2297971274167701</v>
      </c>
      <c r="J77">
        <v>3.8452507702085201</v>
      </c>
      <c r="K77" s="5">
        <v>4.0358415939146897E-5</v>
      </c>
      <c r="L77" t="s">
        <v>4</v>
      </c>
      <c r="M77">
        <v>18.228325819715199</v>
      </c>
      <c r="N77">
        <v>6.2297971274167701</v>
      </c>
      <c r="O77">
        <v>1.49428709864873</v>
      </c>
      <c r="P77">
        <v>0.14324738175221099</v>
      </c>
      <c r="Q77" t="s">
        <v>4</v>
      </c>
      <c r="R77" s="4" t="s">
        <v>87</v>
      </c>
      <c r="S77" t="s">
        <v>4</v>
      </c>
      <c r="T77" t="s">
        <v>684</v>
      </c>
      <c r="U77" t="s">
        <v>685</v>
      </c>
      <c r="V77" t="s">
        <v>686</v>
      </c>
      <c r="W77" t="s">
        <v>123</v>
      </c>
      <c r="X77" t="s">
        <v>4</v>
      </c>
      <c r="Y77" t="s">
        <v>687</v>
      </c>
      <c r="Z77" t="s">
        <v>688</v>
      </c>
      <c r="AA77" t="s">
        <v>689</v>
      </c>
      <c r="AB77" t="s">
        <v>4</v>
      </c>
      <c r="AC77" s="3" t="s">
        <v>690</v>
      </c>
      <c r="AD77" t="s">
        <v>4</v>
      </c>
      <c r="AE77" t="s">
        <v>691</v>
      </c>
      <c r="AF77" t="s">
        <v>692</v>
      </c>
      <c r="AG77" t="s">
        <v>693</v>
      </c>
      <c r="AH77" t="s">
        <v>112</v>
      </c>
      <c r="AK77" t="s">
        <v>694</v>
      </c>
      <c r="AL77" t="s">
        <v>695</v>
      </c>
      <c r="AM77" t="s">
        <v>696</v>
      </c>
      <c r="AO77" t="s">
        <v>697</v>
      </c>
      <c r="AP77" t="s">
        <v>698</v>
      </c>
      <c r="AQ77" t="s">
        <v>342</v>
      </c>
      <c r="AU77" t="s">
        <v>112</v>
      </c>
      <c r="AV77" t="s">
        <v>699</v>
      </c>
      <c r="AW77" t="s">
        <v>114</v>
      </c>
      <c r="AX77" t="s">
        <v>700</v>
      </c>
      <c r="AY77" t="s">
        <v>701</v>
      </c>
      <c r="AZ77" t="s">
        <v>4</v>
      </c>
      <c r="BA77" s="3" t="s">
        <v>95</v>
      </c>
      <c r="BB77" s="6" t="s">
        <v>95</v>
      </c>
      <c r="BC77" s="3" t="s">
        <v>95</v>
      </c>
      <c r="BD77" t="s">
        <v>4</v>
      </c>
      <c r="BE77">
        <v>8374</v>
      </c>
      <c r="BF77" t="s">
        <v>213</v>
      </c>
      <c r="BH77" t="s">
        <v>702</v>
      </c>
      <c r="BI77">
        <v>94.698400000000007</v>
      </c>
      <c r="BJ77">
        <v>87.568600000000004</v>
      </c>
      <c r="BK77">
        <v>69.469800000000006</v>
      </c>
      <c r="BL77">
        <v>34.003700000000002</v>
      </c>
      <c r="BM77">
        <v>56.124299999999998</v>
      </c>
      <c r="BN77">
        <v>83.546599999999998</v>
      </c>
      <c r="BO77">
        <v>71.298000000000002</v>
      </c>
      <c r="BP77" t="s">
        <v>703</v>
      </c>
      <c r="BR77">
        <v>44.9726</v>
      </c>
      <c r="BS77">
        <v>8.7751400000000004</v>
      </c>
      <c r="BX77">
        <v>31.261399999999998</v>
      </c>
      <c r="CB77">
        <v>40.950600000000001</v>
      </c>
      <c r="CC77">
        <v>39.670900000000003</v>
      </c>
      <c r="CD77" t="s">
        <v>704</v>
      </c>
      <c r="CE77" t="s">
        <v>705</v>
      </c>
      <c r="CF77">
        <v>39.853700000000003</v>
      </c>
      <c r="CG77" t="s">
        <v>706</v>
      </c>
      <c r="CH77" t="s">
        <v>707</v>
      </c>
      <c r="CI77" t="s">
        <v>708</v>
      </c>
      <c r="CK77">
        <v>8</v>
      </c>
      <c r="CL77" t="s">
        <v>4</v>
      </c>
      <c r="CM77" t="s">
        <v>98</v>
      </c>
      <c r="CN77" t="s">
        <v>98</v>
      </c>
      <c r="CO77" t="s">
        <v>99</v>
      </c>
      <c r="CP77">
        <v>76</v>
      </c>
      <c r="CQ77" t="s">
        <v>100</v>
      </c>
      <c r="CR77" t="s">
        <v>100</v>
      </c>
      <c r="CS77" t="s">
        <v>101</v>
      </c>
      <c r="CT77" t="s">
        <v>100</v>
      </c>
      <c r="CU77" t="s">
        <v>102</v>
      </c>
      <c r="CV77" t="s">
        <v>100</v>
      </c>
    </row>
    <row r="78" spans="1:100">
      <c r="A78" s="3" t="s">
        <v>709</v>
      </c>
      <c r="B78" s="4" t="s">
        <v>710</v>
      </c>
      <c r="C78">
        <v>40.065521910213597</v>
      </c>
      <c r="D78">
        <v>6.1072105281383697</v>
      </c>
      <c r="E78">
        <v>2.7227919405266801</v>
      </c>
      <c r="F78">
        <v>1.5481431141161899E-3</v>
      </c>
      <c r="G78" t="s">
        <v>4</v>
      </c>
      <c r="H78">
        <v>40.065521910213597</v>
      </c>
      <c r="I78">
        <v>4.0729528287566703</v>
      </c>
      <c r="J78">
        <v>3.2951295210758098</v>
      </c>
      <c r="K78">
        <v>3.3344613138012899E-4</v>
      </c>
      <c r="L78" t="s">
        <v>4</v>
      </c>
      <c r="M78">
        <v>6.1072105281383697</v>
      </c>
      <c r="N78">
        <v>4.0729528287566703</v>
      </c>
      <c r="O78">
        <v>0.57233758054913197</v>
      </c>
      <c r="P78">
        <v>0.61857418458635505</v>
      </c>
      <c r="Q78" t="s">
        <v>4</v>
      </c>
      <c r="R78" s="4" t="s">
        <v>87</v>
      </c>
      <c r="S78" t="s">
        <v>4</v>
      </c>
      <c r="T78" t="s">
        <v>92</v>
      </c>
      <c r="U78" t="s">
        <v>92</v>
      </c>
      <c r="V78" t="s">
        <v>92</v>
      </c>
      <c r="W78" t="s">
        <v>92</v>
      </c>
      <c r="X78" t="s">
        <v>4</v>
      </c>
      <c r="Y78" t="s">
        <v>711</v>
      </c>
      <c r="Z78" t="s">
        <v>712</v>
      </c>
      <c r="AA78" t="s">
        <v>713</v>
      </c>
      <c r="AB78" t="s">
        <v>4</v>
      </c>
      <c r="AC78" s="3" t="s">
        <v>93</v>
      </c>
      <c r="AD78" t="s">
        <v>4</v>
      </c>
      <c r="AE78" s="4" t="s">
        <v>94</v>
      </c>
      <c r="AZ78" t="s">
        <v>4</v>
      </c>
      <c r="BA78" s="3" t="s">
        <v>95</v>
      </c>
      <c r="BB78" s="6" t="s">
        <v>95</v>
      </c>
      <c r="BC78" s="3" t="s">
        <v>95</v>
      </c>
      <c r="BD78" t="s">
        <v>4</v>
      </c>
      <c r="BE78">
        <v>8377</v>
      </c>
      <c r="BF78" t="s">
        <v>213</v>
      </c>
      <c r="BG78">
        <v>32.4176</v>
      </c>
      <c r="CK78">
        <v>8</v>
      </c>
      <c r="CL78" t="s">
        <v>4</v>
      </c>
      <c r="CM78" t="s">
        <v>98</v>
      </c>
      <c r="CN78" t="s">
        <v>98</v>
      </c>
      <c r="CO78" t="s">
        <v>99</v>
      </c>
      <c r="CP78">
        <v>77</v>
      </c>
      <c r="CQ78" t="s">
        <v>100</v>
      </c>
      <c r="CR78" t="s">
        <v>100</v>
      </c>
      <c r="CS78" t="s">
        <v>101</v>
      </c>
      <c r="CT78" t="s">
        <v>100</v>
      </c>
      <c r="CU78" t="s">
        <v>102</v>
      </c>
      <c r="CV78" t="s">
        <v>100</v>
      </c>
    </row>
    <row r="79" spans="1:100">
      <c r="A79" s="3" t="s">
        <v>714</v>
      </c>
      <c r="B79" s="4" t="s">
        <v>715</v>
      </c>
      <c r="C79">
        <v>32.873801822283198</v>
      </c>
      <c r="D79">
        <v>5.3037524730609604</v>
      </c>
      <c r="E79">
        <v>2.6521418139710602</v>
      </c>
      <c r="F79">
        <v>7.3325713105771902E-3</v>
      </c>
      <c r="G79" t="s">
        <v>4</v>
      </c>
      <c r="H79">
        <v>32.873801822283198</v>
      </c>
      <c r="I79">
        <v>2.7622275751455798</v>
      </c>
      <c r="J79">
        <v>3.5760739915572799</v>
      </c>
      <c r="K79">
        <v>9.3568206776670801E-4</v>
      </c>
      <c r="L79" t="s">
        <v>4</v>
      </c>
      <c r="M79">
        <v>5.3037524730609604</v>
      </c>
      <c r="N79">
        <v>2.7622275751455798</v>
      </c>
      <c r="O79">
        <v>0.92393217758621504</v>
      </c>
      <c r="P79">
        <v>0.47096635005347998</v>
      </c>
      <c r="Q79" t="s">
        <v>4</v>
      </c>
      <c r="R79" s="4" t="s">
        <v>87</v>
      </c>
      <c r="S79" t="s">
        <v>4</v>
      </c>
      <c r="T79" t="s">
        <v>92</v>
      </c>
      <c r="U79" t="s">
        <v>92</v>
      </c>
      <c r="V79" t="s">
        <v>92</v>
      </c>
      <c r="W79" t="s">
        <v>92</v>
      </c>
      <c r="X79" t="s">
        <v>4</v>
      </c>
      <c r="Y79" t="s">
        <v>92</v>
      </c>
      <c r="Z79" t="s">
        <v>92</v>
      </c>
      <c r="AA79" t="s">
        <v>92</v>
      </c>
      <c r="AB79" t="s">
        <v>4</v>
      </c>
      <c r="AC79" s="3" t="s">
        <v>93</v>
      </c>
      <c r="AD79" t="s">
        <v>4</v>
      </c>
      <c r="AE79" s="4" t="s">
        <v>94</v>
      </c>
      <c r="AZ79" t="s">
        <v>4</v>
      </c>
      <c r="BA79" s="3" t="s">
        <v>95</v>
      </c>
      <c r="BB79" s="6" t="s">
        <v>95</v>
      </c>
      <c r="BC79" s="3" t="s">
        <v>95</v>
      </c>
      <c r="BD79" t="s">
        <v>4</v>
      </c>
      <c r="BE79">
        <v>8379</v>
      </c>
      <c r="BF79" t="s">
        <v>213</v>
      </c>
      <c r="BG79">
        <v>54.6539</v>
      </c>
      <c r="CK79">
        <v>8</v>
      </c>
      <c r="CL79" t="s">
        <v>4</v>
      </c>
      <c r="CM79" t="s">
        <v>98</v>
      </c>
      <c r="CN79" t="s">
        <v>98</v>
      </c>
      <c r="CO79" t="s">
        <v>99</v>
      </c>
      <c r="CP79">
        <v>78</v>
      </c>
      <c r="CQ79" t="s">
        <v>100</v>
      </c>
      <c r="CR79" t="s">
        <v>100</v>
      </c>
      <c r="CS79" t="s">
        <v>101</v>
      </c>
      <c r="CT79" t="s">
        <v>100</v>
      </c>
      <c r="CU79" t="s">
        <v>102</v>
      </c>
      <c r="CV79" t="s">
        <v>100</v>
      </c>
    </row>
    <row r="80" spans="1:100">
      <c r="A80" s="3" t="s">
        <v>716</v>
      </c>
      <c r="B80" s="4" t="s">
        <v>717</v>
      </c>
      <c r="C80">
        <v>178.78879610072099</v>
      </c>
      <c r="D80">
        <v>4.5236403357184498</v>
      </c>
      <c r="E80">
        <v>5.2755613741220104</v>
      </c>
      <c r="F80" s="5">
        <v>1.1290408626103501E-11</v>
      </c>
      <c r="G80" t="s">
        <v>4</v>
      </c>
      <c r="H80">
        <v>178.78879610072099</v>
      </c>
      <c r="I80">
        <v>6.65705757816625</v>
      </c>
      <c r="J80">
        <v>4.7796756197954</v>
      </c>
      <c r="K80" s="5">
        <v>6.1366585218009699E-10</v>
      </c>
      <c r="L80" t="s">
        <v>4</v>
      </c>
      <c r="M80">
        <v>4.5236403357184498</v>
      </c>
      <c r="N80">
        <v>6.65705757816625</v>
      </c>
      <c r="O80">
        <f>0.495885754326611</f>
        <v>0.49588575432661097</v>
      </c>
      <c r="P80">
        <v>0.63849785841081097</v>
      </c>
      <c r="Q80" t="s">
        <v>4</v>
      </c>
      <c r="R80" s="4" t="s">
        <v>87</v>
      </c>
      <c r="S80" t="s">
        <v>4</v>
      </c>
      <c r="T80" t="s">
        <v>88</v>
      </c>
      <c r="U80" t="s">
        <v>89</v>
      </c>
      <c r="V80" t="s">
        <v>90</v>
      </c>
      <c r="W80" t="s">
        <v>91</v>
      </c>
      <c r="X80" t="s">
        <v>4</v>
      </c>
      <c r="Y80" t="s">
        <v>92</v>
      </c>
      <c r="Z80" t="s">
        <v>92</v>
      </c>
      <c r="AA80" t="s">
        <v>92</v>
      </c>
      <c r="AB80" t="s">
        <v>4</v>
      </c>
      <c r="AC80" s="3" t="s">
        <v>93</v>
      </c>
      <c r="AD80" t="s">
        <v>4</v>
      </c>
      <c r="AE80" s="4" t="s">
        <v>94</v>
      </c>
      <c r="AZ80" t="s">
        <v>4</v>
      </c>
      <c r="BA80" s="3" t="s">
        <v>95</v>
      </c>
      <c r="BB80" t="s">
        <v>96</v>
      </c>
      <c r="BC80" s="3" t="s">
        <v>95</v>
      </c>
      <c r="BD80" t="s">
        <v>4</v>
      </c>
      <c r="BE80">
        <v>3045</v>
      </c>
      <c r="BF80" t="s">
        <v>97</v>
      </c>
      <c r="CK80">
        <v>4</v>
      </c>
      <c r="CL80" t="s">
        <v>4</v>
      </c>
      <c r="CM80" t="s">
        <v>98</v>
      </c>
      <c r="CN80" t="s">
        <v>98</v>
      </c>
      <c r="CO80" t="s">
        <v>99</v>
      </c>
      <c r="CP80">
        <v>79</v>
      </c>
      <c r="CQ80" t="s">
        <v>100</v>
      </c>
      <c r="CR80" t="s">
        <v>100</v>
      </c>
      <c r="CS80" t="s">
        <v>101</v>
      </c>
      <c r="CT80" t="s">
        <v>100</v>
      </c>
      <c r="CU80" t="s">
        <v>102</v>
      </c>
      <c r="CV80" t="s">
        <v>100</v>
      </c>
    </row>
    <row r="81" spans="1:100">
      <c r="A81" s="3" t="s">
        <v>718</v>
      </c>
      <c r="B81" s="4" t="s">
        <v>719</v>
      </c>
      <c r="C81">
        <v>40.417416463543503</v>
      </c>
      <c r="D81">
        <v>1.3197893003627099</v>
      </c>
      <c r="E81">
        <v>4.9825895312305404</v>
      </c>
      <c r="F81" s="5">
        <v>1.2493965967325901E-6</v>
      </c>
      <c r="G81" t="s">
        <v>4</v>
      </c>
      <c r="H81">
        <v>40.417416463543503</v>
      </c>
      <c r="I81">
        <v>4.2571149408915101</v>
      </c>
      <c r="J81">
        <v>3.1901803815602299</v>
      </c>
      <c r="K81">
        <v>1.4163388740287501E-4</v>
      </c>
      <c r="L81" t="s">
        <v>4</v>
      </c>
      <c r="M81">
        <v>1.3197893003627099</v>
      </c>
      <c r="N81">
        <v>4.2571149408915101</v>
      </c>
      <c r="O81">
        <f>-1.79240914967032</f>
        <v>-1.7924091496703201</v>
      </c>
      <c r="P81">
        <v>0.13607928952289999</v>
      </c>
      <c r="Q81" t="s">
        <v>4</v>
      </c>
      <c r="R81" s="4" t="s">
        <v>87</v>
      </c>
      <c r="S81" t="s">
        <v>4</v>
      </c>
      <c r="T81" t="s">
        <v>88</v>
      </c>
      <c r="U81" t="s">
        <v>89</v>
      </c>
      <c r="V81" t="s">
        <v>90</v>
      </c>
      <c r="W81" t="s">
        <v>91</v>
      </c>
      <c r="X81" t="s">
        <v>4</v>
      </c>
      <c r="Y81" t="s">
        <v>92</v>
      </c>
      <c r="Z81" t="s">
        <v>92</v>
      </c>
      <c r="AA81" t="s">
        <v>92</v>
      </c>
      <c r="AB81" t="s">
        <v>4</v>
      </c>
      <c r="AC81" s="3" t="s">
        <v>93</v>
      </c>
      <c r="AD81" t="s">
        <v>4</v>
      </c>
      <c r="AE81" s="4" t="s">
        <v>94</v>
      </c>
      <c r="AZ81" t="s">
        <v>4</v>
      </c>
      <c r="BA81" s="3" t="s">
        <v>95</v>
      </c>
      <c r="BB81" t="s">
        <v>96</v>
      </c>
      <c r="BC81" s="3" t="s">
        <v>95</v>
      </c>
      <c r="BD81" t="s">
        <v>4</v>
      </c>
      <c r="BE81">
        <v>3051</v>
      </c>
      <c r="BF81" t="s">
        <v>97</v>
      </c>
      <c r="CK81">
        <v>4</v>
      </c>
      <c r="CL81" t="s">
        <v>4</v>
      </c>
      <c r="CM81" t="s">
        <v>98</v>
      </c>
      <c r="CN81" t="s">
        <v>98</v>
      </c>
      <c r="CO81" t="s">
        <v>99</v>
      </c>
      <c r="CP81">
        <v>80</v>
      </c>
      <c r="CQ81" t="s">
        <v>100</v>
      </c>
      <c r="CR81" t="s">
        <v>100</v>
      </c>
      <c r="CS81" t="s">
        <v>101</v>
      </c>
      <c r="CT81" t="s">
        <v>100</v>
      </c>
      <c r="CU81" t="s">
        <v>102</v>
      </c>
      <c r="CV81" t="s">
        <v>100</v>
      </c>
    </row>
    <row r="82" spans="1:100">
      <c r="A82" s="3" t="s">
        <v>720</v>
      </c>
      <c r="B82" s="4" t="s">
        <v>721</v>
      </c>
      <c r="C82">
        <v>55.240782458710797</v>
      </c>
      <c r="D82">
        <v>7.2353129773607003</v>
      </c>
      <c r="E82">
        <v>2.92805261451534</v>
      </c>
      <c r="F82" s="5">
        <v>2.3085485341171901E-5</v>
      </c>
      <c r="G82" t="s">
        <v>4</v>
      </c>
      <c r="H82">
        <v>55.240782458710797</v>
      </c>
      <c r="I82">
        <v>9.2316504317063206</v>
      </c>
      <c r="J82">
        <v>2.5052607619566398</v>
      </c>
      <c r="K82">
        <v>2.9080793973121198E-4</v>
      </c>
      <c r="L82" t="s">
        <v>4</v>
      </c>
      <c r="M82">
        <v>7.2353129773607003</v>
      </c>
      <c r="N82">
        <v>9.2316504317063206</v>
      </c>
      <c r="O82">
        <f>0.422791852558695</f>
        <v>0.422791852558695</v>
      </c>
      <c r="P82">
        <v>0.63663439268916899</v>
      </c>
      <c r="Q82" t="s">
        <v>4</v>
      </c>
      <c r="R82" s="4" t="s">
        <v>87</v>
      </c>
      <c r="S82" t="s">
        <v>4</v>
      </c>
      <c r="T82" t="s">
        <v>722</v>
      </c>
      <c r="U82" t="s">
        <v>723</v>
      </c>
      <c r="V82" t="s">
        <v>724</v>
      </c>
      <c r="W82" t="s">
        <v>328</v>
      </c>
      <c r="X82" t="s">
        <v>4</v>
      </c>
      <c r="Y82" t="s">
        <v>725</v>
      </c>
      <c r="Z82" t="s">
        <v>726</v>
      </c>
      <c r="AA82" t="s">
        <v>727</v>
      </c>
      <c r="AB82" t="s">
        <v>4</v>
      </c>
      <c r="AC82" s="3" t="s">
        <v>93</v>
      </c>
      <c r="AD82" t="s">
        <v>4</v>
      </c>
      <c r="AE82" t="s">
        <v>728</v>
      </c>
      <c r="AF82" t="s">
        <v>729</v>
      </c>
      <c r="AG82" t="s">
        <v>730</v>
      </c>
      <c r="AH82" t="s">
        <v>731</v>
      </c>
      <c r="AU82" t="s">
        <v>112</v>
      </c>
      <c r="AV82" t="s">
        <v>732</v>
      </c>
      <c r="AW82" t="s">
        <v>114</v>
      </c>
      <c r="AX82" t="s">
        <v>733</v>
      </c>
      <c r="AY82" t="s">
        <v>734</v>
      </c>
      <c r="AZ82" t="s">
        <v>4</v>
      </c>
      <c r="BA82" s="3" t="s">
        <v>95</v>
      </c>
      <c r="BB82" s="6" t="s">
        <v>95</v>
      </c>
      <c r="BC82" s="3" t="s">
        <v>95</v>
      </c>
      <c r="BD82" t="s">
        <v>4</v>
      </c>
      <c r="BE82">
        <v>898</v>
      </c>
      <c r="BF82" t="s">
        <v>604</v>
      </c>
      <c r="BH82">
        <v>20.6587</v>
      </c>
      <c r="CK82">
        <v>1.5</v>
      </c>
      <c r="CL82" t="s">
        <v>4</v>
      </c>
      <c r="CM82" t="s">
        <v>98</v>
      </c>
      <c r="CN82" t="s">
        <v>98</v>
      </c>
      <c r="CO82" t="s">
        <v>99</v>
      </c>
      <c r="CP82">
        <v>81</v>
      </c>
      <c r="CQ82" t="s">
        <v>100</v>
      </c>
      <c r="CR82" t="s">
        <v>100</v>
      </c>
      <c r="CS82" t="s">
        <v>101</v>
      </c>
      <c r="CT82" t="s">
        <v>100</v>
      </c>
      <c r="CU82" t="s">
        <v>102</v>
      </c>
      <c r="CV82" t="s">
        <v>100</v>
      </c>
    </row>
    <row r="83" spans="1:100">
      <c r="A83" s="3" t="s">
        <v>735</v>
      </c>
      <c r="B83" s="4" t="s">
        <v>736</v>
      </c>
      <c r="C83">
        <v>640.13892747584703</v>
      </c>
      <c r="D83">
        <v>96.383710570595198</v>
      </c>
      <c r="E83">
        <v>2.7277024355600199</v>
      </c>
      <c r="F83" s="5">
        <v>2.4758596656992901E-11</v>
      </c>
      <c r="G83" t="s">
        <v>4</v>
      </c>
      <c r="H83">
        <v>640.13892747584703</v>
      </c>
      <c r="I83">
        <v>37.104173847595199</v>
      </c>
      <c r="J83">
        <v>4.1020249555444099</v>
      </c>
      <c r="K83" s="5">
        <v>2.2078616780319099E-22</v>
      </c>
      <c r="L83" t="s">
        <v>4</v>
      </c>
      <c r="M83">
        <v>96.383710570595198</v>
      </c>
      <c r="N83">
        <v>37.104173847595199</v>
      </c>
      <c r="O83">
        <v>1.37432251998439</v>
      </c>
      <c r="P83">
        <v>2.1853273540079102E-3</v>
      </c>
      <c r="Q83" t="s">
        <v>4</v>
      </c>
      <c r="R83" s="4" t="s">
        <v>87</v>
      </c>
      <c r="S83" t="s">
        <v>4</v>
      </c>
      <c r="T83" t="s">
        <v>92</v>
      </c>
      <c r="U83" t="s">
        <v>92</v>
      </c>
      <c r="V83" t="s">
        <v>92</v>
      </c>
      <c r="W83" t="s">
        <v>92</v>
      </c>
      <c r="X83" t="s">
        <v>4</v>
      </c>
      <c r="Y83" t="s">
        <v>292</v>
      </c>
      <c r="Z83" t="s">
        <v>293</v>
      </c>
      <c r="AA83" t="s">
        <v>294</v>
      </c>
      <c r="AB83" t="s">
        <v>4</v>
      </c>
      <c r="AC83" s="3" t="s">
        <v>93</v>
      </c>
      <c r="AD83" t="s">
        <v>4</v>
      </c>
      <c r="AE83" t="s">
        <v>296</v>
      </c>
      <c r="AF83" t="s">
        <v>737</v>
      </c>
      <c r="AG83" t="s">
        <v>298</v>
      </c>
      <c r="AH83" t="s">
        <v>112</v>
      </c>
      <c r="AI83" t="s">
        <v>299</v>
      </c>
      <c r="AJ83" t="s">
        <v>300</v>
      </c>
      <c r="AL83" t="s">
        <v>301</v>
      </c>
      <c r="AM83" t="s">
        <v>302</v>
      </c>
      <c r="AQ83" t="s">
        <v>303</v>
      </c>
      <c r="AU83" t="s">
        <v>112</v>
      </c>
      <c r="AV83" t="s">
        <v>304</v>
      </c>
      <c r="AW83" t="s">
        <v>114</v>
      </c>
      <c r="AX83" t="s">
        <v>132</v>
      </c>
      <c r="AY83" t="s">
        <v>305</v>
      </c>
      <c r="AZ83" t="s">
        <v>4</v>
      </c>
      <c r="BA83" s="3" t="s">
        <v>95</v>
      </c>
      <c r="BB83" s="6" t="s">
        <v>95</v>
      </c>
      <c r="BC83" s="3" t="s">
        <v>95</v>
      </c>
      <c r="BD83" t="s">
        <v>4</v>
      </c>
      <c r="BE83">
        <v>4660</v>
      </c>
      <c r="BF83" t="s">
        <v>112</v>
      </c>
      <c r="BG83">
        <v>95.463499999999996</v>
      </c>
      <c r="BH83">
        <v>63.905299999999997</v>
      </c>
      <c r="BJ83">
        <v>52.465499999999999</v>
      </c>
      <c r="BK83">
        <v>48.520699999999998</v>
      </c>
      <c r="BM83">
        <v>54.437899999999999</v>
      </c>
      <c r="BN83">
        <v>63.116399999999999</v>
      </c>
      <c r="BO83">
        <v>64.299800000000005</v>
      </c>
      <c r="BP83">
        <v>20.710100000000001</v>
      </c>
      <c r="CK83">
        <v>5</v>
      </c>
      <c r="CL83" t="s">
        <v>4</v>
      </c>
      <c r="CM83" t="s">
        <v>98</v>
      </c>
      <c r="CN83" t="s">
        <v>98</v>
      </c>
      <c r="CO83" t="s">
        <v>99</v>
      </c>
      <c r="CP83">
        <v>82</v>
      </c>
      <c r="CQ83" t="s">
        <v>100</v>
      </c>
      <c r="CR83" t="s">
        <v>100</v>
      </c>
      <c r="CS83" t="s">
        <v>101</v>
      </c>
      <c r="CT83" s="7" t="s">
        <v>152</v>
      </c>
      <c r="CU83" t="s">
        <v>102</v>
      </c>
      <c r="CV83" t="s">
        <v>100</v>
      </c>
    </row>
    <row r="84" spans="1:100">
      <c r="A84" s="3" t="s">
        <v>738</v>
      </c>
      <c r="B84" s="4" t="s">
        <v>739</v>
      </c>
      <c r="C84">
        <v>79.468301339927507</v>
      </c>
      <c r="D84">
        <v>7.3876994830644103</v>
      </c>
      <c r="E84">
        <v>3.43620324808382</v>
      </c>
      <c r="F84" s="5">
        <v>3.4848981122010498E-6</v>
      </c>
      <c r="G84" t="s">
        <v>4</v>
      </c>
      <c r="H84">
        <v>79.468301339927507</v>
      </c>
      <c r="I84">
        <v>10.552997620606501</v>
      </c>
      <c r="J84">
        <v>2.9071868199192301</v>
      </c>
      <c r="K84" s="5">
        <v>7.5660376502891503E-5</v>
      </c>
      <c r="L84" t="s">
        <v>4</v>
      </c>
      <c r="M84">
        <v>7.3876994830644103</v>
      </c>
      <c r="N84">
        <v>10.552997620606501</v>
      </c>
      <c r="O84">
        <f>0.529016428164587</f>
        <v>0.52901642816458705</v>
      </c>
      <c r="P84">
        <v>0.56972348737570899</v>
      </c>
      <c r="Q84" t="s">
        <v>4</v>
      </c>
      <c r="R84" s="4" t="s">
        <v>87</v>
      </c>
      <c r="S84" t="s">
        <v>4</v>
      </c>
      <c r="T84" t="s">
        <v>88</v>
      </c>
      <c r="U84" t="s">
        <v>89</v>
      </c>
      <c r="V84" t="s">
        <v>90</v>
      </c>
      <c r="W84" t="s">
        <v>91</v>
      </c>
      <c r="X84" t="s">
        <v>4</v>
      </c>
      <c r="Y84" t="s">
        <v>92</v>
      </c>
      <c r="Z84" t="s">
        <v>92</v>
      </c>
      <c r="AA84" t="s">
        <v>92</v>
      </c>
      <c r="AB84" t="s">
        <v>4</v>
      </c>
      <c r="AC84" s="3" t="s">
        <v>93</v>
      </c>
      <c r="AD84" t="s">
        <v>4</v>
      </c>
      <c r="AE84" s="4" t="s">
        <v>94</v>
      </c>
      <c r="AZ84" t="s">
        <v>4</v>
      </c>
      <c r="BA84" s="3" t="s">
        <v>95</v>
      </c>
      <c r="BB84" t="s">
        <v>96</v>
      </c>
      <c r="BC84" s="3" t="s">
        <v>197</v>
      </c>
      <c r="BD84" t="s">
        <v>4</v>
      </c>
      <c r="BE84">
        <v>1638</v>
      </c>
      <c r="BF84" t="s">
        <v>151</v>
      </c>
      <c r="BG84">
        <v>75.862099999999998</v>
      </c>
      <c r="BH84">
        <v>63.218400000000003</v>
      </c>
      <c r="BI84">
        <v>33.333300000000001</v>
      </c>
      <c r="CK84">
        <v>2</v>
      </c>
      <c r="CL84" t="s">
        <v>4</v>
      </c>
      <c r="CM84" t="s">
        <v>98</v>
      </c>
      <c r="CN84" t="s">
        <v>98</v>
      </c>
      <c r="CO84" t="s">
        <v>99</v>
      </c>
      <c r="CP84">
        <v>83</v>
      </c>
      <c r="CQ84" t="s">
        <v>100</v>
      </c>
      <c r="CR84" t="s">
        <v>100</v>
      </c>
      <c r="CS84" t="s">
        <v>101</v>
      </c>
      <c r="CT84" t="s">
        <v>100</v>
      </c>
      <c r="CU84" t="s">
        <v>102</v>
      </c>
      <c r="CV84" t="s">
        <v>100</v>
      </c>
    </row>
    <row r="85" spans="1:100">
      <c r="A85" s="3" t="s">
        <v>740</v>
      </c>
      <c r="B85" s="4" t="s">
        <v>741</v>
      </c>
      <c r="C85">
        <v>27.880089002183698</v>
      </c>
      <c r="D85">
        <v>5.3957178967152801</v>
      </c>
      <c r="E85">
        <v>2.37199693956914</v>
      </c>
      <c r="F85">
        <v>5.6469750803575004E-3</v>
      </c>
      <c r="G85" t="s">
        <v>4</v>
      </c>
      <c r="H85">
        <v>27.880089002183698</v>
      </c>
      <c r="I85">
        <v>5.0779668009255996</v>
      </c>
      <c r="J85">
        <v>2.4045021407667599</v>
      </c>
      <c r="K85">
        <v>6.0963048290781797E-3</v>
      </c>
      <c r="L85" t="s">
        <v>4</v>
      </c>
      <c r="M85">
        <v>5.3957178967152801</v>
      </c>
      <c r="N85">
        <v>5.0779668009255996</v>
      </c>
      <c r="O85">
        <v>3.2505201197613902E-2</v>
      </c>
      <c r="P85">
        <v>0.98242115288349396</v>
      </c>
      <c r="Q85" t="s">
        <v>4</v>
      </c>
      <c r="R85" s="4" t="s">
        <v>87</v>
      </c>
      <c r="S85" t="s">
        <v>4</v>
      </c>
      <c r="T85" t="s">
        <v>92</v>
      </c>
      <c r="U85" t="s">
        <v>92</v>
      </c>
      <c r="V85" t="s">
        <v>92</v>
      </c>
      <c r="W85" t="s">
        <v>92</v>
      </c>
      <c r="X85" t="s">
        <v>4</v>
      </c>
      <c r="Y85" t="s">
        <v>742</v>
      </c>
      <c r="Z85" t="s">
        <v>743</v>
      </c>
      <c r="AA85" t="s">
        <v>744</v>
      </c>
      <c r="AB85" t="s">
        <v>4</v>
      </c>
      <c r="AC85" s="3" t="s">
        <v>93</v>
      </c>
      <c r="AD85" t="s">
        <v>4</v>
      </c>
      <c r="AE85" t="s">
        <v>745</v>
      </c>
      <c r="AF85" t="s">
        <v>746</v>
      </c>
      <c r="AG85" t="s">
        <v>747</v>
      </c>
      <c r="AH85" t="s">
        <v>282</v>
      </c>
      <c r="AU85" t="s">
        <v>112</v>
      </c>
      <c r="AV85" t="s">
        <v>748</v>
      </c>
      <c r="AW85" t="s">
        <v>114</v>
      </c>
      <c r="AX85" t="s">
        <v>144</v>
      </c>
      <c r="AY85" t="s">
        <v>749</v>
      </c>
      <c r="AZ85" t="s">
        <v>4</v>
      </c>
      <c r="BA85" s="3" t="s">
        <v>95</v>
      </c>
      <c r="BB85" s="6" t="s">
        <v>95</v>
      </c>
      <c r="BC85" s="3" t="s">
        <v>95</v>
      </c>
      <c r="BD85" t="s">
        <v>4</v>
      </c>
      <c r="BE85">
        <v>1645</v>
      </c>
      <c r="BF85" t="s">
        <v>151</v>
      </c>
      <c r="BG85" t="s">
        <v>750</v>
      </c>
      <c r="BI85">
        <v>17.341000000000001</v>
      </c>
      <c r="BJ85" t="s">
        <v>751</v>
      </c>
      <c r="CK85">
        <v>2</v>
      </c>
      <c r="CL85" t="s">
        <v>4</v>
      </c>
      <c r="CM85" t="s">
        <v>98</v>
      </c>
      <c r="CN85" t="s">
        <v>98</v>
      </c>
      <c r="CO85" t="s">
        <v>99</v>
      </c>
      <c r="CP85">
        <v>84</v>
      </c>
      <c r="CQ85" t="s">
        <v>100</v>
      </c>
      <c r="CR85" t="s">
        <v>100</v>
      </c>
      <c r="CS85" t="s">
        <v>101</v>
      </c>
      <c r="CT85" t="s">
        <v>100</v>
      </c>
      <c r="CU85" t="s">
        <v>102</v>
      </c>
      <c r="CV85" t="s">
        <v>100</v>
      </c>
    </row>
    <row r="86" spans="1:100">
      <c r="A86" s="3" t="s">
        <v>752</v>
      </c>
      <c r="B86" s="4" t="s">
        <v>753</v>
      </c>
      <c r="C86">
        <v>46.124773604565199</v>
      </c>
      <c r="D86">
        <v>7.6795501817291596</v>
      </c>
      <c r="E86">
        <v>2.5926053693492199</v>
      </c>
      <c r="F86">
        <v>1.0334200301786399E-3</v>
      </c>
      <c r="G86" t="s">
        <v>4</v>
      </c>
      <c r="H86">
        <v>46.124773604565199</v>
      </c>
      <c r="I86">
        <v>5.7146565488248404</v>
      </c>
      <c r="J86">
        <v>2.9884887451219799</v>
      </c>
      <c r="K86">
        <v>2.9551364858428601E-4</v>
      </c>
      <c r="L86" t="s">
        <v>4</v>
      </c>
      <c r="M86">
        <v>7.6795501817291596</v>
      </c>
      <c r="N86">
        <v>5.7146565488248404</v>
      </c>
      <c r="O86">
        <v>0.39588337577275901</v>
      </c>
      <c r="P86">
        <v>0.70767968561856198</v>
      </c>
      <c r="Q86" t="s">
        <v>4</v>
      </c>
      <c r="R86" s="4" t="s">
        <v>87</v>
      </c>
      <c r="S86" t="s">
        <v>4</v>
      </c>
      <c r="T86" t="s">
        <v>92</v>
      </c>
      <c r="U86" t="s">
        <v>92</v>
      </c>
      <c r="V86" t="s">
        <v>92</v>
      </c>
      <c r="W86" t="s">
        <v>92</v>
      </c>
      <c r="X86" t="s">
        <v>4</v>
      </c>
      <c r="Y86" t="s">
        <v>92</v>
      </c>
      <c r="Z86" t="s">
        <v>92</v>
      </c>
      <c r="AA86" t="s">
        <v>92</v>
      </c>
      <c r="AB86" t="s">
        <v>4</v>
      </c>
      <c r="AC86" s="3" t="s">
        <v>93</v>
      </c>
      <c r="AD86" t="s">
        <v>4</v>
      </c>
      <c r="AE86" s="4" t="s">
        <v>94</v>
      </c>
      <c r="AZ86" t="s">
        <v>4</v>
      </c>
      <c r="BA86" s="3" t="s">
        <v>95</v>
      </c>
      <c r="BB86" s="6" t="s">
        <v>95</v>
      </c>
      <c r="BC86" s="3" t="s">
        <v>95</v>
      </c>
      <c r="BD86" t="s">
        <v>4</v>
      </c>
      <c r="BE86">
        <v>1648</v>
      </c>
      <c r="BF86" t="s">
        <v>151</v>
      </c>
      <c r="BG86">
        <v>47.440300000000001</v>
      </c>
      <c r="CK86">
        <v>2</v>
      </c>
      <c r="CL86" t="s">
        <v>4</v>
      </c>
      <c r="CM86" t="s">
        <v>98</v>
      </c>
      <c r="CN86" t="s">
        <v>98</v>
      </c>
      <c r="CO86" t="s">
        <v>99</v>
      </c>
      <c r="CP86">
        <v>85</v>
      </c>
      <c r="CQ86" t="s">
        <v>100</v>
      </c>
      <c r="CR86" t="s">
        <v>100</v>
      </c>
      <c r="CS86" t="s">
        <v>101</v>
      </c>
      <c r="CT86" t="s">
        <v>100</v>
      </c>
      <c r="CU86" t="s">
        <v>102</v>
      </c>
      <c r="CV86" t="s">
        <v>100</v>
      </c>
    </row>
    <row r="87" spans="1:100">
      <c r="A87" s="3" t="s">
        <v>754</v>
      </c>
      <c r="B87" s="4" t="s">
        <v>755</v>
      </c>
      <c r="C87">
        <v>165.89494529976201</v>
      </c>
      <c r="D87">
        <v>33.293883710595303</v>
      </c>
      <c r="E87">
        <v>2.32053077957756</v>
      </c>
      <c r="F87" s="5">
        <v>1.25348037380589E-5</v>
      </c>
      <c r="G87" t="s">
        <v>4</v>
      </c>
      <c r="H87">
        <v>165.89494529976201</v>
      </c>
      <c r="I87">
        <v>34.981202697276998</v>
      </c>
      <c r="J87">
        <v>2.2270711898659901</v>
      </c>
      <c r="K87" s="5">
        <v>2.6364871431456401E-5</v>
      </c>
      <c r="L87" t="s">
        <v>4</v>
      </c>
      <c r="M87">
        <v>33.293883710595303</v>
      </c>
      <c r="N87">
        <v>34.981202697276998</v>
      </c>
      <c r="O87">
        <f>0.0934595897115645</f>
        <v>9.3459589711564497E-2</v>
      </c>
      <c r="P87">
        <v>0.89748780512481896</v>
      </c>
      <c r="Q87" t="s">
        <v>4</v>
      </c>
      <c r="R87" s="4" t="s">
        <v>87</v>
      </c>
      <c r="S87" t="s">
        <v>4</v>
      </c>
      <c r="T87" t="s">
        <v>460</v>
      </c>
      <c r="U87" t="s">
        <v>461</v>
      </c>
      <c r="V87" t="s">
        <v>462</v>
      </c>
      <c r="W87" t="s">
        <v>123</v>
      </c>
      <c r="X87" t="s">
        <v>4</v>
      </c>
      <c r="Y87" t="s">
        <v>463</v>
      </c>
      <c r="Z87" t="s">
        <v>464</v>
      </c>
      <c r="AA87" t="s">
        <v>465</v>
      </c>
      <c r="AB87" t="s">
        <v>4</v>
      </c>
      <c r="AC87" s="3" t="s">
        <v>93</v>
      </c>
      <c r="AD87" t="s">
        <v>4</v>
      </c>
      <c r="AE87" t="s">
        <v>756</v>
      </c>
      <c r="AF87" t="s">
        <v>757</v>
      </c>
      <c r="AG87" t="s">
        <v>758</v>
      </c>
      <c r="AH87" t="s">
        <v>169</v>
      </c>
      <c r="AU87" t="s">
        <v>112</v>
      </c>
      <c r="AV87" t="s">
        <v>470</v>
      </c>
      <c r="AW87" t="s">
        <v>114</v>
      </c>
      <c r="AX87" t="s">
        <v>144</v>
      </c>
      <c r="AY87" t="s">
        <v>471</v>
      </c>
      <c r="AZ87" t="s">
        <v>4</v>
      </c>
      <c r="BA87" s="3" t="s">
        <v>95</v>
      </c>
      <c r="BB87" s="6" t="s">
        <v>95</v>
      </c>
      <c r="BC87" s="3" t="s">
        <v>197</v>
      </c>
      <c r="BD87" t="s">
        <v>4</v>
      </c>
      <c r="BE87">
        <v>1658</v>
      </c>
      <c r="BF87" t="s">
        <v>151</v>
      </c>
      <c r="CK87">
        <v>2</v>
      </c>
      <c r="CL87" t="s">
        <v>4</v>
      </c>
      <c r="CM87" t="s">
        <v>98</v>
      </c>
      <c r="CN87" t="s">
        <v>98</v>
      </c>
      <c r="CO87" t="s">
        <v>99</v>
      </c>
      <c r="CP87">
        <v>86</v>
      </c>
      <c r="CQ87" t="s">
        <v>100</v>
      </c>
      <c r="CR87" t="s">
        <v>100</v>
      </c>
      <c r="CS87" t="s">
        <v>101</v>
      </c>
      <c r="CT87" t="s">
        <v>100</v>
      </c>
      <c r="CU87" t="s">
        <v>102</v>
      </c>
      <c r="CV87" t="s">
        <v>100</v>
      </c>
    </row>
    <row r="88" spans="1:100">
      <c r="A88" s="3" t="s">
        <v>759</v>
      </c>
      <c r="B88" s="4" t="s">
        <v>760</v>
      </c>
      <c r="C88">
        <v>94.968321660657907</v>
      </c>
      <c r="D88">
        <v>11.1078817637054</v>
      </c>
      <c r="E88">
        <v>3.0969904852747199</v>
      </c>
      <c r="F88">
        <v>2.1275183174804201E-3</v>
      </c>
      <c r="G88" t="s">
        <v>4</v>
      </c>
      <c r="H88">
        <v>94.968321660657907</v>
      </c>
      <c r="I88">
        <v>15.281868095878499</v>
      </c>
      <c r="J88">
        <v>2.6261566952819502</v>
      </c>
      <c r="K88">
        <v>8.0876600294761698E-3</v>
      </c>
      <c r="L88" t="s">
        <v>4</v>
      </c>
      <c r="M88">
        <v>11.1078817637054</v>
      </c>
      <c r="N88">
        <v>15.281868095878499</v>
      </c>
      <c r="O88">
        <f>0.470833789992769</f>
        <v>0.47083378999276898</v>
      </c>
      <c r="P88">
        <v>0.69712877101888804</v>
      </c>
      <c r="Q88" t="s">
        <v>4</v>
      </c>
      <c r="R88" s="4" t="s">
        <v>87</v>
      </c>
      <c r="S88" t="s">
        <v>4</v>
      </c>
      <c r="T88" t="s">
        <v>92</v>
      </c>
      <c r="U88" t="s">
        <v>92</v>
      </c>
      <c r="V88" t="s">
        <v>92</v>
      </c>
      <c r="W88" t="s">
        <v>92</v>
      </c>
      <c r="X88" t="s">
        <v>4</v>
      </c>
      <c r="Y88" t="s">
        <v>92</v>
      </c>
      <c r="Z88" t="s">
        <v>92</v>
      </c>
      <c r="AA88" t="s">
        <v>92</v>
      </c>
      <c r="AB88" t="s">
        <v>4</v>
      </c>
      <c r="AC88" s="3" t="s">
        <v>93</v>
      </c>
      <c r="AD88" t="s">
        <v>4</v>
      </c>
      <c r="AE88" s="4" t="s">
        <v>94</v>
      </c>
      <c r="AZ88" t="s">
        <v>4</v>
      </c>
      <c r="BA88" s="3" t="s">
        <v>95</v>
      </c>
      <c r="BB88" s="6" t="s">
        <v>95</v>
      </c>
      <c r="BC88" s="3" t="s">
        <v>95</v>
      </c>
      <c r="BD88" t="s">
        <v>4</v>
      </c>
      <c r="BE88">
        <v>592</v>
      </c>
      <c r="BF88" t="s">
        <v>322</v>
      </c>
      <c r="CK88">
        <v>1</v>
      </c>
      <c r="CL88" t="s">
        <v>4</v>
      </c>
      <c r="CM88" t="s">
        <v>98</v>
      </c>
      <c r="CN88" t="s">
        <v>98</v>
      </c>
      <c r="CO88" t="s">
        <v>99</v>
      </c>
      <c r="CP88">
        <v>87</v>
      </c>
      <c r="CQ88" t="s">
        <v>100</v>
      </c>
      <c r="CR88" t="s">
        <v>100</v>
      </c>
      <c r="CS88" t="s">
        <v>101</v>
      </c>
      <c r="CT88" t="s">
        <v>100</v>
      </c>
      <c r="CU88" t="s">
        <v>102</v>
      </c>
      <c r="CV88" t="s">
        <v>100</v>
      </c>
    </row>
    <row r="89" spans="1:100">
      <c r="A89" s="3" t="s">
        <v>761</v>
      </c>
      <c r="B89" s="4" t="s">
        <v>762</v>
      </c>
      <c r="C89">
        <v>34.588067508462402</v>
      </c>
      <c r="D89">
        <v>4.1756500238386298</v>
      </c>
      <c r="E89">
        <v>3.0893741292284802</v>
      </c>
      <c r="F89">
        <v>8.2472533738575608E-3</v>
      </c>
      <c r="G89" t="s">
        <v>4</v>
      </c>
      <c r="H89">
        <v>34.588067508462402</v>
      </c>
      <c r="I89">
        <v>3.3989173230448202</v>
      </c>
      <c r="J89">
        <v>3.3823683242765301</v>
      </c>
      <c r="K89">
        <v>4.8047144288131402E-3</v>
      </c>
      <c r="L89" t="s">
        <v>4</v>
      </c>
      <c r="M89">
        <v>4.1756500238386298</v>
      </c>
      <c r="N89">
        <v>3.3989173230448202</v>
      </c>
      <c r="O89">
        <v>0.29299419504805202</v>
      </c>
      <c r="P89">
        <v>0.85528882746996204</v>
      </c>
      <c r="Q89" t="s">
        <v>4</v>
      </c>
      <c r="R89" s="4" t="s">
        <v>87</v>
      </c>
      <c r="S89" t="s">
        <v>4</v>
      </c>
      <c r="T89" t="s">
        <v>460</v>
      </c>
      <c r="U89" t="s">
        <v>461</v>
      </c>
      <c r="V89" t="s">
        <v>462</v>
      </c>
      <c r="W89" t="s">
        <v>123</v>
      </c>
      <c r="X89" t="s">
        <v>4</v>
      </c>
      <c r="Y89" t="s">
        <v>463</v>
      </c>
      <c r="Z89" t="s">
        <v>464</v>
      </c>
      <c r="AA89" t="s">
        <v>465</v>
      </c>
      <c r="AB89" t="s">
        <v>4</v>
      </c>
      <c r="AC89" s="3" t="s">
        <v>93</v>
      </c>
      <c r="AD89" t="s">
        <v>4</v>
      </c>
      <c r="AE89" t="s">
        <v>763</v>
      </c>
      <c r="AF89" t="s">
        <v>764</v>
      </c>
      <c r="AG89" t="s">
        <v>765</v>
      </c>
      <c r="AH89" t="s">
        <v>386</v>
      </c>
      <c r="AU89" t="s">
        <v>112</v>
      </c>
      <c r="AV89" t="s">
        <v>766</v>
      </c>
      <c r="AW89" t="s">
        <v>114</v>
      </c>
      <c r="AX89" t="s">
        <v>144</v>
      </c>
      <c r="AY89" t="s">
        <v>471</v>
      </c>
      <c r="AZ89" t="s">
        <v>4</v>
      </c>
      <c r="BA89" s="3" t="s">
        <v>95</v>
      </c>
      <c r="BB89" s="6" t="s">
        <v>95</v>
      </c>
      <c r="BC89" s="3" t="s">
        <v>197</v>
      </c>
      <c r="BD89" t="s">
        <v>4</v>
      </c>
      <c r="BE89">
        <v>8420</v>
      </c>
      <c r="BF89" t="s">
        <v>213</v>
      </c>
      <c r="BH89">
        <v>8.4142399999999995</v>
      </c>
      <c r="BI89">
        <v>18.4466</v>
      </c>
      <c r="BJ89">
        <v>17.4757</v>
      </c>
      <c r="BK89">
        <v>15.2104</v>
      </c>
      <c r="BL89">
        <v>18.770199999999999</v>
      </c>
      <c r="BO89">
        <v>20.388300000000001</v>
      </c>
      <c r="BP89">
        <v>12.6214</v>
      </c>
      <c r="BS89">
        <v>15.8576</v>
      </c>
      <c r="BU89">
        <v>17.799399999999999</v>
      </c>
      <c r="BV89">
        <v>18.4466</v>
      </c>
      <c r="BZ89">
        <v>16.504899999999999</v>
      </c>
      <c r="CB89">
        <v>13.268599999999999</v>
      </c>
      <c r="CD89">
        <v>24.595500000000001</v>
      </c>
      <c r="CE89">
        <v>9.7087400000000006</v>
      </c>
      <c r="CI89">
        <v>14.5631</v>
      </c>
      <c r="CK89">
        <v>8</v>
      </c>
      <c r="CL89" t="s">
        <v>4</v>
      </c>
      <c r="CM89" t="s">
        <v>98</v>
      </c>
      <c r="CN89" t="s">
        <v>98</v>
      </c>
      <c r="CO89" t="s">
        <v>99</v>
      </c>
      <c r="CP89">
        <v>88</v>
      </c>
      <c r="CQ89" t="s">
        <v>100</v>
      </c>
      <c r="CR89" t="s">
        <v>100</v>
      </c>
      <c r="CS89" t="s">
        <v>101</v>
      </c>
      <c r="CT89" t="s">
        <v>100</v>
      </c>
      <c r="CU89" t="s">
        <v>102</v>
      </c>
      <c r="CV89" t="s">
        <v>100</v>
      </c>
    </row>
    <row r="90" spans="1:100">
      <c r="A90" s="3" t="s">
        <v>767</v>
      </c>
      <c r="B90" s="4" t="s">
        <v>768</v>
      </c>
      <c r="C90">
        <v>70.811902873507705</v>
      </c>
      <c r="D90">
        <v>12.3914028335906</v>
      </c>
      <c r="E90">
        <v>2.5248055596850798</v>
      </c>
      <c r="F90">
        <v>1.42173927509976E-3</v>
      </c>
      <c r="G90" t="s">
        <v>4</v>
      </c>
      <c r="H90">
        <v>70.811902873507705</v>
      </c>
      <c r="I90">
        <v>15.3034585645457</v>
      </c>
      <c r="J90">
        <v>2.2420391895298302</v>
      </c>
      <c r="K90">
        <v>4.2834806761587896E-3</v>
      </c>
      <c r="L90" t="s">
        <v>4</v>
      </c>
      <c r="M90">
        <v>12.3914028335906</v>
      </c>
      <c r="N90">
        <v>15.3034585645457</v>
      </c>
      <c r="O90">
        <f>0.282766370155248</f>
        <v>0.28276637015524803</v>
      </c>
      <c r="P90">
        <v>0.77794772481470198</v>
      </c>
      <c r="Q90" t="s">
        <v>4</v>
      </c>
      <c r="R90" s="4" t="s">
        <v>87</v>
      </c>
      <c r="S90" t="s">
        <v>4</v>
      </c>
      <c r="T90" t="s">
        <v>92</v>
      </c>
      <c r="U90" t="s">
        <v>92</v>
      </c>
      <c r="V90" t="s">
        <v>92</v>
      </c>
      <c r="W90" t="s">
        <v>92</v>
      </c>
      <c r="X90" t="s">
        <v>4</v>
      </c>
      <c r="Y90" t="s">
        <v>769</v>
      </c>
      <c r="Z90" t="s">
        <v>770</v>
      </c>
      <c r="AA90" t="s">
        <v>771</v>
      </c>
      <c r="AB90" t="s">
        <v>4</v>
      </c>
      <c r="AC90" s="3" t="s">
        <v>93</v>
      </c>
      <c r="AD90" t="s">
        <v>4</v>
      </c>
      <c r="AE90" t="s">
        <v>772</v>
      </c>
      <c r="AF90" t="s">
        <v>773</v>
      </c>
      <c r="AG90" t="s">
        <v>774</v>
      </c>
      <c r="AH90" t="s">
        <v>314</v>
      </c>
      <c r="AU90" t="s">
        <v>112</v>
      </c>
      <c r="AV90" t="s">
        <v>775</v>
      </c>
      <c r="AW90" t="s">
        <v>114</v>
      </c>
      <c r="AZ90" t="s">
        <v>4</v>
      </c>
      <c r="BA90" s="3" t="s">
        <v>115</v>
      </c>
      <c r="BB90" s="6" t="s">
        <v>95</v>
      </c>
      <c r="BC90" s="3" t="s">
        <v>95</v>
      </c>
      <c r="BD90" t="s">
        <v>4</v>
      </c>
      <c r="BE90">
        <v>8426</v>
      </c>
      <c r="BF90" t="s">
        <v>213</v>
      </c>
      <c r="BV90">
        <v>8.6603499999999993</v>
      </c>
      <c r="BW90">
        <v>18.403199999999998</v>
      </c>
      <c r="BX90">
        <v>5.81867</v>
      </c>
      <c r="BY90">
        <v>6.6305800000000001</v>
      </c>
      <c r="BZ90">
        <v>0</v>
      </c>
      <c r="CK90">
        <v>8</v>
      </c>
      <c r="CL90" t="s">
        <v>4</v>
      </c>
      <c r="CM90" t="s">
        <v>98</v>
      </c>
      <c r="CN90" t="s">
        <v>98</v>
      </c>
      <c r="CO90" t="s">
        <v>99</v>
      </c>
      <c r="CP90">
        <v>89</v>
      </c>
      <c r="CQ90" t="s">
        <v>100</v>
      </c>
      <c r="CR90" t="s">
        <v>100</v>
      </c>
      <c r="CS90" t="s">
        <v>101</v>
      </c>
      <c r="CT90" t="s">
        <v>100</v>
      </c>
      <c r="CU90" t="s">
        <v>102</v>
      </c>
      <c r="CV90" t="s">
        <v>100</v>
      </c>
    </row>
    <row r="91" spans="1:100">
      <c r="A91" s="3" t="s">
        <v>776</v>
      </c>
      <c r="B91" s="4" t="s">
        <v>777</v>
      </c>
      <c r="C91">
        <v>91.343952107546002</v>
      </c>
      <c r="D91">
        <v>17.228014604586502</v>
      </c>
      <c r="E91">
        <v>2.4112106009158198</v>
      </c>
      <c r="F91">
        <v>7.3037007149931903E-3</v>
      </c>
      <c r="G91" t="s">
        <v>4</v>
      </c>
      <c r="H91">
        <v>91.343952107546002</v>
      </c>
      <c r="I91">
        <v>7.31297522468157</v>
      </c>
      <c r="J91">
        <v>3.63739913281383</v>
      </c>
      <c r="K91" s="5">
        <v>7.2570347273483304E-5</v>
      </c>
      <c r="L91" t="s">
        <v>4</v>
      </c>
      <c r="M91">
        <v>17.228014604586502</v>
      </c>
      <c r="N91">
        <v>7.31297522468157</v>
      </c>
      <c r="O91">
        <v>1.2261885318980099</v>
      </c>
      <c r="P91">
        <v>0.228550802293321</v>
      </c>
      <c r="Q91" t="s">
        <v>4</v>
      </c>
      <c r="R91" s="4" t="s">
        <v>87</v>
      </c>
      <c r="S91" t="s">
        <v>4</v>
      </c>
      <c r="T91" t="s">
        <v>92</v>
      </c>
      <c r="U91" t="s">
        <v>92</v>
      </c>
      <c r="V91" t="s">
        <v>92</v>
      </c>
      <c r="W91" t="s">
        <v>92</v>
      </c>
      <c r="X91" t="s">
        <v>4</v>
      </c>
      <c r="Y91" t="s">
        <v>92</v>
      </c>
      <c r="Z91" t="s">
        <v>92</v>
      </c>
      <c r="AA91" t="s">
        <v>92</v>
      </c>
      <c r="AB91" t="s">
        <v>4</v>
      </c>
      <c r="AC91" s="3" t="s">
        <v>93</v>
      </c>
      <c r="AD91" t="s">
        <v>4</v>
      </c>
      <c r="AE91" s="4" t="s">
        <v>94</v>
      </c>
      <c r="AZ91" t="s">
        <v>4</v>
      </c>
      <c r="BA91" s="3" t="s">
        <v>115</v>
      </c>
      <c r="BB91" s="6" t="s">
        <v>95</v>
      </c>
      <c r="BC91" s="3" t="s">
        <v>95</v>
      </c>
      <c r="BD91" t="s">
        <v>4</v>
      </c>
      <c r="BE91">
        <v>1710</v>
      </c>
      <c r="BF91" t="s">
        <v>151</v>
      </c>
      <c r="BH91">
        <v>62.3583</v>
      </c>
      <c r="CK91">
        <v>2</v>
      </c>
      <c r="CL91" t="s">
        <v>4</v>
      </c>
      <c r="CM91" t="s">
        <v>98</v>
      </c>
      <c r="CN91" t="s">
        <v>98</v>
      </c>
      <c r="CO91" t="s">
        <v>99</v>
      </c>
      <c r="CP91">
        <v>90</v>
      </c>
      <c r="CQ91" t="s">
        <v>100</v>
      </c>
      <c r="CR91" t="s">
        <v>100</v>
      </c>
      <c r="CS91" t="s">
        <v>101</v>
      </c>
      <c r="CT91" t="s">
        <v>100</v>
      </c>
      <c r="CU91" t="s">
        <v>102</v>
      </c>
      <c r="CV91" t="s">
        <v>100</v>
      </c>
    </row>
    <row r="92" spans="1:100">
      <c r="A92" s="3" t="s">
        <v>778</v>
      </c>
      <c r="B92" s="4" t="s">
        <v>779</v>
      </c>
      <c r="C92">
        <v>69.150940845863602</v>
      </c>
      <c r="D92">
        <v>10.2241312438412</v>
      </c>
      <c r="E92">
        <v>2.7599030758579799</v>
      </c>
      <c r="F92">
        <v>2.3944982514985998E-3</v>
      </c>
      <c r="G92" t="s">
        <v>4</v>
      </c>
      <c r="H92">
        <v>69.150940845863602</v>
      </c>
      <c r="I92">
        <v>3.4302237944585898</v>
      </c>
      <c r="J92">
        <v>4.2794125915270902</v>
      </c>
      <c r="K92" s="5">
        <v>1.72599129730636E-5</v>
      </c>
      <c r="L92" t="s">
        <v>4</v>
      </c>
      <c r="M92">
        <v>10.2241312438412</v>
      </c>
      <c r="N92">
        <v>3.4302237944585898</v>
      </c>
      <c r="O92">
        <v>1.5195095156691201</v>
      </c>
      <c r="P92">
        <v>0.170179421238152</v>
      </c>
      <c r="Q92" t="s">
        <v>4</v>
      </c>
      <c r="R92" s="4" t="s">
        <v>87</v>
      </c>
      <c r="S92" t="s">
        <v>4</v>
      </c>
      <c r="T92" t="s">
        <v>92</v>
      </c>
      <c r="U92" t="s">
        <v>92</v>
      </c>
      <c r="V92" t="s">
        <v>92</v>
      </c>
      <c r="W92" t="s">
        <v>92</v>
      </c>
      <c r="X92" t="s">
        <v>4</v>
      </c>
      <c r="Y92" t="s">
        <v>92</v>
      </c>
      <c r="Z92" t="s">
        <v>92</v>
      </c>
      <c r="AA92" t="s">
        <v>92</v>
      </c>
      <c r="AB92" t="s">
        <v>4</v>
      </c>
      <c r="AC92" s="3" t="s">
        <v>93</v>
      </c>
      <c r="AD92" t="s">
        <v>4</v>
      </c>
      <c r="AE92" s="4" t="s">
        <v>94</v>
      </c>
      <c r="AZ92" t="s">
        <v>4</v>
      </c>
      <c r="BA92" s="3" t="s">
        <v>115</v>
      </c>
      <c r="BB92" t="s">
        <v>96</v>
      </c>
      <c r="BC92" s="3" t="s">
        <v>197</v>
      </c>
      <c r="BD92" t="s">
        <v>4</v>
      </c>
      <c r="BE92">
        <v>1711</v>
      </c>
      <c r="BF92" t="s">
        <v>151</v>
      </c>
      <c r="BG92">
        <v>90.070899999999995</v>
      </c>
      <c r="CK92">
        <v>2</v>
      </c>
      <c r="CL92" t="s">
        <v>4</v>
      </c>
      <c r="CM92" t="s">
        <v>98</v>
      </c>
      <c r="CN92" t="s">
        <v>98</v>
      </c>
      <c r="CO92" t="s">
        <v>99</v>
      </c>
      <c r="CP92">
        <v>91</v>
      </c>
      <c r="CQ92" t="s">
        <v>100</v>
      </c>
      <c r="CR92" t="s">
        <v>100</v>
      </c>
      <c r="CS92" t="s">
        <v>101</v>
      </c>
      <c r="CT92" t="s">
        <v>100</v>
      </c>
      <c r="CU92" t="s">
        <v>102</v>
      </c>
      <c r="CV92" t="s">
        <v>100</v>
      </c>
    </row>
    <row r="93" spans="1:100">
      <c r="A93" s="3" t="s">
        <v>780</v>
      </c>
      <c r="B93" s="4" t="s">
        <v>781</v>
      </c>
      <c r="C93">
        <v>272.954794678307</v>
      </c>
      <c r="D93">
        <v>41.307083644176302</v>
      </c>
      <c r="E93">
        <v>2.7277794205408799</v>
      </c>
      <c r="F93">
        <v>1.1674464709450401E-3</v>
      </c>
      <c r="G93" t="s">
        <v>4</v>
      </c>
      <c r="H93">
        <v>272.954794678307</v>
      </c>
      <c r="I93">
        <v>42.616550425088597</v>
      </c>
      <c r="J93">
        <v>2.6764724752865199</v>
      </c>
      <c r="K93">
        <v>1.14656025434712E-3</v>
      </c>
      <c r="L93" t="s">
        <v>4</v>
      </c>
      <c r="M93">
        <v>41.307083644176302</v>
      </c>
      <c r="N93">
        <v>42.616550425088597</v>
      </c>
      <c r="O93">
        <f>0.0513069452543601</f>
        <v>5.1306945254360102E-2</v>
      </c>
      <c r="P93">
        <v>0.96287007429064297</v>
      </c>
      <c r="Q93" t="s">
        <v>4</v>
      </c>
      <c r="R93" s="4" t="s">
        <v>87</v>
      </c>
      <c r="S93" t="s">
        <v>4</v>
      </c>
      <c r="T93" t="s">
        <v>92</v>
      </c>
      <c r="U93" t="s">
        <v>92</v>
      </c>
      <c r="V93" t="s">
        <v>92</v>
      </c>
      <c r="W93" t="s">
        <v>92</v>
      </c>
      <c r="X93" t="s">
        <v>4</v>
      </c>
      <c r="Y93" t="s">
        <v>92</v>
      </c>
      <c r="Z93" t="s">
        <v>92</v>
      </c>
      <c r="AA93" t="s">
        <v>92</v>
      </c>
      <c r="AB93" t="s">
        <v>4</v>
      </c>
      <c r="AC93" s="3" t="s">
        <v>93</v>
      </c>
      <c r="AD93" t="s">
        <v>4</v>
      </c>
      <c r="AE93" s="4" t="s">
        <v>94</v>
      </c>
      <c r="AZ93" t="s">
        <v>4</v>
      </c>
      <c r="BA93" s="3" t="s">
        <v>115</v>
      </c>
      <c r="BB93" s="6" t="s">
        <v>95</v>
      </c>
      <c r="BC93" s="3" t="s">
        <v>782</v>
      </c>
      <c r="BD93" t="s">
        <v>4</v>
      </c>
      <c r="BE93">
        <v>647</v>
      </c>
      <c r="BF93" t="s">
        <v>322</v>
      </c>
      <c r="CK93">
        <v>1</v>
      </c>
      <c r="CL93" t="s">
        <v>4</v>
      </c>
      <c r="CM93" t="s">
        <v>98</v>
      </c>
      <c r="CN93" t="s">
        <v>98</v>
      </c>
      <c r="CO93" t="s">
        <v>99</v>
      </c>
      <c r="CP93">
        <v>92</v>
      </c>
      <c r="CQ93" t="s">
        <v>100</v>
      </c>
      <c r="CR93" t="s">
        <v>100</v>
      </c>
      <c r="CS93" t="s">
        <v>101</v>
      </c>
      <c r="CT93" t="s">
        <v>100</v>
      </c>
      <c r="CU93" t="s">
        <v>102</v>
      </c>
      <c r="CV93" t="s">
        <v>100</v>
      </c>
    </row>
    <row r="94" spans="1:100">
      <c r="A94" s="3" t="s">
        <v>783</v>
      </c>
      <c r="B94" s="4" t="s">
        <v>784</v>
      </c>
      <c r="C94">
        <v>26.955495244662099</v>
      </c>
      <c r="D94">
        <v>1.6280368467675399</v>
      </c>
      <c r="E94">
        <v>4.0729565066518703</v>
      </c>
      <c r="F94">
        <v>1.8222681933805101E-3</v>
      </c>
      <c r="G94" t="s">
        <v>4</v>
      </c>
      <c r="H94">
        <v>26.955495244662099</v>
      </c>
      <c r="I94">
        <v>0</v>
      </c>
      <c r="J94">
        <v>6.7019551232837999</v>
      </c>
      <c r="K94" s="5">
        <v>4.3305243856534303E-5</v>
      </c>
      <c r="L94" t="s">
        <v>4</v>
      </c>
      <c r="M94">
        <v>1.6280368467675399</v>
      </c>
      <c r="N94">
        <v>0</v>
      </c>
      <c r="O94">
        <v>2.6289986166319301</v>
      </c>
      <c r="P94">
        <v>0.166774784265975</v>
      </c>
      <c r="Q94" t="s">
        <v>4</v>
      </c>
      <c r="R94" s="4" t="s">
        <v>87</v>
      </c>
      <c r="S94" t="s">
        <v>4</v>
      </c>
      <c r="T94" t="s">
        <v>92</v>
      </c>
      <c r="U94" t="s">
        <v>92</v>
      </c>
      <c r="V94" t="s">
        <v>92</v>
      </c>
      <c r="W94" t="s">
        <v>92</v>
      </c>
      <c r="X94" t="s">
        <v>4</v>
      </c>
      <c r="Y94" t="s">
        <v>92</v>
      </c>
      <c r="Z94" t="s">
        <v>92</v>
      </c>
      <c r="AA94" t="s">
        <v>92</v>
      </c>
      <c r="AB94" t="s">
        <v>4</v>
      </c>
      <c r="AC94" s="3" t="s">
        <v>93</v>
      </c>
      <c r="AD94" t="s">
        <v>4</v>
      </c>
      <c r="AE94" s="4" t="s">
        <v>94</v>
      </c>
      <c r="AZ94" t="s">
        <v>4</v>
      </c>
      <c r="BA94" s="3" t="s">
        <v>95</v>
      </c>
      <c r="BB94" t="s">
        <v>96</v>
      </c>
      <c r="BC94" s="3" t="s">
        <v>95</v>
      </c>
      <c r="BD94" t="s">
        <v>4</v>
      </c>
      <c r="BE94">
        <v>2392</v>
      </c>
      <c r="BF94" t="s">
        <v>148</v>
      </c>
      <c r="BM94">
        <v>52.688200000000002</v>
      </c>
      <c r="BO94">
        <v>50.537599999999998</v>
      </c>
      <c r="CK94">
        <v>3</v>
      </c>
      <c r="CL94" t="s">
        <v>4</v>
      </c>
      <c r="CM94" t="s">
        <v>98</v>
      </c>
      <c r="CN94" t="s">
        <v>98</v>
      </c>
      <c r="CO94" t="s">
        <v>99</v>
      </c>
      <c r="CP94">
        <v>93</v>
      </c>
      <c r="CQ94" t="s">
        <v>100</v>
      </c>
      <c r="CR94" t="s">
        <v>100</v>
      </c>
      <c r="CS94" t="s">
        <v>101</v>
      </c>
      <c r="CT94" t="s">
        <v>100</v>
      </c>
      <c r="CU94" t="s">
        <v>102</v>
      </c>
      <c r="CV94" t="s">
        <v>100</v>
      </c>
    </row>
    <row r="95" spans="1:100">
      <c r="A95" s="3" t="s">
        <v>785</v>
      </c>
      <c r="B95" s="4" t="s">
        <v>786</v>
      </c>
      <c r="C95">
        <v>62.203789471572897</v>
      </c>
      <c r="D95">
        <v>11.8638410494762</v>
      </c>
      <c r="E95">
        <v>2.3874349977565799</v>
      </c>
      <c r="F95">
        <v>4.40334971124446E-3</v>
      </c>
      <c r="G95" t="s">
        <v>4</v>
      </c>
      <c r="H95">
        <v>62.203789471572897</v>
      </c>
      <c r="I95">
        <v>10.9489515999422</v>
      </c>
      <c r="J95">
        <v>2.5573832893275399</v>
      </c>
      <c r="K95">
        <v>2.2978685871311E-3</v>
      </c>
      <c r="L95" t="s">
        <v>4</v>
      </c>
      <c r="M95">
        <v>11.8638410494762</v>
      </c>
      <c r="N95">
        <v>10.9489515999422</v>
      </c>
      <c r="O95">
        <v>0.16994829157096</v>
      </c>
      <c r="P95">
        <v>0.87912787048530605</v>
      </c>
      <c r="Q95" t="s">
        <v>4</v>
      </c>
      <c r="R95" s="4" t="s">
        <v>87</v>
      </c>
      <c r="S95" t="s">
        <v>4</v>
      </c>
      <c r="T95" t="s">
        <v>460</v>
      </c>
      <c r="U95" t="s">
        <v>461</v>
      </c>
      <c r="V95" t="s">
        <v>462</v>
      </c>
      <c r="W95" t="s">
        <v>123</v>
      </c>
      <c r="X95" t="s">
        <v>4</v>
      </c>
      <c r="Y95" t="s">
        <v>463</v>
      </c>
      <c r="Z95" t="s">
        <v>464</v>
      </c>
      <c r="AA95" t="s">
        <v>465</v>
      </c>
      <c r="AB95" t="s">
        <v>4</v>
      </c>
      <c r="AC95" s="3" t="s">
        <v>93</v>
      </c>
      <c r="AD95" t="s">
        <v>4</v>
      </c>
      <c r="AE95" t="s">
        <v>763</v>
      </c>
      <c r="AF95" t="s">
        <v>787</v>
      </c>
      <c r="AG95" t="s">
        <v>788</v>
      </c>
      <c r="AH95" t="s">
        <v>386</v>
      </c>
      <c r="AU95" t="s">
        <v>112</v>
      </c>
      <c r="AV95" t="s">
        <v>766</v>
      </c>
      <c r="AW95" t="s">
        <v>114</v>
      </c>
      <c r="AX95" t="s">
        <v>144</v>
      </c>
      <c r="AY95" t="s">
        <v>471</v>
      </c>
      <c r="AZ95" t="s">
        <v>4</v>
      </c>
      <c r="BA95" s="3" t="s">
        <v>95</v>
      </c>
      <c r="BB95" s="6" t="s">
        <v>95</v>
      </c>
      <c r="BC95" s="3" t="s">
        <v>197</v>
      </c>
      <c r="BD95" t="s">
        <v>4</v>
      </c>
      <c r="BE95">
        <v>8474</v>
      </c>
      <c r="BF95" t="s">
        <v>213</v>
      </c>
      <c r="BG95">
        <v>60.218000000000004</v>
      </c>
      <c r="BO95">
        <v>18.528600000000001</v>
      </c>
      <c r="BS95">
        <v>15.803800000000001</v>
      </c>
      <c r="BT95">
        <v>18.801100000000002</v>
      </c>
      <c r="CF95" t="s">
        <v>789</v>
      </c>
      <c r="CG95" t="s">
        <v>790</v>
      </c>
      <c r="CH95" t="s">
        <v>791</v>
      </c>
      <c r="CI95" t="s">
        <v>792</v>
      </c>
      <c r="CK95">
        <v>8</v>
      </c>
      <c r="CL95" t="s">
        <v>4</v>
      </c>
      <c r="CM95" t="s">
        <v>98</v>
      </c>
      <c r="CN95" t="s">
        <v>98</v>
      </c>
      <c r="CO95" t="s">
        <v>99</v>
      </c>
      <c r="CP95">
        <v>94</v>
      </c>
      <c r="CQ95" t="s">
        <v>100</v>
      </c>
      <c r="CR95" t="s">
        <v>100</v>
      </c>
      <c r="CS95" t="s">
        <v>101</v>
      </c>
      <c r="CT95" t="s">
        <v>100</v>
      </c>
      <c r="CU95" t="s">
        <v>102</v>
      </c>
      <c r="CV95" t="s">
        <v>100</v>
      </c>
    </row>
    <row r="96" spans="1:100">
      <c r="A96" s="3" t="s">
        <v>793</v>
      </c>
      <c r="B96" s="4" t="s">
        <v>794</v>
      </c>
      <c r="C96">
        <v>303.568837791612</v>
      </c>
      <c r="D96">
        <v>44.090667787277397</v>
      </c>
      <c r="E96">
        <v>2.7808653525617801</v>
      </c>
      <c r="F96" s="5">
        <v>1.5067547484341001E-11</v>
      </c>
      <c r="G96" t="s">
        <v>4</v>
      </c>
      <c r="H96">
        <v>303.568837791612</v>
      </c>
      <c r="I96">
        <v>15.5456509706178</v>
      </c>
      <c r="J96">
        <v>4.2519086757871198</v>
      </c>
      <c r="K96" s="5">
        <v>1.49484622272338E-20</v>
      </c>
      <c r="L96" t="s">
        <v>4</v>
      </c>
      <c r="M96">
        <v>44.090667787277397</v>
      </c>
      <c r="N96">
        <v>15.5456509706178</v>
      </c>
      <c r="O96">
        <v>1.4710433232253399</v>
      </c>
      <c r="P96">
        <v>2.9058294484811298E-3</v>
      </c>
      <c r="Q96" t="s">
        <v>4</v>
      </c>
      <c r="R96" s="4" t="s">
        <v>87</v>
      </c>
      <c r="S96" t="s">
        <v>4</v>
      </c>
      <c r="T96" t="s">
        <v>92</v>
      </c>
      <c r="U96" t="s">
        <v>92</v>
      </c>
      <c r="V96" t="s">
        <v>92</v>
      </c>
      <c r="W96" t="s">
        <v>92</v>
      </c>
      <c r="X96" t="s">
        <v>4</v>
      </c>
      <c r="Y96" t="s">
        <v>92</v>
      </c>
      <c r="Z96" t="s">
        <v>92</v>
      </c>
      <c r="AA96" t="s">
        <v>92</v>
      </c>
      <c r="AB96" t="s">
        <v>4</v>
      </c>
      <c r="AC96" s="3" t="s">
        <v>93</v>
      </c>
      <c r="AD96" t="s">
        <v>4</v>
      </c>
      <c r="AE96" s="4" t="s">
        <v>94</v>
      </c>
      <c r="AZ96" t="s">
        <v>4</v>
      </c>
      <c r="BA96" s="3" t="s">
        <v>115</v>
      </c>
      <c r="BB96" s="6" t="s">
        <v>95</v>
      </c>
      <c r="BC96" s="3" t="s">
        <v>95</v>
      </c>
      <c r="BD96" t="s">
        <v>4</v>
      </c>
      <c r="BE96">
        <v>1732</v>
      </c>
      <c r="BF96" t="s">
        <v>151</v>
      </c>
      <c r="BG96" t="s">
        <v>795</v>
      </c>
      <c r="CK96">
        <v>2</v>
      </c>
      <c r="CL96" t="s">
        <v>4</v>
      </c>
      <c r="CM96" t="s">
        <v>98</v>
      </c>
      <c r="CN96" t="s">
        <v>98</v>
      </c>
      <c r="CO96" t="s">
        <v>99</v>
      </c>
      <c r="CP96">
        <v>95</v>
      </c>
      <c r="CQ96" t="s">
        <v>100</v>
      </c>
      <c r="CR96" t="s">
        <v>100</v>
      </c>
      <c r="CS96" t="s">
        <v>101</v>
      </c>
      <c r="CT96" s="7" t="s">
        <v>152</v>
      </c>
      <c r="CU96" t="s">
        <v>102</v>
      </c>
      <c r="CV96" t="s">
        <v>100</v>
      </c>
    </row>
    <row r="97" spans="1:100">
      <c r="A97" s="3" t="s">
        <v>796</v>
      </c>
      <c r="B97" s="4" t="s">
        <v>797</v>
      </c>
      <c r="C97">
        <v>119.479674381919</v>
      </c>
      <c r="D97">
        <v>26.5179554314679</v>
      </c>
      <c r="E97">
        <v>2.1726078895444498</v>
      </c>
      <c r="F97">
        <v>1.8856679254962701E-4</v>
      </c>
      <c r="G97" t="s">
        <v>4</v>
      </c>
      <c r="H97">
        <v>119.479674381919</v>
      </c>
      <c r="I97">
        <v>13.2526122529245</v>
      </c>
      <c r="J97">
        <v>3.20834420373808</v>
      </c>
      <c r="K97" s="5">
        <v>1.17237385123716E-7</v>
      </c>
      <c r="L97" t="s">
        <v>4</v>
      </c>
      <c r="M97">
        <v>26.5179554314679</v>
      </c>
      <c r="N97">
        <v>13.2526122529245</v>
      </c>
      <c r="O97">
        <v>1.03573631419363</v>
      </c>
      <c r="P97">
        <v>0.12401698274070901</v>
      </c>
      <c r="Q97" t="s">
        <v>4</v>
      </c>
      <c r="R97" s="4" t="s">
        <v>87</v>
      </c>
      <c r="S97" t="s">
        <v>4</v>
      </c>
      <c r="T97" t="s">
        <v>92</v>
      </c>
      <c r="U97" t="s">
        <v>92</v>
      </c>
      <c r="V97" t="s">
        <v>92</v>
      </c>
      <c r="W97" t="s">
        <v>92</v>
      </c>
      <c r="X97" t="s">
        <v>4</v>
      </c>
      <c r="Y97" t="s">
        <v>92</v>
      </c>
      <c r="Z97" t="s">
        <v>92</v>
      </c>
      <c r="AA97" t="s">
        <v>92</v>
      </c>
      <c r="AB97" t="s">
        <v>4</v>
      </c>
      <c r="AC97" s="3" t="s">
        <v>93</v>
      </c>
      <c r="AD97" t="s">
        <v>4</v>
      </c>
      <c r="AE97" t="s">
        <v>772</v>
      </c>
      <c r="AF97" t="s">
        <v>798</v>
      </c>
      <c r="AG97" t="s">
        <v>799</v>
      </c>
      <c r="AH97" t="s">
        <v>314</v>
      </c>
      <c r="AU97" t="s">
        <v>112</v>
      </c>
      <c r="AV97" t="s">
        <v>775</v>
      </c>
      <c r="AW97" t="s">
        <v>114</v>
      </c>
      <c r="AZ97" t="s">
        <v>4</v>
      </c>
      <c r="BA97" s="3" t="s">
        <v>95</v>
      </c>
      <c r="BB97" s="6" t="s">
        <v>95</v>
      </c>
      <c r="BC97" s="3" t="s">
        <v>95</v>
      </c>
      <c r="BD97" t="s">
        <v>4</v>
      </c>
      <c r="BE97">
        <v>671</v>
      </c>
      <c r="BF97" t="s">
        <v>322</v>
      </c>
      <c r="CK97">
        <v>1</v>
      </c>
      <c r="CL97" t="s">
        <v>4</v>
      </c>
      <c r="CM97" t="s">
        <v>98</v>
      </c>
      <c r="CN97" t="s">
        <v>98</v>
      </c>
      <c r="CO97" t="s">
        <v>99</v>
      </c>
      <c r="CP97">
        <v>96</v>
      </c>
      <c r="CQ97" t="s">
        <v>100</v>
      </c>
      <c r="CR97" t="s">
        <v>100</v>
      </c>
      <c r="CS97" t="s">
        <v>101</v>
      </c>
      <c r="CT97" t="s">
        <v>100</v>
      </c>
      <c r="CU97" t="s">
        <v>102</v>
      </c>
      <c r="CV97" t="s">
        <v>100</v>
      </c>
    </row>
    <row r="98" spans="1:100">
      <c r="A98" s="3" t="s">
        <v>800</v>
      </c>
      <c r="B98" s="4" t="s">
        <v>801</v>
      </c>
      <c r="C98">
        <v>84.9943041138024</v>
      </c>
      <c r="D98">
        <v>19.913842620743399</v>
      </c>
      <c r="E98">
        <v>2.0948640657947202</v>
      </c>
      <c r="F98">
        <v>2.5951006164485701E-3</v>
      </c>
      <c r="G98" t="s">
        <v>4</v>
      </c>
      <c r="H98">
        <v>84.9943041138024</v>
      </c>
      <c r="I98">
        <v>7.2695901804701304</v>
      </c>
      <c r="J98">
        <v>3.5746545459522401</v>
      </c>
      <c r="K98" s="5">
        <v>1.4712901640377699E-6</v>
      </c>
      <c r="L98" t="s">
        <v>4</v>
      </c>
      <c r="M98">
        <v>19.913842620743399</v>
      </c>
      <c r="N98">
        <v>7.2695901804701304</v>
      </c>
      <c r="O98">
        <v>1.4797904801575199</v>
      </c>
      <c r="P98">
        <v>6.6025953439660598E-2</v>
      </c>
      <c r="Q98" t="s">
        <v>4</v>
      </c>
      <c r="R98" s="4" t="s">
        <v>87</v>
      </c>
      <c r="S98" t="s">
        <v>4</v>
      </c>
      <c r="T98" t="s">
        <v>92</v>
      </c>
      <c r="U98" t="s">
        <v>92</v>
      </c>
      <c r="V98" t="s">
        <v>92</v>
      </c>
      <c r="W98" t="s">
        <v>92</v>
      </c>
      <c r="X98" t="s">
        <v>4</v>
      </c>
      <c r="Y98" t="s">
        <v>802</v>
      </c>
      <c r="Z98" t="s">
        <v>803</v>
      </c>
      <c r="AA98" t="s">
        <v>804</v>
      </c>
      <c r="AB98" t="s">
        <v>4</v>
      </c>
      <c r="AC98" s="3" t="s">
        <v>93</v>
      </c>
      <c r="AD98" t="s">
        <v>4</v>
      </c>
      <c r="AE98" t="s">
        <v>772</v>
      </c>
      <c r="AF98" t="s">
        <v>805</v>
      </c>
      <c r="AG98" t="s">
        <v>806</v>
      </c>
      <c r="AH98" t="s">
        <v>314</v>
      </c>
      <c r="AU98" t="s">
        <v>112</v>
      </c>
      <c r="AV98" t="s">
        <v>775</v>
      </c>
      <c r="AW98" t="s">
        <v>114</v>
      </c>
      <c r="AZ98" t="s">
        <v>4</v>
      </c>
      <c r="BA98" s="3" t="s">
        <v>95</v>
      </c>
      <c r="BB98" s="6" t="s">
        <v>95</v>
      </c>
      <c r="BC98" s="3" t="s">
        <v>197</v>
      </c>
      <c r="BD98" t="s">
        <v>4</v>
      </c>
      <c r="BE98">
        <v>672</v>
      </c>
      <c r="BF98" t="s">
        <v>322</v>
      </c>
      <c r="CK98">
        <v>1</v>
      </c>
      <c r="CL98" t="s">
        <v>4</v>
      </c>
      <c r="CM98" t="s">
        <v>98</v>
      </c>
      <c r="CN98" t="s">
        <v>98</v>
      </c>
      <c r="CO98" t="s">
        <v>99</v>
      </c>
      <c r="CP98">
        <v>97</v>
      </c>
      <c r="CQ98" t="s">
        <v>100</v>
      </c>
      <c r="CR98" t="s">
        <v>100</v>
      </c>
      <c r="CS98" t="s">
        <v>101</v>
      </c>
      <c r="CT98" t="s">
        <v>100</v>
      </c>
      <c r="CU98" t="s">
        <v>102</v>
      </c>
      <c r="CV98" t="s">
        <v>100</v>
      </c>
    </row>
    <row r="99" spans="1:100">
      <c r="A99" s="3" t="s">
        <v>807</v>
      </c>
      <c r="B99" s="4" t="s">
        <v>808</v>
      </c>
      <c r="C99">
        <v>124.006391821891</v>
      </c>
      <c r="D99">
        <v>15.975595456268</v>
      </c>
      <c r="E99">
        <v>2.9607282389763001</v>
      </c>
      <c r="F99" s="5">
        <v>2.8026584426514701E-6</v>
      </c>
      <c r="G99" t="s">
        <v>4</v>
      </c>
      <c r="H99">
        <v>124.006391821891</v>
      </c>
      <c r="I99">
        <v>6.2826940674977196</v>
      </c>
      <c r="J99">
        <v>4.4120318662483502</v>
      </c>
      <c r="K99" s="5">
        <v>6.3374367756419296E-10</v>
      </c>
      <c r="L99" t="s">
        <v>4</v>
      </c>
      <c r="M99">
        <v>15.975595456268</v>
      </c>
      <c r="N99">
        <v>6.2826940674977196</v>
      </c>
      <c r="O99">
        <v>1.4513036272720501</v>
      </c>
      <c r="P99">
        <v>6.7518908005430603E-2</v>
      </c>
      <c r="Q99" t="s">
        <v>4</v>
      </c>
      <c r="R99" s="4" t="s">
        <v>87</v>
      </c>
      <c r="S99" t="s">
        <v>4</v>
      </c>
      <c r="T99" t="s">
        <v>92</v>
      </c>
      <c r="U99" t="s">
        <v>92</v>
      </c>
      <c r="V99" t="s">
        <v>92</v>
      </c>
      <c r="W99" t="s">
        <v>92</v>
      </c>
      <c r="X99" t="s">
        <v>4</v>
      </c>
      <c r="Y99" t="s">
        <v>92</v>
      </c>
      <c r="Z99" t="s">
        <v>92</v>
      </c>
      <c r="AA99" t="s">
        <v>92</v>
      </c>
      <c r="AB99" t="s">
        <v>4</v>
      </c>
      <c r="AC99" s="3" t="s">
        <v>93</v>
      </c>
      <c r="AD99" t="s">
        <v>4</v>
      </c>
      <c r="AE99" s="4" t="s">
        <v>94</v>
      </c>
      <c r="AZ99" t="s">
        <v>4</v>
      </c>
      <c r="BA99" s="3" t="s">
        <v>95</v>
      </c>
      <c r="BB99" s="6" t="s">
        <v>95</v>
      </c>
      <c r="BC99" s="3" t="s">
        <v>95</v>
      </c>
      <c r="BD99" t="s">
        <v>4</v>
      </c>
      <c r="BE99">
        <v>948</v>
      </c>
      <c r="BF99" t="s">
        <v>604</v>
      </c>
      <c r="BH99" t="s">
        <v>809</v>
      </c>
      <c r="CK99">
        <v>1.5</v>
      </c>
      <c r="CL99" t="s">
        <v>4</v>
      </c>
      <c r="CM99" t="s">
        <v>98</v>
      </c>
      <c r="CN99" t="s">
        <v>98</v>
      </c>
      <c r="CO99" t="s">
        <v>99</v>
      </c>
      <c r="CP99">
        <v>98</v>
      </c>
      <c r="CQ99" t="s">
        <v>100</v>
      </c>
      <c r="CR99" t="s">
        <v>100</v>
      </c>
      <c r="CS99" t="s">
        <v>101</v>
      </c>
      <c r="CT99" t="s">
        <v>100</v>
      </c>
      <c r="CU99" t="s">
        <v>102</v>
      </c>
      <c r="CV99" t="s">
        <v>100</v>
      </c>
    </row>
    <row r="100" spans="1:100">
      <c r="A100" s="3" t="s">
        <v>810</v>
      </c>
      <c r="B100" s="8" t="s">
        <v>811</v>
      </c>
      <c r="C100">
        <v>36.263581566536899</v>
      </c>
      <c r="D100">
        <v>5.6957670192500798</v>
      </c>
      <c r="E100">
        <v>2.6725998165856502</v>
      </c>
      <c r="F100">
        <v>8.9034195909525201E-4</v>
      </c>
      <c r="G100" t="s">
        <v>4</v>
      </c>
      <c r="H100">
        <v>36.263581566536899</v>
      </c>
      <c r="I100">
        <v>2.4252098222896601</v>
      </c>
      <c r="J100">
        <v>3.9583010397842102</v>
      </c>
      <c r="K100" s="5">
        <v>4.4942420611699303E-5</v>
      </c>
      <c r="L100" t="s">
        <v>4</v>
      </c>
      <c r="M100">
        <v>5.6957670192500798</v>
      </c>
      <c r="N100">
        <v>2.4252098222896601</v>
      </c>
      <c r="O100">
        <v>1.2857012231985601</v>
      </c>
      <c r="P100">
        <v>0.25257819149490701</v>
      </c>
      <c r="Q100" t="s">
        <v>4</v>
      </c>
      <c r="R100" s="4" t="s">
        <v>95</v>
      </c>
      <c r="S100" t="s">
        <v>4</v>
      </c>
      <c r="T100" t="s">
        <v>92</v>
      </c>
      <c r="U100" t="s">
        <v>92</v>
      </c>
      <c r="V100" t="s">
        <v>92</v>
      </c>
      <c r="W100" t="s">
        <v>92</v>
      </c>
      <c r="X100" t="s">
        <v>4</v>
      </c>
      <c r="Y100" t="s">
        <v>92</v>
      </c>
      <c r="Z100" t="s">
        <v>92</v>
      </c>
      <c r="AA100" t="s">
        <v>92</v>
      </c>
      <c r="AB100" t="s">
        <v>4</v>
      </c>
      <c r="AC100" s="3" t="s">
        <v>93</v>
      </c>
      <c r="AD100" t="s">
        <v>4</v>
      </c>
      <c r="AE100" s="4" t="s">
        <v>94</v>
      </c>
      <c r="AZ100" t="s">
        <v>4</v>
      </c>
      <c r="BA100" s="3" t="s">
        <v>812</v>
      </c>
      <c r="BB100" s="3" t="s">
        <v>812</v>
      </c>
      <c r="BC100" s="3" t="s">
        <v>812</v>
      </c>
      <c r="BD100" t="s">
        <v>4</v>
      </c>
      <c r="BE100" s="3" t="s">
        <v>812</v>
      </c>
      <c r="BF100" s="3" t="s">
        <v>812</v>
      </c>
      <c r="BG100" s="3" t="s">
        <v>812</v>
      </c>
      <c r="BH100" s="3" t="s">
        <v>812</v>
      </c>
      <c r="BI100" s="3" t="s">
        <v>812</v>
      </c>
      <c r="BJ100" s="3" t="s">
        <v>812</v>
      </c>
      <c r="BK100" s="3" t="s">
        <v>812</v>
      </c>
      <c r="BL100" s="3" t="s">
        <v>812</v>
      </c>
      <c r="BM100" s="3" t="s">
        <v>812</v>
      </c>
      <c r="BN100" s="3" t="s">
        <v>812</v>
      </c>
      <c r="BO100" s="3" t="s">
        <v>812</v>
      </c>
      <c r="BP100" s="3" t="s">
        <v>812</v>
      </c>
      <c r="BQ100" s="3" t="s">
        <v>812</v>
      </c>
      <c r="BR100" s="3" t="s">
        <v>812</v>
      </c>
      <c r="BS100" s="3" t="s">
        <v>812</v>
      </c>
      <c r="BT100" s="3" t="s">
        <v>812</v>
      </c>
      <c r="BU100" s="3" t="s">
        <v>812</v>
      </c>
      <c r="BV100" s="3" t="s">
        <v>812</v>
      </c>
      <c r="BW100" s="3" t="s">
        <v>812</v>
      </c>
      <c r="BX100" s="3" t="s">
        <v>812</v>
      </c>
      <c r="BY100" s="3" t="s">
        <v>812</v>
      </c>
      <c r="BZ100" s="3" t="s">
        <v>812</v>
      </c>
      <c r="CA100" s="3" t="s">
        <v>812</v>
      </c>
      <c r="CB100" s="3" t="s">
        <v>812</v>
      </c>
      <c r="CC100" s="3" t="s">
        <v>812</v>
      </c>
      <c r="CD100" s="3" t="s">
        <v>812</v>
      </c>
      <c r="CE100" s="3" t="s">
        <v>812</v>
      </c>
      <c r="CF100" s="3" t="s">
        <v>812</v>
      </c>
      <c r="CG100" s="3" t="s">
        <v>812</v>
      </c>
      <c r="CH100" s="3" t="s">
        <v>812</v>
      </c>
      <c r="CI100" s="3" t="s">
        <v>812</v>
      </c>
      <c r="CJ100" s="3" t="s">
        <v>812</v>
      </c>
      <c r="CK100" s="3" t="s">
        <v>812</v>
      </c>
      <c r="CL100" t="s">
        <v>4</v>
      </c>
      <c r="CM100" s="3" t="s">
        <v>812</v>
      </c>
      <c r="CN100" s="3" t="s">
        <v>812</v>
      </c>
      <c r="CO100" s="3" t="s">
        <v>812</v>
      </c>
      <c r="CP100">
        <v>99</v>
      </c>
      <c r="CQ100" t="s">
        <v>100</v>
      </c>
      <c r="CR100" t="s">
        <v>100</v>
      </c>
      <c r="CS100" t="s">
        <v>101</v>
      </c>
      <c r="CT100" t="s">
        <v>100</v>
      </c>
      <c r="CU100" t="s">
        <v>102</v>
      </c>
      <c r="CV100" t="s">
        <v>100</v>
      </c>
    </row>
    <row r="101" spans="1:100">
      <c r="A101" s="3" t="s">
        <v>813</v>
      </c>
      <c r="B101" s="4" t="s">
        <v>814</v>
      </c>
      <c r="C101">
        <v>4264.5483257299402</v>
      </c>
      <c r="D101">
        <v>907.42215901682198</v>
      </c>
      <c r="E101">
        <v>2.2324207643666898</v>
      </c>
      <c r="F101" s="5">
        <v>5.9309702931299202E-11</v>
      </c>
      <c r="G101" t="s">
        <v>4</v>
      </c>
      <c r="H101">
        <v>4264.5483257299402</v>
      </c>
      <c r="I101">
        <v>128.88408960861099</v>
      </c>
      <c r="J101">
        <v>5.0344918432994596</v>
      </c>
      <c r="K101" s="5">
        <v>3.5424113173669402E-50</v>
      </c>
      <c r="L101" t="s">
        <v>4</v>
      </c>
      <c r="M101">
        <v>907.42215901682198</v>
      </c>
      <c r="N101">
        <v>128.88408960861099</v>
      </c>
      <c r="O101">
        <v>2.8020710789327699</v>
      </c>
      <c r="P101" s="5">
        <v>2.8590254924874198E-16</v>
      </c>
      <c r="Q101" t="s">
        <v>4</v>
      </c>
      <c r="R101" s="4" t="s">
        <v>87</v>
      </c>
      <c r="S101" t="s">
        <v>4</v>
      </c>
      <c r="T101" t="s">
        <v>815</v>
      </c>
      <c r="U101" t="s">
        <v>816</v>
      </c>
      <c r="V101" t="s">
        <v>817</v>
      </c>
      <c r="W101" t="s">
        <v>203</v>
      </c>
      <c r="X101" t="s">
        <v>4</v>
      </c>
      <c r="Y101" t="s">
        <v>818</v>
      </c>
      <c r="Z101" t="s">
        <v>819</v>
      </c>
      <c r="AA101" t="s">
        <v>820</v>
      </c>
      <c r="AB101" t="s">
        <v>4</v>
      </c>
      <c r="AC101" s="3" t="s">
        <v>93</v>
      </c>
      <c r="AD101" t="s">
        <v>4</v>
      </c>
      <c r="AE101" t="s">
        <v>562</v>
      </c>
      <c r="AF101" t="s">
        <v>821</v>
      </c>
      <c r="AG101" t="s">
        <v>822</v>
      </c>
      <c r="AH101" t="s">
        <v>314</v>
      </c>
      <c r="AU101" t="s">
        <v>112</v>
      </c>
      <c r="AV101" t="s">
        <v>565</v>
      </c>
      <c r="AW101" t="s">
        <v>114</v>
      </c>
      <c r="AX101" t="s">
        <v>536</v>
      </c>
      <c r="AY101" t="s">
        <v>566</v>
      </c>
      <c r="AZ101" t="s">
        <v>4</v>
      </c>
      <c r="BA101" s="3" t="s">
        <v>95</v>
      </c>
      <c r="BB101" s="6" t="s">
        <v>95</v>
      </c>
      <c r="BC101" s="3" t="s">
        <v>95</v>
      </c>
      <c r="BD101" t="s">
        <v>4</v>
      </c>
      <c r="BE101">
        <v>2402</v>
      </c>
      <c r="BF101" t="s">
        <v>148</v>
      </c>
      <c r="BG101" t="s">
        <v>823</v>
      </c>
      <c r="BH101">
        <v>65.853700000000003</v>
      </c>
      <c r="BJ101">
        <v>11.149800000000001</v>
      </c>
      <c r="BO101" t="s">
        <v>824</v>
      </c>
      <c r="CK101">
        <v>3</v>
      </c>
      <c r="CL101" t="s">
        <v>4</v>
      </c>
      <c r="CM101" t="s">
        <v>98</v>
      </c>
      <c r="CN101" t="s">
        <v>98</v>
      </c>
      <c r="CO101" t="s">
        <v>99</v>
      </c>
      <c r="CP101">
        <v>100</v>
      </c>
      <c r="CQ101" t="s">
        <v>100</v>
      </c>
      <c r="CR101" t="s">
        <v>100</v>
      </c>
      <c r="CS101" t="s">
        <v>101</v>
      </c>
      <c r="CT101" t="s">
        <v>152</v>
      </c>
      <c r="CU101" t="s">
        <v>102</v>
      </c>
      <c r="CV101" t="s">
        <v>100</v>
      </c>
    </row>
    <row r="102" spans="1:100">
      <c r="A102" s="3" t="s">
        <v>825</v>
      </c>
      <c r="B102" s="4" t="s">
        <v>826</v>
      </c>
      <c r="C102">
        <v>356.02262297868202</v>
      </c>
      <c r="D102">
        <v>55.1932922549016</v>
      </c>
      <c r="E102">
        <v>2.6921378347876099</v>
      </c>
      <c r="F102" s="5">
        <v>1.4463492361162999E-22</v>
      </c>
      <c r="G102" t="s">
        <v>4</v>
      </c>
      <c r="H102">
        <v>356.02262297868202</v>
      </c>
      <c r="I102">
        <v>33.116881067841803</v>
      </c>
      <c r="J102">
        <v>3.4168487420482898</v>
      </c>
      <c r="K102" s="5">
        <v>1.15254262826395E-29</v>
      </c>
      <c r="L102" t="s">
        <v>4</v>
      </c>
      <c r="M102">
        <v>55.1932922549016</v>
      </c>
      <c r="N102">
        <v>33.116881067841803</v>
      </c>
      <c r="O102">
        <v>0.72471090726067799</v>
      </c>
      <c r="P102">
        <v>3.5944213746535003E-2</v>
      </c>
      <c r="Q102" t="s">
        <v>4</v>
      </c>
      <c r="R102" s="4" t="s">
        <v>87</v>
      </c>
      <c r="S102" t="s">
        <v>4</v>
      </c>
      <c r="T102" t="s">
        <v>827</v>
      </c>
      <c r="U102" t="s">
        <v>828</v>
      </c>
      <c r="V102" t="s">
        <v>829</v>
      </c>
      <c r="W102" t="s">
        <v>203</v>
      </c>
      <c r="X102" t="s">
        <v>4</v>
      </c>
      <c r="Y102" t="s">
        <v>830</v>
      </c>
      <c r="Z102" t="s">
        <v>831</v>
      </c>
      <c r="AA102" t="s">
        <v>832</v>
      </c>
      <c r="AB102" t="s">
        <v>4</v>
      </c>
      <c r="AC102" s="3" t="s">
        <v>93</v>
      </c>
      <c r="AD102" t="s">
        <v>4</v>
      </c>
      <c r="AE102" t="s">
        <v>833</v>
      </c>
      <c r="AF102" t="s">
        <v>834</v>
      </c>
      <c r="AG102" t="s">
        <v>835</v>
      </c>
      <c r="AH102" t="s">
        <v>112</v>
      </c>
      <c r="AU102" t="s">
        <v>112</v>
      </c>
      <c r="AV102" t="s">
        <v>836</v>
      </c>
      <c r="AW102" t="s">
        <v>114</v>
      </c>
      <c r="AX102" t="s">
        <v>536</v>
      </c>
      <c r="AY102" t="s">
        <v>837</v>
      </c>
      <c r="AZ102" t="s">
        <v>4</v>
      </c>
      <c r="BA102" s="3" t="s">
        <v>95</v>
      </c>
      <c r="BB102" t="s">
        <v>96</v>
      </c>
      <c r="BC102" s="3" t="s">
        <v>95</v>
      </c>
      <c r="BD102" t="s">
        <v>4</v>
      </c>
      <c r="BE102">
        <v>5283</v>
      </c>
      <c r="BF102" t="s">
        <v>282</v>
      </c>
      <c r="BG102">
        <v>95.516900000000007</v>
      </c>
      <c r="BH102">
        <v>10.887499999999999</v>
      </c>
      <c r="BI102">
        <v>65.507800000000003</v>
      </c>
      <c r="BJ102">
        <v>63.586500000000001</v>
      </c>
      <c r="BK102">
        <v>64.318399999999997</v>
      </c>
      <c r="BL102">
        <v>59.7438</v>
      </c>
      <c r="BM102">
        <v>60.5672</v>
      </c>
      <c r="BN102">
        <v>71.912199999999999</v>
      </c>
      <c r="BO102">
        <v>74.382400000000004</v>
      </c>
      <c r="BP102">
        <v>59.469299999999997</v>
      </c>
      <c r="BQ102">
        <v>44.464799999999997</v>
      </c>
      <c r="BR102">
        <v>47.392499999999998</v>
      </c>
      <c r="BS102">
        <v>49.588299999999997</v>
      </c>
      <c r="BT102">
        <v>40.347700000000003</v>
      </c>
      <c r="BU102">
        <v>3.9341300000000001</v>
      </c>
      <c r="BV102" t="s">
        <v>838</v>
      </c>
      <c r="BW102">
        <v>49.039299999999997</v>
      </c>
      <c r="BX102">
        <v>50.777700000000003</v>
      </c>
      <c r="BY102">
        <v>5.0320200000000002</v>
      </c>
      <c r="BZ102" t="s">
        <v>839</v>
      </c>
      <c r="CA102">
        <v>50.777700000000003</v>
      </c>
      <c r="CB102">
        <v>15.0961</v>
      </c>
      <c r="CC102" t="s">
        <v>840</v>
      </c>
      <c r="CD102">
        <v>33.485799999999998</v>
      </c>
      <c r="CF102">
        <v>17.200399999999998</v>
      </c>
      <c r="CG102" t="s">
        <v>841</v>
      </c>
      <c r="CH102" t="s">
        <v>842</v>
      </c>
      <c r="CI102" t="s">
        <v>843</v>
      </c>
      <c r="CK102">
        <v>6</v>
      </c>
      <c r="CL102" t="s">
        <v>4</v>
      </c>
      <c r="CM102" t="s">
        <v>844</v>
      </c>
      <c r="CN102" t="s">
        <v>845</v>
      </c>
      <c r="CO102" t="s">
        <v>99</v>
      </c>
      <c r="CP102">
        <v>101</v>
      </c>
      <c r="CQ102" t="s">
        <v>100</v>
      </c>
      <c r="CR102" t="s">
        <v>100</v>
      </c>
      <c r="CS102" t="s">
        <v>101</v>
      </c>
      <c r="CT102" t="s">
        <v>100</v>
      </c>
      <c r="CU102" t="s">
        <v>102</v>
      </c>
      <c r="CV102" t="s">
        <v>100</v>
      </c>
    </row>
    <row r="103" spans="1:100">
      <c r="A103" s="3" t="s">
        <v>846</v>
      </c>
      <c r="B103" s="4" t="s">
        <v>847</v>
      </c>
      <c r="C103">
        <v>69.744443069305305</v>
      </c>
      <c r="D103">
        <v>5.9038507181305402</v>
      </c>
      <c r="E103">
        <v>3.5805572584418801</v>
      </c>
      <c r="F103" s="5">
        <v>4.0463893995498698E-5</v>
      </c>
      <c r="G103" t="s">
        <v>4</v>
      </c>
      <c r="H103">
        <v>69.744443069305305</v>
      </c>
      <c r="I103">
        <v>5.5557616217049199</v>
      </c>
      <c r="J103">
        <v>3.6037024079787998</v>
      </c>
      <c r="K103" s="5">
        <v>5.3683949768592001E-5</v>
      </c>
      <c r="L103" t="s">
        <v>4</v>
      </c>
      <c r="M103">
        <v>5.9038507181305402</v>
      </c>
      <c r="N103">
        <v>5.5557616217049199</v>
      </c>
      <c r="O103">
        <v>2.3145149536916799E-2</v>
      </c>
      <c r="P103">
        <v>0.98995958315369104</v>
      </c>
      <c r="Q103" t="s">
        <v>4</v>
      </c>
      <c r="R103" s="4" t="s">
        <v>87</v>
      </c>
      <c r="S103" t="s">
        <v>4</v>
      </c>
      <c r="T103" t="s">
        <v>92</v>
      </c>
      <c r="U103" t="s">
        <v>92</v>
      </c>
      <c r="V103" t="s">
        <v>92</v>
      </c>
      <c r="W103" t="s">
        <v>92</v>
      </c>
      <c r="X103" t="s">
        <v>4</v>
      </c>
      <c r="Y103" t="s">
        <v>92</v>
      </c>
      <c r="Z103" t="s">
        <v>92</v>
      </c>
      <c r="AA103" t="s">
        <v>92</v>
      </c>
      <c r="AB103" t="s">
        <v>4</v>
      </c>
      <c r="AC103" s="3" t="s">
        <v>93</v>
      </c>
      <c r="AD103" t="s">
        <v>4</v>
      </c>
      <c r="AE103" t="s">
        <v>848</v>
      </c>
      <c r="AF103" t="s">
        <v>849</v>
      </c>
      <c r="AG103" t="s">
        <v>850</v>
      </c>
      <c r="AH103" t="s">
        <v>112</v>
      </c>
      <c r="AU103" t="s">
        <v>112</v>
      </c>
      <c r="AV103" t="s">
        <v>851</v>
      </c>
      <c r="AW103" t="s">
        <v>114</v>
      </c>
      <c r="AZ103" t="s">
        <v>4</v>
      </c>
      <c r="BA103" s="3" t="s">
        <v>95</v>
      </c>
      <c r="BB103" s="6" t="s">
        <v>95</v>
      </c>
      <c r="BC103" s="3" t="s">
        <v>95</v>
      </c>
      <c r="BD103" t="s">
        <v>4</v>
      </c>
      <c r="BE103">
        <v>3102</v>
      </c>
      <c r="BF103" t="s">
        <v>97</v>
      </c>
      <c r="BG103">
        <v>97.938100000000006</v>
      </c>
      <c r="BI103">
        <v>88.659800000000004</v>
      </c>
      <c r="BJ103">
        <v>77.663200000000003</v>
      </c>
      <c r="BK103">
        <v>73.883200000000002</v>
      </c>
      <c r="BM103">
        <v>65.979399999999998</v>
      </c>
      <c r="BN103">
        <v>65.979399999999998</v>
      </c>
      <c r="BO103">
        <v>65.292100000000005</v>
      </c>
      <c r="BP103">
        <v>20.962199999999999</v>
      </c>
      <c r="CK103">
        <v>4</v>
      </c>
      <c r="CL103" t="s">
        <v>4</v>
      </c>
      <c r="CM103" t="s">
        <v>98</v>
      </c>
      <c r="CN103" t="s">
        <v>98</v>
      </c>
      <c r="CO103" t="s">
        <v>99</v>
      </c>
      <c r="CP103">
        <v>102</v>
      </c>
      <c r="CQ103" t="s">
        <v>100</v>
      </c>
      <c r="CR103" t="s">
        <v>100</v>
      </c>
      <c r="CS103" t="s">
        <v>101</v>
      </c>
      <c r="CT103" t="s">
        <v>100</v>
      </c>
      <c r="CU103" t="s">
        <v>102</v>
      </c>
      <c r="CV103" t="s">
        <v>100</v>
      </c>
    </row>
    <row r="104" spans="1:100">
      <c r="A104" s="3" t="s">
        <v>852</v>
      </c>
      <c r="B104" s="4" t="s">
        <v>853</v>
      </c>
      <c r="C104">
        <v>33.4886462364558</v>
      </c>
      <c r="D104">
        <v>4.1562210611394503</v>
      </c>
      <c r="E104">
        <v>3.0166177409837598</v>
      </c>
      <c r="F104">
        <v>4.9031309914997802E-3</v>
      </c>
      <c r="G104" t="s">
        <v>4</v>
      </c>
      <c r="H104">
        <v>33.4886462364558</v>
      </c>
      <c r="I104">
        <v>1.6417037200681699</v>
      </c>
      <c r="J104">
        <v>4.2539934956961796</v>
      </c>
      <c r="K104">
        <v>5.6082495243139105E-4</v>
      </c>
      <c r="L104" t="s">
        <v>4</v>
      </c>
      <c r="M104">
        <v>4.1562210611394503</v>
      </c>
      <c r="N104">
        <v>1.6417037200681699</v>
      </c>
      <c r="O104">
        <v>1.23737575471242</v>
      </c>
      <c r="P104">
        <v>0.39276396359155302</v>
      </c>
      <c r="Q104" t="s">
        <v>4</v>
      </c>
      <c r="R104" s="4" t="s">
        <v>87</v>
      </c>
      <c r="S104" t="s">
        <v>4</v>
      </c>
      <c r="T104" t="s">
        <v>92</v>
      </c>
      <c r="U104" t="s">
        <v>92</v>
      </c>
      <c r="V104" t="s">
        <v>92</v>
      </c>
      <c r="W104" t="s">
        <v>92</v>
      </c>
      <c r="X104" t="s">
        <v>4</v>
      </c>
      <c r="Y104" t="s">
        <v>854</v>
      </c>
      <c r="Z104" t="s">
        <v>855</v>
      </c>
      <c r="AA104" t="s">
        <v>856</v>
      </c>
      <c r="AB104" t="s">
        <v>4</v>
      </c>
      <c r="AC104" s="3" t="s">
        <v>93</v>
      </c>
      <c r="AD104" t="s">
        <v>4</v>
      </c>
      <c r="AE104" t="s">
        <v>857</v>
      </c>
      <c r="AF104" t="s">
        <v>858</v>
      </c>
      <c r="AG104" t="s">
        <v>859</v>
      </c>
      <c r="AH104" t="s">
        <v>638</v>
      </c>
      <c r="AL104" t="s">
        <v>860</v>
      </c>
      <c r="AQ104" t="s">
        <v>861</v>
      </c>
      <c r="AU104" t="s">
        <v>112</v>
      </c>
      <c r="AV104" t="s">
        <v>862</v>
      </c>
      <c r="AW104" t="s">
        <v>114</v>
      </c>
      <c r="AX104" t="s">
        <v>596</v>
      </c>
      <c r="AY104" t="s">
        <v>863</v>
      </c>
      <c r="AZ104" t="s">
        <v>4</v>
      </c>
      <c r="BA104" s="3" t="s">
        <v>95</v>
      </c>
      <c r="BB104" s="6" t="s">
        <v>95</v>
      </c>
      <c r="BC104" s="3" t="s">
        <v>95</v>
      </c>
      <c r="BD104" t="s">
        <v>4</v>
      </c>
      <c r="BE104">
        <v>3104</v>
      </c>
      <c r="BF104" t="s">
        <v>97</v>
      </c>
      <c r="BG104">
        <v>94.5578</v>
      </c>
      <c r="BH104">
        <v>96.258499999999998</v>
      </c>
      <c r="BI104">
        <v>90.136099999999999</v>
      </c>
      <c r="BJ104">
        <v>44.217700000000001</v>
      </c>
      <c r="BK104">
        <v>57.823099999999997</v>
      </c>
      <c r="BL104">
        <v>52.381</v>
      </c>
      <c r="BM104">
        <v>48.979599999999998</v>
      </c>
      <c r="BN104">
        <v>67.687100000000001</v>
      </c>
      <c r="BO104" t="s">
        <v>864</v>
      </c>
      <c r="BP104">
        <v>12.9252</v>
      </c>
      <c r="CK104">
        <v>4</v>
      </c>
      <c r="CL104" t="s">
        <v>4</v>
      </c>
      <c r="CM104" t="s">
        <v>98</v>
      </c>
      <c r="CN104" t="s">
        <v>98</v>
      </c>
      <c r="CO104" t="s">
        <v>99</v>
      </c>
      <c r="CP104">
        <v>103</v>
      </c>
      <c r="CQ104" t="s">
        <v>100</v>
      </c>
      <c r="CR104" t="s">
        <v>100</v>
      </c>
      <c r="CS104" t="s">
        <v>101</v>
      </c>
      <c r="CT104" t="s">
        <v>100</v>
      </c>
      <c r="CU104" t="s">
        <v>102</v>
      </c>
      <c r="CV104" t="s">
        <v>100</v>
      </c>
    </row>
    <row r="105" spans="1:100">
      <c r="A105" s="3" t="s">
        <v>865</v>
      </c>
      <c r="B105" s="4" t="s">
        <v>866</v>
      </c>
      <c r="C105">
        <v>71.579741602842603</v>
      </c>
      <c r="D105">
        <v>11.3634642318926</v>
      </c>
      <c r="E105">
        <v>2.6679223296381802</v>
      </c>
      <c r="F105" s="5">
        <v>8.2725719043428902E-5</v>
      </c>
      <c r="G105" t="s">
        <v>4</v>
      </c>
      <c r="H105">
        <v>71.579741602842603</v>
      </c>
      <c r="I105">
        <v>16.688875333782001</v>
      </c>
      <c r="J105">
        <v>2.1163835022559598</v>
      </c>
      <c r="K105">
        <v>1.60975008223343E-3</v>
      </c>
      <c r="L105" t="s">
        <v>4</v>
      </c>
      <c r="M105">
        <v>11.3634642318926</v>
      </c>
      <c r="N105">
        <v>16.688875333782001</v>
      </c>
      <c r="O105">
        <f>0.551538827382221</f>
        <v>0.55153882738222104</v>
      </c>
      <c r="P105">
        <v>0.49456382762192402</v>
      </c>
      <c r="Q105" t="s">
        <v>4</v>
      </c>
      <c r="R105" s="4" t="s">
        <v>87</v>
      </c>
      <c r="S105" t="s">
        <v>4</v>
      </c>
      <c r="T105" t="s">
        <v>867</v>
      </c>
      <c r="U105" t="s">
        <v>868</v>
      </c>
      <c r="V105" t="s">
        <v>869</v>
      </c>
      <c r="W105" t="s">
        <v>91</v>
      </c>
      <c r="X105" t="s">
        <v>4</v>
      </c>
      <c r="Y105" t="s">
        <v>870</v>
      </c>
      <c r="Z105" t="s">
        <v>871</v>
      </c>
      <c r="AA105" t="s">
        <v>872</v>
      </c>
      <c r="AB105" t="s">
        <v>4</v>
      </c>
      <c r="AC105" s="3" t="s">
        <v>93</v>
      </c>
      <c r="AD105" t="s">
        <v>4</v>
      </c>
      <c r="AE105" t="s">
        <v>873</v>
      </c>
      <c r="AF105" t="s">
        <v>874</v>
      </c>
      <c r="AG105" t="s">
        <v>875</v>
      </c>
      <c r="AH105" t="s">
        <v>112</v>
      </c>
      <c r="AJ105" t="s">
        <v>876</v>
      </c>
      <c r="AL105" t="s">
        <v>877</v>
      </c>
      <c r="AM105" t="s">
        <v>878</v>
      </c>
      <c r="AQ105" t="s">
        <v>879</v>
      </c>
      <c r="AU105" t="s">
        <v>112</v>
      </c>
      <c r="AV105" t="s">
        <v>880</v>
      </c>
      <c r="AW105" t="s">
        <v>114</v>
      </c>
      <c r="AX105" t="s">
        <v>881</v>
      </c>
      <c r="AY105" t="s">
        <v>882</v>
      </c>
      <c r="AZ105" t="s">
        <v>4</v>
      </c>
      <c r="BA105" s="3" t="s">
        <v>95</v>
      </c>
      <c r="BB105" t="s">
        <v>96</v>
      </c>
      <c r="BC105" s="3" t="s">
        <v>95</v>
      </c>
      <c r="BD105" t="s">
        <v>4</v>
      </c>
      <c r="BE105">
        <v>8485</v>
      </c>
      <c r="BF105" t="s">
        <v>213</v>
      </c>
      <c r="BG105">
        <v>97.692300000000003</v>
      </c>
      <c r="BH105">
        <v>99.743600000000001</v>
      </c>
      <c r="BM105">
        <v>51.794899999999998</v>
      </c>
      <c r="BN105">
        <v>51.2821</v>
      </c>
      <c r="BO105" t="s">
        <v>883</v>
      </c>
      <c r="CC105" t="s">
        <v>884</v>
      </c>
      <c r="CD105" t="s">
        <v>885</v>
      </c>
      <c r="CG105" t="s">
        <v>886</v>
      </c>
      <c r="CH105" t="s">
        <v>887</v>
      </c>
      <c r="CI105" t="s">
        <v>888</v>
      </c>
      <c r="CK105">
        <v>8</v>
      </c>
      <c r="CL105" t="s">
        <v>4</v>
      </c>
      <c r="CM105" t="s">
        <v>98</v>
      </c>
      <c r="CN105" t="s">
        <v>98</v>
      </c>
      <c r="CO105" t="s">
        <v>99</v>
      </c>
      <c r="CP105">
        <v>104</v>
      </c>
      <c r="CQ105" t="s">
        <v>100</v>
      </c>
      <c r="CR105" t="s">
        <v>100</v>
      </c>
      <c r="CS105" t="s">
        <v>101</v>
      </c>
      <c r="CT105" t="s">
        <v>100</v>
      </c>
      <c r="CU105" t="s">
        <v>102</v>
      </c>
      <c r="CV105" t="s">
        <v>100</v>
      </c>
    </row>
    <row r="106" spans="1:100">
      <c r="A106" s="3" t="s">
        <v>889</v>
      </c>
      <c r="B106" s="4" t="s">
        <v>890</v>
      </c>
      <c r="C106">
        <v>101.211521634536</v>
      </c>
      <c r="D106">
        <v>18.495672233940201</v>
      </c>
      <c r="E106">
        <v>2.44974184103841</v>
      </c>
      <c r="F106" s="5">
        <v>1.1168720584031701E-5</v>
      </c>
      <c r="G106" t="s">
        <v>4</v>
      </c>
      <c r="H106">
        <v>101.211521634536</v>
      </c>
      <c r="I106">
        <v>18.677108702575602</v>
      </c>
      <c r="J106">
        <v>2.4955840139824002</v>
      </c>
      <c r="K106" s="5">
        <v>1.01109220747545E-5</v>
      </c>
      <c r="L106" t="s">
        <v>4</v>
      </c>
      <c r="M106">
        <v>18.495672233940201</v>
      </c>
      <c r="N106">
        <v>18.677108702575602</v>
      </c>
      <c r="O106">
        <v>4.5842172943986299E-2</v>
      </c>
      <c r="P106">
        <v>0.95427868691015205</v>
      </c>
      <c r="Q106" t="s">
        <v>4</v>
      </c>
      <c r="R106" s="4" t="s">
        <v>87</v>
      </c>
      <c r="S106" t="s">
        <v>4</v>
      </c>
      <c r="T106" t="s">
        <v>88</v>
      </c>
      <c r="U106" t="s">
        <v>89</v>
      </c>
      <c r="V106" t="s">
        <v>90</v>
      </c>
      <c r="W106" t="s">
        <v>91</v>
      </c>
      <c r="X106" t="s">
        <v>4</v>
      </c>
      <c r="Y106" t="s">
        <v>92</v>
      </c>
      <c r="Z106" t="s">
        <v>92</v>
      </c>
      <c r="AA106" t="s">
        <v>92</v>
      </c>
      <c r="AB106" t="s">
        <v>4</v>
      </c>
      <c r="AC106" s="3" t="s">
        <v>93</v>
      </c>
      <c r="AD106" t="s">
        <v>4</v>
      </c>
      <c r="AE106" t="s">
        <v>891</v>
      </c>
      <c r="AF106" t="s">
        <v>892</v>
      </c>
      <c r="AG106" t="s">
        <v>893</v>
      </c>
      <c r="AH106" t="s">
        <v>638</v>
      </c>
      <c r="AU106" t="s">
        <v>112</v>
      </c>
      <c r="AV106" t="s">
        <v>894</v>
      </c>
      <c r="AW106" t="s">
        <v>114</v>
      </c>
      <c r="AZ106" t="s">
        <v>4</v>
      </c>
      <c r="BA106" s="3" t="s">
        <v>95</v>
      </c>
      <c r="BB106" t="s">
        <v>96</v>
      </c>
      <c r="BC106" s="3" t="s">
        <v>95</v>
      </c>
      <c r="BD106" t="s">
        <v>4</v>
      </c>
      <c r="BE106">
        <v>4712</v>
      </c>
      <c r="BF106" t="s">
        <v>112</v>
      </c>
      <c r="BG106">
        <v>88.153300000000002</v>
      </c>
      <c r="BH106">
        <v>63.4146</v>
      </c>
      <c r="BM106">
        <v>43.205599999999997</v>
      </c>
      <c r="BN106">
        <v>73.519199999999998</v>
      </c>
      <c r="BP106">
        <v>45.644599999999997</v>
      </c>
      <c r="BS106">
        <v>23.344899999999999</v>
      </c>
      <c r="BT106">
        <v>33.100999999999999</v>
      </c>
      <c r="BU106">
        <v>30.313600000000001</v>
      </c>
      <c r="BV106">
        <v>31.0105</v>
      </c>
      <c r="BW106">
        <v>33.4495</v>
      </c>
      <c r="BY106">
        <v>25.783999999999999</v>
      </c>
      <c r="CA106">
        <v>39.0244</v>
      </c>
      <c r="CK106">
        <v>5</v>
      </c>
      <c r="CL106" t="s">
        <v>4</v>
      </c>
      <c r="CM106" t="s">
        <v>895</v>
      </c>
      <c r="CN106" t="s">
        <v>896</v>
      </c>
      <c r="CO106" t="s">
        <v>99</v>
      </c>
      <c r="CP106">
        <v>105</v>
      </c>
      <c r="CQ106" t="s">
        <v>100</v>
      </c>
      <c r="CR106" t="s">
        <v>100</v>
      </c>
      <c r="CS106" t="s">
        <v>101</v>
      </c>
      <c r="CT106" t="s">
        <v>100</v>
      </c>
      <c r="CU106" t="s">
        <v>102</v>
      </c>
      <c r="CV106" t="s">
        <v>100</v>
      </c>
    </row>
    <row r="107" spans="1:100">
      <c r="A107" s="3" t="s">
        <v>897</v>
      </c>
      <c r="B107" s="4" t="s">
        <v>898</v>
      </c>
      <c r="C107">
        <v>361.33491298594299</v>
      </c>
      <c r="D107">
        <v>63.764609406024398</v>
      </c>
      <c r="E107">
        <v>2.5032339455055701</v>
      </c>
      <c r="F107">
        <v>4.4834589475241096E-3</v>
      </c>
      <c r="G107" t="s">
        <v>4</v>
      </c>
      <c r="H107">
        <v>361.33491298594299</v>
      </c>
      <c r="I107">
        <v>59.83833759857</v>
      </c>
      <c r="J107">
        <v>2.5930878645376199</v>
      </c>
      <c r="K107">
        <v>2.4907945228961198E-3</v>
      </c>
      <c r="L107" t="s">
        <v>4</v>
      </c>
      <c r="M107">
        <v>63.764609406024398</v>
      </c>
      <c r="N107">
        <v>59.83833759857</v>
      </c>
      <c r="O107">
        <v>8.9853919032049007E-2</v>
      </c>
      <c r="P107">
        <v>0.93808558337588499</v>
      </c>
      <c r="Q107" t="s">
        <v>4</v>
      </c>
      <c r="R107" s="4" t="s">
        <v>87</v>
      </c>
      <c r="S107" t="s">
        <v>4</v>
      </c>
      <c r="T107" t="s">
        <v>92</v>
      </c>
      <c r="U107" t="s">
        <v>92</v>
      </c>
      <c r="V107" t="s">
        <v>92</v>
      </c>
      <c r="W107" t="s">
        <v>92</v>
      </c>
      <c r="X107" t="s">
        <v>4</v>
      </c>
      <c r="Y107" t="s">
        <v>92</v>
      </c>
      <c r="Z107" t="s">
        <v>92</v>
      </c>
      <c r="AA107" t="s">
        <v>92</v>
      </c>
      <c r="AB107" t="s">
        <v>4</v>
      </c>
      <c r="AC107" s="3" t="s">
        <v>93</v>
      </c>
      <c r="AD107" t="s">
        <v>4</v>
      </c>
      <c r="AE107" s="4" t="s">
        <v>94</v>
      </c>
      <c r="AZ107" t="s">
        <v>4</v>
      </c>
      <c r="BA107" s="3" t="s">
        <v>115</v>
      </c>
      <c r="BB107" s="6" t="s">
        <v>95</v>
      </c>
      <c r="BC107" s="3" t="s">
        <v>197</v>
      </c>
      <c r="BD107" t="s">
        <v>4</v>
      </c>
      <c r="BE107">
        <v>1763</v>
      </c>
      <c r="BF107" t="s">
        <v>151</v>
      </c>
      <c r="BG107">
        <v>18.6145</v>
      </c>
      <c r="BH107">
        <v>6.8746700000000001</v>
      </c>
      <c r="BL107">
        <v>4.0190400000000004</v>
      </c>
      <c r="BM107">
        <v>4.1247999999999996</v>
      </c>
      <c r="CK107">
        <v>2</v>
      </c>
      <c r="CL107" t="s">
        <v>4</v>
      </c>
      <c r="CM107" t="s">
        <v>98</v>
      </c>
      <c r="CN107" t="s">
        <v>98</v>
      </c>
      <c r="CO107" t="s">
        <v>99</v>
      </c>
      <c r="CP107">
        <v>106</v>
      </c>
      <c r="CQ107" t="s">
        <v>100</v>
      </c>
      <c r="CR107" t="s">
        <v>100</v>
      </c>
      <c r="CS107" t="s">
        <v>101</v>
      </c>
      <c r="CT107" t="s">
        <v>100</v>
      </c>
      <c r="CU107" t="s">
        <v>102</v>
      </c>
      <c r="CV107" t="s">
        <v>100</v>
      </c>
    </row>
    <row r="108" spans="1:100">
      <c r="A108" s="3" t="s">
        <v>899</v>
      </c>
      <c r="B108" s="4" t="s">
        <v>900</v>
      </c>
      <c r="C108">
        <v>48.618137482519501</v>
      </c>
      <c r="D108">
        <v>10.5716791356827</v>
      </c>
      <c r="E108">
        <v>2.2067689404561599</v>
      </c>
      <c r="F108">
        <v>6.5152447045204696E-3</v>
      </c>
      <c r="G108" t="s">
        <v>4</v>
      </c>
      <c r="H108">
        <v>48.618137482519501</v>
      </c>
      <c r="I108">
        <v>0.337017752855924</v>
      </c>
      <c r="J108">
        <v>6.5893752310407896</v>
      </c>
      <c r="K108" s="5">
        <v>4.9481250929854899E-6</v>
      </c>
      <c r="L108" t="s">
        <v>4</v>
      </c>
      <c r="M108">
        <v>10.5716791356827</v>
      </c>
      <c r="N108">
        <v>0.337017752855924</v>
      </c>
      <c r="O108">
        <v>4.3826062905846204</v>
      </c>
      <c r="P108">
        <v>3.07831806825147E-3</v>
      </c>
      <c r="Q108" t="s">
        <v>4</v>
      </c>
      <c r="R108" s="4" t="s">
        <v>87</v>
      </c>
      <c r="S108" t="s">
        <v>4</v>
      </c>
      <c r="T108" t="s">
        <v>92</v>
      </c>
      <c r="U108" t="s">
        <v>92</v>
      </c>
      <c r="V108" t="s">
        <v>92</v>
      </c>
      <c r="W108" t="s">
        <v>92</v>
      </c>
      <c r="X108" t="s">
        <v>4</v>
      </c>
      <c r="Y108" t="s">
        <v>92</v>
      </c>
      <c r="Z108" t="s">
        <v>92</v>
      </c>
      <c r="AA108" t="s">
        <v>92</v>
      </c>
      <c r="AB108" t="s">
        <v>4</v>
      </c>
      <c r="AC108" s="3" t="s">
        <v>93</v>
      </c>
      <c r="AD108" t="s">
        <v>4</v>
      </c>
      <c r="AE108" t="s">
        <v>901</v>
      </c>
      <c r="AF108" t="s">
        <v>902</v>
      </c>
      <c r="AG108" t="s">
        <v>903</v>
      </c>
      <c r="AH108" t="s">
        <v>112</v>
      </c>
      <c r="AI108" t="s">
        <v>904</v>
      </c>
      <c r="AJ108" t="s">
        <v>905</v>
      </c>
      <c r="AL108" t="s">
        <v>906</v>
      </c>
      <c r="AQ108" t="s">
        <v>641</v>
      </c>
      <c r="AR108" t="s">
        <v>907</v>
      </c>
      <c r="AU108" t="s">
        <v>112</v>
      </c>
      <c r="AV108" t="s">
        <v>908</v>
      </c>
      <c r="AW108" t="s">
        <v>114</v>
      </c>
      <c r="AX108" t="s">
        <v>909</v>
      </c>
      <c r="AY108" t="s">
        <v>910</v>
      </c>
      <c r="AZ108" t="s">
        <v>4</v>
      </c>
      <c r="BA108" s="3" t="s">
        <v>95</v>
      </c>
      <c r="BB108" s="6" t="s">
        <v>95</v>
      </c>
      <c r="BC108" s="3" t="s">
        <v>95</v>
      </c>
      <c r="BD108" t="s">
        <v>4</v>
      </c>
      <c r="BE108">
        <v>955</v>
      </c>
      <c r="BF108" t="s">
        <v>604</v>
      </c>
      <c r="BG108">
        <v>24.6479</v>
      </c>
      <c r="CK108">
        <v>1.5</v>
      </c>
      <c r="CL108" t="s">
        <v>4</v>
      </c>
      <c r="CM108" t="s">
        <v>98</v>
      </c>
      <c r="CN108" t="s">
        <v>98</v>
      </c>
      <c r="CO108" t="s">
        <v>99</v>
      </c>
      <c r="CP108">
        <v>107</v>
      </c>
      <c r="CQ108" t="s">
        <v>100</v>
      </c>
      <c r="CR108" t="s">
        <v>100</v>
      </c>
      <c r="CS108" t="s">
        <v>101</v>
      </c>
      <c r="CT108" t="s">
        <v>152</v>
      </c>
      <c r="CU108" t="s">
        <v>102</v>
      </c>
      <c r="CV108" t="s">
        <v>100</v>
      </c>
    </row>
    <row r="109" spans="1:100">
      <c r="A109" s="3" t="s">
        <v>911</v>
      </c>
      <c r="B109" s="4" t="s">
        <v>912</v>
      </c>
      <c r="C109">
        <v>45.796574710265098</v>
      </c>
      <c r="D109">
        <v>3.18397965261825</v>
      </c>
      <c r="E109">
        <v>3.8508054081616998</v>
      </c>
      <c r="F109" s="5">
        <v>3.6494472818686899E-6</v>
      </c>
      <c r="G109" t="s">
        <v>4</v>
      </c>
      <c r="H109">
        <v>45.796574710265098</v>
      </c>
      <c r="I109">
        <v>4.0356070709440699</v>
      </c>
      <c r="J109">
        <v>3.5869992820678198</v>
      </c>
      <c r="K109" s="5">
        <v>2.53075472788031E-5</v>
      </c>
      <c r="L109" t="s">
        <v>4</v>
      </c>
      <c r="M109">
        <v>3.18397965261825</v>
      </c>
      <c r="N109">
        <v>4.0356070709440699</v>
      </c>
      <c r="O109">
        <f>0.263806126093884</f>
        <v>0.26380612609388399</v>
      </c>
      <c r="P109">
        <v>0.83270170961425305</v>
      </c>
      <c r="Q109" t="s">
        <v>4</v>
      </c>
      <c r="R109" s="4" t="s">
        <v>87</v>
      </c>
      <c r="S109" t="s">
        <v>4</v>
      </c>
      <c r="T109" t="s">
        <v>92</v>
      </c>
      <c r="U109" t="s">
        <v>92</v>
      </c>
      <c r="V109" t="s">
        <v>92</v>
      </c>
      <c r="W109" t="s">
        <v>92</v>
      </c>
      <c r="X109" t="s">
        <v>4</v>
      </c>
      <c r="Y109" t="s">
        <v>92</v>
      </c>
      <c r="Z109" t="s">
        <v>92</v>
      </c>
      <c r="AA109" t="s">
        <v>92</v>
      </c>
      <c r="AB109" t="s">
        <v>4</v>
      </c>
      <c r="AC109" s="3" t="s">
        <v>93</v>
      </c>
      <c r="AD109" t="s">
        <v>4</v>
      </c>
      <c r="AE109" s="4" t="s">
        <v>94</v>
      </c>
      <c r="AZ109" t="s">
        <v>4</v>
      </c>
      <c r="BA109" s="3" t="s">
        <v>95</v>
      </c>
      <c r="BB109" s="6" t="s">
        <v>95</v>
      </c>
      <c r="BC109" s="3" t="s">
        <v>95</v>
      </c>
      <c r="BD109" t="s">
        <v>4</v>
      </c>
      <c r="BE109">
        <v>709</v>
      </c>
      <c r="BF109" t="s">
        <v>322</v>
      </c>
      <c r="CK109">
        <v>1</v>
      </c>
      <c r="CL109" t="s">
        <v>4</v>
      </c>
      <c r="CM109" t="s">
        <v>98</v>
      </c>
      <c r="CN109" t="s">
        <v>98</v>
      </c>
      <c r="CO109" t="s">
        <v>99</v>
      </c>
      <c r="CP109">
        <v>108</v>
      </c>
      <c r="CQ109" t="s">
        <v>100</v>
      </c>
      <c r="CR109" t="s">
        <v>100</v>
      </c>
      <c r="CS109" t="s">
        <v>101</v>
      </c>
      <c r="CT109" t="s">
        <v>100</v>
      </c>
      <c r="CU109" t="s">
        <v>102</v>
      </c>
      <c r="CV109" t="s">
        <v>100</v>
      </c>
    </row>
    <row r="110" spans="1:100">
      <c r="A110" s="3" t="s">
        <v>913</v>
      </c>
      <c r="B110" s="4" t="s">
        <v>914</v>
      </c>
      <c r="C110">
        <v>49.925547147597399</v>
      </c>
      <c r="D110">
        <v>8.1911575381418196</v>
      </c>
      <c r="E110">
        <v>2.6074119118789301</v>
      </c>
      <c r="F110" s="5">
        <v>1.9498354215869E-5</v>
      </c>
      <c r="G110" t="s">
        <v>4</v>
      </c>
      <c r="H110">
        <v>49.925547147597399</v>
      </c>
      <c r="I110">
        <v>11.035721688365101</v>
      </c>
      <c r="J110">
        <v>2.2190833010623598</v>
      </c>
      <c r="K110">
        <v>2.9786408280238399E-4</v>
      </c>
      <c r="L110" t="s">
        <v>4</v>
      </c>
      <c r="M110">
        <v>8.1911575381418196</v>
      </c>
      <c r="N110">
        <v>11.035721688365101</v>
      </c>
      <c r="O110">
        <f>0.388328610816569</f>
        <v>0.388328610816569</v>
      </c>
      <c r="P110">
        <v>0.62695247711715796</v>
      </c>
      <c r="Q110" t="s">
        <v>4</v>
      </c>
      <c r="R110" s="4" t="s">
        <v>87</v>
      </c>
      <c r="S110" t="s">
        <v>4</v>
      </c>
      <c r="T110" t="s">
        <v>92</v>
      </c>
      <c r="U110" t="s">
        <v>92</v>
      </c>
      <c r="V110" t="s">
        <v>92</v>
      </c>
      <c r="W110" t="s">
        <v>92</v>
      </c>
      <c r="X110" t="s">
        <v>4</v>
      </c>
      <c r="Y110" t="s">
        <v>92</v>
      </c>
      <c r="Z110" t="s">
        <v>92</v>
      </c>
      <c r="AA110" t="s">
        <v>92</v>
      </c>
      <c r="AB110" t="s">
        <v>4</v>
      </c>
      <c r="AC110" s="3" t="s">
        <v>915</v>
      </c>
      <c r="AD110" t="s">
        <v>4</v>
      </c>
      <c r="AE110" t="s">
        <v>916</v>
      </c>
      <c r="AF110" t="s">
        <v>917</v>
      </c>
      <c r="AG110" t="s">
        <v>918</v>
      </c>
      <c r="AH110" t="s">
        <v>112</v>
      </c>
      <c r="AU110" t="s">
        <v>112</v>
      </c>
      <c r="AV110" t="s">
        <v>919</v>
      </c>
      <c r="AW110" t="s">
        <v>114</v>
      </c>
      <c r="AZ110" t="s">
        <v>4</v>
      </c>
      <c r="BA110" s="3" t="s">
        <v>95</v>
      </c>
      <c r="BB110" s="6" t="s">
        <v>95</v>
      </c>
      <c r="BC110" s="3" t="s">
        <v>197</v>
      </c>
      <c r="BD110" t="s">
        <v>4</v>
      </c>
      <c r="BE110">
        <v>3230</v>
      </c>
      <c r="BF110" t="s">
        <v>112</v>
      </c>
      <c r="BG110">
        <v>87.866100000000003</v>
      </c>
      <c r="BH110">
        <v>99.163200000000003</v>
      </c>
      <c r="BI110">
        <v>92.468599999999995</v>
      </c>
      <c r="BJ110">
        <v>78.661100000000005</v>
      </c>
      <c r="BK110">
        <v>63.598300000000002</v>
      </c>
      <c r="BL110">
        <v>42.259399999999999</v>
      </c>
      <c r="BM110">
        <v>57.740600000000001</v>
      </c>
      <c r="BN110">
        <v>66.527199999999993</v>
      </c>
      <c r="BO110">
        <v>67.364000000000004</v>
      </c>
      <c r="BR110">
        <v>31.380800000000001</v>
      </c>
      <c r="BW110">
        <v>28.0335</v>
      </c>
      <c r="BY110">
        <v>24.267800000000001</v>
      </c>
      <c r="CA110">
        <v>29.288699999999999</v>
      </c>
      <c r="CK110">
        <v>5</v>
      </c>
      <c r="CL110" t="s">
        <v>4</v>
      </c>
      <c r="CM110" t="s">
        <v>920</v>
      </c>
      <c r="CN110" t="s">
        <v>921</v>
      </c>
      <c r="CO110" t="s">
        <v>99</v>
      </c>
      <c r="CP110">
        <v>109</v>
      </c>
      <c r="CQ110" t="s">
        <v>100</v>
      </c>
      <c r="CR110" t="s">
        <v>100</v>
      </c>
      <c r="CS110" t="s">
        <v>101</v>
      </c>
      <c r="CT110" t="s">
        <v>100</v>
      </c>
      <c r="CU110" t="s">
        <v>102</v>
      </c>
      <c r="CV110" t="s">
        <v>100</v>
      </c>
    </row>
    <row r="111" spans="1:100">
      <c r="A111" s="3" t="s">
        <v>922</v>
      </c>
      <c r="B111" s="4" t="s">
        <v>923</v>
      </c>
      <c r="C111">
        <v>72.098542316398195</v>
      </c>
      <c r="D111">
        <v>11.0716135332279</v>
      </c>
      <c r="E111">
        <v>2.7163014796098301</v>
      </c>
      <c r="F111">
        <v>1.20752170699007E-4</v>
      </c>
      <c r="G111" t="s">
        <v>4</v>
      </c>
      <c r="H111">
        <v>72.098542316398195</v>
      </c>
      <c r="I111">
        <v>17.325565081681201</v>
      </c>
      <c r="J111">
        <v>2.07485327223187</v>
      </c>
      <c r="K111">
        <v>2.9458595049600802E-3</v>
      </c>
      <c r="L111" t="s">
        <v>4</v>
      </c>
      <c r="M111">
        <v>11.0716135332279</v>
      </c>
      <c r="N111">
        <v>17.325565081681201</v>
      </c>
      <c r="O111">
        <f>0.641448207377956</f>
        <v>0.64144820737795605</v>
      </c>
      <c r="P111">
        <v>0.43670203567191401</v>
      </c>
      <c r="Q111" t="s">
        <v>4</v>
      </c>
      <c r="R111" s="4" t="s">
        <v>87</v>
      </c>
      <c r="S111" t="s">
        <v>4</v>
      </c>
      <c r="T111" t="s">
        <v>867</v>
      </c>
      <c r="U111" t="s">
        <v>868</v>
      </c>
      <c r="V111" t="s">
        <v>869</v>
      </c>
      <c r="W111" t="s">
        <v>91</v>
      </c>
      <c r="X111" t="s">
        <v>4</v>
      </c>
      <c r="Y111" t="s">
        <v>870</v>
      </c>
      <c r="Z111" t="s">
        <v>871</v>
      </c>
      <c r="AA111" t="s">
        <v>872</v>
      </c>
      <c r="AB111" t="s">
        <v>4</v>
      </c>
      <c r="AC111" s="3" t="s">
        <v>924</v>
      </c>
      <c r="AD111" t="s">
        <v>4</v>
      </c>
      <c r="AE111" t="s">
        <v>873</v>
      </c>
      <c r="AF111" t="s">
        <v>874</v>
      </c>
      <c r="AG111" t="s">
        <v>875</v>
      </c>
      <c r="AH111" t="s">
        <v>112</v>
      </c>
      <c r="AJ111" t="s">
        <v>876</v>
      </c>
      <c r="AL111" t="s">
        <v>877</v>
      </c>
      <c r="AM111" t="s">
        <v>878</v>
      </c>
      <c r="AQ111" t="s">
        <v>879</v>
      </c>
      <c r="AU111" t="s">
        <v>112</v>
      </c>
      <c r="AV111" t="s">
        <v>880</v>
      </c>
      <c r="AW111" t="s">
        <v>114</v>
      </c>
      <c r="AX111" t="s">
        <v>881</v>
      </c>
      <c r="AY111" t="s">
        <v>882</v>
      </c>
      <c r="AZ111" t="s">
        <v>4</v>
      </c>
      <c r="BA111" s="3" t="s">
        <v>95</v>
      </c>
      <c r="BB111" t="s">
        <v>96</v>
      </c>
      <c r="BC111" s="3" t="s">
        <v>95</v>
      </c>
      <c r="BD111" t="s">
        <v>4</v>
      </c>
      <c r="BE111">
        <v>5999</v>
      </c>
      <c r="BF111" t="s">
        <v>213</v>
      </c>
      <c r="BG111">
        <v>97.692300000000003</v>
      </c>
      <c r="BH111">
        <v>99.743600000000001</v>
      </c>
      <c r="BM111">
        <v>51.794899999999998</v>
      </c>
      <c r="BN111">
        <v>51.2821</v>
      </c>
      <c r="BO111" t="s">
        <v>883</v>
      </c>
      <c r="CC111" t="s">
        <v>884</v>
      </c>
      <c r="CD111" t="s">
        <v>885</v>
      </c>
      <c r="CG111" t="s">
        <v>886</v>
      </c>
      <c r="CH111" t="s">
        <v>887</v>
      </c>
      <c r="CI111" t="s">
        <v>888</v>
      </c>
      <c r="CK111">
        <v>8</v>
      </c>
      <c r="CL111" t="s">
        <v>4</v>
      </c>
      <c r="CM111" t="s">
        <v>98</v>
      </c>
      <c r="CN111" t="s">
        <v>98</v>
      </c>
      <c r="CO111" t="s">
        <v>99</v>
      </c>
      <c r="CP111">
        <v>110</v>
      </c>
      <c r="CQ111" t="s">
        <v>100</v>
      </c>
      <c r="CR111" t="s">
        <v>100</v>
      </c>
      <c r="CS111" t="s">
        <v>101</v>
      </c>
      <c r="CT111" t="s">
        <v>100</v>
      </c>
      <c r="CU111" t="s">
        <v>102</v>
      </c>
      <c r="CV111" t="s">
        <v>100</v>
      </c>
    </row>
    <row r="112" spans="1:100">
      <c r="A112" s="3" t="s">
        <v>925</v>
      </c>
      <c r="B112" s="4" t="s">
        <v>926</v>
      </c>
      <c r="C112">
        <v>70.275006997020796</v>
      </c>
      <c r="D112">
        <v>13.794959133737599</v>
      </c>
      <c r="E112">
        <v>2.3550634316812098</v>
      </c>
      <c r="F112">
        <v>7.6922896281381105E-4</v>
      </c>
      <c r="G112" t="s">
        <v>4</v>
      </c>
      <c r="H112">
        <v>70.275006997020796</v>
      </c>
      <c r="I112">
        <v>14.588604691550501</v>
      </c>
      <c r="J112">
        <v>2.2757401235266599</v>
      </c>
      <c r="K112">
        <v>1.1504595784143101E-3</v>
      </c>
      <c r="L112" t="s">
        <v>4</v>
      </c>
      <c r="M112">
        <v>13.794959133737599</v>
      </c>
      <c r="N112">
        <v>14.588604691550501</v>
      </c>
      <c r="O112">
        <f>0.0793233081545513</f>
        <v>7.9323308154551297E-2</v>
      </c>
      <c r="P112">
        <v>0.93614219168996204</v>
      </c>
      <c r="Q112" t="s">
        <v>4</v>
      </c>
      <c r="R112" s="4" t="s">
        <v>87</v>
      </c>
      <c r="S112" t="s">
        <v>4</v>
      </c>
      <c r="T112" t="s">
        <v>927</v>
      </c>
      <c r="U112" t="s">
        <v>928</v>
      </c>
      <c r="V112" t="s">
        <v>929</v>
      </c>
      <c r="W112" t="s">
        <v>328</v>
      </c>
      <c r="X112" t="s">
        <v>4</v>
      </c>
      <c r="Y112" t="s">
        <v>930</v>
      </c>
      <c r="Z112" t="s">
        <v>931</v>
      </c>
      <c r="AA112" t="s">
        <v>932</v>
      </c>
      <c r="AB112" t="s">
        <v>4</v>
      </c>
      <c r="AC112" s="3" t="s">
        <v>933</v>
      </c>
      <c r="AD112" t="s">
        <v>4</v>
      </c>
      <c r="AE112" t="s">
        <v>934</v>
      </c>
      <c r="AF112" t="s">
        <v>935</v>
      </c>
      <c r="AG112" t="s">
        <v>936</v>
      </c>
      <c r="AH112" t="s">
        <v>112</v>
      </c>
      <c r="AI112" t="s">
        <v>937</v>
      </c>
      <c r="AJ112" t="s">
        <v>938</v>
      </c>
      <c r="AU112" t="s">
        <v>112</v>
      </c>
      <c r="AV112" t="s">
        <v>939</v>
      </c>
      <c r="AW112" t="s">
        <v>114</v>
      </c>
      <c r="AX112" t="s">
        <v>371</v>
      </c>
      <c r="AY112" t="s">
        <v>940</v>
      </c>
      <c r="AZ112" t="s">
        <v>4</v>
      </c>
      <c r="BA112" s="3" t="s">
        <v>95</v>
      </c>
      <c r="BB112" s="6" t="s">
        <v>95</v>
      </c>
      <c r="BC112" s="3" t="s">
        <v>95</v>
      </c>
      <c r="BD112" t="s">
        <v>4</v>
      </c>
      <c r="BE112">
        <v>5339</v>
      </c>
      <c r="BF112" t="s">
        <v>386</v>
      </c>
      <c r="BG112" t="s">
        <v>941</v>
      </c>
      <c r="BH112">
        <v>95.195700000000002</v>
      </c>
      <c r="BI112">
        <v>78.291799999999995</v>
      </c>
      <c r="BJ112">
        <v>81.672600000000003</v>
      </c>
      <c r="BK112">
        <v>72.597899999999996</v>
      </c>
      <c r="BM112">
        <v>27.757999999999999</v>
      </c>
      <c r="BN112">
        <v>77.580100000000002</v>
      </c>
      <c r="BO112">
        <v>74.911000000000001</v>
      </c>
      <c r="BP112">
        <v>37.188600000000001</v>
      </c>
      <c r="BQ112">
        <v>38.2562</v>
      </c>
      <c r="BR112">
        <v>38.612099999999998</v>
      </c>
      <c r="BS112">
        <v>34.519599999999997</v>
      </c>
      <c r="BU112">
        <v>13.7011</v>
      </c>
      <c r="BV112" t="s">
        <v>942</v>
      </c>
      <c r="BX112">
        <v>38.434199999999997</v>
      </c>
      <c r="BY112">
        <v>12.6335</v>
      </c>
      <c r="CA112">
        <v>37.366500000000002</v>
      </c>
      <c r="CB112">
        <v>24.377199999999998</v>
      </c>
      <c r="CC112">
        <v>21.886099999999999</v>
      </c>
      <c r="CD112">
        <v>20.8185</v>
      </c>
      <c r="CF112">
        <v>26.6904</v>
      </c>
      <c r="CG112">
        <v>22.419899999999998</v>
      </c>
      <c r="CH112">
        <v>22.7758</v>
      </c>
      <c r="CI112" t="s">
        <v>943</v>
      </c>
      <c r="CK112">
        <v>7</v>
      </c>
      <c r="CL112" t="s">
        <v>4</v>
      </c>
      <c r="CM112" t="s">
        <v>944</v>
      </c>
      <c r="CN112" t="s">
        <v>945</v>
      </c>
      <c r="CO112" t="s">
        <v>99</v>
      </c>
      <c r="CP112">
        <v>111</v>
      </c>
      <c r="CQ112" t="s">
        <v>100</v>
      </c>
      <c r="CR112" t="s">
        <v>100</v>
      </c>
      <c r="CS112" t="s">
        <v>101</v>
      </c>
      <c r="CT112" t="s">
        <v>100</v>
      </c>
      <c r="CU112" t="s">
        <v>102</v>
      </c>
      <c r="CV112" t="s">
        <v>100</v>
      </c>
    </row>
    <row r="113" spans="1:100">
      <c r="A113" s="3" t="s">
        <v>946</v>
      </c>
      <c r="B113" s="4" t="s">
        <v>947</v>
      </c>
      <c r="C113">
        <v>21.040812759493701</v>
      </c>
      <c r="D113">
        <v>0.89194894373433098</v>
      </c>
      <c r="E113">
        <v>4.5006694668948803</v>
      </c>
      <c r="F113">
        <v>9.36539970247011E-4</v>
      </c>
      <c r="G113" t="s">
        <v>4</v>
      </c>
      <c r="H113">
        <v>21.040812759493701</v>
      </c>
      <c r="I113">
        <v>1.7572136029766501</v>
      </c>
      <c r="J113">
        <v>3.8010779328338899</v>
      </c>
      <c r="K113">
        <v>3.54807964910663E-3</v>
      </c>
      <c r="L113" t="s">
        <v>4</v>
      </c>
      <c r="M113">
        <v>0.89194894373433098</v>
      </c>
      <c r="N113">
        <v>1.7572136029766501</v>
      </c>
      <c r="O113">
        <f>0.699591534060994</f>
        <v>0.69959153406099395</v>
      </c>
      <c r="P113">
        <v>0.71150011018417803</v>
      </c>
      <c r="Q113" t="s">
        <v>4</v>
      </c>
      <c r="R113" s="4" t="s">
        <v>87</v>
      </c>
      <c r="S113" t="s">
        <v>4</v>
      </c>
      <c r="T113" t="s">
        <v>948</v>
      </c>
      <c r="U113" t="s">
        <v>949</v>
      </c>
      <c r="V113" t="s">
        <v>950</v>
      </c>
      <c r="W113" t="s">
        <v>328</v>
      </c>
      <c r="X113" t="s">
        <v>4</v>
      </c>
      <c r="Y113" t="s">
        <v>951</v>
      </c>
      <c r="Z113" t="s">
        <v>952</v>
      </c>
      <c r="AA113" t="s">
        <v>953</v>
      </c>
      <c r="AB113" t="s">
        <v>4</v>
      </c>
      <c r="AC113" s="3" t="s">
        <v>954</v>
      </c>
      <c r="AD113" t="s">
        <v>4</v>
      </c>
      <c r="AE113" t="s">
        <v>955</v>
      </c>
      <c r="AF113" t="s">
        <v>956</v>
      </c>
      <c r="AG113" t="s">
        <v>957</v>
      </c>
      <c r="AH113" t="s">
        <v>112</v>
      </c>
      <c r="AJ113" t="s">
        <v>958</v>
      </c>
      <c r="AU113" t="s">
        <v>112</v>
      </c>
      <c r="AV113" t="s">
        <v>959</v>
      </c>
      <c r="AW113" t="s">
        <v>114</v>
      </c>
      <c r="AX113" t="s">
        <v>909</v>
      </c>
      <c r="AY113" t="s">
        <v>960</v>
      </c>
      <c r="AZ113" t="s">
        <v>4</v>
      </c>
      <c r="BA113" s="3" t="s">
        <v>95</v>
      </c>
      <c r="BB113" t="s">
        <v>96</v>
      </c>
      <c r="BC113" s="3" t="s">
        <v>95</v>
      </c>
      <c r="BD113" t="s">
        <v>4</v>
      </c>
      <c r="BE113">
        <v>5347</v>
      </c>
      <c r="BF113" t="s">
        <v>386</v>
      </c>
      <c r="BG113">
        <v>91.119699999999995</v>
      </c>
      <c r="BH113">
        <v>88.030900000000003</v>
      </c>
      <c r="BI113">
        <v>71.428600000000003</v>
      </c>
      <c r="BJ113">
        <v>70.656400000000005</v>
      </c>
      <c r="BM113">
        <v>72.200800000000001</v>
      </c>
      <c r="BN113">
        <v>77.9923</v>
      </c>
      <c r="BP113">
        <v>43.243200000000002</v>
      </c>
      <c r="BQ113">
        <v>40.154400000000003</v>
      </c>
      <c r="BR113">
        <v>47.104199999999999</v>
      </c>
      <c r="BS113">
        <v>42.470999999999997</v>
      </c>
      <c r="BU113">
        <v>45.945900000000002</v>
      </c>
      <c r="BV113" t="s">
        <v>961</v>
      </c>
      <c r="BW113">
        <v>46.7181</v>
      </c>
      <c r="BX113">
        <v>50.5792</v>
      </c>
      <c r="CA113">
        <v>49.4208</v>
      </c>
      <c r="CF113">
        <v>19.691099999999999</v>
      </c>
      <c r="CG113" t="s">
        <v>962</v>
      </c>
      <c r="CH113" t="s">
        <v>963</v>
      </c>
      <c r="CI113" t="s">
        <v>964</v>
      </c>
      <c r="CK113">
        <v>7</v>
      </c>
      <c r="CL113" t="s">
        <v>4</v>
      </c>
      <c r="CM113" t="s">
        <v>965</v>
      </c>
      <c r="CN113" t="s">
        <v>966</v>
      </c>
      <c r="CO113" t="s">
        <v>99</v>
      </c>
      <c r="CP113">
        <v>112</v>
      </c>
      <c r="CQ113" t="s">
        <v>100</v>
      </c>
      <c r="CR113" t="s">
        <v>100</v>
      </c>
      <c r="CS113" t="s">
        <v>101</v>
      </c>
      <c r="CT113" t="s">
        <v>100</v>
      </c>
      <c r="CU113" t="s">
        <v>102</v>
      </c>
      <c r="CV113" t="s">
        <v>100</v>
      </c>
    </row>
    <row r="114" spans="1:100">
      <c r="A114" s="3" t="s">
        <v>967</v>
      </c>
      <c r="B114" s="4" t="s">
        <v>968</v>
      </c>
      <c r="C114">
        <v>200.53078137786201</v>
      </c>
      <c r="D114">
        <v>33.477905545074201</v>
      </c>
      <c r="E114">
        <v>2.5815789743503599</v>
      </c>
      <c r="F114" s="5">
        <v>2.9185250411676901E-5</v>
      </c>
      <c r="G114" t="s">
        <v>4</v>
      </c>
      <c r="H114">
        <v>200.53078137786201</v>
      </c>
      <c r="I114">
        <v>23.237572354858099</v>
      </c>
      <c r="J114">
        <v>3.1033283848031399</v>
      </c>
      <c r="K114" s="5">
        <v>5.3104404573831604E-7</v>
      </c>
      <c r="L114" t="s">
        <v>4</v>
      </c>
      <c r="M114">
        <v>33.477905545074201</v>
      </c>
      <c r="N114">
        <v>23.237572354858099</v>
      </c>
      <c r="O114">
        <v>0.52174941045277901</v>
      </c>
      <c r="P114">
        <v>0.47569291664025598</v>
      </c>
      <c r="Q114" t="s">
        <v>4</v>
      </c>
      <c r="R114" s="4" t="s">
        <v>87</v>
      </c>
      <c r="S114" t="s">
        <v>4</v>
      </c>
      <c r="T114" t="s">
        <v>92</v>
      </c>
      <c r="U114" t="s">
        <v>92</v>
      </c>
      <c r="V114" t="s">
        <v>92</v>
      </c>
      <c r="W114" t="s">
        <v>92</v>
      </c>
      <c r="X114" t="s">
        <v>4</v>
      </c>
      <c r="Y114" t="s">
        <v>650</v>
      </c>
      <c r="Z114" t="s">
        <v>651</v>
      </c>
      <c r="AA114" t="s">
        <v>652</v>
      </c>
      <c r="AB114" t="s">
        <v>4</v>
      </c>
      <c r="AC114" s="3" t="s">
        <v>653</v>
      </c>
      <c r="AD114" t="s">
        <v>4</v>
      </c>
      <c r="AE114" t="s">
        <v>654</v>
      </c>
      <c r="AF114" t="s">
        <v>969</v>
      </c>
      <c r="AG114" t="s">
        <v>970</v>
      </c>
      <c r="AH114" t="s">
        <v>112</v>
      </c>
      <c r="AU114" t="s">
        <v>112</v>
      </c>
      <c r="AV114" t="s">
        <v>657</v>
      </c>
      <c r="AW114" t="s">
        <v>114</v>
      </c>
      <c r="AX114" t="s">
        <v>144</v>
      </c>
      <c r="AY114" t="s">
        <v>658</v>
      </c>
      <c r="AZ114" t="s">
        <v>4</v>
      </c>
      <c r="BA114" s="3" t="s">
        <v>95</v>
      </c>
      <c r="BB114" s="6" t="s">
        <v>95</v>
      </c>
      <c r="BC114" s="3" t="s">
        <v>95</v>
      </c>
      <c r="BD114" t="s">
        <v>4</v>
      </c>
      <c r="BE114">
        <v>3296</v>
      </c>
      <c r="BF114" t="s">
        <v>112</v>
      </c>
      <c r="BG114">
        <v>98.104299999999995</v>
      </c>
      <c r="BH114">
        <v>59.715600000000002</v>
      </c>
      <c r="BJ114">
        <v>78.91</v>
      </c>
      <c r="BK114">
        <v>77.725099999999998</v>
      </c>
      <c r="BL114">
        <v>85.071100000000001</v>
      </c>
      <c r="BM114">
        <v>84.360200000000006</v>
      </c>
      <c r="BN114">
        <v>84.360200000000006</v>
      </c>
      <c r="BO114">
        <v>83.412300000000002</v>
      </c>
      <c r="BP114">
        <v>41.469200000000001</v>
      </c>
      <c r="CK114">
        <v>5</v>
      </c>
      <c r="CL114" t="s">
        <v>4</v>
      </c>
      <c r="CM114" t="s">
        <v>98</v>
      </c>
      <c r="CN114" t="s">
        <v>98</v>
      </c>
      <c r="CO114" t="s">
        <v>99</v>
      </c>
      <c r="CP114">
        <v>113</v>
      </c>
      <c r="CQ114" t="s">
        <v>100</v>
      </c>
      <c r="CR114" t="s">
        <v>100</v>
      </c>
      <c r="CS114" t="s">
        <v>101</v>
      </c>
      <c r="CT114" t="s">
        <v>100</v>
      </c>
      <c r="CU114" t="s">
        <v>102</v>
      </c>
      <c r="CV114" t="s">
        <v>100</v>
      </c>
    </row>
    <row r="115" spans="1:100">
      <c r="A115" s="3" t="s">
        <v>971</v>
      </c>
      <c r="B115" s="4" t="s">
        <v>972</v>
      </c>
      <c r="C115">
        <v>450.71968061990901</v>
      </c>
      <c r="D115">
        <v>50.7802393716997</v>
      </c>
      <c r="E115">
        <v>3.1462153127047898</v>
      </c>
      <c r="F115" s="5">
        <v>1.01226505209734E-17</v>
      </c>
      <c r="G115" t="s">
        <v>4</v>
      </c>
      <c r="H115">
        <v>450.71968061990901</v>
      </c>
      <c r="I115">
        <v>89.128277451287005</v>
      </c>
      <c r="J115">
        <v>2.3347905572454799</v>
      </c>
      <c r="K115" s="5">
        <v>1.2224702869937599E-10</v>
      </c>
      <c r="L115" t="s">
        <v>4</v>
      </c>
      <c r="M115">
        <v>50.7802393716997</v>
      </c>
      <c r="N115">
        <v>89.128277451287005</v>
      </c>
      <c r="O115">
        <f>0.811424755459315</f>
        <v>0.81142475545931503</v>
      </c>
      <c r="P115">
        <v>4.4677590963115903E-2</v>
      </c>
      <c r="Q115" t="s">
        <v>4</v>
      </c>
      <c r="R115" s="4" t="s">
        <v>87</v>
      </c>
      <c r="S115" t="s">
        <v>4</v>
      </c>
      <c r="T115" t="s">
        <v>973</v>
      </c>
      <c r="U115" t="s">
        <v>974</v>
      </c>
      <c r="V115" t="s">
        <v>975</v>
      </c>
      <c r="W115" t="s">
        <v>976</v>
      </c>
      <c r="X115" t="s">
        <v>4</v>
      </c>
      <c r="Y115" t="s">
        <v>977</v>
      </c>
      <c r="Z115" t="s">
        <v>978</v>
      </c>
      <c r="AA115" t="s">
        <v>979</v>
      </c>
      <c r="AB115" t="s">
        <v>4</v>
      </c>
      <c r="AC115" s="3" t="s">
        <v>980</v>
      </c>
      <c r="AD115" t="s">
        <v>4</v>
      </c>
      <c r="AE115" t="s">
        <v>981</v>
      </c>
      <c r="AF115" t="s">
        <v>834</v>
      </c>
      <c r="AG115" t="s">
        <v>982</v>
      </c>
      <c r="AH115" t="s">
        <v>112</v>
      </c>
      <c r="AJ115" t="s">
        <v>983</v>
      </c>
      <c r="AU115" t="s">
        <v>112</v>
      </c>
      <c r="AV115" t="s">
        <v>984</v>
      </c>
      <c r="AW115" t="s">
        <v>114</v>
      </c>
      <c r="AX115" t="s">
        <v>144</v>
      </c>
      <c r="AY115" t="s">
        <v>985</v>
      </c>
      <c r="AZ115" t="s">
        <v>4</v>
      </c>
      <c r="BA115" s="3" t="s">
        <v>95</v>
      </c>
      <c r="BB115" t="s">
        <v>96</v>
      </c>
      <c r="BC115" s="3" t="s">
        <v>95</v>
      </c>
      <c r="BD115" t="s">
        <v>4</v>
      </c>
      <c r="BE115">
        <v>4787</v>
      </c>
      <c r="BF115" t="s">
        <v>282</v>
      </c>
      <c r="BG115">
        <v>30.031300000000002</v>
      </c>
      <c r="BH115">
        <v>7.5078199999999997</v>
      </c>
      <c r="BI115">
        <v>12.304500000000001</v>
      </c>
      <c r="BJ115">
        <v>86.027100000000004</v>
      </c>
      <c r="BK115">
        <v>83.837299999999999</v>
      </c>
      <c r="BL115">
        <v>10.9489</v>
      </c>
      <c r="BM115">
        <v>13.243</v>
      </c>
      <c r="BN115">
        <v>79.561999999999998</v>
      </c>
      <c r="BO115">
        <v>30.1356</v>
      </c>
      <c r="BP115" t="s">
        <v>986</v>
      </c>
      <c r="BQ115">
        <v>53.076099999999997</v>
      </c>
      <c r="BR115">
        <v>54.014600000000002</v>
      </c>
      <c r="BS115">
        <v>52.554699999999997</v>
      </c>
      <c r="BT115" t="s">
        <v>987</v>
      </c>
      <c r="BU115">
        <v>48.800800000000002</v>
      </c>
      <c r="BV115" t="s">
        <v>988</v>
      </c>
      <c r="BW115">
        <v>53.805999999999997</v>
      </c>
      <c r="BX115">
        <v>47.132399999999997</v>
      </c>
      <c r="BY115">
        <v>25.0261</v>
      </c>
      <c r="BZ115" t="s">
        <v>989</v>
      </c>
      <c r="CA115">
        <v>52.0334</v>
      </c>
      <c r="CB115">
        <v>13.243</v>
      </c>
      <c r="CK115">
        <v>6</v>
      </c>
      <c r="CL115" t="s">
        <v>4</v>
      </c>
      <c r="CM115" t="s">
        <v>990</v>
      </c>
      <c r="CN115" t="s">
        <v>991</v>
      </c>
      <c r="CO115" t="s">
        <v>99</v>
      </c>
      <c r="CP115">
        <v>114</v>
      </c>
      <c r="CQ115" t="s">
        <v>100</v>
      </c>
      <c r="CR115" t="s">
        <v>100</v>
      </c>
      <c r="CS115" t="s">
        <v>101</v>
      </c>
      <c r="CT115" t="s">
        <v>100</v>
      </c>
      <c r="CU115" t="s">
        <v>102</v>
      </c>
      <c r="CV115" t="s">
        <v>100</v>
      </c>
    </row>
    <row r="116" spans="1:100">
      <c r="A116" s="3" t="s">
        <v>992</v>
      </c>
      <c r="B116" s="4" t="s">
        <v>993</v>
      </c>
      <c r="C116">
        <v>83.808086593287499</v>
      </c>
      <c r="D116">
        <v>20.331701792417899</v>
      </c>
      <c r="E116">
        <v>2.04713977984296</v>
      </c>
      <c r="F116">
        <v>7.6706946592159002E-3</v>
      </c>
      <c r="G116" t="s">
        <v>4</v>
      </c>
      <c r="H116">
        <v>83.808086593287499</v>
      </c>
      <c r="I116">
        <v>3.28340744013635</v>
      </c>
      <c r="J116">
        <v>4.5806294431029304</v>
      </c>
      <c r="K116" s="5">
        <v>2.5199689694239398E-7</v>
      </c>
      <c r="L116" t="s">
        <v>4</v>
      </c>
      <c r="M116">
        <v>20.331701792417899</v>
      </c>
      <c r="N116">
        <v>3.28340744013635</v>
      </c>
      <c r="O116">
        <v>2.5334896632599699</v>
      </c>
      <c r="P116">
        <v>6.3119510467164004E-3</v>
      </c>
      <c r="Q116" t="s">
        <v>4</v>
      </c>
      <c r="R116" s="4" t="s">
        <v>87</v>
      </c>
      <c r="S116" t="s">
        <v>4</v>
      </c>
      <c r="T116" t="s">
        <v>360</v>
      </c>
      <c r="U116" t="s">
        <v>361</v>
      </c>
      <c r="V116" t="s">
        <v>362</v>
      </c>
      <c r="W116" t="s">
        <v>328</v>
      </c>
      <c r="X116" t="s">
        <v>4</v>
      </c>
      <c r="Y116" t="s">
        <v>994</v>
      </c>
      <c r="Z116" t="s">
        <v>995</v>
      </c>
      <c r="AA116" t="s">
        <v>996</v>
      </c>
      <c r="AB116" t="s">
        <v>4</v>
      </c>
      <c r="AC116" s="3" t="s">
        <v>997</v>
      </c>
      <c r="AD116" t="s">
        <v>4</v>
      </c>
      <c r="AE116" t="s">
        <v>998</v>
      </c>
      <c r="AF116" t="s">
        <v>999</v>
      </c>
      <c r="AG116" t="s">
        <v>1000</v>
      </c>
      <c r="AH116" t="s">
        <v>638</v>
      </c>
      <c r="AJ116" t="s">
        <v>1001</v>
      </c>
      <c r="AL116" t="s">
        <v>1002</v>
      </c>
      <c r="AQ116" t="s">
        <v>1003</v>
      </c>
      <c r="AU116" t="s">
        <v>112</v>
      </c>
      <c r="AV116" t="s">
        <v>1004</v>
      </c>
      <c r="AW116" t="s">
        <v>114</v>
      </c>
      <c r="AX116" t="s">
        <v>371</v>
      </c>
      <c r="AY116" t="s">
        <v>1005</v>
      </c>
      <c r="AZ116" t="s">
        <v>4</v>
      </c>
      <c r="BA116" s="3" t="s">
        <v>95</v>
      </c>
      <c r="BB116" s="6" t="s">
        <v>95</v>
      </c>
      <c r="BC116" s="3" t="s">
        <v>95</v>
      </c>
      <c r="BD116" t="s">
        <v>4</v>
      </c>
      <c r="BE116">
        <v>6131</v>
      </c>
      <c r="BF116" t="s">
        <v>213</v>
      </c>
      <c r="BG116">
        <v>37.352899999999998</v>
      </c>
      <c r="BH116">
        <v>25.2941</v>
      </c>
      <c r="BI116">
        <v>36.176499999999997</v>
      </c>
      <c r="BJ116">
        <v>16.470600000000001</v>
      </c>
      <c r="BL116">
        <v>17.352900000000002</v>
      </c>
      <c r="BM116">
        <v>49.7059</v>
      </c>
      <c r="BN116">
        <v>54.411799999999999</v>
      </c>
      <c r="BP116">
        <v>15.588200000000001</v>
      </c>
      <c r="BQ116">
        <v>27.647099999999998</v>
      </c>
      <c r="BR116">
        <v>28.235299999999999</v>
      </c>
      <c r="BV116" t="s">
        <v>1006</v>
      </c>
      <c r="BX116">
        <v>28.529399999999999</v>
      </c>
      <c r="BY116">
        <v>17.941199999999998</v>
      </c>
      <c r="BZ116">
        <v>22.058800000000002</v>
      </c>
      <c r="CA116">
        <v>27.941199999999998</v>
      </c>
      <c r="CB116">
        <v>11.470599999999999</v>
      </c>
      <c r="CC116">
        <v>22.352900000000002</v>
      </c>
      <c r="CD116">
        <v>20.2941</v>
      </c>
      <c r="CE116">
        <v>16.470600000000001</v>
      </c>
      <c r="CF116">
        <v>19.7059</v>
      </c>
      <c r="CG116" t="s">
        <v>1007</v>
      </c>
      <c r="CH116" t="s">
        <v>1008</v>
      </c>
      <c r="CI116" t="s">
        <v>1009</v>
      </c>
      <c r="CK116">
        <v>8</v>
      </c>
      <c r="CL116" t="s">
        <v>4</v>
      </c>
      <c r="CM116" t="s">
        <v>1010</v>
      </c>
      <c r="CN116" t="s">
        <v>1011</v>
      </c>
      <c r="CO116" t="s">
        <v>99</v>
      </c>
      <c r="CP116">
        <v>115</v>
      </c>
      <c r="CQ116" t="s">
        <v>100</v>
      </c>
      <c r="CR116" t="s">
        <v>100</v>
      </c>
      <c r="CS116" t="s">
        <v>101</v>
      </c>
      <c r="CT116" t="s">
        <v>152</v>
      </c>
      <c r="CU116" t="s">
        <v>102</v>
      </c>
      <c r="CV116" t="s">
        <v>100</v>
      </c>
    </row>
    <row r="117" spans="1:100">
      <c r="A117" s="3" t="s">
        <v>1012</v>
      </c>
      <c r="B117" s="4" t="s">
        <v>1013</v>
      </c>
      <c r="C117">
        <v>63.7854311365667</v>
      </c>
      <c r="D117">
        <v>12.4307031790272</v>
      </c>
      <c r="E117">
        <v>2.3694539252192199</v>
      </c>
      <c r="F117">
        <v>8.72162464975086E-4</v>
      </c>
      <c r="G117" t="s">
        <v>4</v>
      </c>
      <c r="H117">
        <v>63.7854311365667</v>
      </c>
      <c r="I117">
        <v>10.705853261327601</v>
      </c>
      <c r="J117">
        <v>2.57489726300104</v>
      </c>
      <c r="K117">
        <v>3.67507168323627E-4</v>
      </c>
      <c r="L117" t="s">
        <v>4</v>
      </c>
      <c r="M117">
        <v>12.4307031790272</v>
      </c>
      <c r="N117">
        <v>10.705853261327601</v>
      </c>
      <c r="O117">
        <v>0.205443337781826</v>
      </c>
      <c r="P117">
        <v>0.83117149913029698</v>
      </c>
      <c r="Q117" t="s">
        <v>4</v>
      </c>
      <c r="R117" s="4" t="s">
        <v>87</v>
      </c>
      <c r="S117" t="s">
        <v>4</v>
      </c>
      <c r="T117" t="s">
        <v>92</v>
      </c>
      <c r="U117" t="s">
        <v>92</v>
      </c>
      <c r="V117" t="s">
        <v>92</v>
      </c>
      <c r="W117" t="s">
        <v>92</v>
      </c>
      <c r="X117" t="s">
        <v>4</v>
      </c>
      <c r="Y117" t="s">
        <v>92</v>
      </c>
      <c r="Z117" t="s">
        <v>92</v>
      </c>
      <c r="AA117" t="s">
        <v>92</v>
      </c>
      <c r="AB117" t="s">
        <v>4</v>
      </c>
      <c r="AC117" s="3" t="s">
        <v>93</v>
      </c>
      <c r="AD117" t="s">
        <v>4</v>
      </c>
      <c r="AE117" s="4" t="s">
        <v>94</v>
      </c>
      <c r="AZ117" t="s">
        <v>4</v>
      </c>
      <c r="BA117" s="3" t="s">
        <v>95</v>
      </c>
      <c r="BB117" s="6" t="s">
        <v>95</v>
      </c>
      <c r="BC117" s="3" t="s">
        <v>197</v>
      </c>
      <c r="BD117" t="s">
        <v>4</v>
      </c>
      <c r="BE117">
        <v>985</v>
      </c>
      <c r="BF117" t="s">
        <v>151</v>
      </c>
      <c r="BG117">
        <v>97.309399999999997</v>
      </c>
      <c r="BH117">
        <v>99.551599999999993</v>
      </c>
      <c r="BI117">
        <v>89.237700000000004</v>
      </c>
      <c r="BJ117">
        <v>45.291499999999999</v>
      </c>
      <c r="BL117">
        <v>39.013500000000001</v>
      </c>
      <c r="BM117">
        <v>53.363199999999999</v>
      </c>
      <c r="BN117">
        <v>52.017899999999997</v>
      </c>
      <c r="BO117">
        <v>49.327399999999997</v>
      </c>
      <c r="CK117">
        <v>2</v>
      </c>
      <c r="CL117" t="s">
        <v>4</v>
      </c>
      <c r="CM117" t="s">
        <v>98</v>
      </c>
      <c r="CN117" t="s">
        <v>98</v>
      </c>
      <c r="CO117" t="s">
        <v>99</v>
      </c>
      <c r="CP117">
        <v>116</v>
      </c>
      <c r="CQ117" t="s">
        <v>100</v>
      </c>
      <c r="CR117" t="s">
        <v>100</v>
      </c>
      <c r="CS117" t="s">
        <v>101</v>
      </c>
      <c r="CT117" t="s">
        <v>100</v>
      </c>
      <c r="CU117" t="s">
        <v>102</v>
      </c>
      <c r="CV117" t="s">
        <v>100</v>
      </c>
    </row>
    <row r="118" spans="1:100">
      <c r="A118" s="3" t="s">
        <v>1014</v>
      </c>
      <c r="B118" s="4" t="s">
        <v>1015</v>
      </c>
      <c r="C118">
        <v>1026.29094568355</v>
      </c>
      <c r="D118">
        <v>180.00353735732801</v>
      </c>
      <c r="E118">
        <v>2.5113879210829699</v>
      </c>
      <c r="F118" s="5">
        <v>7.7567677464223804E-14</v>
      </c>
      <c r="G118" t="s">
        <v>4</v>
      </c>
      <c r="H118">
        <v>1026.29094568355</v>
      </c>
      <c r="I118">
        <v>152.17401682807201</v>
      </c>
      <c r="J118">
        <v>2.7580702517573998</v>
      </c>
      <c r="K118" s="5">
        <v>1.4664044744323899E-16</v>
      </c>
      <c r="L118" t="s">
        <v>4</v>
      </c>
      <c r="M118">
        <v>180.00353735732801</v>
      </c>
      <c r="N118">
        <v>152.17401682807201</v>
      </c>
      <c r="O118">
        <v>0.24668233067442999</v>
      </c>
      <c r="P118">
        <v>0.54484532798662999</v>
      </c>
      <c r="Q118" t="s">
        <v>4</v>
      </c>
      <c r="R118" s="4" t="s">
        <v>87</v>
      </c>
      <c r="S118" t="s">
        <v>4</v>
      </c>
      <c r="T118" t="s">
        <v>1016</v>
      </c>
      <c r="U118" t="s">
        <v>1017</v>
      </c>
      <c r="V118" t="s">
        <v>1018</v>
      </c>
      <c r="W118" t="s">
        <v>328</v>
      </c>
      <c r="X118" t="s">
        <v>4</v>
      </c>
      <c r="Y118" t="s">
        <v>1019</v>
      </c>
      <c r="Z118" t="s">
        <v>1020</v>
      </c>
      <c r="AA118" t="s">
        <v>1021</v>
      </c>
      <c r="AB118" t="s">
        <v>4</v>
      </c>
      <c r="AC118" s="3" t="s">
        <v>1022</v>
      </c>
      <c r="AD118" t="s">
        <v>4</v>
      </c>
      <c r="AE118" t="s">
        <v>1023</v>
      </c>
      <c r="AF118" t="s">
        <v>1024</v>
      </c>
      <c r="AG118" t="s">
        <v>1025</v>
      </c>
      <c r="AH118" t="s">
        <v>112</v>
      </c>
      <c r="AJ118" t="s">
        <v>1026</v>
      </c>
      <c r="AL118" t="s">
        <v>1027</v>
      </c>
      <c r="AQ118" t="s">
        <v>1028</v>
      </c>
      <c r="AU118" t="s">
        <v>112</v>
      </c>
      <c r="AV118" t="s">
        <v>1029</v>
      </c>
      <c r="AW118" t="s">
        <v>114</v>
      </c>
      <c r="AX118" t="s">
        <v>144</v>
      </c>
      <c r="AY118" t="s">
        <v>1030</v>
      </c>
      <c r="AZ118" t="s">
        <v>4</v>
      </c>
      <c r="BA118" s="3" t="s">
        <v>95</v>
      </c>
      <c r="BB118" t="s">
        <v>96</v>
      </c>
      <c r="BC118" s="3" t="s">
        <v>95</v>
      </c>
      <c r="BD118" t="s">
        <v>4</v>
      </c>
      <c r="BE118">
        <v>6219</v>
      </c>
      <c r="BF118" t="s">
        <v>213</v>
      </c>
      <c r="BG118">
        <v>74.891800000000003</v>
      </c>
      <c r="BH118">
        <v>57.575800000000001</v>
      </c>
      <c r="BI118">
        <v>82.359300000000005</v>
      </c>
      <c r="BJ118">
        <v>38.311700000000002</v>
      </c>
      <c r="BK118">
        <v>62.662300000000002</v>
      </c>
      <c r="BM118">
        <v>40.151499999999999</v>
      </c>
      <c r="BN118">
        <v>82.467500000000001</v>
      </c>
      <c r="BO118">
        <v>81.818200000000004</v>
      </c>
      <c r="BP118">
        <v>43.181800000000003</v>
      </c>
      <c r="BQ118">
        <v>28.138500000000001</v>
      </c>
      <c r="BR118">
        <v>36.039000000000001</v>
      </c>
      <c r="BS118">
        <v>34.307400000000001</v>
      </c>
      <c r="BU118">
        <v>26.7316</v>
      </c>
      <c r="BV118" t="s">
        <v>1031</v>
      </c>
      <c r="BW118">
        <v>39.177500000000002</v>
      </c>
      <c r="BX118">
        <v>41.341999999999999</v>
      </c>
      <c r="BY118" t="s">
        <v>1032</v>
      </c>
      <c r="BZ118" t="s">
        <v>1033</v>
      </c>
      <c r="CA118">
        <v>39.069299999999998</v>
      </c>
      <c r="CB118">
        <v>26.8398</v>
      </c>
      <c r="CC118" t="s">
        <v>1034</v>
      </c>
      <c r="CD118">
        <v>29.437200000000001</v>
      </c>
      <c r="CE118">
        <v>25</v>
      </c>
      <c r="CF118" t="s">
        <v>1035</v>
      </c>
      <c r="CG118" t="s">
        <v>1036</v>
      </c>
      <c r="CH118" t="s">
        <v>1037</v>
      </c>
      <c r="CI118" t="s">
        <v>1038</v>
      </c>
      <c r="CJ118" t="s">
        <v>1039</v>
      </c>
      <c r="CK118">
        <v>8</v>
      </c>
      <c r="CL118" t="s">
        <v>4</v>
      </c>
      <c r="CM118" t="s">
        <v>1040</v>
      </c>
      <c r="CN118" t="s">
        <v>1041</v>
      </c>
      <c r="CO118" t="s">
        <v>663</v>
      </c>
      <c r="CP118">
        <v>117</v>
      </c>
      <c r="CQ118" t="s">
        <v>100</v>
      </c>
      <c r="CR118" t="s">
        <v>100</v>
      </c>
      <c r="CS118" t="s">
        <v>101</v>
      </c>
      <c r="CT118" t="s">
        <v>100</v>
      </c>
      <c r="CU118" t="s">
        <v>102</v>
      </c>
      <c r="CV118" t="s">
        <v>100</v>
      </c>
    </row>
    <row r="119" spans="1:100">
      <c r="A119" s="3" t="s">
        <v>1042</v>
      </c>
      <c r="B119" s="4" t="s">
        <v>1043</v>
      </c>
      <c r="C119">
        <v>56.901276341320802</v>
      </c>
      <c r="D119">
        <v>11.6307196589472</v>
      </c>
      <c r="E119">
        <v>2.3027676521339999</v>
      </c>
      <c r="F119">
        <v>1.3467859430743199E-4</v>
      </c>
      <c r="G119" t="s">
        <v>4</v>
      </c>
      <c r="H119">
        <v>56.901276341320802</v>
      </c>
      <c r="I119">
        <v>3.2460616823237398</v>
      </c>
      <c r="J119">
        <v>4.1465093432301803</v>
      </c>
      <c r="K119" s="5">
        <v>9.2276092432923094E-8</v>
      </c>
      <c r="L119" t="s">
        <v>4</v>
      </c>
      <c r="M119">
        <v>11.6307196589472</v>
      </c>
      <c r="N119">
        <v>3.2460616823237398</v>
      </c>
      <c r="O119">
        <v>1.8437416910961799</v>
      </c>
      <c r="P119">
        <v>2.9524488636412102E-2</v>
      </c>
      <c r="Q119" t="s">
        <v>4</v>
      </c>
      <c r="R119" s="4" t="s">
        <v>87</v>
      </c>
      <c r="S119" t="s">
        <v>4</v>
      </c>
      <c r="T119" t="s">
        <v>360</v>
      </c>
      <c r="U119" t="s">
        <v>361</v>
      </c>
      <c r="V119" t="s">
        <v>362</v>
      </c>
      <c r="W119" t="s">
        <v>328</v>
      </c>
      <c r="X119" t="s">
        <v>4</v>
      </c>
      <c r="Y119" t="s">
        <v>1044</v>
      </c>
      <c r="Z119" t="s">
        <v>1045</v>
      </c>
      <c r="AA119" t="s">
        <v>1046</v>
      </c>
      <c r="AB119" t="s">
        <v>4</v>
      </c>
      <c r="AC119" s="3" t="s">
        <v>1047</v>
      </c>
      <c r="AD119" t="s">
        <v>4</v>
      </c>
      <c r="AE119" t="s">
        <v>1048</v>
      </c>
      <c r="AF119" t="s">
        <v>1049</v>
      </c>
      <c r="AG119" t="s">
        <v>1050</v>
      </c>
      <c r="AH119" t="s">
        <v>112</v>
      </c>
      <c r="AJ119" t="s">
        <v>1051</v>
      </c>
      <c r="AL119" t="s">
        <v>1052</v>
      </c>
      <c r="AQ119" t="s">
        <v>1003</v>
      </c>
      <c r="AU119" t="s">
        <v>112</v>
      </c>
      <c r="AV119" t="s">
        <v>1053</v>
      </c>
      <c r="AW119" t="s">
        <v>114</v>
      </c>
      <c r="AX119" t="s">
        <v>371</v>
      </c>
      <c r="AY119" t="s">
        <v>573</v>
      </c>
      <c r="AZ119" t="s">
        <v>4</v>
      </c>
      <c r="BA119" s="3" t="s">
        <v>95</v>
      </c>
      <c r="BB119" s="6" t="s">
        <v>95</v>
      </c>
      <c r="BC119" s="3" t="s">
        <v>95</v>
      </c>
      <c r="BD119" t="s">
        <v>4</v>
      </c>
      <c r="BE119">
        <v>6221</v>
      </c>
      <c r="BF119" t="s">
        <v>213</v>
      </c>
      <c r="BG119">
        <v>81.428600000000003</v>
      </c>
      <c r="BH119">
        <v>98.214299999999994</v>
      </c>
      <c r="BI119">
        <v>71.071399999999997</v>
      </c>
      <c r="BJ119">
        <v>66.071399999999997</v>
      </c>
      <c r="BK119">
        <v>67.142899999999997</v>
      </c>
      <c r="BL119">
        <v>68.928600000000003</v>
      </c>
      <c r="BM119">
        <v>71.071399999999997</v>
      </c>
      <c r="BN119">
        <v>71.071399999999997</v>
      </c>
      <c r="BO119">
        <v>68.928600000000003</v>
      </c>
      <c r="BQ119">
        <v>31.785699999999999</v>
      </c>
      <c r="BR119">
        <v>25</v>
      </c>
      <c r="BV119">
        <v>24.642900000000001</v>
      </c>
      <c r="BW119" t="s">
        <v>1054</v>
      </c>
      <c r="BZ119">
        <v>19.285699999999999</v>
      </c>
      <c r="CA119">
        <v>26.428599999999999</v>
      </c>
      <c r="CB119">
        <v>18.571400000000001</v>
      </c>
      <c r="CC119">
        <v>25</v>
      </c>
      <c r="CD119">
        <v>24.642900000000001</v>
      </c>
      <c r="CG119">
        <v>23.571400000000001</v>
      </c>
      <c r="CH119">
        <v>22.142900000000001</v>
      </c>
      <c r="CI119">
        <v>24.642900000000001</v>
      </c>
      <c r="CK119">
        <v>8</v>
      </c>
      <c r="CL119" t="s">
        <v>4</v>
      </c>
      <c r="CM119" t="s">
        <v>1055</v>
      </c>
      <c r="CN119" t="s">
        <v>1056</v>
      </c>
      <c r="CO119" t="s">
        <v>99</v>
      </c>
      <c r="CP119">
        <v>118</v>
      </c>
      <c r="CQ119" t="s">
        <v>100</v>
      </c>
      <c r="CR119" t="s">
        <v>100</v>
      </c>
      <c r="CS119" t="s">
        <v>101</v>
      </c>
      <c r="CT119" s="7" t="s">
        <v>152</v>
      </c>
      <c r="CU119" t="s">
        <v>102</v>
      </c>
      <c r="CV119" t="s">
        <v>100</v>
      </c>
    </row>
    <row r="120" spans="1:100">
      <c r="A120" s="3" t="s">
        <v>1057</v>
      </c>
      <c r="B120" s="4" t="s">
        <v>1058</v>
      </c>
      <c r="C120">
        <v>196.845371782341</v>
      </c>
      <c r="D120">
        <v>27.080093672146301</v>
      </c>
      <c r="E120">
        <v>2.8649037336311398</v>
      </c>
      <c r="F120" s="5">
        <v>1.24432103957584E-8</v>
      </c>
      <c r="G120" t="s">
        <v>4</v>
      </c>
      <c r="H120">
        <v>196.845371782341</v>
      </c>
      <c r="I120">
        <v>28.465828119576599</v>
      </c>
      <c r="J120">
        <v>2.8046920030403899</v>
      </c>
      <c r="K120" s="5">
        <v>3.1066598101056398E-8</v>
      </c>
      <c r="L120" t="s">
        <v>4</v>
      </c>
      <c r="M120">
        <v>27.080093672146301</v>
      </c>
      <c r="N120">
        <v>28.465828119576599</v>
      </c>
      <c r="O120">
        <f>0.0602117305907507</f>
        <v>6.0211730590750703E-2</v>
      </c>
      <c r="P120">
        <v>0.93469818998381204</v>
      </c>
      <c r="Q120" t="s">
        <v>4</v>
      </c>
      <c r="R120" s="4" t="s">
        <v>87</v>
      </c>
      <c r="S120" t="s">
        <v>4</v>
      </c>
      <c r="T120" t="s">
        <v>92</v>
      </c>
      <c r="U120" t="s">
        <v>92</v>
      </c>
      <c r="V120" t="s">
        <v>92</v>
      </c>
      <c r="W120" t="s">
        <v>92</v>
      </c>
      <c r="X120" t="s">
        <v>4</v>
      </c>
      <c r="Y120" t="s">
        <v>92</v>
      </c>
      <c r="Z120" t="s">
        <v>92</v>
      </c>
      <c r="AA120" t="s">
        <v>92</v>
      </c>
      <c r="AB120" t="s">
        <v>4</v>
      </c>
      <c r="AC120" s="3" t="s">
        <v>93</v>
      </c>
      <c r="AD120" t="s">
        <v>4</v>
      </c>
      <c r="AE120" t="s">
        <v>1059</v>
      </c>
      <c r="AF120" t="s">
        <v>1060</v>
      </c>
      <c r="AG120" t="s">
        <v>1061</v>
      </c>
      <c r="AH120" t="s">
        <v>112</v>
      </c>
      <c r="AU120" t="s">
        <v>112</v>
      </c>
      <c r="AV120" t="s">
        <v>1062</v>
      </c>
      <c r="AW120" t="s">
        <v>114</v>
      </c>
      <c r="AZ120" t="s">
        <v>4</v>
      </c>
      <c r="BA120" s="3" t="s">
        <v>95</v>
      </c>
      <c r="BB120" s="6" t="s">
        <v>95</v>
      </c>
      <c r="BC120" s="3" t="s">
        <v>95</v>
      </c>
      <c r="BD120" t="s">
        <v>4</v>
      </c>
      <c r="BE120">
        <v>5377</v>
      </c>
      <c r="BF120" t="s">
        <v>386</v>
      </c>
      <c r="BG120">
        <v>95.327100000000002</v>
      </c>
      <c r="BH120">
        <v>93.457899999999995</v>
      </c>
      <c r="BJ120">
        <v>45.233600000000003</v>
      </c>
      <c r="BK120">
        <v>52.149500000000003</v>
      </c>
      <c r="BN120">
        <v>60.934600000000003</v>
      </c>
      <c r="BW120">
        <v>28.411200000000001</v>
      </c>
      <c r="BX120">
        <v>27.476600000000001</v>
      </c>
      <c r="CA120">
        <v>21.121500000000001</v>
      </c>
      <c r="CB120">
        <v>28.598099999999999</v>
      </c>
      <c r="CF120">
        <v>17.757000000000001</v>
      </c>
      <c r="CK120">
        <v>7</v>
      </c>
      <c r="CL120" t="s">
        <v>4</v>
      </c>
      <c r="CM120" t="s">
        <v>1063</v>
      </c>
      <c r="CN120" t="s">
        <v>1064</v>
      </c>
      <c r="CO120" t="s">
        <v>663</v>
      </c>
      <c r="CP120">
        <v>119</v>
      </c>
      <c r="CQ120" t="s">
        <v>100</v>
      </c>
      <c r="CR120" t="s">
        <v>100</v>
      </c>
      <c r="CS120" t="s">
        <v>101</v>
      </c>
      <c r="CT120" t="s">
        <v>100</v>
      </c>
      <c r="CU120" t="s">
        <v>102</v>
      </c>
      <c r="CV120" t="s">
        <v>100</v>
      </c>
    </row>
    <row r="121" spans="1:100">
      <c r="A121" s="3" t="s">
        <v>1065</v>
      </c>
      <c r="B121" s="4" t="s">
        <v>1066</v>
      </c>
      <c r="C121">
        <v>289.71479193319902</v>
      </c>
      <c r="D121">
        <v>23.135782277752799</v>
      </c>
      <c r="E121">
        <v>3.6433979773540601</v>
      </c>
      <c r="F121" s="5">
        <v>9.6563454913826593E-12</v>
      </c>
      <c r="G121" t="s">
        <v>4</v>
      </c>
      <c r="H121">
        <v>289.71479193319902</v>
      </c>
      <c r="I121">
        <v>29.284664007648701</v>
      </c>
      <c r="J121">
        <v>3.2868868242575502</v>
      </c>
      <c r="K121" s="5">
        <v>7.0944966153292801E-10</v>
      </c>
      <c r="L121" t="s">
        <v>4</v>
      </c>
      <c r="M121">
        <v>23.135782277752799</v>
      </c>
      <c r="N121">
        <v>29.284664007648701</v>
      </c>
      <c r="O121">
        <f>0.356511153096511</f>
        <v>0.35651115309651099</v>
      </c>
      <c r="P121">
        <v>0.59804082566837202</v>
      </c>
      <c r="Q121" t="s">
        <v>4</v>
      </c>
      <c r="R121" s="4" t="s">
        <v>87</v>
      </c>
      <c r="S121" t="s">
        <v>4</v>
      </c>
      <c r="T121" t="s">
        <v>1067</v>
      </c>
      <c r="U121" t="s">
        <v>1068</v>
      </c>
      <c r="V121" t="s">
        <v>1069</v>
      </c>
      <c r="W121" t="s">
        <v>507</v>
      </c>
      <c r="X121" t="s">
        <v>4</v>
      </c>
      <c r="Y121" t="s">
        <v>1070</v>
      </c>
      <c r="Z121" t="s">
        <v>1071</v>
      </c>
      <c r="AA121" t="s">
        <v>1072</v>
      </c>
      <c r="AB121" t="s">
        <v>4</v>
      </c>
      <c r="AC121" s="3" t="s">
        <v>1073</v>
      </c>
      <c r="AD121" t="s">
        <v>4</v>
      </c>
      <c r="AE121" t="s">
        <v>1074</v>
      </c>
      <c r="AF121" t="s">
        <v>834</v>
      </c>
      <c r="AG121" t="s">
        <v>1075</v>
      </c>
      <c r="AH121" t="s">
        <v>112</v>
      </c>
      <c r="AU121" t="s">
        <v>112</v>
      </c>
      <c r="AV121" t="s">
        <v>1076</v>
      </c>
      <c r="AW121" t="s">
        <v>114</v>
      </c>
      <c r="AX121" t="s">
        <v>144</v>
      </c>
      <c r="AY121" t="s">
        <v>1077</v>
      </c>
      <c r="AZ121" t="s">
        <v>4</v>
      </c>
      <c r="BA121" s="3" t="s">
        <v>95</v>
      </c>
      <c r="BB121" t="s">
        <v>96</v>
      </c>
      <c r="BC121" s="3" t="s">
        <v>95</v>
      </c>
      <c r="BD121" t="s">
        <v>4</v>
      </c>
      <c r="BE121">
        <v>3376</v>
      </c>
      <c r="BF121" t="s">
        <v>112</v>
      </c>
      <c r="BG121" t="s">
        <v>1078</v>
      </c>
      <c r="BH121">
        <v>94.214100000000002</v>
      </c>
      <c r="BI121">
        <v>80.231399999999994</v>
      </c>
      <c r="BJ121">
        <v>62.102200000000003</v>
      </c>
      <c r="BK121">
        <v>59.594999999999999</v>
      </c>
      <c r="BL121">
        <v>50.337499999999999</v>
      </c>
      <c r="BM121">
        <v>64.513000000000005</v>
      </c>
      <c r="BN121">
        <v>64.513000000000005</v>
      </c>
      <c r="BS121">
        <v>21.504300000000001</v>
      </c>
      <c r="BW121">
        <v>20.4436</v>
      </c>
      <c r="CA121">
        <v>19.6721</v>
      </c>
      <c r="CF121" t="s">
        <v>1079</v>
      </c>
      <c r="CK121">
        <v>5</v>
      </c>
      <c r="CL121" t="s">
        <v>4</v>
      </c>
      <c r="CM121" t="s">
        <v>1080</v>
      </c>
      <c r="CN121" t="s">
        <v>1081</v>
      </c>
      <c r="CO121" t="s">
        <v>663</v>
      </c>
      <c r="CP121">
        <v>120</v>
      </c>
      <c r="CQ121" t="s">
        <v>100</v>
      </c>
      <c r="CR121" t="s">
        <v>100</v>
      </c>
      <c r="CS121" t="s">
        <v>101</v>
      </c>
      <c r="CT121" t="s">
        <v>100</v>
      </c>
      <c r="CU121" t="s">
        <v>102</v>
      </c>
      <c r="CV121" t="s">
        <v>100</v>
      </c>
    </row>
    <row r="122" spans="1:100">
      <c r="A122" s="3" t="s">
        <v>1082</v>
      </c>
      <c r="B122" s="4" t="s">
        <v>1083</v>
      </c>
      <c r="C122">
        <v>150.471881752954</v>
      </c>
      <c r="D122">
        <v>26.699661097654399</v>
      </c>
      <c r="E122">
        <v>2.4981129265978201</v>
      </c>
      <c r="F122">
        <v>1.5003175819596699E-4</v>
      </c>
      <c r="G122" t="s">
        <v>4</v>
      </c>
      <c r="H122">
        <v>150.471881752954</v>
      </c>
      <c r="I122">
        <v>31.068050728182701</v>
      </c>
      <c r="J122">
        <v>2.2883508214316302</v>
      </c>
      <c r="K122">
        <v>4.60171775876206E-4</v>
      </c>
      <c r="L122" t="s">
        <v>4</v>
      </c>
      <c r="M122">
        <v>26.699661097654399</v>
      </c>
      <c r="N122">
        <v>31.068050728182701</v>
      </c>
      <c r="O122">
        <f>0.209762105166185</f>
        <v>0.20976210516618499</v>
      </c>
      <c r="P122">
        <v>0.80159863167651801</v>
      </c>
      <c r="Q122" t="s">
        <v>4</v>
      </c>
      <c r="R122" s="4" t="s">
        <v>87</v>
      </c>
      <c r="S122" t="s">
        <v>4</v>
      </c>
      <c r="T122" t="s">
        <v>1084</v>
      </c>
      <c r="U122" t="s">
        <v>1085</v>
      </c>
      <c r="V122" t="s">
        <v>1086</v>
      </c>
      <c r="W122" t="s">
        <v>328</v>
      </c>
      <c r="X122" t="s">
        <v>4</v>
      </c>
      <c r="Y122" t="s">
        <v>1087</v>
      </c>
      <c r="Z122" t="s">
        <v>1088</v>
      </c>
      <c r="AA122" t="s">
        <v>1089</v>
      </c>
      <c r="AB122" t="s">
        <v>4</v>
      </c>
      <c r="AC122" s="3" t="s">
        <v>1090</v>
      </c>
      <c r="AD122" t="s">
        <v>4</v>
      </c>
      <c r="AE122" t="s">
        <v>1091</v>
      </c>
      <c r="AF122" t="s">
        <v>1092</v>
      </c>
      <c r="AG122" t="s">
        <v>1093</v>
      </c>
      <c r="AH122" t="s">
        <v>638</v>
      </c>
      <c r="AJ122" t="s">
        <v>1094</v>
      </c>
      <c r="AU122" t="s">
        <v>112</v>
      </c>
      <c r="AV122" t="s">
        <v>1095</v>
      </c>
      <c r="AW122" t="s">
        <v>114</v>
      </c>
      <c r="AX122" t="s">
        <v>1096</v>
      </c>
      <c r="AY122" t="s">
        <v>1097</v>
      </c>
      <c r="AZ122" t="s">
        <v>4</v>
      </c>
      <c r="BA122" s="3" t="s">
        <v>95</v>
      </c>
      <c r="BB122" s="6" t="s">
        <v>95</v>
      </c>
      <c r="BC122" s="3" t="s">
        <v>95</v>
      </c>
      <c r="BD122" t="s">
        <v>4</v>
      </c>
      <c r="BE122">
        <v>3391</v>
      </c>
      <c r="BF122" t="s">
        <v>112</v>
      </c>
      <c r="BG122">
        <v>86.936199999999999</v>
      </c>
      <c r="BH122">
        <v>53.810299999999998</v>
      </c>
      <c r="BI122">
        <v>37.480600000000003</v>
      </c>
      <c r="BP122" t="s">
        <v>1098</v>
      </c>
      <c r="BQ122">
        <v>30.793199999999999</v>
      </c>
      <c r="BR122">
        <v>31.104199999999999</v>
      </c>
      <c r="BS122">
        <v>28.3048</v>
      </c>
      <c r="BW122">
        <v>29.548999999999999</v>
      </c>
      <c r="BX122">
        <v>32.192799999999998</v>
      </c>
      <c r="BY122">
        <v>32.192799999999998</v>
      </c>
      <c r="BZ122">
        <v>24.883400000000002</v>
      </c>
      <c r="CA122">
        <v>31.415199999999999</v>
      </c>
      <c r="CB122">
        <v>13.8414</v>
      </c>
      <c r="CF122" t="s">
        <v>1099</v>
      </c>
      <c r="CG122" t="s">
        <v>1100</v>
      </c>
      <c r="CH122" t="s">
        <v>1101</v>
      </c>
      <c r="CI122" t="s">
        <v>1102</v>
      </c>
      <c r="CK122">
        <v>5</v>
      </c>
      <c r="CL122" t="s">
        <v>4</v>
      </c>
      <c r="CM122" t="s">
        <v>1103</v>
      </c>
      <c r="CN122" t="s">
        <v>1104</v>
      </c>
      <c r="CO122" t="s">
        <v>99</v>
      </c>
      <c r="CP122">
        <v>121</v>
      </c>
      <c r="CQ122" t="s">
        <v>100</v>
      </c>
      <c r="CR122" t="s">
        <v>100</v>
      </c>
      <c r="CS122" t="s">
        <v>101</v>
      </c>
      <c r="CT122" t="s">
        <v>100</v>
      </c>
      <c r="CU122" t="s">
        <v>102</v>
      </c>
      <c r="CV122" t="s">
        <v>100</v>
      </c>
    </row>
    <row r="123" spans="1:100">
      <c r="A123" s="3" t="s">
        <v>1105</v>
      </c>
      <c r="B123" s="4" t="s">
        <v>1106</v>
      </c>
      <c r="C123">
        <v>55.420147679083598</v>
      </c>
      <c r="D123">
        <v>5.2955540491909101</v>
      </c>
      <c r="E123">
        <v>3.4109326273589802</v>
      </c>
      <c r="F123">
        <v>2.2082561575009399E-4</v>
      </c>
      <c r="G123" t="s">
        <v>4</v>
      </c>
      <c r="H123">
        <v>55.420147679083598</v>
      </c>
      <c r="I123">
        <v>3.5169938828814802</v>
      </c>
      <c r="J123">
        <v>3.8030595482049199</v>
      </c>
      <c r="K123" s="5">
        <v>9.1670443900451697E-5</v>
      </c>
      <c r="L123" t="s">
        <v>4</v>
      </c>
      <c r="M123">
        <v>5.2955540491909101</v>
      </c>
      <c r="N123">
        <v>3.5169938828814802</v>
      </c>
      <c r="O123">
        <v>0.39212692084594097</v>
      </c>
      <c r="P123">
        <v>0.75979434471150298</v>
      </c>
      <c r="Q123" t="s">
        <v>4</v>
      </c>
      <c r="R123" s="4" t="s">
        <v>87</v>
      </c>
      <c r="S123" t="s">
        <v>4</v>
      </c>
      <c r="T123" t="s">
        <v>1107</v>
      </c>
      <c r="U123" t="s">
        <v>1108</v>
      </c>
      <c r="V123" t="s">
        <v>1109</v>
      </c>
      <c r="W123" t="s">
        <v>328</v>
      </c>
      <c r="X123" t="s">
        <v>4</v>
      </c>
      <c r="Y123" t="s">
        <v>1110</v>
      </c>
      <c r="Z123" t="s">
        <v>1111</v>
      </c>
      <c r="AA123" t="s">
        <v>1112</v>
      </c>
      <c r="AB123" t="s">
        <v>4</v>
      </c>
      <c r="AC123" s="3" t="s">
        <v>1113</v>
      </c>
      <c r="AD123" t="s">
        <v>4</v>
      </c>
      <c r="AE123" t="s">
        <v>1114</v>
      </c>
      <c r="AF123" t="s">
        <v>1115</v>
      </c>
      <c r="AG123" t="s">
        <v>1116</v>
      </c>
      <c r="AH123" t="s">
        <v>112</v>
      </c>
      <c r="AU123" t="s">
        <v>112</v>
      </c>
      <c r="AV123" t="s">
        <v>1117</v>
      </c>
      <c r="AW123" t="s">
        <v>114</v>
      </c>
      <c r="AX123" t="s">
        <v>536</v>
      </c>
      <c r="AY123" t="s">
        <v>1118</v>
      </c>
      <c r="AZ123" t="s">
        <v>4</v>
      </c>
      <c r="BA123" s="3" t="s">
        <v>95</v>
      </c>
      <c r="BB123" s="6" t="s">
        <v>95</v>
      </c>
      <c r="BC123" s="3" t="s">
        <v>95</v>
      </c>
      <c r="BD123" t="s">
        <v>4</v>
      </c>
      <c r="BE123">
        <v>6287</v>
      </c>
      <c r="BF123" t="s">
        <v>213</v>
      </c>
      <c r="BN123">
        <v>69.257900000000006</v>
      </c>
      <c r="CB123">
        <v>35.335700000000003</v>
      </c>
      <c r="CC123">
        <v>33.568899999999999</v>
      </c>
      <c r="CD123" t="s">
        <v>1119</v>
      </c>
      <c r="CE123" t="s">
        <v>1120</v>
      </c>
      <c r="CF123">
        <v>28.268599999999999</v>
      </c>
      <c r="CG123">
        <v>33.568899999999999</v>
      </c>
      <c r="CH123">
        <v>33.568899999999999</v>
      </c>
      <c r="CI123">
        <v>33.215499999999999</v>
      </c>
      <c r="CK123">
        <v>8</v>
      </c>
      <c r="CL123" t="s">
        <v>4</v>
      </c>
      <c r="CM123" t="s">
        <v>98</v>
      </c>
      <c r="CN123" t="s">
        <v>98</v>
      </c>
      <c r="CO123" t="s">
        <v>99</v>
      </c>
      <c r="CP123">
        <v>122</v>
      </c>
      <c r="CQ123" t="s">
        <v>100</v>
      </c>
      <c r="CR123" t="s">
        <v>100</v>
      </c>
      <c r="CS123" t="s">
        <v>101</v>
      </c>
      <c r="CT123" t="s">
        <v>100</v>
      </c>
      <c r="CU123" t="s">
        <v>102</v>
      </c>
      <c r="CV123" t="s">
        <v>100</v>
      </c>
    </row>
    <row r="124" spans="1:100">
      <c r="A124" s="3" t="s">
        <v>1121</v>
      </c>
      <c r="B124" s="4" t="s">
        <v>1122</v>
      </c>
      <c r="C124">
        <v>1029.45795973913</v>
      </c>
      <c r="D124">
        <v>248.46332847572799</v>
      </c>
      <c r="E124">
        <v>2.0501648001361201</v>
      </c>
      <c r="F124">
        <v>1.2272345761237099E-4</v>
      </c>
      <c r="G124" t="s">
        <v>4</v>
      </c>
      <c r="H124">
        <v>1029.45795973913</v>
      </c>
      <c r="I124">
        <v>39.349795577152904</v>
      </c>
      <c r="J124">
        <v>4.6635234242731203</v>
      </c>
      <c r="K124" s="5">
        <v>4.8417807584909799E-19</v>
      </c>
      <c r="L124" t="s">
        <v>4</v>
      </c>
      <c r="M124">
        <v>248.46332847572799</v>
      </c>
      <c r="N124">
        <v>39.349795577152904</v>
      </c>
      <c r="O124">
        <v>2.6133586241370002</v>
      </c>
      <c r="P124" s="5">
        <v>9.8260212969257598E-7</v>
      </c>
      <c r="Q124" t="s">
        <v>4</v>
      </c>
      <c r="R124" s="4" t="s">
        <v>87</v>
      </c>
      <c r="S124" t="s">
        <v>4</v>
      </c>
      <c r="T124" t="s">
        <v>92</v>
      </c>
      <c r="U124" t="s">
        <v>92</v>
      </c>
      <c r="V124" t="s">
        <v>92</v>
      </c>
      <c r="W124" t="s">
        <v>92</v>
      </c>
      <c r="X124" t="s">
        <v>4</v>
      </c>
      <c r="Y124" t="s">
        <v>1123</v>
      </c>
      <c r="Z124" t="s">
        <v>1124</v>
      </c>
      <c r="AA124" t="s">
        <v>1125</v>
      </c>
      <c r="AB124" t="s">
        <v>4</v>
      </c>
      <c r="AC124" s="3" t="s">
        <v>1126</v>
      </c>
      <c r="AD124" t="s">
        <v>4</v>
      </c>
      <c r="AE124" t="s">
        <v>1127</v>
      </c>
      <c r="AF124" t="s">
        <v>1128</v>
      </c>
      <c r="AG124" t="s">
        <v>1129</v>
      </c>
      <c r="AH124" t="s">
        <v>112</v>
      </c>
      <c r="AU124" t="s">
        <v>112</v>
      </c>
      <c r="AV124" t="s">
        <v>1130</v>
      </c>
      <c r="AW124" t="s">
        <v>114</v>
      </c>
      <c r="AX124" t="s">
        <v>144</v>
      </c>
      <c r="AY124" t="s">
        <v>1131</v>
      </c>
      <c r="AZ124" t="s">
        <v>4</v>
      </c>
      <c r="BA124" s="3" t="s">
        <v>95</v>
      </c>
      <c r="BB124" s="6" t="s">
        <v>95</v>
      </c>
      <c r="BC124" s="3" t="s">
        <v>95</v>
      </c>
      <c r="BD124" t="s">
        <v>4</v>
      </c>
      <c r="BE124">
        <v>3130</v>
      </c>
      <c r="BF124" t="s">
        <v>112</v>
      </c>
      <c r="BG124">
        <v>85.302599999999998</v>
      </c>
      <c r="BH124">
        <v>50.432299999999998</v>
      </c>
      <c r="BI124">
        <v>80.691599999999994</v>
      </c>
      <c r="BJ124">
        <v>46.9741</v>
      </c>
      <c r="BK124">
        <v>29.1066</v>
      </c>
      <c r="BL124">
        <v>17.0029</v>
      </c>
      <c r="BM124">
        <v>38.040300000000002</v>
      </c>
      <c r="BN124">
        <v>42.651299999999999</v>
      </c>
      <c r="BO124">
        <v>43.227699999999999</v>
      </c>
      <c r="CK124">
        <v>5</v>
      </c>
      <c r="CL124" t="s">
        <v>4</v>
      </c>
      <c r="CM124" t="s">
        <v>98</v>
      </c>
      <c r="CN124" t="s">
        <v>98</v>
      </c>
      <c r="CO124" t="s">
        <v>99</v>
      </c>
      <c r="CP124">
        <v>123</v>
      </c>
      <c r="CQ124" t="s">
        <v>100</v>
      </c>
      <c r="CR124" t="s">
        <v>100</v>
      </c>
      <c r="CS124" t="s">
        <v>101</v>
      </c>
      <c r="CT124" t="s">
        <v>152</v>
      </c>
      <c r="CU124" t="s">
        <v>102</v>
      </c>
      <c r="CV124" t="s">
        <v>100</v>
      </c>
    </row>
    <row r="125" spans="1:100">
      <c r="A125" s="3" t="s">
        <v>1132</v>
      </c>
      <c r="B125" s="4" t="s">
        <v>1133</v>
      </c>
      <c r="C125">
        <v>179.52067501477001</v>
      </c>
      <c r="D125">
        <v>33.205392821938297</v>
      </c>
      <c r="E125">
        <v>2.43836321092938</v>
      </c>
      <c r="F125" s="5">
        <v>6.6108888604444502E-8</v>
      </c>
      <c r="G125" t="s">
        <v>4</v>
      </c>
      <c r="H125">
        <v>179.52067501477001</v>
      </c>
      <c r="I125">
        <v>33.965566789819</v>
      </c>
      <c r="J125">
        <v>2.3699337038649801</v>
      </c>
      <c r="K125" s="5">
        <v>1.83574013871321E-7</v>
      </c>
      <c r="L125" t="s">
        <v>4</v>
      </c>
      <c r="M125">
        <v>33.205392821938297</v>
      </c>
      <c r="N125">
        <v>33.965566789819</v>
      </c>
      <c r="O125">
        <f>0.0684295070644006</f>
        <v>6.8429507064400596E-2</v>
      </c>
      <c r="P125">
        <v>0.91591488878387795</v>
      </c>
      <c r="Q125" t="s">
        <v>4</v>
      </c>
      <c r="R125" s="4" t="s">
        <v>87</v>
      </c>
      <c r="S125" t="s">
        <v>4</v>
      </c>
      <c r="T125" t="s">
        <v>92</v>
      </c>
      <c r="U125" t="s">
        <v>92</v>
      </c>
      <c r="V125" t="s">
        <v>92</v>
      </c>
      <c r="W125" t="s">
        <v>92</v>
      </c>
      <c r="X125" t="s">
        <v>4</v>
      </c>
      <c r="Y125" t="s">
        <v>92</v>
      </c>
      <c r="Z125" t="s">
        <v>92</v>
      </c>
      <c r="AA125" t="s">
        <v>92</v>
      </c>
      <c r="AB125" t="s">
        <v>4</v>
      </c>
      <c r="AC125" s="3" t="s">
        <v>93</v>
      </c>
      <c r="AD125" t="s">
        <v>4</v>
      </c>
      <c r="AE125" t="s">
        <v>1134</v>
      </c>
      <c r="AF125" t="s">
        <v>1135</v>
      </c>
      <c r="AG125" t="s">
        <v>1136</v>
      </c>
      <c r="AH125" t="s">
        <v>112</v>
      </c>
      <c r="AU125" t="s">
        <v>112</v>
      </c>
      <c r="AV125" t="s">
        <v>1137</v>
      </c>
      <c r="AW125" t="s">
        <v>114</v>
      </c>
      <c r="AZ125" t="s">
        <v>4</v>
      </c>
      <c r="BA125" s="3" t="s">
        <v>95</v>
      </c>
      <c r="BB125" s="6" t="s">
        <v>95</v>
      </c>
      <c r="BC125" s="3" t="s">
        <v>95</v>
      </c>
      <c r="BD125" t="s">
        <v>4</v>
      </c>
      <c r="BE125">
        <v>3433</v>
      </c>
      <c r="BF125" t="s">
        <v>112</v>
      </c>
      <c r="BG125">
        <v>95.412800000000004</v>
      </c>
      <c r="BH125">
        <v>58.027500000000003</v>
      </c>
      <c r="BI125">
        <v>91.972499999999997</v>
      </c>
      <c r="BJ125">
        <v>81.192700000000002</v>
      </c>
      <c r="BK125">
        <v>4.5871599999999999</v>
      </c>
      <c r="BM125">
        <v>75.688100000000006</v>
      </c>
      <c r="BN125">
        <v>69.724800000000002</v>
      </c>
      <c r="BO125">
        <v>75</v>
      </c>
      <c r="BP125">
        <v>33.027500000000003</v>
      </c>
      <c r="BW125">
        <v>27.752300000000002</v>
      </c>
      <c r="BX125">
        <v>30.0459</v>
      </c>
      <c r="BZ125">
        <v>30.275200000000002</v>
      </c>
      <c r="CA125">
        <v>23.853200000000001</v>
      </c>
      <c r="CK125">
        <v>5</v>
      </c>
      <c r="CL125" t="s">
        <v>4</v>
      </c>
      <c r="CM125" t="s">
        <v>1138</v>
      </c>
      <c r="CN125" t="s">
        <v>1139</v>
      </c>
      <c r="CO125" t="s">
        <v>663</v>
      </c>
      <c r="CP125">
        <v>124</v>
      </c>
      <c r="CQ125" t="s">
        <v>100</v>
      </c>
      <c r="CR125" t="s">
        <v>100</v>
      </c>
      <c r="CS125" t="s">
        <v>101</v>
      </c>
      <c r="CT125" t="s">
        <v>100</v>
      </c>
      <c r="CU125" t="s">
        <v>102</v>
      </c>
      <c r="CV125" t="s">
        <v>100</v>
      </c>
    </row>
    <row r="126" spans="1:100">
      <c r="A126" s="3" t="s">
        <v>1140</v>
      </c>
      <c r="B126" s="4" t="s">
        <v>1141</v>
      </c>
      <c r="C126">
        <v>1062.11876450779</v>
      </c>
      <c r="D126">
        <v>122.783687059513</v>
      </c>
      <c r="E126">
        <v>3.1121628011655802</v>
      </c>
      <c r="F126" s="5">
        <v>1.15041474438715E-29</v>
      </c>
      <c r="G126" t="s">
        <v>4</v>
      </c>
      <c r="H126">
        <v>1062.11876450779</v>
      </c>
      <c r="I126">
        <v>58.727112902997703</v>
      </c>
      <c r="J126">
        <v>4.1568960195941997</v>
      </c>
      <c r="K126" s="5">
        <v>2.6960065052646201E-46</v>
      </c>
      <c r="L126" t="s">
        <v>4</v>
      </c>
      <c r="M126">
        <v>122.783687059513</v>
      </c>
      <c r="N126">
        <v>58.727112902997703</v>
      </c>
      <c r="O126">
        <v>1.04473321842862</v>
      </c>
      <c r="P126">
        <v>8.9365480991845795E-4</v>
      </c>
      <c r="Q126" t="s">
        <v>4</v>
      </c>
      <c r="R126" s="4" t="s">
        <v>87</v>
      </c>
      <c r="S126" t="s">
        <v>4</v>
      </c>
      <c r="T126" t="s">
        <v>1142</v>
      </c>
      <c r="U126" t="s">
        <v>1143</v>
      </c>
      <c r="V126" t="s">
        <v>1144</v>
      </c>
      <c r="W126" t="s">
        <v>203</v>
      </c>
      <c r="X126" t="s">
        <v>4</v>
      </c>
      <c r="Y126" t="s">
        <v>1145</v>
      </c>
      <c r="Z126" t="s">
        <v>1146</v>
      </c>
      <c r="AA126" t="s">
        <v>1147</v>
      </c>
      <c r="AB126" t="s">
        <v>4</v>
      </c>
      <c r="AC126" s="3" t="s">
        <v>1148</v>
      </c>
      <c r="AD126" t="s">
        <v>4</v>
      </c>
      <c r="AE126" t="s">
        <v>1149</v>
      </c>
      <c r="AF126" t="s">
        <v>834</v>
      </c>
      <c r="AG126" t="s">
        <v>1150</v>
      </c>
      <c r="AH126" t="s">
        <v>112</v>
      </c>
      <c r="AI126" t="s">
        <v>1151</v>
      </c>
      <c r="AJ126" t="s">
        <v>1152</v>
      </c>
      <c r="AL126" t="s">
        <v>1153</v>
      </c>
      <c r="AQ126" t="s">
        <v>1154</v>
      </c>
      <c r="AU126" t="s">
        <v>112</v>
      </c>
      <c r="AV126" t="s">
        <v>1155</v>
      </c>
      <c r="AW126" t="s">
        <v>114</v>
      </c>
      <c r="AX126" t="s">
        <v>733</v>
      </c>
      <c r="AY126" t="s">
        <v>1156</v>
      </c>
      <c r="AZ126" t="s">
        <v>4</v>
      </c>
      <c r="BA126" s="3" t="s">
        <v>115</v>
      </c>
      <c r="BB126" s="6" t="s">
        <v>95</v>
      </c>
      <c r="BC126" s="3" t="s">
        <v>95</v>
      </c>
      <c r="BD126" t="s">
        <v>4</v>
      </c>
      <c r="BE126">
        <v>8933</v>
      </c>
      <c r="BF126" t="s">
        <v>169</v>
      </c>
      <c r="BG126">
        <v>96.536799999999999</v>
      </c>
      <c r="BH126">
        <v>73.160200000000003</v>
      </c>
      <c r="BI126">
        <v>82.792199999999994</v>
      </c>
      <c r="BJ126">
        <v>66.017300000000006</v>
      </c>
      <c r="BK126">
        <v>71.861500000000007</v>
      </c>
      <c r="BL126" t="s">
        <v>1157</v>
      </c>
      <c r="BM126">
        <v>71.861500000000007</v>
      </c>
      <c r="BN126">
        <v>63.095199999999998</v>
      </c>
      <c r="BO126">
        <v>68.290000000000006</v>
      </c>
      <c r="BP126">
        <v>29.004300000000001</v>
      </c>
      <c r="BQ126">
        <v>32.683999999999997</v>
      </c>
      <c r="BR126" t="s">
        <v>1158</v>
      </c>
      <c r="BS126">
        <v>28.0303</v>
      </c>
      <c r="BU126">
        <v>31.926400000000001</v>
      </c>
      <c r="BV126" t="s">
        <v>1159</v>
      </c>
      <c r="BX126">
        <v>36.688299999999998</v>
      </c>
      <c r="BY126">
        <v>9.4155800000000003</v>
      </c>
      <c r="BZ126" t="s">
        <v>1160</v>
      </c>
      <c r="CA126">
        <v>29.653700000000001</v>
      </c>
      <c r="CB126" t="s">
        <v>1161</v>
      </c>
      <c r="CC126">
        <v>15.4762</v>
      </c>
      <c r="CD126">
        <v>28.7879</v>
      </c>
      <c r="CG126" t="s">
        <v>1162</v>
      </c>
      <c r="CH126">
        <v>28.896100000000001</v>
      </c>
      <c r="CI126">
        <v>27.8139</v>
      </c>
      <c r="CJ126">
        <v>18.831199999999999</v>
      </c>
      <c r="CK126">
        <v>9</v>
      </c>
      <c r="CL126" t="s">
        <v>4</v>
      </c>
      <c r="CM126" t="s">
        <v>1163</v>
      </c>
      <c r="CN126" t="s">
        <v>1164</v>
      </c>
      <c r="CO126" t="s">
        <v>219</v>
      </c>
      <c r="CP126">
        <v>125</v>
      </c>
      <c r="CQ126" t="s">
        <v>100</v>
      </c>
      <c r="CR126" t="s">
        <v>100</v>
      </c>
      <c r="CS126" t="s">
        <v>101</v>
      </c>
      <c r="CT126" s="7" t="s">
        <v>152</v>
      </c>
      <c r="CU126" t="s">
        <v>102</v>
      </c>
      <c r="CV126" t="s">
        <v>1165</v>
      </c>
    </row>
    <row r="127" spans="1:100">
      <c r="A127" s="3" t="s">
        <v>1166</v>
      </c>
      <c r="B127" s="4" t="s">
        <v>1167</v>
      </c>
      <c r="C127">
        <v>236.596928234275</v>
      </c>
      <c r="D127">
        <v>36.623300798922401</v>
      </c>
      <c r="E127">
        <v>2.6960838605995199</v>
      </c>
      <c r="F127">
        <v>1.2294498475495401E-4</v>
      </c>
      <c r="G127" t="s">
        <v>4</v>
      </c>
      <c r="H127">
        <v>236.596928234275</v>
      </c>
      <c r="I127">
        <v>22.668424796765699</v>
      </c>
      <c r="J127">
        <v>3.37559909011074</v>
      </c>
      <c r="K127" s="5">
        <v>1.30566410315799E-6</v>
      </c>
      <c r="L127" t="s">
        <v>4</v>
      </c>
      <c r="M127">
        <v>36.623300798922401</v>
      </c>
      <c r="N127">
        <v>22.668424796765699</v>
      </c>
      <c r="O127">
        <v>0.67951522951122101</v>
      </c>
      <c r="P127">
        <v>0.400557641370338</v>
      </c>
      <c r="Q127" t="s">
        <v>4</v>
      </c>
      <c r="R127" s="4" t="s">
        <v>87</v>
      </c>
      <c r="S127" t="s">
        <v>4</v>
      </c>
      <c r="T127" t="s">
        <v>1168</v>
      </c>
      <c r="U127" t="s">
        <v>1169</v>
      </c>
      <c r="V127" t="s">
        <v>1170</v>
      </c>
      <c r="W127" t="s">
        <v>328</v>
      </c>
      <c r="X127" t="s">
        <v>4</v>
      </c>
      <c r="Y127" t="s">
        <v>1171</v>
      </c>
      <c r="Z127" t="s">
        <v>1172</v>
      </c>
      <c r="AA127" t="s">
        <v>1173</v>
      </c>
      <c r="AB127" t="s">
        <v>4</v>
      </c>
      <c r="AC127" s="3" t="s">
        <v>1174</v>
      </c>
      <c r="AD127" t="s">
        <v>4</v>
      </c>
      <c r="AE127" t="s">
        <v>1175</v>
      </c>
      <c r="AF127" t="s">
        <v>834</v>
      </c>
      <c r="AG127" t="s">
        <v>1176</v>
      </c>
      <c r="AH127" t="s">
        <v>112</v>
      </c>
      <c r="AJ127" t="s">
        <v>1177</v>
      </c>
      <c r="AL127" t="s">
        <v>1178</v>
      </c>
      <c r="AQ127" t="s">
        <v>641</v>
      </c>
      <c r="AR127" t="s">
        <v>1179</v>
      </c>
      <c r="AU127" t="s">
        <v>112</v>
      </c>
      <c r="AV127" t="s">
        <v>1180</v>
      </c>
      <c r="AW127" t="s">
        <v>114</v>
      </c>
      <c r="AX127" t="s">
        <v>909</v>
      </c>
      <c r="AY127" t="s">
        <v>1181</v>
      </c>
      <c r="AZ127" t="s">
        <v>4</v>
      </c>
      <c r="BA127" s="3" t="s">
        <v>95</v>
      </c>
      <c r="BB127" t="s">
        <v>96</v>
      </c>
      <c r="BC127" s="3" t="s">
        <v>95</v>
      </c>
      <c r="BD127" t="s">
        <v>4</v>
      </c>
      <c r="BE127">
        <v>6438</v>
      </c>
      <c r="BF127" t="s">
        <v>213</v>
      </c>
      <c r="BG127">
        <v>99.132300000000001</v>
      </c>
      <c r="BH127">
        <v>99.783100000000005</v>
      </c>
      <c r="BI127">
        <v>97.397000000000006</v>
      </c>
      <c r="BJ127">
        <v>72.4512</v>
      </c>
      <c r="BK127">
        <v>82.754900000000006</v>
      </c>
      <c r="BL127">
        <v>68.655100000000004</v>
      </c>
      <c r="BM127">
        <v>90.563999999999993</v>
      </c>
      <c r="BN127">
        <v>90.672499999999999</v>
      </c>
      <c r="BO127">
        <v>89.913200000000003</v>
      </c>
      <c r="BP127">
        <v>71.691999999999993</v>
      </c>
      <c r="BQ127">
        <v>63.232100000000003</v>
      </c>
      <c r="BS127">
        <v>64.316699999999997</v>
      </c>
      <c r="BT127">
        <v>49.2408</v>
      </c>
      <c r="BU127">
        <v>49.2408</v>
      </c>
      <c r="BV127" t="s">
        <v>1182</v>
      </c>
      <c r="BW127">
        <v>60.737499999999997</v>
      </c>
      <c r="BX127">
        <v>68.980500000000006</v>
      </c>
      <c r="BZ127">
        <v>35.900199999999998</v>
      </c>
      <c r="CA127">
        <v>67.895899999999997</v>
      </c>
      <c r="CB127" t="s">
        <v>1183</v>
      </c>
      <c r="CE127">
        <v>44.793900000000001</v>
      </c>
      <c r="CG127">
        <v>46.4208</v>
      </c>
      <c r="CH127">
        <v>46.4208</v>
      </c>
      <c r="CI127" t="s">
        <v>1184</v>
      </c>
      <c r="CK127">
        <v>8</v>
      </c>
      <c r="CL127" t="s">
        <v>4</v>
      </c>
      <c r="CM127" t="s">
        <v>1185</v>
      </c>
      <c r="CN127" t="s">
        <v>1186</v>
      </c>
      <c r="CO127" t="s">
        <v>99</v>
      </c>
      <c r="CP127">
        <v>126</v>
      </c>
      <c r="CQ127" t="s">
        <v>100</v>
      </c>
      <c r="CR127" t="s">
        <v>100</v>
      </c>
      <c r="CS127" t="s">
        <v>101</v>
      </c>
      <c r="CT127" t="s">
        <v>100</v>
      </c>
      <c r="CU127" t="s">
        <v>102</v>
      </c>
      <c r="CV127" t="s">
        <v>100</v>
      </c>
    </row>
    <row r="128" spans="1:100">
      <c r="A128" s="3" t="s">
        <v>1187</v>
      </c>
      <c r="B128" s="4" t="s">
        <v>1188</v>
      </c>
      <c r="C128">
        <v>129.79003969136201</v>
      </c>
      <c r="D128">
        <v>19.861619962563999</v>
      </c>
      <c r="E128">
        <v>2.69942992075678</v>
      </c>
      <c r="F128" s="5">
        <v>4.0793348462623998E-9</v>
      </c>
      <c r="G128" t="s">
        <v>4</v>
      </c>
      <c r="H128">
        <v>129.79003969136201</v>
      </c>
      <c r="I128">
        <v>23.668856120044399</v>
      </c>
      <c r="J128">
        <v>2.4105053581215099</v>
      </c>
      <c r="K128" s="5">
        <v>1.9058419852983201E-7</v>
      </c>
      <c r="L128" t="s">
        <v>4</v>
      </c>
      <c r="M128">
        <v>19.861619962563999</v>
      </c>
      <c r="N128">
        <v>23.668856120044399</v>
      </c>
      <c r="O128">
        <f>0.288924562635264</f>
        <v>0.288924562635264</v>
      </c>
      <c r="P128">
        <v>0.62970996718563799</v>
      </c>
      <c r="Q128" t="s">
        <v>4</v>
      </c>
      <c r="R128" s="4" t="s">
        <v>87</v>
      </c>
      <c r="S128" t="s">
        <v>4</v>
      </c>
      <c r="T128" t="s">
        <v>270</v>
      </c>
      <c r="U128" t="s">
        <v>271</v>
      </c>
      <c r="V128" t="s">
        <v>272</v>
      </c>
      <c r="W128" t="s">
        <v>203</v>
      </c>
      <c r="X128" t="s">
        <v>4</v>
      </c>
      <c r="Y128" t="s">
        <v>1189</v>
      </c>
      <c r="Z128" t="s">
        <v>1190</v>
      </c>
      <c r="AA128" t="s">
        <v>1191</v>
      </c>
      <c r="AB128" t="s">
        <v>4</v>
      </c>
      <c r="AC128" s="3" t="s">
        <v>1192</v>
      </c>
      <c r="AD128" t="s">
        <v>4</v>
      </c>
      <c r="AE128" t="s">
        <v>1193</v>
      </c>
      <c r="AF128" t="s">
        <v>1194</v>
      </c>
      <c r="AG128" t="s">
        <v>1195</v>
      </c>
      <c r="AH128" t="s">
        <v>112</v>
      </c>
      <c r="AU128" t="s">
        <v>112</v>
      </c>
      <c r="AV128" t="s">
        <v>1196</v>
      </c>
      <c r="AW128" t="s">
        <v>114</v>
      </c>
      <c r="AX128" t="s">
        <v>132</v>
      </c>
      <c r="AY128" t="s">
        <v>1197</v>
      </c>
      <c r="AZ128" t="s">
        <v>4</v>
      </c>
      <c r="BA128" s="3" t="s">
        <v>95</v>
      </c>
      <c r="BB128" s="6" t="s">
        <v>95</v>
      </c>
      <c r="BC128" s="3" t="s">
        <v>95</v>
      </c>
      <c r="BD128" t="s">
        <v>4</v>
      </c>
      <c r="BE128">
        <v>3491</v>
      </c>
      <c r="BF128" t="s">
        <v>112</v>
      </c>
      <c r="BG128">
        <v>86.176500000000004</v>
      </c>
      <c r="BH128">
        <v>52.941200000000002</v>
      </c>
      <c r="BI128">
        <v>30</v>
      </c>
      <c r="BJ128">
        <v>88.823499999999996</v>
      </c>
      <c r="BK128">
        <v>79.7059</v>
      </c>
      <c r="BP128">
        <v>67.058800000000005</v>
      </c>
      <c r="BR128">
        <v>59.7059</v>
      </c>
      <c r="BS128">
        <v>55.882399999999997</v>
      </c>
      <c r="BV128" t="s">
        <v>1198</v>
      </c>
      <c r="BX128">
        <v>36.470599999999997</v>
      </c>
      <c r="BZ128">
        <v>37.941200000000002</v>
      </c>
      <c r="CK128">
        <v>5</v>
      </c>
      <c r="CL128" t="s">
        <v>4</v>
      </c>
      <c r="CM128" t="s">
        <v>98</v>
      </c>
      <c r="CN128" t="s">
        <v>98</v>
      </c>
      <c r="CO128" t="s">
        <v>99</v>
      </c>
      <c r="CP128">
        <v>127</v>
      </c>
      <c r="CQ128" t="s">
        <v>100</v>
      </c>
      <c r="CR128" t="s">
        <v>100</v>
      </c>
      <c r="CS128" t="s">
        <v>101</v>
      </c>
      <c r="CT128" t="s">
        <v>100</v>
      </c>
      <c r="CU128" t="s">
        <v>102</v>
      </c>
      <c r="CV128" t="s">
        <v>100</v>
      </c>
    </row>
    <row r="129" spans="1:100">
      <c r="A129" s="3" t="s">
        <v>1199</v>
      </c>
      <c r="B129" s="4" t="s">
        <v>1200</v>
      </c>
      <c r="C129">
        <v>2463.99103318469</v>
      </c>
      <c r="D129">
        <v>228.73806268492601</v>
      </c>
      <c r="E129">
        <v>3.4279688581424401</v>
      </c>
      <c r="F129" s="5">
        <v>2.7083727554202802E-40</v>
      </c>
      <c r="G129" t="s">
        <v>4</v>
      </c>
      <c r="H129">
        <v>2463.99103318469</v>
      </c>
      <c r="I129">
        <v>241.866841929586</v>
      </c>
      <c r="J129">
        <v>3.3385104136643302</v>
      </c>
      <c r="K129" s="5">
        <v>1.4712360370215299E-38</v>
      </c>
      <c r="L129" t="s">
        <v>4</v>
      </c>
      <c r="M129">
        <v>228.73806268492601</v>
      </c>
      <c r="N129">
        <v>241.866841929586</v>
      </c>
      <c r="O129">
        <f>0.0894584444781095</f>
        <v>8.9458444478109495E-2</v>
      </c>
      <c r="P129">
        <v>0.79505004960984005</v>
      </c>
      <c r="Q129" t="s">
        <v>4</v>
      </c>
      <c r="R129" s="4" t="s">
        <v>87</v>
      </c>
      <c r="S129" t="s">
        <v>4</v>
      </c>
      <c r="T129" t="s">
        <v>1201</v>
      </c>
      <c r="U129" t="s">
        <v>1202</v>
      </c>
      <c r="V129" t="s">
        <v>1203</v>
      </c>
      <c r="W129" t="s">
        <v>123</v>
      </c>
      <c r="X129" t="s">
        <v>4</v>
      </c>
      <c r="Y129" t="s">
        <v>1204</v>
      </c>
      <c r="Z129" t="s">
        <v>1205</v>
      </c>
      <c r="AA129" t="s">
        <v>1206</v>
      </c>
      <c r="AB129" t="s">
        <v>4</v>
      </c>
      <c r="AC129" s="3" t="s">
        <v>1207</v>
      </c>
      <c r="AD129" t="s">
        <v>4</v>
      </c>
      <c r="AE129" t="s">
        <v>1208</v>
      </c>
      <c r="AF129" t="s">
        <v>1209</v>
      </c>
      <c r="AG129" t="s">
        <v>1210</v>
      </c>
      <c r="AH129" t="s">
        <v>112</v>
      </c>
      <c r="AJ129" t="s">
        <v>1211</v>
      </c>
      <c r="AU129" t="s">
        <v>112</v>
      </c>
      <c r="AV129" t="s">
        <v>1212</v>
      </c>
      <c r="AW129" t="s">
        <v>114</v>
      </c>
      <c r="AX129" t="s">
        <v>371</v>
      </c>
      <c r="AY129" t="s">
        <v>1213</v>
      </c>
      <c r="AZ129" t="s">
        <v>4</v>
      </c>
      <c r="BA129" s="3" t="s">
        <v>115</v>
      </c>
      <c r="BB129" s="6" t="s">
        <v>95</v>
      </c>
      <c r="BC129" s="3" t="s">
        <v>95</v>
      </c>
      <c r="BD129" t="s">
        <v>4</v>
      </c>
      <c r="BE129">
        <v>3505</v>
      </c>
      <c r="BF129" t="s">
        <v>112</v>
      </c>
      <c r="BG129">
        <v>96.428600000000003</v>
      </c>
      <c r="BI129">
        <v>92.857100000000003</v>
      </c>
      <c r="BJ129">
        <v>85.044600000000003</v>
      </c>
      <c r="BK129">
        <v>81.25</v>
      </c>
      <c r="BM129">
        <v>82.142899999999997</v>
      </c>
      <c r="BN129">
        <v>82.142899999999997</v>
      </c>
      <c r="BO129">
        <v>81.919600000000003</v>
      </c>
      <c r="BP129">
        <v>46.875</v>
      </c>
      <c r="BX129">
        <v>27.232099999999999</v>
      </c>
      <c r="BY129">
        <v>25.446400000000001</v>
      </c>
      <c r="BZ129">
        <v>16.294599999999999</v>
      </c>
      <c r="CA129">
        <v>26.339300000000001</v>
      </c>
      <c r="CG129" t="s">
        <v>1214</v>
      </c>
      <c r="CH129" t="s">
        <v>1215</v>
      </c>
      <c r="CI129">
        <v>9.5982099999999999</v>
      </c>
      <c r="CK129">
        <v>5</v>
      </c>
      <c r="CL129" t="s">
        <v>4</v>
      </c>
      <c r="CM129" t="s">
        <v>1216</v>
      </c>
      <c r="CN129" t="s">
        <v>1217</v>
      </c>
      <c r="CO129" t="s">
        <v>1218</v>
      </c>
      <c r="CP129">
        <v>128</v>
      </c>
      <c r="CQ129" t="s">
        <v>100</v>
      </c>
      <c r="CR129" t="s">
        <v>100</v>
      </c>
      <c r="CS129" t="s">
        <v>101</v>
      </c>
      <c r="CT129" t="s">
        <v>100</v>
      </c>
      <c r="CU129" t="s">
        <v>102</v>
      </c>
      <c r="CV129" t="s">
        <v>100</v>
      </c>
    </row>
    <row r="130" spans="1:100">
      <c r="A130" s="3" t="s">
        <v>1219</v>
      </c>
      <c r="B130" s="4" t="s">
        <v>1220</v>
      </c>
      <c r="C130">
        <v>50.112206093066</v>
      </c>
      <c r="D130">
        <v>9.6357059576390292</v>
      </c>
      <c r="E130">
        <v>2.37130455487062</v>
      </c>
      <c r="F130">
        <v>3.4049436046830199E-3</v>
      </c>
      <c r="G130" t="s">
        <v>4</v>
      </c>
      <c r="H130">
        <v>50.112206093066</v>
      </c>
      <c r="I130">
        <v>10.5590369070053</v>
      </c>
      <c r="J130">
        <v>2.24191231709997</v>
      </c>
      <c r="K130">
        <v>5.5056919843727197E-3</v>
      </c>
      <c r="L130" t="s">
        <v>4</v>
      </c>
      <c r="M130">
        <v>9.6357059576390292</v>
      </c>
      <c r="N130">
        <v>10.5590369070053</v>
      </c>
      <c r="O130">
        <f>0.129392237770647</f>
        <v>0.12939223777064701</v>
      </c>
      <c r="P130">
        <v>0.90659060720460505</v>
      </c>
      <c r="Q130" t="s">
        <v>4</v>
      </c>
      <c r="R130" s="4" t="s">
        <v>87</v>
      </c>
      <c r="S130" t="s">
        <v>4</v>
      </c>
      <c r="T130" t="s">
        <v>92</v>
      </c>
      <c r="U130" t="s">
        <v>92</v>
      </c>
      <c r="V130" t="s">
        <v>92</v>
      </c>
      <c r="W130" t="s">
        <v>92</v>
      </c>
      <c r="X130" t="s">
        <v>4</v>
      </c>
      <c r="Y130" t="s">
        <v>92</v>
      </c>
      <c r="Z130" t="s">
        <v>92</v>
      </c>
      <c r="AA130" t="s">
        <v>92</v>
      </c>
      <c r="AB130" t="s">
        <v>4</v>
      </c>
      <c r="AC130" s="3" t="s">
        <v>93</v>
      </c>
      <c r="AD130" t="s">
        <v>4</v>
      </c>
      <c r="AE130" s="4" t="s">
        <v>94</v>
      </c>
      <c r="AZ130" t="s">
        <v>4</v>
      </c>
      <c r="BA130" s="3" t="s">
        <v>95</v>
      </c>
      <c r="BB130" s="6" t="s">
        <v>95</v>
      </c>
      <c r="BC130" s="3" t="s">
        <v>95</v>
      </c>
      <c r="BD130" t="s">
        <v>4</v>
      </c>
      <c r="BE130">
        <v>5296</v>
      </c>
      <c r="BF130" t="s">
        <v>386</v>
      </c>
      <c r="CK130">
        <v>7</v>
      </c>
      <c r="CL130" t="s">
        <v>4</v>
      </c>
      <c r="CM130" t="s">
        <v>98</v>
      </c>
      <c r="CN130" t="s">
        <v>98</v>
      </c>
      <c r="CO130" t="s">
        <v>99</v>
      </c>
      <c r="CP130">
        <v>129</v>
      </c>
      <c r="CQ130" t="s">
        <v>100</v>
      </c>
      <c r="CR130" t="s">
        <v>100</v>
      </c>
      <c r="CS130" t="s">
        <v>101</v>
      </c>
      <c r="CT130" t="s">
        <v>100</v>
      </c>
      <c r="CU130" t="s">
        <v>102</v>
      </c>
      <c r="CV130" t="s">
        <v>100</v>
      </c>
    </row>
    <row r="131" spans="1:100">
      <c r="A131" s="3" t="s">
        <v>1221</v>
      </c>
      <c r="B131" s="4" t="s">
        <v>1222</v>
      </c>
      <c r="C131">
        <v>286.44647045076999</v>
      </c>
      <c r="D131">
        <v>68.529309110444203</v>
      </c>
      <c r="E131">
        <v>2.06392558575762</v>
      </c>
      <c r="F131" s="5">
        <v>6.5549003866001102E-7</v>
      </c>
      <c r="G131" t="s">
        <v>4</v>
      </c>
      <c r="H131">
        <v>286.44647045076999</v>
      </c>
      <c r="I131">
        <v>40.4864299489521</v>
      </c>
      <c r="J131">
        <v>2.80772675602935</v>
      </c>
      <c r="K131" s="5">
        <v>2.30255058866054E-11</v>
      </c>
      <c r="L131" t="s">
        <v>4</v>
      </c>
      <c r="M131">
        <v>68.529309110444203</v>
      </c>
      <c r="N131">
        <v>40.4864299489521</v>
      </c>
      <c r="O131">
        <v>0.74380117027173398</v>
      </c>
      <c r="P131">
        <v>0.11171132043199899</v>
      </c>
      <c r="Q131" t="s">
        <v>4</v>
      </c>
      <c r="R131" s="4" t="s">
        <v>87</v>
      </c>
      <c r="S131" t="s">
        <v>4</v>
      </c>
      <c r="T131" t="s">
        <v>1223</v>
      </c>
      <c r="U131" t="s">
        <v>1224</v>
      </c>
      <c r="V131" t="s">
        <v>1225</v>
      </c>
      <c r="W131" t="s">
        <v>123</v>
      </c>
      <c r="X131" t="s">
        <v>4</v>
      </c>
      <c r="Y131" t="s">
        <v>1226</v>
      </c>
      <c r="Z131" t="s">
        <v>1227</v>
      </c>
      <c r="AA131" t="s">
        <v>1228</v>
      </c>
      <c r="AB131" t="s">
        <v>4</v>
      </c>
      <c r="AC131" s="3" t="s">
        <v>1229</v>
      </c>
      <c r="AD131" t="s">
        <v>4</v>
      </c>
      <c r="AE131" t="s">
        <v>1230</v>
      </c>
      <c r="AF131" t="s">
        <v>1231</v>
      </c>
      <c r="AG131" t="s">
        <v>1232</v>
      </c>
      <c r="AH131" t="s">
        <v>112</v>
      </c>
      <c r="AU131" t="s">
        <v>112</v>
      </c>
      <c r="AV131" t="s">
        <v>1233</v>
      </c>
      <c r="AW131" t="s">
        <v>114</v>
      </c>
      <c r="AX131" t="s">
        <v>536</v>
      </c>
      <c r="AY131" t="s">
        <v>145</v>
      </c>
      <c r="AZ131" t="s">
        <v>4</v>
      </c>
      <c r="BA131" s="3" t="s">
        <v>95</v>
      </c>
      <c r="BB131" s="6" t="s">
        <v>95</v>
      </c>
      <c r="BC131" s="3" t="s">
        <v>197</v>
      </c>
      <c r="BD131" t="s">
        <v>4</v>
      </c>
      <c r="BE131">
        <v>3519</v>
      </c>
      <c r="BF131" t="s">
        <v>112</v>
      </c>
      <c r="BG131">
        <v>79.049700000000001</v>
      </c>
      <c r="BH131">
        <v>99.784000000000006</v>
      </c>
      <c r="BI131">
        <v>92.872600000000006</v>
      </c>
      <c r="BJ131">
        <v>75.162000000000006</v>
      </c>
      <c r="BK131">
        <v>66.090699999999998</v>
      </c>
      <c r="BL131">
        <v>13.3909</v>
      </c>
      <c r="BN131" t="s">
        <v>1234</v>
      </c>
      <c r="BO131">
        <v>66.306700000000006</v>
      </c>
      <c r="BP131">
        <v>31.5335</v>
      </c>
      <c r="BQ131">
        <v>31.5335</v>
      </c>
      <c r="BR131">
        <v>33.261299999999999</v>
      </c>
      <c r="BS131">
        <v>36.2851</v>
      </c>
      <c r="BT131">
        <v>23.542100000000001</v>
      </c>
      <c r="BU131">
        <v>30.2376</v>
      </c>
      <c r="BV131" t="s">
        <v>1235</v>
      </c>
      <c r="BW131">
        <v>36.501100000000001</v>
      </c>
      <c r="BY131">
        <v>30.453600000000002</v>
      </c>
      <c r="BZ131">
        <v>34.125300000000003</v>
      </c>
      <c r="CA131">
        <v>35.637099999999997</v>
      </c>
      <c r="CG131" t="s">
        <v>1236</v>
      </c>
      <c r="CH131" t="s">
        <v>1237</v>
      </c>
      <c r="CI131" t="s">
        <v>1236</v>
      </c>
      <c r="CK131">
        <v>5</v>
      </c>
      <c r="CL131" t="s">
        <v>4</v>
      </c>
      <c r="CM131" t="s">
        <v>1238</v>
      </c>
      <c r="CN131" t="s">
        <v>1239</v>
      </c>
      <c r="CO131" t="s">
        <v>99</v>
      </c>
      <c r="CP131">
        <v>130</v>
      </c>
      <c r="CQ131" t="s">
        <v>100</v>
      </c>
      <c r="CR131" t="s">
        <v>100</v>
      </c>
      <c r="CS131" t="s">
        <v>101</v>
      </c>
      <c r="CT131" t="s">
        <v>100</v>
      </c>
      <c r="CU131" t="s">
        <v>102</v>
      </c>
      <c r="CV131" t="s">
        <v>100</v>
      </c>
    </row>
    <row r="132" spans="1:100">
      <c r="A132" s="3" t="s">
        <v>1240</v>
      </c>
      <c r="B132" s="4" t="s">
        <v>1241</v>
      </c>
      <c r="C132">
        <v>90.374216489829806</v>
      </c>
      <c r="D132">
        <v>20.515190219688201</v>
      </c>
      <c r="E132">
        <v>2.1454132609385299</v>
      </c>
      <c r="F132">
        <v>6.6941137539015304E-3</v>
      </c>
      <c r="G132" t="s">
        <v>4</v>
      </c>
      <c r="H132">
        <v>90.374216489829806</v>
      </c>
      <c r="I132">
        <v>10.106509271240901</v>
      </c>
      <c r="J132">
        <v>3.1371619286732799</v>
      </c>
      <c r="K132" s="5">
        <v>8.8744937751715204E-5</v>
      </c>
      <c r="L132" t="s">
        <v>4</v>
      </c>
      <c r="M132">
        <v>20.515190219688201</v>
      </c>
      <c r="N132">
        <v>10.106509271240901</v>
      </c>
      <c r="O132">
        <v>0.99174866773474302</v>
      </c>
      <c r="P132">
        <v>0.268325655198214</v>
      </c>
      <c r="Q132" t="s">
        <v>4</v>
      </c>
      <c r="R132" s="4" t="s">
        <v>87</v>
      </c>
      <c r="S132" t="s">
        <v>4</v>
      </c>
      <c r="T132" t="s">
        <v>1242</v>
      </c>
      <c r="U132" t="s">
        <v>1243</v>
      </c>
      <c r="V132" t="s">
        <v>1244</v>
      </c>
      <c r="W132" t="s">
        <v>203</v>
      </c>
      <c r="X132" t="s">
        <v>4</v>
      </c>
      <c r="Y132" t="s">
        <v>1245</v>
      </c>
      <c r="Z132" t="s">
        <v>1246</v>
      </c>
      <c r="AA132" t="s">
        <v>1247</v>
      </c>
      <c r="AB132" t="s">
        <v>4</v>
      </c>
      <c r="AC132" s="3" t="s">
        <v>1248</v>
      </c>
      <c r="AD132" t="s">
        <v>4</v>
      </c>
      <c r="AE132" t="s">
        <v>1249</v>
      </c>
      <c r="AF132" t="s">
        <v>834</v>
      </c>
      <c r="AG132" t="s">
        <v>1250</v>
      </c>
      <c r="AH132" t="s">
        <v>638</v>
      </c>
      <c r="AU132" t="s">
        <v>112</v>
      </c>
      <c r="AV132" t="s">
        <v>1251</v>
      </c>
      <c r="AW132" t="s">
        <v>114</v>
      </c>
      <c r="AX132" t="s">
        <v>536</v>
      </c>
      <c r="AY132" t="s">
        <v>1252</v>
      </c>
      <c r="AZ132" t="s">
        <v>4</v>
      </c>
      <c r="BA132" s="3" t="s">
        <v>95</v>
      </c>
      <c r="BB132" t="s">
        <v>96</v>
      </c>
      <c r="BC132" s="3" t="s">
        <v>95</v>
      </c>
      <c r="BD132" t="s">
        <v>4</v>
      </c>
      <c r="BE132">
        <v>4875</v>
      </c>
      <c r="BF132" t="s">
        <v>282</v>
      </c>
      <c r="BG132">
        <v>94.625200000000007</v>
      </c>
      <c r="BH132">
        <v>35.29</v>
      </c>
      <c r="BI132">
        <v>88.472399999999993</v>
      </c>
      <c r="BJ132" t="s">
        <v>1253</v>
      </c>
      <c r="BK132">
        <v>53.6068</v>
      </c>
      <c r="BP132">
        <v>58.769399999999997</v>
      </c>
      <c r="BQ132">
        <v>52.8996</v>
      </c>
      <c r="BR132">
        <v>56.435600000000001</v>
      </c>
      <c r="BS132">
        <v>7.9915099999999999</v>
      </c>
      <c r="BT132">
        <v>35.643599999999999</v>
      </c>
      <c r="BW132">
        <v>53.6068</v>
      </c>
      <c r="BX132">
        <v>57.001399999999997</v>
      </c>
      <c r="BY132">
        <v>55.162700000000001</v>
      </c>
      <c r="BZ132">
        <v>51.555900000000001</v>
      </c>
      <c r="CA132">
        <v>56.577100000000002</v>
      </c>
      <c r="CD132">
        <v>24.4696</v>
      </c>
      <c r="CG132" t="s">
        <v>1254</v>
      </c>
      <c r="CH132" t="s">
        <v>1255</v>
      </c>
      <c r="CI132" t="s">
        <v>1256</v>
      </c>
      <c r="CK132">
        <v>6</v>
      </c>
      <c r="CL132" t="s">
        <v>4</v>
      </c>
      <c r="CM132" t="s">
        <v>1257</v>
      </c>
      <c r="CN132" t="s">
        <v>1258</v>
      </c>
      <c r="CO132" t="s">
        <v>99</v>
      </c>
      <c r="CP132">
        <v>131</v>
      </c>
      <c r="CQ132" t="s">
        <v>100</v>
      </c>
      <c r="CR132" t="s">
        <v>100</v>
      </c>
      <c r="CS132" t="s">
        <v>101</v>
      </c>
      <c r="CT132" t="s">
        <v>100</v>
      </c>
      <c r="CU132" t="s">
        <v>102</v>
      </c>
      <c r="CV132" t="s">
        <v>100</v>
      </c>
    </row>
    <row r="133" spans="1:100">
      <c r="A133" s="3" t="s">
        <v>1259</v>
      </c>
      <c r="B133" s="4" t="s">
        <v>1260</v>
      </c>
      <c r="C133">
        <v>43.048400093175502</v>
      </c>
      <c r="D133">
        <v>8.7877812482139905</v>
      </c>
      <c r="E133">
        <v>2.3011926532982301</v>
      </c>
      <c r="F133">
        <v>8.5268514865931306E-3</v>
      </c>
      <c r="G133" t="s">
        <v>4</v>
      </c>
      <c r="H133">
        <v>43.048400093175502</v>
      </c>
      <c r="I133">
        <v>8.1338270847156604</v>
      </c>
      <c r="J133">
        <v>2.3921937445466401</v>
      </c>
      <c r="K133">
        <v>6.4540054995824003E-3</v>
      </c>
      <c r="L133" t="s">
        <v>4</v>
      </c>
      <c r="M133">
        <v>8.7877812482139905</v>
      </c>
      <c r="N133">
        <v>8.1338270847156604</v>
      </c>
      <c r="O133">
        <v>9.1001091248407301E-2</v>
      </c>
      <c r="P133">
        <v>0.94091698502700705</v>
      </c>
      <c r="Q133" t="s">
        <v>4</v>
      </c>
      <c r="R133" s="4" t="s">
        <v>87</v>
      </c>
      <c r="S133" t="s">
        <v>4</v>
      </c>
      <c r="T133" t="s">
        <v>1261</v>
      </c>
      <c r="U133" t="s">
        <v>1262</v>
      </c>
      <c r="V133" t="s">
        <v>1263</v>
      </c>
      <c r="W133" t="s">
        <v>328</v>
      </c>
      <c r="X133" t="s">
        <v>4</v>
      </c>
      <c r="Y133" t="s">
        <v>1264</v>
      </c>
      <c r="Z133" t="s">
        <v>1265</v>
      </c>
      <c r="AA133" t="s">
        <v>1266</v>
      </c>
      <c r="AB133" t="s">
        <v>4</v>
      </c>
      <c r="AC133" s="3" t="s">
        <v>1267</v>
      </c>
      <c r="AD133" t="s">
        <v>4</v>
      </c>
      <c r="AE133" t="s">
        <v>1268</v>
      </c>
      <c r="AF133" t="s">
        <v>1269</v>
      </c>
      <c r="AG133" t="s">
        <v>1270</v>
      </c>
      <c r="AH133" t="s">
        <v>112</v>
      </c>
      <c r="AJ133" t="s">
        <v>1271</v>
      </c>
      <c r="AL133" t="s">
        <v>1272</v>
      </c>
      <c r="AQ133" t="s">
        <v>1273</v>
      </c>
      <c r="AU133" t="s">
        <v>112</v>
      </c>
      <c r="AV133" t="s">
        <v>1274</v>
      </c>
      <c r="AW133" t="s">
        <v>114</v>
      </c>
      <c r="AX133" t="s">
        <v>371</v>
      </c>
      <c r="AY133" t="s">
        <v>1275</v>
      </c>
      <c r="AZ133" t="s">
        <v>4</v>
      </c>
      <c r="BA133" s="3" t="s">
        <v>95</v>
      </c>
      <c r="BB133" s="6" t="s">
        <v>95</v>
      </c>
      <c r="BC133" s="3" t="s">
        <v>95</v>
      </c>
      <c r="BD133" t="s">
        <v>4</v>
      </c>
      <c r="BE133">
        <v>3524</v>
      </c>
      <c r="BF133" t="s">
        <v>112</v>
      </c>
      <c r="BI133">
        <v>71.535600000000002</v>
      </c>
      <c r="BJ133">
        <v>63.295900000000003</v>
      </c>
      <c r="BM133">
        <v>60.299599999999998</v>
      </c>
      <c r="BN133">
        <v>64.793999999999997</v>
      </c>
      <c r="BO133">
        <v>74.157300000000006</v>
      </c>
      <c r="BP133">
        <v>35.206000000000003</v>
      </c>
      <c r="BQ133">
        <v>25.842700000000001</v>
      </c>
      <c r="BR133">
        <v>28.838999999999999</v>
      </c>
      <c r="BS133">
        <v>25.093599999999999</v>
      </c>
      <c r="BV133" t="s">
        <v>1276</v>
      </c>
      <c r="CA133">
        <v>26.217199999999998</v>
      </c>
      <c r="CK133">
        <v>5</v>
      </c>
      <c r="CL133" t="s">
        <v>4</v>
      </c>
      <c r="CM133" t="s">
        <v>1277</v>
      </c>
      <c r="CN133" t="s">
        <v>1278</v>
      </c>
      <c r="CO133" t="s">
        <v>99</v>
      </c>
      <c r="CP133">
        <v>132</v>
      </c>
      <c r="CQ133" t="s">
        <v>100</v>
      </c>
      <c r="CR133" t="s">
        <v>100</v>
      </c>
      <c r="CS133" t="s">
        <v>101</v>
      </c>
      <c r="CT133" t="s">
        <v>100</v>
      </c>
      <c r="CU133" t="s">
        <v>102</v>
      </c>
      <c r="CV133" t="s">
        <v>100</v>
      </c>
    </row>
    <row r="134" spans="1:100">
      <c r="A134" s="3" t="s">
        <v>1279</v>
      </c>
      <c r="B134" s="4" t="s">
        <v>1280</v>
      </c>
      <c r="C134">
        <v>133.22661910504701</v>
      </c>
      <c r="D134">
        <v>15.736409835820901</v>
      </c>
      <c r="E134">
        <v>3.08132756749146</v>
      </c>
      <c r="F134">
        <v>1.30688154027581E-3</v>
      </c>
      <c r="G134" t="s">
        <v>4</v>
      </c>
      <c r="H134">
        <v>133.22661910504701</v>
      </c>
      <c r="I134">
        <v>12.8661701694583</v>
      </c>
      <c r="J134">
        <v>3.3962943284898</v>
      </c>
      <c r="K134">
        <v>3.5474595044699601E-4</v>
      </c>
      <c r="L134" t="s">
        <v>4</v>
      </c>
      <c r="M134">
        <v>15.736409835820901</v>
      </c>
      <c r="N134">
        <v>12.8661701694583</v>
      </c>
      <c r="O134">
        <v>0.31496676099833498</v>
      </c>
      <c r="P134">
        <v>0.79458999731999902</v>
      </c>
      <c r="Q134" t="s">
        <v>4</v>
      </c>
      <c r="R134" s="4" t="s">
        <v>87</v>
      </c>
      <c r="S134" t="s">
        <v>4</v>
      </c>
      <c r="T134" t="s">
        <v>1281</v>
      </c>
      <c r="U134" t="s">
        <v>1282</v>
      </c>
      <c r="V134" t="s">
        <v>1283</v>
      </c>
      <c r="W134" t="s">
        <v>976</v>
      </c>
      <c r="X134" t="s">
        <v>4</v>
      </c>
      <c r="Y134" t="s">
        <v>977</v>
      </c>
      <c r="Z134" t="s">
        <v>978</v>
      </c>
      <c r="AA134" t="s">
        <v>979</v>
      </c>
      <c r="AB134" t="s">
        <v>4</v>
      </c>
      <c r="AC134" s="3" t="s">
        <v>1284</v>
      </c>
      <c r="AD134" t="s">
        <v>4</v>
      </c>
      <c r="AE134" t="s">
        <v>1285</v>
      </c>
      <c r="AF134" t="s">
        <v>834</v>
      </c>
      <c r="AG134" t="s">
        <v>1286</v>
      </c>
      <c r="AH134" t="s">
        <v>112</v>
      </c>
      <c r="AI134" t="s">
        <v>1287</v>
      </c>
      <c r="AJ134" t="s">
        <v>1288</v>
      </c>
      <c r="AU134" t="s">
        <v>112</v>
      </c>
      <c r="AV134" t="s">
        <v>1289</v>
      </c>
      <c r="AW134" t="s">
        <v>114</v>
      </c>
      <c r="AX134" t="s">
        <v>144</v>
      </c>
      <c r="AY134" t="s">
        <v>1290</v>
      </c>
      <c r="AZ134" t="s">
        <v>4</v>
      </c>
      <c r="BA134" s="3" t="s">
        <v>95</v>
      </c>
      <c r="BB134" t="s">
        <v>96</v>
      </c>
      <c r="BC134" s="3" t="s">
        <v>95</v>
      </c>
      <c r="BD134" t="s">
        <v>4</v>
      </c>
      <c r="BE134">
        <v>4879</v>
      </c>
      <c r="BF134" t="s">
        <v>282</v>
      </c>
      <c r="BG134">
        <v>95.838200000000001</v>
      </c>
      <c r="BH134">
        <v>96.763000000000005</v>
      </c>
      <c r="BI134">
        <v>91.676299999999998</v>
      </c>
      <c r="BJ134">
        <v>86.589600000000004</v>
      </c>
      <c r="BK134">
        <v>78.843900000000005</v>
      </c>
      <c r="BL134" t="s">
        <v>1291</v>
      </c>
      <c r="BM134">
        <v>5.5491299999999999</v>
      </c>
      <c r="BN134">
        <v>7.1676299999999999</v>
      </c>
      <c r="BP134" t="s">
        <v>1292</v>
      </c>
      <c r="BQ134">
        <v>52.601199999999999</v>
      </c>
      <c r="BR134">
        <v>57.341000000000001</v>
      </c>
      <c r="BS134">
        <v>58.034700000000001</v>
      </c>
      <c r="BT134">
        <v>52.601199999999999</v>
      </c>
      <c r="BU134">
        <v>46.705199999999998</v>
      </c>
      <c r="BV134" t="s">
        <v>1293</v>
      </c>
      <c r="BW134">
        <v>58.381500000000003</v>
      </c>
      <c r="BY134" t="s">
        <v>1294</v>
      </c>
      <c r="BZ134">
        <v>56.185000000000002</v>
      </c>
      <c r="CA134">
        <v>56.878599999999999</v>
      </c>
      <c r="CD134">
        <v>33.757199999999997</v>
      </c>
      <c r="CK134">
        <v>6</v>
      </c>
      <c r="CL134" t="s">
        <v>4</v>
      </c>
      <c r="CM134" t="s">
        <v>1295</v>
      </c>
      <c r="CN134" t="s">
        <v>1296</v>
      </c>
      <c r="CO134" t="s">
        <v>99</v>
      </c>
      <c r="CP134">
        <v>133</v>
      </c>
      <c r="CQ134" t="s">
        <v>100</v>
      </c>
      <c r="CR134" t="s">
        <v>100</v>
      </c>
      <c r="CS134" t="s">
        <v>101</v>
      </c>
      <c r="CT134" t="s">
        <v>100</v>
      </c>
      <c r="CU134" t="s">
        <v>102</v>
      </c>
      <c r="CV134" t="s">
        <v>100</v>
      </c>
    </row>
    <row r="135" spans="1:100">
      <c r="A135" s="3" t="s">
        <v>1297</v>
      </c>
      <c r="B135" s="4" t="s">
        <v>1298</v>
      </c>
      <c r="C135">
        <v>109.46840353206601</v>
      </c>
      <c r="D135">
        <v>20.187513710584199</v>
      </c>
      <c r="E135">
        <v>2.4421084254805101</v>
      </c>
      <c r="F135">
        <v>1.10362516289988E-3</v>
      </c>
      <c r="G135" t="s">
        <v>4</v>
      </c>
      <c r="H135">
        <v>109.46840353206601</v>
      </c>
      <c r="I135">
        <v>8.6383457280185194</v>
      </c>
      <c r="J135">
        <v>3.5686892158753398</v>
      </c>
      <c r="K135" s="5">
        <v>3.68927929278047E-6</v>
      </c>
      <c r="L135" t="s">
        <v>4</v>
      </c>
      <c r="M135">
        <v>20.187513710584199</v>
      </c>
      <c r="N135">
        <v>8.6383457280185194</v>
      </c>
      <c r="O135">
        <v>1.1265807903948299</v>
      </c>
      <c r="P135">
        <v>0.19055982645761299</v>
      </c>
      <c r="Q135" t="s">
        <v>4</v>
      </c>
      <c r="R135" s="4" t="s">
        <v>87</v>
      </c>
      <c r="S135" t="s">
        <v>4</v>
      </c>
      <c r="T135" t="s">
        <v>92</v>
      </c>
      <c r="U135" t="s">
        <v>92</v>
      </c>
      <c r="V135" t="s">
        <v>92</v>
      </c>
      <c r="W135" t="s">
        <v>92</v>
      </c>
      <c r="X135" t="s">
        <v>4</v>
      </c>
      <c r="Y135" t="s">
        <v>1299</v>
      </c>
      <c r="Z135" t="s">
        <v>1300</v>
      </c>
      <c r="AA135" t="s">
        <v>1301</v>
      </c>
      <c r="AB135" t="s">
        <v>4</v>
      </c>
      <c r="AC135" s="3" t="s">
        <v>1302</v>
      </c>
      <c r="AD135" t="s">
        <v>4</v>
      </c>
      <c r="AE135" t="s">
        <v>1303</v>
      </c>
      <c r="AF135" t="s">
        <v>1304</v>
      </c>
      <c r="AG135" t="s">
        <v>1305</v>
      </c>
      <c r="AH135" t="s">
        <v>638</v>
      </c>
      <c r="AJ135" t="s">
        <v>1306</v>
      </c>
      <c r="AU135" t="s">
        <v>112</v>
      </c>
      <c r="AV135" t="s">
        <v>1307</v>
      </c>
      <c r="AW135" t="s">
        <v>114</v>
      </c>
      <c r="AX135" t="s">
        <v>1308</v>
      </c>
      <c r="AY135" t="s">
        <v>1309</v>
      </c>
      <c r="AZ135" t="s">
        <v>4</v>
      </c>
      <c r="BA135" s="3" t="s">
        <v>95</v>
      </c>
      <c r="BB135" s="6" t="s">
        <v>95</v>
      </c>
      <c r="BC135" s="3" t="s">
        <v>95</v>
      </c>
      <c r="BD135" t="s">
        <v>4</v>
      </c>
      <c r="BE135">
        <v>1139</v>
      </c>
      <c r="BF135" t="s">
        <v>151</v>
      </c>
      <c r="CK135">
        <v>2</v>
      </c>
      <c r="CL135" t="s">
        <v>4</v>
      </c>
      <c r="CM135" t="s">
        <v>98</v>
      </c>
      <c r="CN135" t="s">
        <v>98</v>
      </c>
      <c r="CO135" t="s">
        <v>99</v>
      </c>
      <c r="CP135">
        <v>134</v>
      </c>
      <c r="CQ135" t="s">
        <v>100</v>
      </c>
      <c r="CR135" t="s">
        <v>100</v>
      </c>
      <c r="CS135" t="s">
        <v>101</v>
      </c>
      <c r="CT135" t="s">
        <v>100</v>
      </c>
      <c r="CU135" t="s">
        <v>102</v>
      </c>
      <c r="CV135" t="s">
        <v>100</v>
      </c>
    </row>
    <row r="136" spans="1:100">
      <c r="A136" s="3" t="s">
        <v>1310</v>
      </c>
      <c r="B136" s="4" t="s">
        <v>1311</v>
      </c>
      <c r="C136">
        <v>47.925812675695198</v>
      </c>
      <c r="D136">
        <v>7.1761412491865402</v>
      </c>
      <c r="E136">
        <v>2.7505414478275201</v>
      </c>
      <c r="F136">
        <v>3.9983102951514299E-3</v>
      </c>
      <c r="G136" t="s">
        <v>4</v>
      </c>
      <c r="H136">
        <v>47.925812675695198</v>
      </c>
      <c r="I136">
        <v>6.8038739324884903</v>
      </c>
      <c r="J136">
        <v>2.84836419947078</v>
      </c>
      <c r="K136">
        <v>3.05627681879953E-3</v>
      </c>
      <c r="L136" t="s">
        <v>4</v>
      </c>
      <c r="M136">
        <v>7.1761412491865402</v>
      </c>
      <c r="N136">
        <v>6.8038739324884903</v>
      </c>
      <c r="O136">
        <v>9.7822751643262998E-2</v>
      </c>
      <c r="P136">
        <v>0.94226566721194205</v>
      </c>
      <c r="Q136" t="s">
        <v>4</v>
      </c>
      <c r="R136" s="4" t="s">
        <v>87</v>
      </c>
      <c r="S136" t="s">
        <v>4</v>
      </c>
      <c r="T136" t="s">
        <v>1312</v>
      </c>
      <c r="U136" t="s">
        <v>1313</v>
      </c>
      <c r="V136" t="s">
        <v>1314</v>
      </c>
      <c r="W136" t="s">
        <v>203</v>
      </c>
      <c r="X136" t="s">
        <v>4</v>
      </c>
      <c r="Y136" t="s">
        <v>1315</v>
      </c>
      <c r="Z136" t="s">
        <v>1316</v>
      </c>
      <c r="AA136" t="s">
        <v>1317</v>
      </c>
      <c r="AB136" t="s">
        <v>4</v>
      </c>
      <c r="AC136" s="3" t="s">
        <v>1318</v>
      </c>
      <c r="AD136" t="s">
        <v>4</v>
      </c>
      <c r="AE136" t="s">
        <v>1319</v>
      </c>
      <c r="AF136" t="s">
        <v>1320</v>
      </c>
      <c r="AG136" t="s">
        <v>1321</v>
      </c>
      <c r="AH136" t="s">
        <v>112</v>
      </c>
      <c r="AK136" t="s">
        <v>1322</v>
      </c>
      <c r="AL136" t="s">
        <v>1323</v>
      </c>
      <c r="AM136" t="s">
        <v>1324</v>
      </c>
      <c r="AQ136" t="s">
        <v>1325</v>
      </c>
      <c r="AU136" t="s">
        <v>112</v>
      </c>
      <c r="AV136" t="s">
        <v>1326</v>
      </c>
      <c r="AW136" t="s">
        <v>114</v>
      </c>
      <c r="AX136" t="s">
        <v>132</v>
      </c>
      <c r="AY136" t="s">
        <v>1327</v>
      </c>
      <c r="AZ136" t="s">
        <v>4</v>
      </c>
      <c r="BA136" s="3" t="s">
        <v>95</v>
      </c>
      <c r="BB136" s="6" t="s">
        <v>95</v>
      </c>
      <c r="BC136" s="3" t="s">
        <v>95</v>
      </c>
      <c r="BD136" t="s">
        <v>4</v>
      </c>
      <c r="BE136">
        <v>4896</v>
      </c>
      <c r="BF136" t="s">
        <v>282</v>
      </c>
      <c r="BG136">
        <v>99.466700000000003</v>
      </c>
      <c r="BJ136">
        <v>89.333299999999994</v>
      </c>
      <c r="BK136">
        <v>82.933300000000003</v>
      </c>
      <c r="BP136">
        <v>49.866700000000002</v>
      </c>
      <c r="BR136" t="s">
        <v>1328</v>
      </c>
      <c r="CB136">
        <v>18.666699999999999</v>
      </c>
      <c r="CD136" t="s">
        <v>1329</v>
      </c>
      <c r="CK136">
        <v>6</v>
      </c>
      <c r="CL136" t="s">
        <v>4</v>
      </c>
      <c r="CM136" t="s">
        <v>98</v>
      </c>
      <c r="CN136" t="s">
        <v>98</v>
      </c>
      <c r="CO136" t="s">
        <v>99</v>
      </c>
      <c r="CP136">
        <v>135</v>
      </c>
      <c r="CQ136" t="s">
        <v>100</v>
      </c>
      <c r="CR136" t="s">
        <v>100</v>
      </c>
      <c r="CS136" t="s">
        <v>101</v>
      </c>
      <c r="CT136" t="s">
        <v>100</v>
      </c>
      <c r="CU136" t="s">
        <v>102</v>
      </c>
      <c r="CV136" t="s">
        <v>100</v>
      </c>
    </row>
    <row r="137" spans="1:100">
      <c r="A137" s="3" t="s">
        <v>1330</v>
      </c>
      <c r="B137" s="4" t="s">
        <v>1331</v>
      </c>
      <c r="C137">
        <v>156.55184538617399</v>
      </c>
      <c r="D137">
        <v>15.5395566757696</v>
      </c>
      <c r="E137">
        <v>3.3347760925227901</v>
      </c>
      <c r="F137" s="5">
        <v>6.5435610581746997E-9</v>
      </c>
      <c r="G137" t="s">
        <v>4</v>
      </c>
      <c r="H137">
        <v>156.55184538617399</v>
      </c>
      <c r="I137">
        <v>24.485684665641699</v>
      </c>
      <c r="J137">
        <v>2.68456109540262</v>
      </c>
      <c r="K137" s="5">
        <v>2.4011317967986198E-6</v>
      </c>
      <c r="L137" t="s">
        <v>4</v>
      </c>
      <c r="M137">
        <v>15.5395566757696</v>
      </c>
      <c r="N137">
        <v>24.485684665641699</v>
      </c>
      <c r="O137">
        <f>0.650214997120167</f>
        <v>0.65021499712016695</v>
      </c>
      <c r="P137">
        <v>0.339509693241698</v>
      </c>
      <c r="Q137" t="s">
        <v>4</v>
      </c>
      <c r="R137" s="4" t="s">
        <v>87</v>
      </c>
      <c r="S137" t="s">
        <v>4</v>
      </c>
      <c r="T137" t="s">
        <v>1332</v>
      </c>
      <c r="U137" t="s">
        <v>1333</v>
      </c>
      <c r="V137" t="s">
        <v>1334</v>
      </c>
      <c r="W137" t="s">
        <v>328</v>
      </c>
      <c r="X137" t="s">
        <v>4</v>
      </c>
      <c r="Y137" t="s">
        <v>1335</v>
      </c>
      <c r="Z137" t="s">
        <v>1336</v>
      </c>
      <c r="AA137" t="s">
        <v>1337</v>
      </c>
      <c r="AB137" t="s">
        <v>4</v>
      </c>
      <c r="AC137" s="3" t="s">
        <v>1338</v>
      </c>
      <c r="AD137" t="s">
        <v>4</v>
      </c>
      <c r="AE137" t="s">
        <v>1339</v>
      </c>
      <c r="AF137" t="s">
        <v>834</v>
      </c>
      <c r="AG137" t="s">
        <v>1340</v>
      </c>
      <c r="AH137" t="s">
        <v>112</v>
      </c>
      <c r="AL137" t="s">
        <v>1341</v>
      </c>
      <c r="AM137" t="s">
        <v>1342</v>
      </c>
      <c r="AQ137" t="s">
        <v>1343</v>
      </c>
      <c r="AU137" t="s">
        <v>112</v>
      </c>
      <c r="AV137" t="s">
        <v>1344</v>
      </c>
      <c r="AW137" t="s">
        <v>114</v>
      </c>
      <c r="AX137" t="s">
        <v>1345</v>
      </c>
      <c r="AY137" t="s">
        <v>1346</v>
      </c>
      <c r="AZ137" t="s">
        <v>4</v>
      </c>
      <c r="BA137" s="3" t="s">
        <v>115</v>
      </c>
      <c r="BB137" t="s">
        <v>96</v>
      </c>
      <c r="BC137" s="3" t="s">
        <v>95</v>
      </c>
      <c r="BD137" t="s">
        <v>4</v>
      </c>
      <c r="BE137">
        <v>6672</v>
      </c>
      <c r="BF137" t="s">
        <v>213</v>
      </c>
      <c r="BG137">
        <v>97.441400000000002</v>
      </c>
      <c r="BH137">
        <v>49.466900000000003</v>
      </c>
      <c r="BI137">
        <v>70.788899999999998</v>
      </c>
      <c r="BJ137">
        <v>91.8977</v>
      </c>
      <c r="BK137">
        <v>72.281400000000005</v>
      </c>
      <c r="BL137" t="s">
        <v>1347</v>
      </c>
      <c r="BM137">
        <v>75.373099999999994</v>
      </c>
      <c r="BN137">
        <v>85.287800000000004</v>
      </c>
      <c r="BO137">
        <v>86.460599999999999</v>
      </c>
      <c r="BP137">
        <v>72.601299999999995</v>
      </c>
      <c r="BQ137">
        <v>54.690800000000003</v>
      </c>
      <c r="BR137">
        <v>58.848599999999998</v>
      </c>
      <c r="BS137">
        <v>56.183399999999999</v>
      </c>
      <c r="BT137" t="s">
        <v>1348</v>
      </c>
      <c r="BV137" t="s">
        <v>1349</v>
      </c>
      <c r="BX137">
        <v>55.1173</v>
      </c>
      <c r="BZ137">
        <v>33.368899999999996</v>
      </c>
      <c r="CA137">
        <v>59.275100000000002</v>
      </c>
      <c r="CB137" t="s">
        <v>1350</v>
      </c>
      <c r="CD137">
        <v>35.714300000000001</v>
      </c>
      <c r="CK137">
        <v>8</v>
      </c>
      <c r="CL137" t="s">
        <v>4</v>
      </c>
      <c r="CM137" t="s">
        <v>1351</v>
      </c>
      <c r="CN137" t="s">
        <v>1352</v>
      </c>
      <c r="CO137" t="s">
        <v>99</v>
      </c>
      <c r="CP137">
        <v>136</v>
      </c>
      <c r="CQ137" t="s">
        <v>100</v>
      </c>
      <c r="CR137" t="s">
        <v>100</v>
      </c>
      <c r="CS137" t="s">
        <v>101</v>
      </c>
      <c r="CT137" t="s">
        <v>100</v>
      </c>
      <c r="CU137" t="s">
        <v>102</v>
      </c>
      <c r="CV137" t="s">
        <v>100</v>
      </c>
    </row>
    <row r="138" spans="1:100">
      <c r="A138" s="3" t="s">
        <v>1353</v>
      </c>
      <c r="B138" s="4" t="s">
        <v>1354</v>
      </c>
      <c r="C138">
        <v>1531.0746339715099</v>
      </c>
      <c r="D138">
        <v>351.77134532383099</v>
      </c>
      <c r="E138">
        <v>2.1207495333025501</v>
      </c>
      <c r="F138" s="5">
        <v>2.0228156781715202E-9</v>
      </c>
      <c r="G138" t="s">
        <v>4</v>
      </c>
      <c r="H138">
        <v>1531.0746339715099</v>
      </c>
      <c r="I138">
        <v>83.338370052383496</v>
      </c>
      <c r="J138">
        <v>4.1877954194313096</v>
      </c>
      <c r="K138" s="5">
        <v>3.0671541029916902E-32</v>
      </c>
      <c r="L138" t="s">
        <v>4</v>
      </c>
      <c r="M138">
        <v>351.77134532383099</v>
      </c>
      <c r="N138">
        <v>83.338370052383496</v>
      </c>
      <c r="O138">
        <v>2.0670458861287599</v>
      </c>
      <c r="P138" s="5">
        <v>1.2577540099782399E-8</v>
      </c>
      <c r="Q138" t="s">
        <v>4</v>
      </c>
      <c r="R138" s="4" t="s">
        <v>87</v>
      </c>
      <c r="S138" t="s">
        <v>4</v>
      </c>
      <c r="T138" t="s">
        <v>92</v>
      </c>
      <c r="U138" t="s">
        <v>92</v>
      </c>
      <c r="V138" t="s">
        <v>92</v>
      </c>
      <c r="W138" t="s">
        <v>92</v>
      </c>
      <c r="X138" t="s">
        <v>4</v>
      </c>
      <c r="Y138" t="s">
        <v>1355</v>
      </c>
      <c r="Z138" t="s">
        <v>1356</v>
      </c>
      <c r="AA138" t="s">
        <v>1357</v>
      </c>
      <c r="AB138" t="s">
        <v>4</v>
      </c>
      <c r="AC138" s="3" t="s">
        <v>1358</v>
      </c>
      <c r="AD138" t="s">
        <v>4</v>
      </c>
      <c r="AE138" t="s">
        <v>1359</v>
      </c>
      <c r="AF138" t="s">
        <v>1360</v>
      </c>
      <c r="AG138" t="s">
        <v>1361</v>
      </c>
      <c r="AH138" t="s">
        <v>112</v>
      </c>
      <c r="AU138" t="s">
        <v>112</v>
      </c>
      <c r="AV138" t="s">
        <v>1362</v>
      </c>
      <c r="AW138" t="s">
        <v>114</v>
      </c>
      <c r="AX138" t="s">
        <v>144</v>
      </c>
      <c r="AY138" t="s">
        <v>1363</v>
      </c>
      <c r="AZ138" t="s">
        <v>4</v>
      </c>
      <c r="BA138" s="3" t="s">
        <v>95</v>
      </c>
      <c r="BB138" s="6" t="s">
        <v>95</v>
      </c>
      <c r="BC138" s="3" t="s">
        <v>197</v>
      </c>
      <c r="BD138" t="s">
        <v>4</v>
      </c>
      <c r="BE138">
        <v>4917</v>
      </c>
      <c r="BF138" t="s">
        <v>282</v>
      </c>
      <c r="BG138">
        <v>97.995000000000005</v>
      </c>
      <c r="BH138">
        <v>53.132800000000003</v>
      </c>
      <c r="BI138">
        <v>91.729299999999995</v>
      </c>
      <c r="BJ138">
        <v>72.431100000000001</v>
      </c>
      <c r="BK138">
        <v>61.6541</v>
      </c>
      <c r="BL138">
        <v>54.8872</v>
      </c>
      <c r="BM138">
        <v>54.8872</v>
      </c>
      <c r="BN138">
        <v>55.137799999999999</v>
      </c>
      <c r="BO138">
        <v>61.403500000000001</v>
      </c>
      <c r="BP138">
        <v>24.3108</v>
      </c>
      <c r="BQ138">
        <v>30.325800000000001</v>
      </c>
      <c r="BR138">
        <v>34.586500000000001</v>
      </c>
      <c r="BS138">
        <v>37.343400000000003</v>
      </c>
      <c r="BT138">
        <v>32.832099999999997</v>
      </c>
      <c r="BU138">
        <v>29.573899999999998</v>
      </c>
      <c r="BV138" t="s">
        <v>1364</v>
      </c>
      <c r="BW138" t="s">
        <v>1365</v>
      </c>
      <c r="BX138">
        <v>20.551400000000001</v>
      </c>
      <c r="BZ138">
        <v>28.320799999999998</v>
      </c>
      <c r="CA138">
        <v>35.588999999999999</v>
      </c>
      <c r="CB138">
        <v>23.8095</v>
      </c>
      <c r="CD138">
        <v>24.3108</v>
      </c>
      <c r="CF138" t="s">
        <v>1366</v>
      </c>
      <c r="CK138">
        <v>6</v>
      </c>
      <c r="CL138" t="s">
        <v>4</v>
      </c>
      <c r="CM138" t="s">
        <v>1367</v>
      </c>
      <c r="CN138" t="s">
        <v>1368</v>
      </c>
      <c r="CO138" t="s">
        <v>99</v>
      </c>
      <c r="CP138">
        <v>137</v>
      </c>
      <c r="CQ138" t="s">
        <v>100</v>
      </c>
      <c r="CR138" t="s">
        <v>100</v>
      </c>
      <c r="CS138" t="s">
        <v>101</v>
      </c>
      <c r="CT138" t="s">
        <v>152</v>
      </c>
      <c r="CU138" t="s">
        <v>102</v>
      </c>
      <c r="CV138" t="s">
        <v>100</v>
      </c>
    </row>
    <row r="139" spans="1:100">
      <c r="A139" s="3" t="s">
        <v>1369</v>
      </c>
      <c r="B139" s="4" t="s">
        <v>1370</v>
      </c>
      <c r="C139">
        <v>967.29750795135999</v>
      </c>
      <c r="D139">
        <v>108.78056632065601</v>
      </c>
      <c r="E139">
        <v>3.1562312442384801</v>
      </c>
      <c r="F139" s="5">
        <v>1.7236980739456999E-28</v>
      </c>
      <c r="G139" t="s">
        <v>4</v>
      </c>
      <c r="H139">
        <v>967.29750795135999</v>
      </c>
      <c r="I139">
        <v>71.101748934493301</v>
      </c>
      <c r="J139">
        <v>3.79021512211889</v>
      </c>
      <c r="K139" s="5">
        <v>8.9555010824806604E-38</v>
      </c>
      <c r="L139" t="s">
        <v>4</v>
      </c>
      <c r="M139">
        <v>108.78056632065601</v>
      </c>
      <c r="N139">
        <v>71.101748934493301</v>
      </c>
      <c r="O139">
        <v>0.633983877880409</v>
      </c>
      <c r="P139">
        <v>5.6957181730318801E-2</v>
      </c>
      <c r="Q139" t="s">
        <v>4</v>
      </c>
      <c r="R139" s="4" t="s">
        <v>87</v>
      </c>
      <c r="S139" t="s">
        <v>4</v>
      </c>
      <c r="T139" t="s">
        <v>1371</v>
      </c>
      <c r="U139" t="s">
        <v>1372</v>
      </c>
      <c r="V139" t="s">
        <v>1373</v>
      </c>
      <c r="W139" t="s">
        <v>328</v>
      </c>
      <c r="X139" t="s">
        <v>4</v>
      </c>
      <c r="Y139" t="s">
        <v>1374</v>
      </c>
      <c r="Z139" t="s">
        <v>1375</v>
      </c>
      <c r="AA139" t="s">
        <v>1376</v>
      </c>
      <c r="AB139" t="s">
        <v>4</v>
      </c>
      <c r="AC139" s="3" t="s">
        <v>1377</v>
      </c>
      <c r="AD139" t="s">
        <v>4</v>
      </c>
      <c r="AE139" t="s">
        <v>1378</v>
      </c>
      <c r="AF139" t="s">
        <v>1379</v>
      </c>
      <c r="AG139" t="s">
        <v>1380</v>
      </c>
      <c r="AH139" t="s">
        <v>638</v>
      </c>
      <c r="AJ139" t="s">
        <v>1381</v>
      </c>
      <c r="AU139" t="s">
        <v>112</v>
      </c>
      <c r="AV139" t="s">
        <v>1382</v>
      </c>
      <c r="AW139" t="s">
        <v>114</v>
      </c>
      <c r="AX139" t="s">
        <v>371</v>
      </c>
      <c r="AY139" t="s">
        <v>1383</v>
      </c>
      <c r="AZ139" t="s">
        <v>4</v>
      </c>
      <c r="BA139" s="3" t="s">
        <v>95</v>
      </c>
      <c r="BB139" s="6" t="s">
        <v>95</v>
      </c>
      <c r="BC139" s="3" t="s">
        <v>95</v>
      </c>
      <c r="BD139" t="s">
        <v>4</v>
      </c>
      <c r="BE139">
        <v>6721</v>
      </c>
      <c r="BF139" t="s">
        <v>213</v>
      </c>
      <c r="BG139">
        <v>86.8827</v>
      </c>
      <c r="BK139">
        <v>27.6235</v>
      </c>
      <c r="BN139">
        <v>38.580199999999998</v>
      </c>
      <c r="BO139">
        <v>33.642000000000003</v>
      </c>
      <c r="BP139">
        <v>22.839500000000001</v>
      </c>
      <c r="BQ139">
        <v>19.444400000000002</v>
      </c>
      <c r="BR139">
        <v>18.827200000000001</v>
      </c>
      <c r="BS139">
        <v>17.7469</v>
      </c>
      <c r="BV139" t="s">
        <v>1384</v>
      </c>
      <c r="BZ139">
        <v>16.666699999999999</v>
      </c>
      <c r="CA139">
        <v>19.598800000000001</v>
      </c>
      <c r="CB139">
        <v>12.037000000000001</v>
      </c>
      <c r="CC139">
        <v>19.598800000000001</v>
      </c>
      <c r="CD139">
        <v>15.1235</v>
      </c>
      <c r="CG139" t="s">
        <v>1385</v>
      </c>
      <c r="CH139" t="s">
        <v>1386</v>
      </c>
      <c r="CI139" t="s">
        <v>1387</v>
      </c>
      <c r="CK139">
        <v>8</v>
      </c>
      <c r="CL139" t="s">
        <v>4</v>
      </c>
      <c r="CM139" t="s">
        <v>1388</v>
      </c>
      <c r="CN139" t="s">
        <v>1389</v>
      </c>
      <c r="CO139" t="s">
        <v>1218</v>
      </c>
      <c r="CP139">
        <v>138</v>
      </c>
      <c r="CQ139" t="s">
        <v>100</v>
      </c>
      <c r="CR139" t="s">
        <v>100</v>
      </c>
      <c r="CS139" t="s">
        <v>101</v>
      </c>
      <c r="CT139" t="s">
        <v>100</v>
      </c>
      <c r="CU139" t="s">
        <v>102</v>
      </c>
      <c r="CV139" t="s">
        <v>100</v>
      </c>
    </row>
    <row r="140" spans="1:100">
      <c r="A140" s="3" t="s">
        <v>1390</v>
      </c>
      <c r="B140" s="4" t="s">
        <v>1391</v>
      </c>
      <c r="C140">
        <v>54.644673579761097</v>
      </c>
      <c r="D140">
        <v>8.6876174006896196</v>
      </c>
      <c r="E140">
        <v>2.6689608208224</v>
      </c>
      <c r="F140">
        <v>5.7626971719200596E-3</v>
      </c>
      <c r="G140" t="s">
        <v>4</v>
      </c>
      <c r="H140">
        <v>54.644673579761097</v>
      </c>
      <c r="I140">
        <v>8.38296470972913</v>
      </c>
      <c r="J140">
        <v>2.7636322206433501</v>
      </c>
      <c r="K140">
        <v>4.2230289713193004E-3</v>
      </c>
      <c r="L140" t="s">
        <v>4</v>
      </c>
      <c r="M140">
        <v>8.6876174006896196</v>
      </c>
      <c r="N140">
        <v>8.38296470972913</v>
      </c>
      <c r="O140">
        <v>9.4671399820952795E-2</v>
      </c>
      <c r="P140">
        <v>0.94342959551274197</v>
      </c>
      <c r="Q140" t="s">
        <v>4</v>
      </c>
      <c r="R140" s="4" t="s">
        <v>87</v>
      </c>
      <c r="S140" t="s">
        <v>4</v>
      </c>
      <c r="T140" t="s">
        <v>1392</v>
      </c>
      <c r="U140" t="s">
        <v>1393</v>
      </c>
      <c r="V140" t="s">
        <v>1394</v>
      </c>
      <c r="W140" t="s">
        <v>91</v>
      </c>
      <c r="X140" t="s">
        <v>4</v>
      </c>
      <c r="Y140" t="s">
        <v>448</v>
      </c>
      <c r="Z140" t="s">
        <v>449</v>
      </c>
      <c r="AA140" t="s">
        <v>450</v>
      </c>
      <c r="AB140" t="s">
        <v>4</v>
      </c>
      <c r="AC140" s="3" t="s">
        <v>93</v>
      </c>
      <c r="AD140" t="s">
        <v>4</v>
      </c>
      <c r="AE140" t="s">
        <v>1395</v>
      </c>
      <c r="AF140" t="s">
        <v>1396</v>
      </c>
      <c r="AG140" t="s">
        <v>1397</v>
      </c>
      <c r="AH140" t="s">
        <v>112</v>
      </c>
      <c r="AU140" t="s">
        <v>112</v>
      </c>
      <c r="AV140" t="s">
        <v>1398</v>
      </c>
      <c r="AW140" t="s">
        <v>114</v>
      </c>
      <c r="AX140" t="s">
        <v>596</v>
      </c>
      <c r="AY140" t="s">
        <v>456</v>
      </c>
      <c r="AZ140" t="s">
        <v>4</v>
      </c>
      <c r="BA140" s="3" t="s">
        <v>95</v>
      </c>
      <c r="BB140" s="6" t="s">
        <v>95</v>
      </c>
      <c r="BC140" s="3" t="s">
        <v>95</v>
      </c>
      <c r="BD140" t="s">
        <v>4</v>
      </c>
      <c r="BE140">
        <v>3612</v>
      </c>
      <c r="BF140" t="s">
        <v>112</v>
      </c>
      <c r="BH140">
        <v>79.2453</v>
      </c>
      <c r="BI140">
        <v>78.616399999999999</v>
      </c>
      <c r="BJ140">
        <v>86.163499999999999</v>
      </c>
      <c r="BK140">
        <v>73.584900000000005</v>
      </c>
      <c r="BO140">
        <v>71.698099999999997</v>
      </c>
      <c r="BP140">
        <v>52.201300000000003</v>
      </c>
      <c r="BS140">
        <v>50.943399999999997</v>
      </c>
      <c r="BX140">
        <v>49.685499999999998</v>
      </c>
      <c r="CA140" t="s">
        <v>1399</v>
      </c>
      <c r="CK140">
        <v>5</v>
      </c>
      <c r="CL140" t="s">
        <v>4</v>
      </c>
      <c r="CM140" t="s">
        <v>1400</v>
      </c>
      <c r="CN140" t="s">
        <v>1401</v>
      </c>
      <c r="CO140" t="s">
        <v>1402</v>
      </c>
      <c r="CP140">
        <v>139</v>
      </c>
      <c r="CQ140" t="s">
        <v>100</v>
      </c>
      <c r="CR140" t="s">
        <v>100</v>
      </c>
      <c r="CS140" t="s">
        <v>101</v>
      </c>
      <c r="CT140" t="s">
        <v>100</v>
      </c>
      <c r="CU140" t="s">
        <v>102</v>
      </c>
      <c r="CV140" t="s">
        <v>100</v>
      </c>
    </row>
    <row r="141" spans="1:100">
      <c r="A141" s="3" t="s">
        <v>1403</v>
      </c>
      <c r="B141" s="4" t="s">
        <v>1404</v>
      </c>
      <c r="C141">
        <v>93.680469876932307</v>
      </c>
      <c r="D141">
        <v>20.628718799993599</v>
      </c>
      <c r="E141">
        <v>2.1839174285588898</v>
      </c>
      <c r="F141">
        <v>7.4073496732453602E-3</v>
      </c>
      <c r="G141" t="s">
        <v>4</v>
      </c>
      <c r="H141">
        <v>93.680469876932307</v>
      </c>
      <c r="I141">
        <v>16.475973427161499</v>
      </c>
      <c r="J141">
        <v>2.5007383523075899</v>
      </c>
      <c r="K141">
        <v>1.9207460861591899E-3</v>
      </c>
      <c r="L141" t="s">
        <v>4</v>
      </c>
      <c r="M141">
        <v>20.628718799993599</v>
      </c>
      <c r="N141">
        <v>16.475973427161499</v>
      </c>
      <c r="O141">
        <v>0.31682092374870002</v>
      </c>
      <c r="P141">
        <v>0.75151457968764401</v>
      </c>
      <c r="Q141" t="s">
        <v>4</v>
      </c>
      <c r="R141" s="4" t="s">
        <v>87</v>
      </c>
      <c r="S141" t="s">
        <v>4</v>
      </c>
      <c r="T141" t="s">
        <v>270</v>
      </c>
      <c r="U141" t="s">
        <v>271</v>
      </c>
      <c r="V141" t="s">
        <v>272</v>
      </c>
      <c r="W141" t="s">
        <v>203</v>
      </c>
      <c r="X141" t="s">
        <v>4</v>
      </c>
      <c r="Y141" t="s">
        <v>273</v>
      </c>
      <c r="Z141" t="s">
        <v>274</v>
      </c>
      <c r="AA141" t="s">
        <v>275</v>
      </c>
      <c r="AB141" t="s">
        <v>4</v>
      </c>
      <c r="AC141" s="3" t="s">
        <v>1405</v>
      </c>
      <c r="AD141" t="s">
        <v>4</v>
      </c>
      <c r="AE141" t="s">
        <v>1406</v>
      </c>
      <c r="AF141" t="s">
        <v>1407</v>
      </c>
      <c r="AG141" t="s">
        <v>1408</v>
      </c>
      <c r="AH141" t="s">
        <v>112</v>
      </c>
      <c r="AI141" t="s">
        <v>1409</v>
      </c>
      <c r="AJ141" t="s">
        <v>1410</v>
      </c>
      <c r="AU141" t="s">
        <v>112</v>
      </c>
      <c r="AV141" t="s">
        <v>1411</v>
      </c>
      <c r="AW141" t="s">
        <v>114</v>
      </c>
      <c r="AX141" t="s">
        <v>132</v>
      </c>
      <c r="AY141" t="s">
        <v>1412</v>
      </c>
      <c r="AZ141" t="s">
        <v>4</v>
      </c>
      <c r="BA141" s="3" t="s">
        <v>95</v>
      </c>
      <c r="BB141" s="6" t="s">
        <v>95</v>
      </c>
      <c r="BC141" s="3" t="s">
        <v>95</v>
      </c>
      <c r="BD141" t="s">
        <v>4</v>
      </c>
      <c r="BE141">
        <v>3621</v>
      </c>
      <c r="BF141" t="s">
        <v>112</v>
      </c>
      <c r="BG141">
        <v>73.540899999999993</v>
      </c>
      <c r="BI141">
        <v>88.132300000000001</v>
      </c>
      <c r="BJ141">
        <v>70.038899999999998</v>
      </c>
      <c r="BK141">
        <v>9.3385200000000008</v>
      </c>
      <c r="BL141">
        <v>71.789900000000003</v>
      </c>
      <c r="BM141">
        <v>72.373500000000007</v>
      </c>
      <c r="BN141">
        <v>72.568100000000001</v>
      </c>
      <c r="BO141">
        <v>72.9572</v>
      </c>
      <c r="BP141" t="s">
        <v>1413</v>
      </c>
      <c r="BQ141" t="s">
        <v>1414</v>
      </c>
      <c r="BR141">
        <v>44.357999999999997</v>
      </c>
      <c r="BU141">
        <v>17.898800000000001</v>
      </c>
      <c r="BV141">
        <v>30.1556</v>
      </c>
      <c r="BW141">
        <v>21.011700000000001</v>
      </c>
      <c r="BX141">
        <v>36.381300000000003</v>
      </c>
      <c r="BZ141">
        <v>16.7315</v>
      </c>
      <c r="CA141">
        <v>32.295699999999997</v>
      </c>
      <c r="CK141">
        <v>5</v>
      </c>
      <c r="CL141" t="s">
        <v>4</v>
      </c>
      <c r="CM141" t="s">
        <v>1415</v>
      </c>
      <c r="CN141" t="s">
        <v>1416</v>
      </c>
      <c r="CO141" t="s">
        <v>99</v>
      </c>
      <c r="CP141">
        <v>140</v>
      </c>
      <c r="CQ141" t="s">
        <v>100</v>
      </c>
      <c r="CR141" t="s">
        <v>100</v>
      </c>
      <c r="CS141" t="s">
        <v>101</v>
      </c>
      <c r="CT141" t="s">
        <v>100</v>
      </c>
      <c r="CU141" t="s">
        <v>102</v>
      </c>
      <c r="CV141" t="s">
        <v>100</v>
      </c>
    </row>
    <row r="142" spans="1:100">
      <c r="A142" s="3" t="s">
        <v>1417</v>
      </c>
      <c r="B142" s="4" t="s">
        <v>1418</v>
      </c>
      <c r="C142">
        <v>96.935922437498505</v>
      </c>
      <c r="D142">
        <v>23.391364745939899</v>
      </c>
      <c r="E142">
        <v>2.0506580920184101</v>
      </c>
      <c r="F142">
        <v>2.2784268282865399E-4</v>
      </c>
      <c r="G142" t="s">
        <v>4</v>
      </c>
      <c r="H142">
        <v>96.935922437498505</v>
      </c>
      <c r="I142">
        <v>21.894430590413702</v>
      </c>
      <c r="J142">
        <v>2.1637912203809702</v>
      </c>
      <c r="K142">
        <v>1.11525621480631E-4</v>
      </c>
      <c r="L142" t="s">
        <v>4</v>
      </c>
      <c r="M142">
        <v>23.391364745939899</v>
      </c>
      <c r="N142">
        <v>21.894430590413702</v>
      </c>
      <c r="O142">
        <v>0.113133128362558</v>
      </c>
      <c r="P142">
        <v>0.88151515404301695</v>
      </c>
      <c r="Q142" t="s">
        <v>4</v>
      </c>
      <c r="R142" s="4" t="s">
        <v>87</v>
      </c>
      <c r="S142" t="s">
        <v>4</v>
      </c>
      <c r="T142" t="s">
        <v>827</v>
      </c>
      <c r="U142" t="s">
        <v>828</v>
      </c>
      <c r="V142" t="s">
        <v>829</v>
      </c>
      <c r="W142" t="s">
        <v>203</v>
      </c>
      <c r="X142" t="s">
        <v>4</v>
      </c>
      <c r="Y142" t="s">
        <v>1419</v>
      </c>
      <c r="Z142" t="s">
        <v>1420</v>
      </c>
      <c r="AA142" t="s">
        <v>1421</v>
      </c>
      <c r="AB142" t="s">
        <v>4</v>
      </c>
      <c r="AC142" s="3" t="s">
        <v>1422</v>
      </c>
      <c r="AD142" t="s">
        <v>4</v>
      </c>
      <c r="AE142" t="s">
        <v>1423</v>
      </c>
      <c r="AF142" t="s">
        <v>1424</v>
      </c>
      <c r="AG142" t="s">
        <v>1425</v>
      </c>
      <c r="AH142" t="s">
        <v>112</v>
      </c>
      <c r="AJ142" t="s">
        <v>1426</v>
      </c>
      <c r="AU142" t="s">
        <v>112</v>
      </c>
      <c r="AV142" t="s">
        <v>1427</v>
      </c>
      <c r="AW142" t="s">
        <v>114</v>
      </c>
      <c r="AX142" t="s">
        <v>536</v>
      </c>
      <c r="AY142" t="s">
        <v>1428</v>
      </c>
      <c r="AZ142" t="s">
        <v>4</v>
      </c>
      <c r="BA142" s="3" t="s">
        <v>95</v>
      </c>
      <c r="BB142" s="6" t="s">
        <v>95</v>
      </c>
      <c r="BC142" s="3" t="s">
        <v>197</v>
      </c>
      <c r="BD142" t="s">
        <v>4</v>
      </c>
      <c r="BE142">
        <v>6800</v>
      </c>
      <c r="BF142" t="s">
        <v>213</v>
      </c>
      <c r="BG142">
        <v>95.056200000000004</v>
      </c>
      <c r="BH142">
        <v>89.662899999999993</v>
      </c>
      <c r="BI142">
        <v>87.191000000000003</v>
      </c>
      <c r="BJ142">
        <v>73.707899999999995</v>
      </c>
      <c r="BK142">
        <v>48.988799999999998</v>
      </c>
      <c r="BL142">
        <v>64.719099999999997</v>
      </c>
      <c r="BM142">
        <v>69.662899999999993</v>
      </c>
      <c r="BN142">
        <v>81.797799999999995</v>
      </c>
      <c r="BO142">
        <v>81.797799999999995</v>
      </c>
      <c r="BP142">
        <v>19.550599999999999</v>
      </c>
      <c r="BQ142">
        <v>30.3371</v>
      </c>
      <c r="BS142">
        <v>32.134799999999998</v>
      </c>
      <c r="BV142" t="s">
        <v>1429</v>
      </c>
      <c r="BW142">
        <v>24.494399999999999</v>
      </c>
      <c r="BX142">
        <v>35.505600000000001</v>
      </c>
      <c r="BZ142">
        <v>28.539300000000001</v>
      </c>
      <c r="CA142">
        <v>29.887599999999999</v>
      </c>
      <c r="CB142" t="s">
        <v>1430</v>
      </c>
      <c r="CE142">
        <v>8.9887599999999992</v>
      </c>
      <c r="CF142">
        <v>14.382</v>
      </c>
      <c r="CG142" t="s">
        <v>1431</v>
      </c>
      <c r="CH142" t="s">
        <v>1432</v>
      </c>
      <c r="CI142" t="s">
        <v>1433</v>
      </c>
      <c r="CK142">
        <v>8</v>
      </c>
      <c r="CL142" t="s">
        <v>4</v>
      </c>
      <c r="CM142" t="s">
        <v>1434</v>
      </c>
      <c r="CN142" t="s">
        <v>1435</v>
      </c>
      <c r="CO142" t="s">
        <v>99</v>
      </c>
      <c r="CP142">
        <v>141</v>
      </c>
      <c r="CQ142" t="s">
        <v>100</v>
      </c>
      <c r="CR142" t="s">
        <v>100</v>
      </c>
      <c r="CS142" t="s">
        <v>101</v>
      </c>
      <c r="CT142" t="s">
        <v>100</v>
      </c>
      <c r="CU142" t="s">
        <v>102</v>
      </c>
      <c r="CV142" t="s">
        <v>100</v>
      </c>
    </row>
    <row r="143" spans="1:100">
      <c r="A143" s="3" t="s">
        <v>1436</v>
      </c>
      <c r="B143" s="4" t="s">
        <v>1437</v>
      </c>
      <c r="C143">
        <v>28.880001778325401</v>
      </c>
      <c r="D143">
        <v>3.2560736935350798</v>
      </c>
      <c r="E143">
        <v>3.1666510959449998</v>
      </c>
      <c r="F143">
        <v>3.8926602742262199E-3</v>
      </c>
      <c r="G143" t="s">
        <v>4</v>
      </c>
      <c r="H143">
        <v>28.880001778325401</v>
      </c>
      <c r="I143">
        <v>1.4948873657459301</v>
      </c>
      <c r="J143">
        <v>4.0959735215240096</v>
      </c>
      <c r="K143">
        <v>1.0100777003950801E-3</v>
      </c>
      <c r="L143" t="s">
        <v>4</v>
      </c>
      <c r="M143">
        <v>3.2560736935350798</v>
      </c>
      <c r="N143">
        <v>1.4948873657459301</v>
      </c>
      <c r="O143">
        <v>0.92932242557901401</v>
      </c>
      <c r="P143">
        <v>0.54228663161971902</v>
      </c>
      <c r="Q143" t="s">
        <v>4</v>
      </c>
      <c r="R143" s="4" t="s">
        <v>87</v>
      </c>
      <c r="S143" t="s">
        <v>4</v>
      </c>
      <c r="T143" t="s">
        <v>1438</v>
      </c>
      <c r="U143" t="s">
        <v>1439</v>
      </c>
      <c r="V143" t="s">
        <v>1440</v>
      </c>
      <c r="W143" t="s">
        <v>203</v>
      </c>
      <c r="X143" t="s">
        <v>4</v>
      </c>
      <c r="Y143" t="s">
        <v>1441</v>
      </c>
      <c r="Z143" t="s">
        <v>1442</v>
      </c>
      <c r="AA143" t="s">
        <v>1443</v>
      </c>
      <c r="AB143" t="s">
        <v>4</v>
      </c>
      <c r="AC143" s="3" t="s">
        <v>1444</v>
      </c>
      <c r="AD143" t="s">
        <v>4</v>
      </c>
      <c r="AE143" t="s">
        <v>1445</v>
      </c>
      <c r="AF143" t="s">
        <v>1446</v>
      </c>
      <c r="AG143" t="s">
        <v>1447</v>
      </c>
      <c r="AH143" t="s">
        <v>112</v>
      </c>
      <c r="AJ143" t="s">
        <v>1448</v>
      </c>
      <c r="AU143" t="s">
        <v>112</v>
      </c>
      <c r="AV143" t="s">
        <v>1449</v>
      </c>
      <c r="AW143" t="s">
        <v>114</v>
      </c>
      <c r="AX143" t="s">
        <v>371</v>
      </c>
      <c r="AY143" t="s">
        <v>1450</v>
      </c>
      <c r="AZ143" t="s">
        <v>4</v>
      </c>
      <c r="BA143" s="3" t="s">
        <v>95</v>
      </c>
      <c r="BB143" s="6" t="s">
        <v>95</v>
      </c>
      <c r="BC143" s="3" t="s">
        <v>95</v>
      </c>
      <c r="BD143" t="s">
        <v>4</v>
      </c>
      <c r="BE143">
        <v>3660</v>
      </c>
      <c r="BF143" t="s">
        <v>112</v>
      </c>
      <c r="BG143">
        <v>97.652600000000007</v>
      </c>
      <c r="BH143">
        <v>99.530500000000004</v>
      </c>
      <c r="BJ143">
        <v>27.6995</v>
      </c>
      <c r="BK143">
        <v>55.868499999999997</v>
      </c>
      <c r="BL143">
        <v>37.089199999999998</v>
      </c>
      <c r="BM143">
        <v>25.8216</v>
      </c>
      <c r="BN143">
        <v>66.197199999999995</v>
      </c>
      <c r="BO143">
        <v>44.131500000000003</v>
      </c>
      <c r="CK143">
        <v>5</v>
      </c>
      <c r="CL143" t="s">
        <v>4</v>
      </c>
      <c r="CM143" t="s">
        <v>98</v>
      </c>
      <c r="CN143" t="s">
        <v>98</v>
      </c>
      <c r="CO143" t="s">
        <v>99</v>
      </c>
      <c r="CP143">
        <v>142</v>
      </c>
      <c r="CQ143" t="s">
        <v>100</v>
      </c>
      <c r="CR143" t="s">
        <v>100</v>
      </c>
      <c r="CS143" t="s">
        <v>101</v>
      </c>
      <c r="CT143" t="s">
        <v>100</v>
      </c>
      <c r="CU143" t="s">
        <v>102</v>
      </c>
      <c r="CV143" t="s">
        <v>100</v>
      </c>
    </row>
    <row r="144" spans="1:100">
      <c r="A144" s="3" t="s">
        <v>1451</v>
      </c>
      <c r="B144" s="4" t="s">
        <v>1452</v>
      </c>
      <c r="C144">
        <v>173.414327733211</v>
      </c>
      <c r="D144">
        <v>24.8687068609173</v>
      </c>
      <c r="E144">
        <v>2.8009112207408098</v>
      </c>
      <c r="F144">
        <v>1.19629161564577E-4</v>
      </c>
      <c r="G144" t="s">
        <v>4</v>
      </c>
      <c r="H144">
        <v>173.414327733211</v>
      </c>
      <c r="I144">
        <v>24.8166631320988</v>
      </c>
      <c r="J144">
        <v>2.8071635751535302</v>
      </c>
      <c r="K144">
        <v>1.00533396207381E-4</v>
      </c>
      <c r="L144" t="s">
        <v>4</v>
      </c>
      <c r="M144">
        <v>24.8687068609173</v>
      </c>
      <c r="N144">
        <v>24.8166631320988</v>
      </c>
      <c r="O144">
        <v>6.2523544127163801E-3</v>
      </c>
      <c r="P144">
        <v>0.99969425981973703</v>
      </c>
      <c r="Q144" t="s">
        <v>4</v>
      </c>
      <c r="R144" s="4" t="s">
        <v>87</v>
      </c>
      <c r="S144" t="s">
        <v>4</v>
      </c>
      <c r="T144" t="s">
        <v>1312</v>
      </c>
      <c r="U144" t="s">
        <v>1313</v>
      </c>
      <c r="V144" t="s">
        <v>1314</v>
      </c>
      <c r="W144" t="s">
        <v>203</v>
      </c>
      <c r="X144" t="s">
        <v>4</v>
      </c>
      <c r="Y144" t="s">
        <v>1315</v>
      </c>
      <c r="Z144" t="s">
        <v>1316</v>
      </c>
      <c r="AA144" t="s">
        <v>1317</v>
      </c>
      <c r="AB144" t="s">
        <v>4</v>
      </c>
      <c r="AC144" s="3" t="s">
        <v>1453</v>
      </c>
      <c r="AD144" t="s">
        <v>4</v>
      </c>
      <c r="AE144" t="s">
        <v>1454</v>
      </c>
      <c r="AF144" t="s">
        <v>1455</v>
      </c>
      <c r="AG144" t="s">
        <v>1456</v>
      </c>
      <c r="AH144" t="s">
        <v>112</v>
      </c>
      <c r="AK144" t="s">
        <v>1322</v>
      </c>
      <c r="AL144" t="s">
        <v>1457</v>
      </c>
      <c r="AQ144" t="s">
        <v>1458</v>
      </c>
      <c r="AU144" t="s">
        <v>112</v>
      </c>
      <c r="AV144" t="s">
        <v>1459</v>
      </c>
      <c r="AW144" t="s">
        <v>114</v>
      </c>
      <c r="AX144" t="s">
        <v>132</v>
      </c>
      <c r="AY144" t="s">
        <v>1460</v>
      </c>
      <c r="AZ144" t="s">
        <v>4</v>
      </c>
      <c r="BA144" s="3" t="s">
        <v>115</v>
      </c>
      <c r="BB144" s="6" t="s">
        <v>95</v>
      </c>
      <c r="BC144" s="3" t="s">
        <v>95</v>
      </c>
      <c r="BD144" t="s">
        <v>4</v>
      </c>
      <c r="BE144">
        <v>3662</v>
      </c>
      <c r="BF144" t="s">
        <v>112</v>
      </c>
      <c r="BG144">
        <v>98.740600000000001</v>
      </c>
      <c r="BH144">
        <v>28.715399999999999</v>
      </c>
      <c r="BI144">
        <v>89.672499999999999</v>
      </c>
      <c r="BJ144">
        <v>85.894199999999998</v>
      </c>
      <c r="BK144">
        <v>61.209099999999999</v>
      </c>
      <c r="BL144" t="s">
        <v>1461</v>
      </c>
      <c r="BM144">
        <v>48.614600000000003</v>
      </c>
      <c r="BN144" t="s">
        <v>1462</v>
      </c>
      <c r="BO144">
        <v>77.833799999999997</v>
      </c>
      <c r="BP144" t="s">
        <v>1463</v>
      </c>
      <c r="BQ144">
        <v>44.836300000000001</v>
      </c>
      <c r="BR144">
        <v>53.6524</v>
      </c>
      <c r="BS144">
        <v>54.66</v>
      </c>
      <c r="BW144">
        <v>35.516399999999997</v>
      </c>
      <c r="BX144">
        <v>49.622199999999999</v>
      </c>
      <c r="BZ144">
        <v>35.768300000000004</v>
      </c>
      <c r="CA144" t="s">
        <v>1464</v>
      </c>
      <c r="CK144">
        <v>5</v>
      </c>
      <c r="CL144" t="s">
        <v>4</v>
      </c>
      <c r="CM144" t="s">
        <v>1465</v>
      </c>
      <c r="CN144" t="s">
        <v>1466</v>
      </c>
      <c r="CO144" t="s">
        <v>1467</v>
      </c>
      <c r="CP144">
        <v>143</v>
      </c>
      <c r="CQ144" t="s">
        <v>100</v>
      </c>
      <c r="CR144" t="s">
        <v>100</v>
      </c>
      <c r="CS144" t="s">
        <v>101</v>
      </c>
      <c r="CT144" t="s">
        <v>100</v>
      </c>
      <c r="CU144" t="s">
        <v>102</v>
      </c>
      <c r="CV144" t="s">
        <v>100</v>
      </c>
    </row>
    <row r="145" spans="1:100">
      <c r="A145" s="3" t="s">
        <v>1468</v>
      </c>
      <c r="B145" s="4" t="s">
        <v>1469</v>
      </c>
      <c r="C145">
        <v>68.842780908002695</v>
      </c>
      <c r="D145">
        <v>9.9910098533122493</v>
      </c>
      <c r="E145">
        <v>2.7975263347093402</v>
      </c>
      <c r="F145">
        <v>4.5452680854355301E-3</v>
      </c>
      <c r="G145" t="s">
        <v>4</v>
      </c>
      <c r="H145">
        <v>68.842780908002695</v>
      </c>
      <c r="I145">
        <v>6.4800447918498101</v>
      </c>
      <c r="J145">
        <v>3.4008176392015699</v>
      </c>
      <c r="K145">
        <v>6.7135626148293103E-4</v>
      </c>
      <c r="L145" t="s">
        <v>4</v>
      </c>
      <c r="M145">
        <v>9.9910098533122493</v>
      </c>
      <c r="N145">
        <v>6.4800447918498101</v>
      </c>
      <c r="O145">
        <v>0.603291304492233</v>
      </c>
      <c r="P145">
        <v>0.61894485869321003</v>
      </c>
      <c r="Q145" t="s">
        <v>4</v>
      </c>
      <c r="R145" s="4" t="s">
        <v>87</v>
      </c>
      <c r="S145" t="s">
        <v>4</v>
      </c>
      <c r="T145" t="s">
        <v>1470</v>
      </c>
      <c r="U145" t="s">
        <v>1471</v>
      </c>
      <c r="V145" t="s">
        <v>1472</v>
      </c>
      <c r="W145" t="s">
        <v>507</v>
      </c>
      <c r="X145" t="s">
        <v>4</v>
      </c>
      <c r="Y145" t="s">
        <v>1473</v>
      </c>
      <c r="Z145" t="s">
        <v>1474</v>
      </c>
      <c r="AA145" t="s">
        <v>1475</v>
      </c>
      <c r="AB145" t="s">
        <v>4</v>
      </c>
      <c r="AC145" s="3" t="s">
        <v>1476</v>
      </c>
      <c r="AD145" t="s">
        <v>4</v>
      </c>
      <c r="AE145" t="s">
        <v>1477</v>
      </c>
      <c r="AF145" t="s">
        <v>1478</v>
      </c>
      <c r="AG145" t="s">
        <v>1479</v>
      </c>
      <c r="AH145" t="s">
        <v>638</v>
      </c>
      <c r="AK145" t="s">
        <v>1480</v>
      </c>
      <c r="AL145" t="s">
        <v>1481</v>
      </c>
      <c r="AM145" t="s">
        <v>1482</v>
      </c>
      <c r="AO145" t="s">
        <v>1483</v>
      </c>
      <c r="AP145" t="s">
        <v>1484</v>
      </c>
      <c r="AQ145" t="s">
        <v>1485</v>
      </c>
      <c r="AR145" t="s">
        <v>1486</v>
      </c>
      <c r="AU145" t="s">
        <v>112</v>
      </c>
      <c r="AV145" t="s">
        <v>1487</v>
      </c>
      <c r="AW145" t="s">
        <v>114</v>
      </c>
      <c r="AX145" t="s">
        <v>536</v>
      </c>
      <c r="AY145" t="s">
        <v>1488</v>
      </c>
      <c r="AZ145" t="s">
        <v>4</v>
      </c>
      <c r="BA145" s="3" t="s">
        <v>95</v>
      </c>
      <c r="BB145" s="6" t="s">
        <v>95</v>
      </c>
      <c r="BC145" s="3" t="s">
        <v>197</v>
      </c>
      <c r="BD145" t="s">
        <v>4</v>
      </c>
      <c r="BE145">
        <v>3733</v>
      </c>
      <c r="BF145" t="s">
        <v>112</v>
      </c>
      <c r="BG145">
        <v>98.795199999999994</v>
      </c>
      <c r="BH145">
        <v>100</v>
      </c>
      <c r="BI145" t="s">
        <v>1489</v>
      </c>
      <c r="BJ145">
        <v>44.277099999999997</v>
      </c>
      <c r="BK145">
        <v>65.361400000000003</v>
      </c>
      <c r="BL145">
        <v>69.277100000000004</v>
      </c>
      <c r="BM145">
        <v>71.385499999999993</v>
      </c>
      <c r="BN145">
        <v>75.903599999999997</v>
      </c>
      <c r="BP145">
        <v>44.8795</v>
      </c>
      <c r="BQ145">
        <v>42.168700000000001</v>
      </c>
      <c r="BR145">
        <v>44.277099999999997</v>
      </c>
      <c r="BW145">
        <v>43.072299999999998</v>
      </c>
      <c r="BX145">
        <v>44.578299999999999</v>
      </c>
      <c r="BZ145">
        <v>24.096399999999999</v>
      </c>
      <c r="CA145">
        <v>39.759</v>
      </c>
      <c r="CF145" t="s">
        <v>1490</v>
      </c>
      <c r="CG145" t="s">
        <v>1491</v>
      </c>
      <c r="CH145" t="s">
        <v>1492</v>
      </c>
      <c r="CI145" t="s">
        <v>1493</v>
      </c>
      <c r="CK145">
        <v>5</v>
      </c>
      <c r="CL145" t="s">
        <v>4</v>
      </c>
      <c r="CM145" t="s">
        <v>1494</v>
      </c>
      <c r="CN145" t="s">
        <v>1495</v>
      </c>
      <c r="CO145" t="s">
        <v>219</v>
      </c>
      <c r="CP145">
        <v>144</v>
      </c>
      <c r="CQ145" t="s">
        <v>100</v>
      </c>
      <c r="CR145" t="s">
        <v>100</v>
      </c>
      <c r="CS145" t="s">
        <v>101</v>
      </c>
      <c r="CT145" t="s">
        <v>100</v>
      </c>
      <c r="CU145" t="s">
        <v>102</v>
      </c>
      <c r="CV145" t="s">
        <v>100</v>
      </c>
    </row>
    <row r="146" spans="1:100">
      <c r="A146" s="3" t="s">
        <v>1496</v>
      </c>
      <c r="B146" s="4" t="s">
        <v>1497</v>
      </c>
      <c r="C146">
        <v>171.292634057387</v>
      </c>
      <c r="D146">
        <v>14.983040244971001</v>
      </c>
      <c r="E146">
        <v>3.53068614839479</v>
      </c>
      <c r="F146" s="5">
        <v>2.49114837862841E-5</v>
      </c>
      <c r="G146" t="s">
        <v>4</v>
      </c>
      <c r="H146">
        <v>171.292634057387</v>
      </c>
      <c r="I146">
        <v>18.355846238865102</v>
      </c>
      <c r="J146">
        <v>3.2190699803627298</v>
      </c>
      <c r="K146">
        <v>1.05089623547348E-4</v>
      </c>
      <c r="L146" t="s">
        <v>4</v>
      </c>
      <c r="M146">
        <v>14.983040244971001</v>
      </c>
      <c r="N146">
        <v>18.355846238865102</v>
      </c>
      <c r="O146">
        <f>0.311616168032054</f>
        <v>0.311616168032054</v>
      </c>
      <c r="P146">
        <v>0.76958489557995602</v>
      </c>
      <c r="Q146" t="s">
        <v>4</v>
      </c>
      <c r="R146" s="4" t="s">
        <v>87</v>
      </c>
      <c r="S146" t="s">
        <v>4</v>
      </c>
      <c r="T146" t="s">
        <v>360</v>
      </c>
      <c r="U146" t="s">
        <v>361</v>
      </c>
      <c r="V146" t="s">
        <v>362</v>
      </c>
      <c r="W146" t="s">
        <v>328</v>
      </c>
      <c r="X146" t="s">
        <v>4</v>
      </c>
      <c r="Y146" t="s">
        <v>994</v>
      </c>
      <c r="Z146" t="s">
        <v>995</v>
      </c>
      <c r="AA146" t="s">
        <v>996</v>
      </c>
      <c r="AB146" t="s">
        <v>4</v>
      </c>
      <c r="AC146" s="3" t="s">
        <v>1498</v>
      </c>
      <c r="AD146" t="s">
        <v>4</v>
      </c>
      <c r="AE146" t="s">
        <v>1499</v>
      </c>
      <c r="AF146" t="s">
        <v>1500</v>
      </c>
      <c r="AG146" t="s">
        <v>1501</v>
      </c>
      <c r="AH146" t="s">
        <v>112</v>
      </c>
      <c r="AJ146" t="s">
        <v>1502</v>
      </c>
      <c r="AU146" t="s">
        <v>112</v>
      </c>
      <c r="AV146" t="s">
        <v>1503</v>
      </c>
      <c r="AW146" t="s">
        <v>114</v>
      </c>
      <c r="AX146" t="s">
        <v>371</v>
      </c>
      <c r="AY146" t="s">
        <v>573</v>
      </c>
      <c r="AZ146" t="s">
        <v>4</v>
      </c>
      <c r="BA146" s="3" t="s">
        <v>95</v>
      </c>
      <c r="BB146" s="6" t="s">
        <v>95</v>
      </c>
      <c r="BC146" s="3" t="s">
        <v>95</v>
      </c>
      <c r="BD146" t="s">
        <v>4</v>
      </c>
      <c r="BE146">
        <v>7000</v>
      </c>
      <c r="BF146" t="s">
        <v>213</v>
      </c>
      <c r="BG146">
        <v>37.940399999999997</v>
      </c>
      <c r="BJ146">
        <v>23.848199999999999</v>
      </c>
      <c r="BL146">
        <v>22.764199999999999</v>
      </c>
      <c r="BN146">
        <v>80.216800000000006</v>
      </c>
      <c r="BO146">
        <v>35.230400000000003</v>
      </c>
      <c r="BP146">
        <v>23.0352</v>
      </c>
      <c r="BQ146">
        <v>23.848199999999999</v>
      </c>
      <c r="BR146">
        <v>25.474299999999999</v>
      </c>
      <c r="BS146">
        <v>23.848199999999999</v>
      </c>
      <c r="BU146">
        <v>21.138200000000001</v>
      </c>
      <c r="BV146" t="s">
        <v>1504</v>
      </c>
      <c r="BW146">
        <v>27.371300000000002</v>
      </c>
      <c r="BX146">
        <v>28.1843</v>
      </c>
      <c r="BY146">
        <v>30.6233</v>
      </c>
      <c r="BZ146">
        <v>23.0352</v>
      </c>
      <c r="CA146">
        <v>25.7453</v>
      </c>
      <c r="CC146" t="s">
        <v>1505</v>
      </c>
      <c r="CD146">
        <v>19.5122</v>
      </c>
      <c r="CE146">
        <v>20.054200000000002</v>
      </c>
      <c r="CF146">
        <v>19.5122</v>
      </c>
      <c r="CG146" t="s">
        <v>1506</v>
      </c>
      <c r="CH146" t="s">
        <v>1507</v>
      </c>
      <c r="CI146" t="s">
        <v>1508</v>
      </c>
      <c r="CK146">
        <v>8</v>
      </c>
      <c r="CL146" t="s">
        <v>4</v>
      </c>
      <c r="CM146" t="s">
        <v>1509</v>
      </c>
      <c r="CN146" t="s">
        <v>1510</v>
      </c>
      <c r="CO146" t="s">
        <v>99</v>
      </c>
      <c r="CP146">
        <v>145</v>
      </c>
      <c r="CQ146" t="s">
        <v>100</v>
      </c>
      <c r="CR146" t="s">
        <v>100</v>
      </c>
      <c r="CS146" t="s">
        <v>101</v>
      </c>
      <c r="CT146" t="s">
        <v>100</v>
      </c>
      <c r="CU146" t="s">
        <v>102</v>
      </c>
      <c r="CV146" t="s">
        <v>100</v>
      </c>
    </row>
    <row r="147" spans="1:100">
      <c r="A147" s="3" t="s">
        <v>1511</v>
      </c>
      <c r="B147" s="4" t="s">
        <v>1512</v>
      </c>
      <c r="C147">
        <v>65.875059521077105</v>
      </c>
      <c r="D147">
        <v>10.7750389456905</v>
      </c>
      <c r="E147">
        <v>2.6141973575212001</v>
      </c>
      <c r="F147" s="5">
        <v>5.9321157650705001E-6</v>
      </c>
      <c r="G147" t="s">
        <v>4</v>
      </c>
      <c r="H147">
        <v>65.875059521077105</v>
      </c>
      <c r="I147">
        <v>14.0013392742616</v>
      </c>
      <c r="J147">
        <v>2.2259901281027101</v>
      </c>
      <c r="K147">
        <v>1.2109381603703801E-4</v>
      </c>
      <c r="L147" t="s">
        <v>4</v>
      </c>
      <c r="M147">
        <v>10.7750389456905</v>
      </c>
      <c r="N147">
        <v>14.0013392742616</v>
      </c>
      <c r="O147">
        <f>0.388207229418488</f>
        <v>0.38820722941848801</v>
      </c>
      <c r="P147">
        <v>0.60063820815651603</v>
      </c>
      <c r="Q147" t="s">
        <v>4</v>
      </c>
      <c r="R147" s="4" t="s">
        <v>87</v>
      </c>
      <c r="S147" t="s">
        <v>4</v>
      </c>
      <c r="T147" t="s">
        <v>88</v>
      </c>
      <c r="U147" t="s">
        <v>89</v>
      </c>
      <c r="V147" t="s">
        <v>90</v>
      </c>
      <c r="W147" t="s">
        <v>91</v>
      </c>
      <c r="X147" t="s">
        <v>4</v>
      </c>
      <c r="Y147" t="s">
        <v>1513</v>
      </c>
      <c r="Z147" t="s">
        <v>1514</v>
      </c>
      <c r="AA147" t="s">
        <v>1515</v>
      </c>
      <c r="AB147" t="s">
        <v>4</v>
      </c>
      <c r="AC147" s="3" t="s">
        <v>93</v>
      </c>
      <c r="AD147" t="s">
        <v>4</v>
      </c>
      <c r="AE147" t="s">
        <v>1516</v>
      </c>
      <c r="AF147" t="s">
        <v>1517</v>
      </c>
      <c r="AG147" t="s">
        <v>1518</v>
      </c>
      <c r="AH147" t="s">
        <v>638</v>
      </c>
      <c r="AU147" t="s">
        <v>112</v>
      </c>
      <c r="AV147" t="s">
        <v>1519</v>
      </c>
      <c r="AW147" t="s">
        <v>114</v>
      </c>
      <c r="AZ147" t="s">
        <v>4</v>
      </c>
      <c r="BA147" s="3" t="s">
        <v>95</v>
      </c>
      <c r="BB147" t="s">
        <v>96</v>
      </c>
      <c r="BC147" s="3" t="s">
        <v>197</v>
      </c>
      <c r="BD147" t="s">
        <v>4</v>
      </c>
      <c r="BE147">
        <v>3789</v>
      </c>
      <c r="BF147" t="s">
        <v>112</v>
      </c>
      <c r="BG147">
        <v>85.793899999999994</v>
      </c>
      <c r="BH147">
        <v>89.136499999999998</v>
      </c>
      <c r="BK147">
        <v>50.139299999999999</v>
      </c>
      <c r="BM147">
        <v>61.281300000000002</v>
      </c>
      <c r="BN147">
        <v>58.7744</v>
      </c>
      <c r="BO147">
        <v>56.267400000000002</v>
      </c>
      <c r="BQ147">
        <v>24.7911</v>
      </c>
      <c r="BW147">
        <v>20.891400000000001</v>
      </c>
      <c r="BX147">
        <v>24.234000000000002</v>
      </c>
      <c r="BZ147">
        <v>26.183800000000002</v>
      </c>
      <c r="CA147" t="s">
        <v>1520</v>
      </c>
      <c r="CK147">
        <v>5</v>
      </c>
      <c r="CL147" t="s">
        <v>4</v>
      </c>
      <c r="CM147" t="s">
        <v>1521</v>
      </c>
      <c r="CN147" t="s">
        <v>1522</v>
      </c>
      <c r="CO147" t="s">
        <v>1523</v>
      </c>
      <c r="CP147">
        <v>146</v>
      </c>
      <c r="CQ147" t="s">
        <v>100</v>
      </c>
      <c r="CR147" t="s">
        <v>100</v>
      </c>
      <c r="CS147" t="s">
        <v>101</v>
      </c>
      <c r="CT147" t="s">
        <v>100</v>
      </c>
      <c r="CU147" t="s">
        <v>102</v>
      </c>
      <c r="CV147" t="s">
        <v>100</v>
      </c>
    </row>
    <row r="148" spans="1:100">
      <c r="A148" s="3" t="s">
        <v>1524</v>
      </c>
      <c r="B148" s="4" t="s">
        <v>1525</v>
      </c>
      <c r="C148">
        <v>36.054712357092697</v>
      </c>
      <c r="D148">
        <v>7.7792716092152103</v>
      </c>
      <c r="E148">
        <v>2.2410280674773602</v>
      </c>
      <c r="F148">
        <v>7.9767523072487995E-3</v>
      </c>
      <c r="G148" t="s">
        <v>4</v>
      </c>
      <c r="H148">
        <v>36.054712357092697</v>
      </c>
      <c r="I148">
        <v>6.9506902868107296</v>
      </c>
      <c r="J148">
        <v>2.4232105352144599</v>
      </c>
      <c r="K148">
        <v>4.8106662607121601E-3</v>
      </c>
      <c r="L148" t="s">
        <v>4</v>
      </c>
      <c r="M148">
        <v>7.7792716092152103</v>
      </c>
      <c r="N148">
        <v>6.9506902868107296</v>
      </c>
      <c r="O148">
        <v>0.18218246773709401</v>
      </c>
      <c r="P148">
        <v>0.87450859341988196</v>
      </c>
      <c r="Q148" t="s">
        <v>4</v>
      </c>
      <c r="R148" s="4" t="s">
        <v>87</v>
      </c>
      <c r="S148" t="s">
        <v>4</v>
      </c>
      <c r="T148" t="s">
        <v>1526</v>
      </c>
      <c r="U148" t="s">
        <v>1527</v>
      </c>
      <c r="V148" t="s">
        <v>1528</v>
      </c>
      <c r="W148" t="s">
        <v>328</v>
      </c>
      <c r="X148" t="s">
        <v>4</v>
      </c>
      <c r="Y148" t="s">
        <v>1529</v>
      </c>
      <c r="Z148" t="s">
        <v>1530</v>
      </c>
      <c r="AA148" t="s">
        <v>1531</v>
      </c>
      <c r="AB148" t="s">
        <v>4</v>
      </c>
      <c r="AC148" s="3" t="s">
        <v>1532</v>
      </c>
      <c r="AD148" t="s">
        <v>4</v>
      </c>
      <c r="AE148" t="s">
        <v>1533</v>
      </c>
      <c r="AF148" t="s">
        <v>1534</v>
      </c>
      <c r="AG148" t="s">
        <v>1535</v>
      </c>
      <c r="AH148" t="s">
        <v>112</v>
      </c>
      <c r="AJ148" t="s">
        <v>1536</v>
      </c>
      <c r="AU148" t="s">
        <v>112</v>
      </c>
      <c r="AV148" t="s">
        <v>1537</v>
      </c>
      <c r="AW148" t="s">
        <v>114</v>
      </c>
      <c r="AX148" t="s">
        <v>536</v>
      </c>
      <c r="AY148" t="s">
        <v>1538</v>
      </c>
      <c r="AZ148" t="s">
        <v>4</v>
      </c>
      <c r="BA148" s="3" t="s">
        <v>95</v>
      </c>
      <c r="BB148" s="6" t="s">
        <v>95</v>
      </c>
      <c r="BC148" s="3" t="s">
        <v>95</v>
      </c>
      <c r="BD148" t="s">
        <v>4</v>
      </c>
      <c r="BE148">
        <v>3790</v>
      </c>
      <c r="BF148" t="s">
        <v>112</v>
      </c>
      <c r="BG148" t="s">
        <v>1539</v>
      </c>
      <c r="BH148">
        <v>19.724799999999998</v>
      </c>
      <c r="BI148">
        <v>75.688100000000006</v>
      </c>
      <c r="BJ148">
        <v>62.538200000000003</v>
      </c>
      <c r="BK148">
        <v>60.856299999999997</v>
      </c>
      <c r="BM148">
        <v>8.7156000000000002</v>
      </c>
      <c r="BN148">
        <v>54.893000000000001</v>
      </c>
      <c r="BP148">
        <v>46.636099999999999</v>
      </c>
      <c r="BQ148">
        <v>39.755400000000002</v>
      </c>
      <c r="BR148">
        <v>40.5199</v>
      </c>
      <c r="BS148" t="s">
        <v>1540</v>
      </c>
      <c r="BT148" t="s">
        <v>1541</v>
      </c>
      <c r="BV148" t="s">
        <v>1542</v>
      </c>
      <c r="BW148">
        <v>39.755400000000002</v>
      </c>
      <c r="BX148">
        <v>45.259900000000002</v>
      </c>
      <c r="BY148">
        <v>9.0214099999999995</v>
      </c>
      <c r="BZ148" t="s">
        <v>1543</v>
      </c>
      <c r="CA148">
        <v>42.813499999999998</v>
      </c>
      <c r="CF148" t="s">
        <v>1544</v>
      </c>
      <c r="CG148" t="s">
        <v>1545</v>
      </c>
      <c r="CH148" t="s">
        <v>1546</v>
      </c>
      <c r="CI148" t="s">
        <v>1547</v>
      </c>
      <c r="CK148">
        <v>5</v>
      </c>
      <c r="CL148" t="s">
        <v>4</v>
      </c>
      <c r="CM148" t="s">
        <v>1548</v>
      </c>
      <c r="CN148" t="s">
        <v>1549</v>
      </c>
      <c r="CO148" t="s">
        <v>1218</v>
      </c>
      <c r="CP148">
        <v>147</v>
      </c>
      <c r="CQ148" t="s">
        <v>100</v>
      </c>
      <c r="CR148" t="s">
        <v>100</v>
      </c>
      <c r="CS148" t="s">
        <v>101</v>
      </c>
      <c r="CT148" t="s">
        <v>100</v>
      </c>
      <c r="CU148" t="s">
        <v>102</v>
      </c>
      <c r="CV148" t="s">
        <v>100</v>
      </c>
    </row>
    <row r="149" spans="1:100">
      <c r="A149" s="3" t="s">
        <v>1550</v>
      </c>
      <c r="B149" s="4" t="s">
        <v>1551</v>
      </c>
      <c r="C149">
        <v>87.834956622375103</v>
      </c>
      <c r="D149">
        <v>14.5111756540333</v>
      </c>
      <c r="E149">
        <v>2.6091008093965402</v>
      </c>
      <c r="F149">
        <v>1.11176181415761E-3</v>
      </c>
      <c r="G149" t="s">
        <v>4</v>
      </c>
      <c r="H149">
        <v>87.834956622375103</v>
      </c>
      <c r="I149">
        <v>10.3688355084716</v>
      </c>
      <c r="J149">
        <v>3.0891581250551798</v>
      </c>
      <c r="K149">
        <v>1.34117768165606E-4</v>
      </c>
      <c r="L149" t="s">
        <v>4</v>
      </c>
      <c r="M149">
        <v>14.5111756540333</v>
      </c>
      <c r="N149">
        <v>10.3688355084716</v>
      </c>
      <c r="O149">
        <v>0.48005731565864901</v>
      </c>
      <c r="P149">
        <v>0.62862922711973801</v>
      </c>
      <c r="Q149" t="s">
        <v>4</v>
      </c>
      <c r="R149" s="4" t="s">
        <v>87</v>
      </c>
      <c r="S149" t="s">
        <v>4</v>
      </c>
      <c r="T149" t="s">
        <v>1552</v>
      </c>
      <c r="U149" t="s">
        <v>1553</v>
      </c>
      <c r="V149" t="s">
        <v>1554</v>
      </c>
      <c r="W149" t="s">
        <v>328</v>
      </c>
      <c r="X149" t="s">
        <v>4</v>
      </c>
      <c r="Y149" t="s">
        <v>1555</v>
      </c>
      <c r="Z149" t="s">
        <v>1556</v>
      </c>
      <c r="AA149" t="s">
        <v>1557</v>
      </c>
      <c r="AB149" t="s">
        <v>4</v>
      </c>
      <c r="AC149" s="3" t="s">
        <v>1558</v>
      </c>
      <c r="AD149" t="s">
        <v>4</v>
      </c>
      <c r="AE149" t="s">
        <v>1559</v>
      </c>
      <c r="AF149" t="s">
        <v>1560</v>
      </c>
      <c r="AG149" t="s">
        <v>1561</v>
      </c>
      <c r="AH149" t="s">
        <v>112</v>
      </c>
      <c r="AU149" t="s">
        <v>112</v>
      </c>
      <c r="AV149" t="s">
        <v>1562</v>
      </c>
      <c r="AW149" t="s">
        <v>114</v>
      </c>
      <c r="AX149" t="s">
        <v>144</v>
      </c>
      <c r="AY149" t="s">
        <v>1563</v>
      </c>
      <c r="AZ149" t="s">
        <v>4</v>
      </c>
      <c r="BA149" s="3" t="s">
        <v>95</v>
      </c>
      <c r="BB149" t="s">
        <v>96</v>
      </c>
      <c r="BC149" s="3" t="s">
        <v>782</v>
      </c>
      <c r="BD149" t="s">
        <v>4</v>
      </c>
      <c r="BE149">
        <v>4986</v>
      </c>
      <c r="BF149" t="s">
        <v>282</v>
      </c>
      <c r="BH149">
        <v>99.430199999999999</v>
      </c>
      <c r="BI149">
        <v>90.598299999999995</v>
      </c>
      <c r="BJ149">
        <v>93.162400000000005</v>
      </c>
      <c r="BK149">
        <v>85.754999999999995</v>
      </c>
      <c r="BM149">
        <v>86.039900000000003</v>
      </c>
      <c r="BN149">
        <v>90.028499999999994</v>
      </c>
      <c r="BP149">
        <v>60.398899999999998</v>
      </c>
      <c r="BQ149">
        <v>31.623899999999999</v>
      </c>
      <c r="BR149">
        <v>15.384600000000001</v>
      </c>
      <c r="BS149">
        <v>25.640999999999998</v>
      </c>
      <c r="BT149">
        <v>10.5413</v>
      </c>
      <c r="BU149">
        <v>30.769200000000001</v>
      </c>
      <c r="BV149" t="s">
        <v>1564</v>
      </c>
      <c r="BW149">
        <v>27.0655</v>
      </c>
      <c r="BX149">
        <v>29.9145</v>
      </c>
      <c r="BY149">
        <v>6.2678099999999999</v>
      </c>
      <c r="BZ149">
        <v>23.9316</v>
      </c>
      <c r="CA149">
        <v>29.3447</v>
      </c>
      <c r="CD149" t="s">
        <v>1565</v>
      </c>
      <c r="CK149">
        <v>6</v>
      </c>
      <c r="CL149" t="s">
        <v>4</v>
      </c>
      <c r="CM149" t="s">
        <v>1566</v>
      </c>
      <c r="CN149" t="s">
        <v>1567</v>
      </c>
      <c r="CO149" t="s">
        <v>99</v>
      </c>
      <c r="CP149">
        <v>148</v>
      </c>
      <c r="CQ149" t="s">
        <v>100</v>
      </c>
      <c r="CR149" t="s">
        <v>100</v>
      </c>
      <c r="CS149" t="s">
        <v>101</v>
      </c>
      <c r="CT149" t="s">
        <v>100</v>
      </c>
      <c r="CU149" t="s">
        <v>102</v>
      </c>
      <c r="CV149" t="s">
        <v>100</v>
      </c>
    </row>
    <row r="150" spans="1:100">
      <c r="A150" s="3" t="s">
        <v>1568</v>
      </c>
      <c r="B150" s="4" t="s">
        <v>1569</v>
      </c>
      <c r="C150">
        <v>54.214281196835003</v>
      </c>
      <c r="D150">
        <v>6.0040145656549102</v>
      </c>
      <c r="E150">
        <v>3.1738458984551601</v>
      </c>
      <c r="F150">
        <v>3.0952995765091003E-4</v>
      </c>
      <c r="G150" t="s">
        <v>4</v>
      </c>
      <c r="H150">
        <v>54.214281196835003</v>
      </c>
      <c r="I150">
        <v>8.5490089626674592</v>
      </c>
      <c r="J150">
        <v>2.70262769659089</v>
      </c>
      <c r="K150">
        <v>1.9207460861591899E-3</v>
      </c>
      <c r="L150" t="s">
        <v>4</v>
      </c>
      <c r="M150">
        <v>6.0040145656549102</v>
      </c>
      <c r="N150">
        <v>8.5490089626674592</v>
      </c>
      <c r="O150">
        <f>0.471218201864269</f>
        <v>0.47121820186426899</v>
      </c>
      <c r="P150">
        <v>0.67060367997718096</v>
      </c>
      <c r="Q150" t="s">
        <v>4</v>
      </c>
      <c r="R150" s="4" t="s">
        <v>87</v>
      </c>
      <c r="S150" t="s">
        <v>4</v>
      </c>
      <c r="T150" t="s">
        <v>1570</v>
      </c>
      <c r="U150" t="s">
        <v>1571</v>
      </c>
      <c r="V150" t="s">
        <v>1572</v>
      </c>
      <c r="W150" t="s">
        <v>328</v>
      </c>
      <c r="X150" t="s">
        <v>4</v>
      </c>
      <c r="Y150" t="s">
        <v>1573</v>
      </c>
      <c r="Z150" t="s">
        <v>1574</v>
      </c>
      <c r="AA150" t="s">
        <v>1575</v>
      </c>
      <c r="AB150" t="s">
        <v>4</v>
      </c>
      <c r="AC150" s="3" t="s">
        <v>1576</v>
      </c>
      <c r="AD150" t="s">
        <v>4</v>
      </c>
      <c r="AE150" t="s">
        <v>1577</v>
      </c>
      <c r="AF150" t="s">
        <v>1578</v>
      </c>
      <c r="AG150" t="s">
        <v>1579</v>
      </c>
      <c r="AH150" t="s">
        <v>112</v>
      </c>
      <c r="AI150" t="s">
        <v>1580</v>
      </c>
      <c r="AJ150" t="s">
        <v>1581</v>
      </c>
      <c r="AL150" t="s">
        <v>1582</v>
      </c>
      <c r="AM150" t="s">
        <v>1583</v>
      </c>
      <c r="AQ150" t="s">
        <v>1584</v>
      </c>
      <c r="AU150" t="s">
        <v>112</v>
      </c>
      <c r="AV150" t="s">
        <v>1585</v>
      </c>
      <c r="AW150" t="s">
        <v>114</v>
      </c>
      <c r="AX150" t="s">
        <v>371</v>
      </c>
      <c r="AY150" t="s">
        <v>1586</v>
      </c>
      <c r="AZ150" t="s">
        <v>4</v>
      </c>
      <c r="BA150" s="3" t="s">
        <v>95</v>
      </c>
      <c r="BB150" s="6" t="s">
        <v>95</v>
      </c>
      <c r="BC150" s="3" t="s">
        <v>95</v>
      </c>
      <c r="BD150" t="s">
        <v>4</v>
      </c>
      <c r="BE150">
        <v>7139</v>
      </c>
      <c r="BF150" t="s">
        <v>213</v>
      </c>
      <c r="BG150">
        <v>50.427300000000002</v>
      </c>
      <c r="BH150">
        <v>50.712200000000003</v>
      </c>
      <c r="BI150">
        <v>96.296300000000002</v>
      </c>
      <c r="BJ150">
        <v>50.427300000000002</v>
      </c>
      <c r="BK150">
        <v>76.068399999999997</v>
      </c>
      <c r="BL150">
        <v>48.7179</v>
      </c>
      <c r="BM150">
        <v>49.002800000000001</v>
      </c>
      <c r="BN150">
        <v>51.851900000000001</v>
      </c>
      <c r="BO150">
        <v>85.185199999999995</v>
      </c>
      <c r="BP150">
        <v>46.723599999999998</v>
      </c>
      <c r="BQ150">
        <v>41.595399999999998</v>
      </c>
      <c r="BR150">
        <v>38.746400000000001</v>
      </c>
      <c r="BS150">
        <v>32.1937</v>
      </c>
      <c r="BY150">
        <v>29.3447</v>
      </c>
      <c r="CC150">
        <v>25.356100000000001</v>
      </c>
      <c r="CD150">
        <v>28.774899999999999</v>
      </c>
      <c r="CG150" t="s">
        <v>1587</v>
      </c>
      <c r="CH150" t="s">
        <v>1588</v>
      </c>
      <c r="CI150" t="s">
        <v>1589</v>
      </c>
      <c r="CK150">
        <v>8</v>
      </c>
      <c r="CL150" t="s">
        <v>4</v>
      </c>
      <c r="CM150" t="s">
        <v>98</v>
      </c>
      <c r="CN150" t="s">
        <v>98</v>
      </c>
      <c r="CO150" t="s">
        <v>99</v>
      </c>
      <c r="CP150">
        <v>149</v>
      </c>
      <c r="CQ150" t="s">
        <v>100</v>
      </c>
      <c r="CR150" t="s">
        <v>100</v>
      </c>
      <c r="CS150" t="s">
        <v>101</v>
      </c>
      <c r="CT150" t="s">
        <v>100</v>
      </c>
      <c r="CU150" t="s">
        <v>102</v>
      </c>
      <c r="CV150" t="s">
        <v>100</v>
      </c>
    </row>
    <row r="151" spans="1:100">
      <c r="A151" s="3" t="s">
        <v>1590</v>
      </c>
      <c r="B151" s="4" t="s">
        <v>1591</v>
      </c>
      <c r="C151">
        <v>349.18385648080698</v>
      </c>
      <c r="D151">
        <v>31.2574354698985</v>
      </c>
      <c r="E151">
        <v>3.4840920449341199</v>
      </c>
      <c r="F151" s="5">
        <v>2.6427249449446501E-5</v>
      </c>
      <c r="G151" t="s">
        <v>4</v>
      </c>
      <c r="H151">
        <v>349.18385648080698</v>
      </c>
      <c r="I151">
        <v>33.554763453880398</v>
      </c>
      <c r="J151">
        <v>3.3865008923937001</v>
      </c>
      <c r="K151" s="5">
        <v>3.4730670713124703E-5</v>
      </c>
      <c r="L151" t="s">
        <v>4</v>
      </c>
      <c r="M151">
        <v>31.2574354698985</v>
      </c>
      <c r="N151">
        <v>33.554763453880398</v>
      </c>
      <c r="O151">
        <f>0.0975911525404225</f>
        <v>9.7591152540422499E-2</v>
      </c>
      <c r="P151">
        <v>0.93128017484501802</v>
      </c>
      <c r="Q151" t="s">
        <v>4</v>
      </c>
      <c r="R151" s="4" t="s">
        <v>87</v>
      </c>
      <c r="S151" t="s">
        <v>4</v>
      </c>
      <c r="T151" t="s">
        <v>92</v>
      </c>
      <c r="U151" t="s">
        <v>92</v>
      </c>
      <c r="V151" t="s">
        <v>92</v>
      </c>
      <c r="W151" t="s">
        <v>92</v>
      </c>
      <c r="X151" t="s">
        <v>4</v>
      </c>
      <c r="Y151" t="s">
        <v>1592</v>
      </c>
      <c r="Z151" t="s">
        <v>1593</v>
      </c>
      <c r="AA151" t="s">
        <v>1594</v>
      </c>
      <c r="AB151" t="s">
        <v>4</v>
      </c>
      <c r="AC151" s="3" t="s">
        <v>1595</v>
      </c>
      <c r="AD151" t="s">
        <v>4</v>
      </c>
      <c r="AE151" t="s">
        <v>1596</v>
      </c>
      <c r="AF151" t="s">
        <v>1597</v>
      </c>
      <c r="AG151" t="s">
        <v>1598</v>
      </c>
      <c r="AH151" t="s">
        <v>1599</v>
      </c>
      <c r="AU151" t="s">
        <v>112</v>
      </c>
      <c r="AV151" t="s">
        <v>1600</v>
      </c>
      <c r="AW151" t="s">
        <v>114</v>
      </c>
      <c r="AX151" t="s">
        <v>132</v>
      </c>
      <c r="AY151" t="s">
        <v>1601</v>
      </c>
      <c r="AZ151" t="s">
        <v>4</v>
      </c>
      <c r="BA151" s="3" t="s">
        <v>95</v>
      </c>
      <c r="BB151" s="6" t="s">
        <v>95</v>
      </c>
      <c r="BC151" s="3" t="s">
        <v>197</v>
      </c>
      <c r="BD151" t="s">
        <v>4</v>
      </c>
      <c r="BE151">
        <v>1910</v>
      </c>
      <c r="BF151" t="s">
        <v>148</v>
      </c>
      <c r="BG151">
        <v>73.887200000000007</v>
      </c>
      <c r="BH151" t="s">
        <v>1602</v>
      </c>
      <c r="BI151">
        <v>16.320499999999999</v>
      </c>
      <c r="BJ151">
        <v>8.4569700000000001</v>
      </c>
      <c r="CK151">
        <v>3</v>
      </c>
      <c r="CL151" t="s">
        <v>4</v>
      </c>
      <c r="CM151" t="s">
        <v>98</v>
      </c>
      <c r="CN151" t="s">
        <v>98</v>
      </c>
      <c r="CO151" t="s">
        <v>99</v>
      </c>
      <c r="CP151">
        <v>150</v>
      </c>
      <c r="CQ151" t="s">
        <v>100</v>
      </c>
      <c r="CR151" t="s">
        <v>100</v>
      </c>
      <c r="CS151" t="s">
        <v>101</v>
      </c>
      <c r="CT151" t="s">
        <v>100</v>
      </c>
      <c r="CU151" t="s">
        <v>102</v>
      </c>
      <c r="CV151" t="s">
        <v>100</v>
      </c>
    </row>
    <row r="152" spans="1:100">
      <c r="A152" s="3" t="s">
        <v>1603</v>
      </c>
      <c r="B152" s="4" t="s">
        <v>1604</v>
      </c>
      <c r="C152">
        <v>74.660961481024898</v>
      </c>
      <c r="D152">
        <v>12.3258154426302</v>
      </c>
      <c r="E152">
        <v>2.6137197967817798</v>
      </c>
      <c r="F152" s="5">
        <v>2.8071154297023201E-6</v>
      </c>
      <c r="G152" t="s">
        <v>4</v>
      </c>
      <c r="H152">
        <v>74.660961481024898</v>
      </c>
      <c r="I152">
        <v>12.952940257881201</v>
      </c>
      <c r="J152">
        <v>2.55439340635332</v>
      </c>
      <c r="K152" s="5">
        <v>7.7794424981424093E-6</v>
      </c>
      <c r="L152" t="s">
        <v>4</v>
      </c>
      <c r="M152">
        <v>12.3258154426302</v>
      </c>
      <c r="N152">
        <v>12.952940257881201</v>
      </c>
      <c r="O152">
        <f>0.0593263904284628</f>
        <v>5.93263904284628E-2</v>
      </c>
      <c r="P152">
        <v>0.943435595286919</v>
      </c>
      <c r="Q152" t="s">
        <v>4</v>
      </c>
      <c r="R152" s="4" t="s">
        <v>87</v>
      </c>
      <c r="S152" t="s">
        <v>4</v>
      </c>
      <c r="T152" t="s">
        <v>88</v>
      </c>
      <c r="U152" t="s">
        <v>89</v>
      </c>
      <c r="V152" t="s">
        <v>90</v>
      </c>
      <c r="W152" t="s">
        <v>91</v>
      </c>
      <c r="X152" t="s">
        <v>4</v>
      </c>
      <c r="Y152" t="s">
        <v>1605</v>
      </c>
      <c r="Z152" t="s">
        <v>1606</v>
      </c>
      <c r="AA152" t="s">
        <v>1607</v>
      </c>
      <c r="AB152" t="s">
        <v>4</v>
      </c>
      <c r="AC152" s="3" t="s">
        <v>1608</v>
      </c>
      <c r="AD152" t="s">
        <v>4</v>
      </c>
      <c r="AE152" t="s">
        <v>1609</v>
      </c>
      <c r="AF152" t="s">
        <v>1610</v>
      </c>
      <c r="AG152" t="s">
        <v>1611</v>
      </c>
      <c r="AH152" t="s">
        <v>112</v>
      </c>
      <c r="AU152" t="s">
        <v>112</v>
      </c>
      <c r="AV152" t="s">
        <v>1612</v>
      </c>
      <c r="AW152" t="s">
        <v>114</v>
      </c>
      <c r="AX152" t="s">
        <v>144</v>
      </c>
      <c r="AY152" t="s">
        <v>1613</v>
      </c>
      <c r="AZ152" t="s">
        <v>4</v>
      </c>
      <c r="BA152" s="3" t="s">
        <v>95</v>
      </c>
      <c r="BB152" t="s">
        <v>96</v>
      </c>
      <c r="BC152" s="3" t="s">
        <v>95</v>
      </c>
      <c r="BD152" t="s">
        <v>4</v>
      </c>
      <c r="BE152">
        <v>1157</v>
      </c>
      <c r="BF152" t="s">
        <v>151</v>
      </c>
      <c r="BG152">
        <v>84.282899999999998</v>
      </c>
      <c r="BH152">
        <v>68.369399999999999</v>
      </c>
      <c r="BI152">
        <v>77.2102</v>
      </c>
      <c r="BJ152">
        <v>27.111999999999998</v>
      </c>
      <c r="BK152">
        <v>48.330100000000002</v>
      </c>
      <c r="BL152">
        <v>16.5029</v>
      </c>
      <c r="BM152">
        <v>20.825099999999999</v>
      </c>
      <c r="BN152">
        <v>42.043199999999999</v>
      </c>
      <c r="BO152">
        <v>49.705300000000001</v>
      </c>
      <c r="CK152">
        <v>2</v>
      </c>
      <c r="CL152" t="s">
        <v>4</v>
      </c>
      <c r="CM152" t="s">
        <v>98</v>
      </c>
      <c r="CN152" t="s">
        <v>98</v>
      </c>
      <c r="CO152" t="s">
        <v>99</v>
      </c>
      <c r="CP152">
        <v>151</v>
      </c>
      <c r="CQ152" t="s">
        <v>100</v>
      </c>
      <c r="CR152" t="s">
        <v>100</v>
      </c>
      <c r="CS152" t="s">
        <v>101</v>
      </c>
      <c r="CT152" t="s">
        <v>100</v>
      </c>
      <c r="CU152" t="s">
        <v>102</v>
      </c>
      <c r="CV152" t="s">
        <v>100</v>
      </c>
    </row>
    <row r="153" spans="1:100">
      <c r="A153" s="3" t="s">
        <v>1614</v>
      </c>
      <c r="B153" s="4" t="s">
        <v>1615</v>
      </c>
      <c r="C153">
        <v>373.70226642349201</v>
      </c>
      <c r="D153">
        <v>83.472775483350205</v>
      </c>
      <c r="E153">
        <v>2.1601712280863001</v>
      </c>
      <c r="F153" s="5">
        <v>2.62008292384333E-12</v>
      </c>
      <c r="G153" t="s">
        <v>4</v>
      </c>
      <c r="H153">
        <v>373.70226642349201</v>
      </c>
      <c r="I153">
        <v>88.875463109925803</v>
      </c>
      <c r="J153">
        <v>2.0718822467512998</v>
      </c>
      <c r="K153" s="5">
        <v>2.30768809625942E-11</v>
      </c>
      <c r="L153" t="s">
        <v>4</v>
      </c>
      <c r="M153">
        <v>83.472775483350205</v>
      </c>
      <c r="N153">
        <v>88.875463109925803</v>
      </c>
      <c r="O153">
        <f>0.0882889813350019</f>
        <v>8.8288981335001904E-2</v>
      </c>
      <c r="P153">
        <v>0.83417405315915005</v>
      </c>
      <c r="Q153" t="s">
        <v>4</v>
      </c>
      <c r="R153" s="4" t="s">
        <v>87</v>
      </c>
      <c r="S153" t="s">
        <v>4</v>
      </c>
      <c r="T153" t="s">
        <v>1616</v>
      </c>
      <c r="U153" t="s">
        <v>1617</v>
      </c>
      <c r="V153" t="s">
        <v>1618</v>
      </c>
      <c r="W153" t="s">
        <v>123</v>
      </c>
      <c r="X153" t="s">
        <v>4</v>
      </c>
      <c r="Y153" t="s">
        <v>1619</v>
      </c>
      <c r="Z153" t="s">
        <v>1620</v>
      </c>
      <c r="AA153" t="s">
        <v>1621</v>
      </c>
      <c r="AB153" t="s">
        <v>4</v>
      </c>
      <c r="AC153" s="3" t="s">
        <v>1622</v>
      </c>
      <c r="AD153" t="s">
        <v>4</v>
      </c>
      <c r="AE153" t="s">
        <v>1623</v>
      </c>
      <c r="AF153" t="s">
        <v>1624</v>
      </c>
      <c r="AG153" t="s">
        <v>1625</v>
      </c>
      <c r="AH153" t="s">
        <v>112</v>
      </c>
      <c r="AK153" t="s">
        <v>1626</v>
      </c>
      <c r="AL153" t="s">
        <v>1627</v>
      </c>
      <c r="AM153" t="s">
        <v>1628</v>
      </c>
      <c r="AO153" t="s">
        <v>1629</v>
      </c>
      <c r="AP153" t="s">
        <v>1630</v>
      </c>
      <c r="AQ153" t="s">
        <v>342</v>
      </c>
      <c r="AU153" t="s">
        <v>112</v>
      </c>
      <c r="AV153" t="s">
        <v>1631</v>
      </c>
      <c r="AW153" t="s">
        <v>114</v>
      </c>
      <c r="AX153" t="s">
        <v>909</v>
      </c>
      <c r="AY153" t="s">
        <v>1632</v>
      </c>
      <c r="AZ153" t="s">
        <v>4</v>
      </c>
      <c r="BA153" s="3" t="s">
        <v>95</v>
      </c>
      <c r="BB153" s="6" t="s">
        <v>95</v>
      </c>
      <c r="BC153" s="3" t="s">
        <v>95</v>
      </c>
      <c r="BD153" t="s">
        <v>4</v>
      </c>
      <c r="BE153">
        <v>7268</v>
      </c>
      <c r="BF153" t="s">
        <v>213</v>
      </c>
      <c r="BG153">
        <v>99.679500000000004</v>
      </c>
      <c r="BH153">
        <v>55.769199999999998</v>
      </c>
      <c r="BI153">
        <v>98.7179</v>
      </c>
      <c r="BK153">
        <v>89.743600000000001</v>
      </c>
      <c r="BL153">
        <v>63.7821</v>
      </c>
      <c r="BM153">
        <v>89.423100000000005</v>
      </c>
      <c r="BN153">
        <v>89.423100000000005</v>
      </c>
      <c r="BO153">
        <v>91.025599999999997</v>
      </c>
      <c r="BP153">
        <v>47.115400000000001</v>
      </c>
      <c r="BQ153">
        <v>45.833300000000001</v>
      </c>
      <c r="BR153">
        <v>50.320500000000003</v>
      </c>
      <c r="BU153" t="s">
        <v>1633</v>
      </c>
      <c r="BV153" t="s">
        <v>1634</v>
      </c>
      <c r="BW153">
        <v>44.551299999999998</v>
      </c>
      <c r="BX153">
        <v>46.794899999999998</v>
      </c>
      <c r="BY153">
        <v>33.653799999999997</v>
      </c>
      <c r="BZ153">
        <v>46.153799999999997</v>
      </c>
      <c r="CA153">
        <v>47.115400000000001</v>
      </c>
      <c r="CF153">
        <v>9.2948699999999995</v>
      </c>
      <c r="CG153" t="s">
        <v>1635</v>
      </c>
      <c r="CH153" t="s">
        <v>1636</v>
      </c>
      <c r="CI153" t="s">
        <v>1637</v>
      </c>
      <c r="CK153">
        <v>8</v>
      </c>
      <c r="CL153" t="s">
        <v>4</v>
      </c>
      <c r="CM153" t="s">
        <v>1638</v>
      </c>
      <c r="CN153" t="s">
        <v>1639</v>
      </c>
      <c r="CO153" t="s">
        <v>99</v>
      </c>
      <c r="CP153">
        <v>152</v>
      </c>
      <c r="CQ153" t="s">
        <v>100</v>
      </c>
      <c r="CR153" t="s">
        <v>100</v>
      </c>
      <c r="CS153" t="s">
        <v>101</v>
      </c>
      <c r="CT153" t="s">
        <v>100</v>
      </c>
      <c r="CU153" t="s">
        <v>102</v>
      </c>
      <c r="CV153" t="s">
        <v>100</v>
      </c>
    </row>
    <row r="154" spans="1:100">
      <c r="A154" s="3" t="s">
        <v>1640</v>
      </c>
      <c r="B154" s="4" t="s">
        <v>1641</v>
      </c>
      <c r="C154">
        <v>38.991603470172997</v>
      </c>
      <c r="D154">
        <v>6.4957505393300803</v>
      </c>
      <c r="E154">
        <v>2.59835003818083</v>
      </c>
      <c r="F154">
        <v>1.0012658911265401E-3</v>
      </c>
      <c r="G154" t="s">
        <v>4</v>
      </c>
      <c r="H154">
        <v>38.991603470172997</v>
      </c>
      <c r="I154">
        <v>3.0992453280015</v>
      </c>
      <c r="J154">
        <v>3.6243612210032401</v>
      </c>
      <c r="K154" s="5">
        <v>5.8753585370543797E-5</v>
      </c>
      <c r="L154" t="s">
        <v>4</v>
      </c>
      <c r="M154">
        <v>6.4957505393300803</v>
      </c>
      <c r="N154">
        <v>3.0992453280015</v>
      </c>
      <c r="O154">
        <v>1.0260111828224101</v>
      </c>
      <c r="P154">
        <v>0.334298479872909</v>
      </c>
      <c r="Q154" t="s">
        <v>4</v>
      </c>
      <c r="R154" s="4" t="s">
        <v>87</v>
      </c>
      <c r="S154" t="s">
        <v>4</v>
      </c>
      <c r="T154" t="s">
        <v>200</v>
      </c>
      <c r="U154" t="s">
        <v>201</v>
      </c>
      <c r="V154" t="s">
        <v>202</v>
      </c>
      <c r="W154" t="s">
        <v>203</v>
      </c>
      <c r="X154" t="s">
        <v>4</v>
      </c>
      <c r="Y154" t="s">
        <v>204</v>
      </c>
      <c r="Z154" t="s">
        <v>205</v>
      </c>
      <c r="AA154" t="s">
        <v>206</v>
      </c>
      <c r="AB154" t="s">
        <v>4</v>
      </c>
      <c r="AC154" s="3" t="s">
        <v>207</v>
      </c>
      <c r="AD154" t="s">
        <v>4</v>
      </c>
      <c r="AE154" t="s">
        <v>1642</v>
      </c>
      <c r="AF154" t="s">
        <v>1643</v>
      </c>
      <c r="AG154" t="s">
        <v>1644</v>
      </c>
      <c r="AH154" t="s">
        <v>112</v>
      </c>
      <c r="AK154" t="s">
        <v>163</v>
      </c>
      <c r="AL154" t="s">
        <v>1645</v>
      </c>
      <c r="AQ154" t="s">
        <v>165</v>
      </c>
      <c r="AU154" t="s">
        <v>112</v>
      </c>
      <c r="AV154" t="s">
        <v>1646</v>
      </c>
      <c r="AW154" t="s">
        <v>114</v>
      </c>
      <c r="AX154" t="s">
        <v>132</v>
      </c>
      <c r="AY154" t="s">
        <v>212</v>
      </c>
      <c r="AZ154" t="s">
        <v>4</v>
      </c>
      <c r="BA154" s="3" t="s">
        <v>95</v>
      </c>
      <c r="BB154" s="6" t="s">
        <v>95</v>
      </c>
      <c r="BC154" s="3" t="s">
        <v>95</v>
      </c>
      <c r="BD154" t="s">
        <v>4</v>
      </c>
      <c r="BE154">
        <v>7288</v>
      </c>
      <c r="BF154" t="s">
        <v>213</v>
      </c>
      <c r="BG154">
        <v>96.296300000000002</v>
      </c>
      <c r="BH154">
        <v>49.002800000000001</v>
      </c>
      <c r="BJ154">
        <v>54.131100000000004</v>
      </c>
      <c r="BK154">
        <v>71.225099999999998</v>
      </c>
      <c r="BL154">
        <v>40.740699999999997</v>
      </c>
      <c r="BM154">
        <v>83.190899999999999</v>
      </c>
      <c r="BN154">
        <v>84.045599999999993</v>
      </c>
      <c r="BO154">
        <v>82.051299999999998</v>
      </c>
      <c r="BP154">
        <v>55.270699999999998</v>
      </c>
      <c r="BQ154">
        <v>21.6524</v>
      </c>
      <c r="BR154">
        <v>28.774899999999999</v>
      </c>
      <c r="BT154">
        <v>33.048400000000001</v>
      </c>
      <c r="BV154">
        <v>35.612499999999997</v>
      </c>
      <c r="BX154">
        <v>42.165199999999999</v>
      </c>
      <c r="BY154">
        <v>34.757800000000003</v>
      </c>
      <c r="BZ154">
        <v>21.6524</v>
      </c>
      <c r="CA154">
        <v>37.321899999999999</v>
      </c>
      <c r="CG154" t="s">
        <v>1647</v>
      </c>
      <c r="CH154" t="s">
        <v>1648</v>
      </c>
      <c r="CI154" t="s">
        <v>1649</v>
      </c>
      <c r="CJ154" t="s">
        <v>1650</v>
      </c>
      <c r="CK154">
        <v>8</v>
      </c>
      <c r="CL154" t="s">
        <v>4</v>
      </c>
      <c r="CM154" t="s">
        <v>1651</v>
      </c>
      <c r="CN154" t="s">
        <v>1652</v>
      </c>
      <c r="CO154" t="s">
        <v>663</v>
      </c>
      <c r="CP154">
        <v>153</v>
      </c>
      <c r="CQ154" t="s">
        <v>100</v>
      </c>
      <c r="CR154" t="s">
        <v>100</v>
      </c>
      <c r="CS154" t="s">
        <v>101</v>
      </c>
      <c r="CT154" t="s">
        <v>100</v>
      </c>
      <c r="CU154" t="s">
        <v>102</v>
      </c>
      <c r="CV154" t="s">
        <v>100</v>
      </c>
    </row>
    <row r="155" spans="1:100">
      <c r="A155" s="3" t="s">
        <v>1653</v>
      </c>
      <c r="B155" s="4" t="s">
        <v>1654</v>
      </c>
      <c r="C155">
        <v>327.952000187142</v>
      </c>
      <c r="D155">
        <v>40.311131804121601</v>
      </c>
      <c r="E155">
        <v>3.0263571722779599</v>
      </c>
      <c r="F155" s="5">
        <v>8.7425111170649897E-9</v>
      </c>
      <c r="G155" t="s">
        <v>4</v>
      </c>
      <c r="H155">
        <v>327.952000187142</v>
      </c>
      <c r="I155">
        <v>55.1052310724968</v>
      </c>
      <c r="J155">
        <v>2.5692686182335902</v>
      </c>
      <c r="K155" s="5">
        <v>8.9497268299219704E-7</v>
      </c>
      <c r="L155" t="s">
        <v>4</v>
      </c>
      <c r="M155">
        <v>40.311131804121601</v>
      </c>
      <c r="N155">
        <v>55.1052310724968</v>
      </c>
      <c r="O155">
        <f>0.457088554044365</f>
        <v>0.45708855404436499</v>
      </c>
      <c r="P155">
        <v>0.459519321017758</v>
      </c>
      <c r="Q155" t="s">
        <v>4</v>
      </c>
      <c r="R155" s="4" t="s">
        <v>87</v>
      </c>
      <c r="S155" t="s">
        <v>4</v>
      </c>
      <c r="T155" t="s">
        <v>1655</v>
      </c>
      <c r="U155" t="s">
        <v>1656</v>
      </c>
      <c r="V155" t="s">
        <v>1657</v>
      </c>
      <c r="W155" t="s">
        <v>328</v>
      </c>
      <c r="X155" t="s">
        <v>4</v>
      </c>
      <c r="Y155" t="s">
        <v>1658</v>
      </c>
      <c r="Z155" t="s">
        <v>1659</v>
      </c>
      <c r="AA155" t="s">
        <v>1660</v>
      </c>
      <c r="AB155" t="s">
        <v>4</v>
      </c>
      <c r="AC155" s="3" t="s">
        <v>1661</v>
      </c>
      <c r="AD155" t="s">
        <v>4</v>
      </c>
      <c r="AE155" t="s">
        <v>1662</v>
      </c>
      <c r="AF155" t="s">
        <v>834</v>
      </c>
      <c r="AG155" t="s">
        <v>1663</v>
      </c>
      <c r="AH155" t="s">
        <v>112</v>
      </c>
      <c r="AL155" t="s">
        <v>1664</v>
      </c>
      <c r="AM155" t="s">
        <v>1665</v>
      </c>
      <c r="AQ155" t="s">
        <v>1666</v>
      </c>
      <c r="AU155" t="s">
        <v>112</v>
      </c>
      <c r="AV155" t="s">
        <v>1667</v>
      </c>
      <c r="AW155" t="s">
        <v>114</v>
      </c>
      <c r="AX155" t="s">
        <v>1345</v>
      </c>
      <c r="AY155" t="s">
        <v>1668</v>
      </c>
      <c r="AZ155" t="s">
        <v>4</v>
      </c>
      <c r="BA155" s="3" t="s">
        <v>95</v>
      </c>
      <c r="BB155" t="s">
        <v>96</v>
      </c>
      <c r="BC155" s="3" t="s">
        <v>197</v>
      </c>
      <c r="BD155" t="s">
        <v>4</v>
      </c>
      <c r="BE155">
        <v>7333</v>
      </c>
      <c r="BF155" t="s">
        <v>213</v>
      </c>
      <c r="BG155">
        <v>94.221800000000002</v>
      </c>
      <c r="BH155" t="s">
        <v>1669</v>
      </c>
      <c r="BI155">
        <v>88.723200000000006</v>
      </c>
      <c r="BJ155">
        <v>12.302</v>
      </c>
      <c r="BL155" t="s">
        <v>1670</v>
      </c>
      <c r="BM155">
        <v>47.437100000000001</v>
      </c>
      <c r="BN155">
        <v>45.759599999999999</v>
      </c>
      <c r="BO155" t="s">
        <v>1671</v>
      </c>
      <c r="BP155">
        <v>53.122100000000003</v>
      </c>
      <c r="BQ155">
        <v>43.429600000000001</v>
      </c>
      <c r="BR155">
        <v>39.981400000000001</v>
      </c>
      <c r="BS155">
        <v>7.2693399999999997</v>
      </c>
      <c r="BT155">
        <v>39.795000000000002</v>
      </c>
      <c r="BU155" t="s">
        <v>1672</v>
      </c>
      <c r="BV155" t="s">
        <v>1673</v>
      </c>
      <c r="BW155">
        <v>41.192900000000002</v>
      </c>
      <c r="BX155">
        <v>44.9208</v>
      </c>
      <c r="BY155">
        <v>10.438000000000001</v>
      </c>
      <c r="BZ155">
        <v>37.651400000000002</v>
      </c>
      <c r="CA155">
        <v>43.709200000000003</v>
      </c>
      <c r="CB155">
        <v>10.8108</v>
      </c>
      <c r="CE155">
        <v>27.399799999999999</v>
      </c>
      <c r="CF155" t="s">
        <v>1674</v>
      </c>
      <c r="CG155" t="s">
        <v>1675</v>
      </c>
      <c r="CH155" t="s">
        <v>1676</v>
      </c>
      <c r="CI155" t="s">
        <v>1677</v>
      </c>
      <c r="CK155">
        <v>8</v>
      </c>
      <c r="CL155" t="s">
        <v>4</v>
      </c>
      <c r="CM155" t="s">
        <v>1678</v>
      </c>
      <c r="CN155" t="s">
        <v>1679</v>
      </c>
      <c r="CO155" t="s">
        <v>99</v>
      </c>
      <c r="CP155">
        <v>154</v>
      </c>
      <c r="CQ155" t="s">
        <v>100</v>
      </c>
      <c r="CR155" t="s">
        <v>100</v>
      </c>
      <c r="CS155" t="s">
        <v>101</v>
      </c>
      <c r="CT155" t="s">
        <v>100</v>
      </c>
      <c r="CU155" t="s">
        <v>102</v>
      </c>
      <c r="CV155" t="s">
        <v>100</v>
      </c>
    </row>
    <row r="156" spans="1:100">
      <c r="A156" s="3" t="s">
        <v>1680</v>
      </c>
      <c r="B156" s="4" t="s">
        <v>1681</v>
      </c>
      <c r="C156">
        <v>136.852382972832</v>
      </c>
      <c r="D156">
        <v>30.923252310837999</v>
      </c>
      <c r="E156">
        <v>2.1469948272311998</v>
      </c>
      <c r="F156">
        <v>4.5804040291460802E-3</v>
      </c>
      <c r="G156" t="s">
        <v>4</v>
      </c>
      <c r="H156">
        <v>136.852382972832</v>
      </c>
      <c r="I156">
        <v>21.9363589971165</v>
      </c>
      <c r="J156">
        <v>2.6576952430913598</v>
      </c>
      <c r="K156">
        <v>3.7060572626432898E-4</v>
      </c>
      <c r="L156" t="s">
        <v>4</v>
      </c>
      <c r="M156">
        <v>30.923252310837999</v>
      </c>
      <c r="N156">
        <v>21.9363589971165</v>
      </c>
      <c r="O156">
        <v>0.51070041586016801</v>
      </c>
      <c r="P156">
        <v>0.56182774527324297</v>
      </c>
      <c r="Q156" t="s">
        <v>4</v>
      </c>
      <c r="R156" s="4" t="s">
        <v>87</v>
      </c>
      <c r="S156" t="s">
        <v>4</v>
      </c>
      <c r="T156" t="s">
        <v>1682</v>
      </c>
      <c r="U156" t="s">
        <v>1683</v>
      </c>
      <c r="V156" t="s">
        <v>1684</v>
      </c>
      <c r="W156" t="s">
        <v>976</v>
      </c>
      <c r="X156" t="s">
        <v>4</v>
      </c>
      <c r="Y156" t="s">
        <v>1685</v>
      </c>
      <c r="Z156" t="s">
        <v>1686</v>
      </c>
      <c r="AA156" t="s">
        <v>1687</v>
      </c>
      <c r="AB156" t="s">
        <v>4</v>
      </c>
      <c r="AC156" s="3" t="s">
        <v>1688</v>
      </c>
      <c r="AD156" t="s">
        <v>4</v>
      </c>
      <c r="AE156" t="s">
        <v>1689</v>
      </c>
      <c r="AF156" t="s">
        <v>1690</v>
      </c>
      <c r="AG156" t="s">
        <v>1691</v>
      </c>
      <c r="AH156" t="s">
        <v>112</v>
      </c>
      <c r="AL156" t="s">
        <v>1692</v>
      </c>
      <c r="AQ156" t="s">
        <v>1693</v>
      </c>
      <c r="AR156" t="s">
        <v>1694</v>
      </c>
      <c r="AU156" t="s">
        <v>112</v>
      </c>
      <c r="AV156" t="s">
        <v>1695</v>
      </c>
      <c r="AW156" t="s">
        <v>114</v>
      </c>
      <c r="AX156" t="s">
        <v>1345</v>
      </c>
      <c r="AY156" t="s">
        <v>1696</v>
      </c>
      <c r="AZ156" t="s">
        <v>4</v>
      </c>
      <c r="BA156" s="3" t="s">
        <v>95</v>
      </c>
      <c r="BB156" t="s">
        <v>96</v>
      </c>
      <c r="BC156" s="3" t="s">
        <v>95</v>
      </c>
      <c r="BD156" t="s">
        <v>4</v>
      </c>
      <c r="BE156">
        <v>7351</v>
      </c>
      <c r="BF156" t="s">
        <v>213</v>
      </c>
      <c r="BG156">
        <v>49.099800000000002</v>
      </c>
      <c r="BH156">
        <v>22.749600000000001</v>
      </c>
      <c r="BI156" t="s">
        <v>1697</v>
      </c>
      <c r="BJ156">
        <v>70.049099999999996</v>
      </c>
      <c r="BK156">
        <v>66.121099999999998</v>
      </c>
      <c r="BL156">
        <v>63.993499999999997</v>
      </c>
      <c r="BM156" t="s">
        <v>1698</v>
      </c>
      <c r="BN156">
        <v>63.011499999999998</v>
      </c>
      <c r="BP156" t="s">
        <v>1699</v>
      </c>
      <c r="BQ156">
        <v>45.008200000000002</v>
      </c>
      <c r="BR156">
        <v>43.044199999999996</v>
      </c>
      <c r="BS156">
        <v>42.880499999999998</v>
      </c>
      <c r="BT156">
        <v>42.716900000000003</v>
      </c>
      <c r="BV156" t="s">
        <v>1700</v>
      </c>
      <c r="BW156">
        <v>45.826500000000003</v>
      </c>
      <c r="BX156">
        <v>43.044199999999996</v>
      </c>
      <c r="BZ156">
        <v>11.9476</v>
      </c>
      <c r="CA156">
        <v>43.698900000000002</v>
      </c>
      <c r="CE156">
        <v>27.986899999999999</v>
      </c>
      <c r="CF156">
        <v>36.170200000000001</v>
      </c>
      <c r="CG156" t="s">
        <v>1701</v>
      </c>
      <c r="CH156" t="s">
        <v>1702</v>
      </c>
      <c r="CI156" t="s">
        <v>1703</v>
      </c>
      <c r="CK156">
        <v>8</v>
      </c>
      <c r="CL156" t="s">
        <v>4</v>
      </c>
      <c r="CM156" t="s">
        <v>1704</v>
      </c>
      <c r="CN156" t="s">
        <v>1705</v>
      </c>
      <c r="CO156" t="s">
        <v>99</v>
      </c>
      <c r="CP156">
        <v>155</v>
      </c>
      <c r="CQ156" t="s">
        <v>100</v>
      </c>
      <c r="CR156" t="s">
        <v>100</v>
      </c>
      <c r="CS156" t="s">
        <v>101</v>
      </c>
      <c r="CT156" t="s">
        <v>100</v>
      </c>
      <c r="CU156" t="s">
        <v>102</v>
      </c>
      <c r="CV156" t="s">
        <v>100</v>
      </c>
    </row>
    <row r="157" spans="1:100">
      <c r="A157" s="3" t="s">
        <v>1706</v>
      </c>
      <c r="B157" s="4" t="s">
        <v>1707</v>
      </c>
      <c r="C157">
        <v>157.802866471746</v>
      </c>
      <c r="D157">
        <v>26.818004554002702</v>
      </c>
      <c r="E157">
        <v>2.5567360020815801</v>
      </c>
      <c r="F157" s="5">
        <v>7.9532029991283203E-7</v>
      </c>
      <c r="G157" t="s">
        <v>4</v>
      </c>
      <c r="H157">
        <v>157.802866471746</v>
      </c>
      <c r="I157">
        <v>23.828861086583899</v>
      </c>
      <c r="J157">
        <v>2.68262765541022</v>
      </c>
      <c r="K157" s="5">
        <v>2.9698849896810902E-7</v>
      </c>
      <c r="L157" t="s">
        <v>4</v>
      </c>
      <c r="M157">
        <v>26.818004554002702</v>
      </c>
      <c r="N157">
        <v>23.828861086583899</v>
      </c>
      <c r="O157">
        <v>0.12589165332864</v>
      </c>
      <c r="P157">
        <v>0.859699861609863</v>
      </c>
      <c r="Q157" t="s">
        <v>4</v>
      </c>
      <c r="R157" s="4" t="s">
        <v>87</v>
      </c>
      <c r="S157" t="s">
        <v>4</v>
      </c>
      <c r="T157" t="s">
        <v>92</v>
      </c>
      <c r="U157" t="s">
        <v>92</v>
      </c>
      <c r="V157" t="s">
        <v>92</v>
      </c>
      <c r="W157" t="s">
        <v>92</v>
      </c>
      <c r="X157" t="s">
        <v>4</v>
      </c>
      <c r="Y157" t="s">
        <v>1708</v>
      </c>
      <c r="Z157" t="s">
        <v>1709</v>
      </c>
      <c r="AA157" t="s">
        <v>1710</v>
      </c>
      <c r="AB157" t="s">
        <v>4</v>
      </c>
      <c r="AC157" s="3" t="s">
        <v>1711</v>
      </c>
      <c r="AD157" t="s">
        <v>4</v>
      </c>
      <c r="AE157" t="s">
        <v>1712</v>
      </c>
      <c r="AF157" t="s">
        <v>1713</v>
      </c>
      <c r="AG157" t="s">
        <v>1714</v>
      </c>
      <c r="AH157" t="s">
        <v>112</v>
      </c>
      <c r="AU157" t="s">
        <v>112</v>
      </c>
      <c r="AV157" t="s">
        <v>1715</v>
      </c>
      <c r="AW157" t="s">
        <v>114</v>
      </c>
      <c r="AX157" t="s">
        <v>144</v>
      </c>
      <c r="AY157" t="s">
        <v>1716</v>
      </c>
      <c r="AZ157" t="s">
        <v>4</v>
      </c>
      <c r="BA157" s="3" t="s">
        <v>95</v>
      </c>
      <c r="BB157" s="6" t="s">
        <v>95</v>
      </c>
      <c r="BC157" s="3" t="s">
        <v>95</v>
      </c>
      <c r="BD157" t="s">
        <v>4</v>
      </c>
      <c r="BE157">
        <v>7463</v>
      </c>
      <c r="BF157" t="s">
        <v>213</v>
      </c>
      <c r="BG157">
        <v>96.2667</v>
      </c>
      <c r="BH157">
        <v>68.2667</v>
      </c>
      <c r="BI157">
        <v>87.466700000000003</v>
      </c>
      <c r="BJ157">
        <v>71.2</v>
      </c>
      <c r="BM157">
        <v>75.466700000000003</v>
      </c>
      <c r="BN157">
        <v>75.2</v>
      </c>
      <c r="BO157">
        <v>73.866699999999994</v>
      </c>
      <c r="BP157">
        <v>46.133299999999998</v>
      </c>
      <c r="BQ157">
        <v>30.133299999999998</v>
      </c>
      <c r="BR157">
        <v>34.933300000000003</v>
      </c>
      <c r="BS157">
        <v>32</v>
      </c>
      <c r="BW157">
        <v>32.799999999999997</v>
      </c>
      <c r="CA157">
        <v>36</v>
      </c>
      <c r="CE157" t="s">
        <v>1717</v>
      </c>
      <c r="CF157" t="s">
        <v>1718</v>
      </c>
      <c r="CG157" t="s">
        <v>1719</v>
      </c>
      <c r="CH157" t="s">
        <v>1720</v>
      </c>
      <c r="CI157" t="s">
        <v>1721</v>
      </c>
      <c r="CK157">
        <v>8</v>
      </c>
      <c r="CL157" t="s">
        <v>4</v>
      </c>
      <c r="CM157" t="s">
        <v>1722</v>
      </c>
      <c r="CN157">
        <v>36</v>
      </c>
      <c r="CO157" t="s">
        <v>99</v>
      </c>
      <c r="CP157">
        <v>156</v>
      </c>
      <c r="CQ157" t="s">
        <v>100</v>
      </c>
      <c r="CR157" t="s">
        <v>100</v>
      </c>
      <c r="CS157" t="s">
        <v>101</v>
      </c>
      <c r="CT157" t="s">
        <v>100</v>
      </c>
      <c r="CU157" t="s">
        <v>102</v>
      </c>
      <c r="CV157" t="s">
        <v>100</v>
      </c>
    </row>
    <row r="158" spans="1:100">
      <c r="A158" s="3" t="s">
        <v>1723</v>
      </c>
      <c r="B158" s="4" t="s">
        <v>1724</v>
      </c>
      <c r="C158">
        <v>129.019925830982</v>
      </c>
      <c r="D158">
        <v>14.288829301364601</v>
      </c>
      <c r="E158">
        <v>3.1710375255864398</v>
      </c>
      <c r="F158">
        <v>1.3096144093978099E-4</v>
      </c>
      <c r="G158" t="s">
        <v>4</v>
      </c>
      <c r="H158">
        <v>129.019925830982</v>
      </c>
      <c r="I158">
        <v>8.1711728425282608</v>
      </c>
      <c r="J158">
        <v>3.9488447680380401</v>
      </c>
      <c r="K158" s="5">
        <v>3.4057064166965298E-6</v>
      </c>
      <c r="L158" t="s">
        <v>4</v>
      </c>
      <c r="M158">
        <v>14.288829301364601</v>
      </c>
      <c r="N158">
        <v>8.1711728425282608</v>
      </c>
      <c r="O158">
        <v>0.77780724245160004</v>
      </c>
      <c r="P158">
        <v>0.43706905682951902</v>
      </c>
      <c r="Q158" t="s">
        <v>4</v>
      </c>
      <c r="R158" s="4" t="s">
        <v>87</v>
      </c>
      <c r="S158" t="s">
        <v>4</v>
      </c>
      <c r="T158" t="s">
        <v>1725</v>
      </c>
      <c r="U158" t="s">
        <v>1726</v>
      </c>
      <c r="V158" t="s">
        <v>1727</v>
      </c>
      <c r="W158" t="s">
        <v>507</v>
      </c>
      <c r="X158" t="s">
        <v>4</v>
      </c>
      <c r="Y158" t="s">
        <v>1728</v>
      </c>
      <c r="Z158" t="s">
        <v>1729</v>
      </c>
      <c r="AA158" t="s">
        <v>1730</v>
      </c>
      <c r="AB158" t="s">
        <v>4</v>
      </c>
      <c r="AC158" s="3" t="s">
        <v>1731</v>
      </c>
      <c r="AD158" t="s">
        <v>4</v>
      </c>
      <c r="AE158" t="s">
        <v>1732</v>
      </c>
      <c r="AF158" t="s">
        <v>1733</v>
      </c>
      <c r="AG158" t="s">
        <v>1397</v>
      </c>
      <c r="AH158" t="s">
        <v>638</v>
      </c>
      <c r="AU158" t="s">
        <v>112</v>
      </c>
      <c r="AV158" t="s">
        <v>1734</v>
      </c>
      <c r="AW158" t="s">
        <v>114</v>
      </c>
      <c r="AX158" t="s">
        <v>144</v>
      </c>
      <c r="AY158" t="s">
        <v>1735</v>
      </c>
      <c r="AZ158" t="s">
        <v>4</v>
      </c>
      <c r="BA158" s="3" t="s">
        <v>95</v>
      </c>
      <c r="BB158" t="s">
        <v>96</v>
      </c>
      <c r="BC158" s="3" t="s">
        <v>95</v>
      </c>
      <c r="BD158" t="s">
        <v>4</v>
      </c>
      <c r="BE158">
        <v>7472</v>
      </c>
      <c r="BF158" t="s">
        <v>213</v>
      </c>
      <c r="BG158">
        <v>64.453999999999994</v>
      </c>
      <c r="BH158">
        <v>63.811599999999999</v>
      </c>
      <c r="BI158">
        <v>63.383299999999998</v>
      </c>
      <c r="BL158">
        <v>38.758000000000003</v>
      </c>
      <c r="BM158">
        <v>26.980699999999999</v>
      </c>
      <c r="BN158">
        <v>21.4133</v>
      </c>
      <c r="BP158">
        <v>37.259099999999997</v>
      </c>
      <c r="BR158">
        <v>34.0471</v>
      </c>
      <c r="BS158">
        <v>35.117800000000003</v>
      </c>
      <c r="BT158">
        <v>17.130600000000001</v>
      </c>
      <c r="BU158">
        <v>35.974299999999999</v>
      </c>
      <c r="BV158" t="s">
        <v>1736</v>
      </c>
      <c r="BW158">
        <v>30.835100000000001</v>
      </c>
      <c r="BY158">
        <v>22.2698</v>
      </c>
      <c r="BZ158">
        <v>35.760199999999998</v>
      </c>
      <c r="CA158" t="s">
        <v>1737</v>
      </c>
      <c r="CB158">
        <v>29.9786</v>
      </c>
      <c r="CC158">
        <v>32.976399999999998</v>
      </c>
      <c r="CD158" t="s">
        <v>1738</v>
      </c>
      <c r="CE158">
        <v>19.914300000000001</v>
      </c>
      <c r="CF158" t="s">
        <v>1739</v>
      </c>
      <c r="CG158" t="s">
        <v>1740</v>
      </c>
      <c r="CH158" t="s">
        <v>1741</v>
      </c>
      <c r="CI158" t="s">
        <v>1742</v>
      </c>
      <c r="CK158">
        <v>8</v>
      </c>
      <c r="CL158" t="s">
        <v>4</v>
      </c>
      <c r="CM158" t="s">
        <v>1743</v>
      </c>
      <c r="CN158" t="s">
        <v>1744</v>
      </c>
      <c r="CO158" t="s">
        <v>1745</v>
      </c>
      <c r="CP158">
        <v>157</v>
      </c>
      <c r="CQ158" t="s">
        <v>100</v>
      </c>
      <c r="CR158" t="s">
        <v>100</v>
      </c>
      <c r="CS158" t="s">
        <v>101</v>
      </c>
      <c r="CT158" t="s">
        <v>100</v>
      </c>
      <c r="CU158" t="s">
        <v>102</v>
      </c>
      <c r="CV158" t="s">
        <v>100</v>
      </c>
    </row>
    <row r="159" spans="1:100">
      <c r="A159" s="3" t="s">
        <v>1746</v>
      </c>
      <c r="B159" s="4" t="s">
        <v>1747</v>
      </c>
      <c r="C159">
        <v>168.484720009482</v>
      </c>
      <c r="D159">
        <v>23.0110231586183</v>
      </c>
      <c r="E159">
        <v>2.8720779136257399</v>
      </c>
      <c r="F159" s="5">
        <v>1.1088525239139201E-9</v>
      </c>
      <c r="G159" t="s">
        <v>4</v>
      </c>
      <c r="H159">
        <v>168.484720009482</v>
      </c>
      <c r="I159">
        <v>21.332432358139702</v>
      </c>
      <c r="J159">
        <v>2.98001940271305</v>
      </c>
      <c r="K159" s="5">
        <v>6.9145488513261698E-10</v>
      </c>
      <c r="L159" t="s">
        <v>4</v>
      </c>
      <c r="M159">
        <v>23.0110231586183</v>
      </c>
      <c r="N159">
        <v>21.332432358139702</v>
      </c>
      <c r="O159">
        <v>0.107941489087306</v>
      </c>
      <c r="P159">
        <v>0.87384358174436705</v>
      </c>
      <c r="Q159" t="s">
        <v>4</v>
      </c>
      <c r="R159" s="4" t="s">
        <v>87</v>
      </c>
      <c r="S159" t="s">
        <v>4</v>
      </c>
      <c r="T159" t="s">
        <v>1682</v>
      </c>
      <c r="U159" t="s">
        <v>1683</v>
      </c>
      <c r="V159" t="s">
        <v>1684</v>
      </c>
      <c r="W159" t="s">
        <v>976</v>
      </c>
      <c r="X159" t="s">
        <v>4</v>
      </c>
      <c r="Y159" t="s">
        <v>1748</v>
      </c>
      <c r="Z159" t="s">
        <v>1749</v>
      </c>
      <c r="AA159" t="s">
        <v>1750</v>
      </c>
      <c r="AB159" t="s">
        <v>4</v>
      </c>
      <c r="AC159" s="3" t="s">
        <v>1751</v>
      </c>
      <c r="AD159" t="s">
        <v>4</v>
      </c>
      <c r="AE159" t="s">
        <v>1752</v>
      </c>
      <c r="AF159" t="s">
        <v>1753</v>
      </c>
      <c r="AG159" t="s">
        <v>1754</v>
      </c>
      <c r="AH159" t="s">
        <v>112</v>
      </c>
      <c r="AU159" t="s">
        <v>112</v>
      </c>
      <c r="AV159" t="s">
        <v>1755</v>
      </c>
      <c r="AW159" t="s">
        <v>114</v>
      </c>
      <c r="AX159" t="s">
        <v>1756</v>
      </c>
      <c r="AY159" t="s">
        <v>1757</v>
      </c>
      <c r="AZ159" t="s">
        <v>4</v>
      </c>
      <c r="BA159" s="3" t="s">
        <v>95</v>
      </c>
      <c r="BB159" t="s">
        <v>96</v>
      </c>
      <c r="BC159" s="3" t="s">
        <v>95</v>
      </c>
      <c r="BD159" t="s">
        <v>4</v>
      </c>
      <c r="BE159">
        <v>7487</v>
      </c>
      <c r="BF159" t="s">
        <v>213</v>
      </c>
      <c r="BG159">
        <v>97.545199999999994</v>
      </c>
      <c r="BH159">
        <v>66.537499999999994</v>
      </c>
      <c r="BI159" t="s">
        <v>1758</v>
      </c>
      <c r="BJ159">
        <v>54.005200000000002</v>
      </c>
      <c r="BL159">
        <v>24.547799999999999</v>
      </c>
      <c r="BM159">
        <v>66.666700000000006</v>
      </c>
      <c r="BN159">
        <v>70.671800000000005</v>
      </c>
      <c r="BO159">
        <v>35.012900000000002</v>
      </c>
      <c r="BP159">
        <v>41.343699999999998</v>
      </c>
      <c r="BW159">
        <v>20.800999999999998</v>
      </c>
      <c r="BX159">
        <v>24.030999999999999</v>
      </c>
      <c r="BY159">
        <v>22.480599999999999</v>
      </c>
      <c r="CA159">
        <v>26.614999999999998</v>
      </c>
      <c r="CF159" t="s">
        <v>1759</v>
      </c>
      <c r="CG159">
        <v>16.7959</v>
      </c>
      <c r="CH159">
        <v>16.149899999999999</v>
      </c>
      <c r="CI159">
        <v>15.374700000000001</v>
      </c>
      <c r="CJ159" t="s">
        <v>1760</v>
      </c>
      <c r="CK159">
        <v>8</v>
      </c>
      <c r="CL159" t="s">
        <v>4</v>
      </c>
      <c r="CM159" t="s">
        <v>1761</v>
      </c>
      <c r="CN159" t="s">
        <v>1762</v>
      </c>
      <c r="CO159" t="s">
        <v>99</v>
      </c>
      <c r="CP159">
        <v>158</v>
      </c>
      <c r="CQ159" t="s">
        <v>100</v>
      </c>
      <c r="CR159" t="s">
        <v>100</v>
      </c>
      <c r="CS159" t="s">
        <v>101</v>
      </c>
      <c r="CT159" t="s">
        <v>100</v>
      </c>
      <c r="CU159" t="s">
        <v>102</v>
      </c>
      <c r="CV159" t="s">
        <v>100</v>
      </c>
    </row>
    <row r="160" spans="1:100">
      <c r="A160" s="3" t="s">
        <v>1763</v>
      </c>
      <c r="B160" s="4" t="s">
        <v>1764</v>
      </c>
      <c r="C160">
        <v>1170.5208294961101</v>
      </c>
      <c r="D160">
        <v>153.66576471154301</v>
      </c>
      <c r="E160">
        <v>2.9268765294764001</v>
      </c>
      <c r="F160" s="5">
        <v>2.0875401480614201E-21</v>
      </c>
      <c r="G160" t="s">
        <v>4</v>
      </c>
      <c r="H160">
        <v>1170.5208294961101</v>
      </c>
      <c r="I160">
        <v>46.779186617285397</v>
      </c>
      <c r="J160">
        <v>4.6114541329256502</v>
      </c>
      <c r="K160" s="5">
        <v>6.0613604099831596E-45</v>
      </c>
      <c r="L160" t="s">
        <v>4</v>
      </c>
      <c r="M160">
        <v>153.66576471154301</v>
      </c>
      <c r="N160">
        <v>46.779186617285397</v>
      </c>
      <c r="O160">
        <v>1.6845776034492601</v>
      </c>
      <c r="P160" s="5">
        <v>9.2019422686203095E-7</v>
      </c>
      <c r="Q160" t="s">
        <v>4</v>
      </c>
      <c r="R160" s="4" t="s">
        <v>87</v>
      </c>
      <c r="S160" t="s">
        <v>4</v>
      </c>
      <c r="T160" t="s">
        <v>1765</v>
      </c>
      <c r="U160" t="s">
        <v>1766</v>
      </c>
      <c r="V160" t="s">
        <v>1767</v>
      </c>
      <c r="W160" t="s">
        <v>123</v>
      </c>
      <c r="X160" t="s">
        <v>4</v>
      </c>
      <c r="Y160" t="s">
        <v>1768</v>
      </c>
      <c r="Z160" t="s">
        <v>1769</v>
      </c>
      <c r="AA160" t="s">
        <v>1770</v>
      </c>
      <c r="AB160" t="s">
        <v>4</v>
      </c>
      <c r="AC160" s="3" t="s">
        <v>1771</v>
      </c>
      <c r="AD160" t="s">
        <v>4</v>
      </c>
      <c r="AE160" t="s">
        <v>1772</v>
      </c>
      <c r="AF160" t="s">
        <v>1773</v>
      </c>
      <c r="AG160" t="s">
        <v>1774</v>
      </c>
      <c r="AH160" t="s">
        <v>112</v>
      </c>
      <c r="AU160" t="s">
        <v>112</v>
      </c>
      <c r="AV160" t="s">
        <v>1775</v>
      </c>
      <c r="AW160" t="s">
        <v>114</v>
      </c>
      <c r="AX160" t="s">
        <v>1756</v>
      </c>
      <c r="AY160" t="s">
        <v>1776</v>
      </c>
      <c r="AZ160" t="s">
        <v>4</v>
      </c>
      <c r="BA160" s="3" t="s">
        <v>95</v>
      </c>
      <c r="BB160" s="6" t="s">
        <v>95</v>
      </c>
      <c r="BC160" s="3" t="s">
        <v>95</v>
      </c>
      <c r="BD160" t="s">
        <v>4</v>
      </c>
      <c r="BE160">
        <v>7507</v>
      </c>
      <c r="BF160" t="s">
        <v>213</v>
      </c>
      <c r="BG160">
        <v>86.159199999999998</v>
      </c>
      <c r="BI160">
        <v>80.968900000000005</v>
      </c>
      <c r="BJ160">
        <v>76.470600000000005</v>
      </c>
      <c r="BK160">
        <v>61.245699999999999</v>
      </c>
      <c r="BL160">
        <v>74.048400000000001</v>
      </c>
      <c r="BM160">
        <v>70.242199999999997</v>
      </c>
      <c r="BN160">
        <v>69.550200000000004</v>
      </c>
      <c r="BP160">
        <v>17.300999999999998</v>
      </c>
      <c r="BX160">
        <v>21.107299999999999</v>
      </c>
      <c r="CB160">
        <v>15.917</v>
      </c>
      <c r="CC160">
        <v>16.954999999999998</v>
      </c>
      <c r="CD160" t="s">
        <v>1777</v>
      </c>
      <c r="CF160" t="s">
        <v>1778</v>
      </c>
      <c r="CG160" t="s">
        <v>1779</v>
      </c>
      <c r="CH160" t="s">
        <v>1780</v>
      </c>
      <c r="CI160" t="s">
        <v>1781</v>
      </c>
      <c r="CK160">
        <v>8</v>
      </c>
      <c r="CL160" t="s">
        <v>4</v>
      </c>
      <c r="CM160" t="s">
        <v>98</v>
      </c>
      <c r="CN160" t="s">
        <v>98</v>
      </c>
      <c r="CO160" t="s">
        <v>99</v>
      </c>
      <c r="CP160">
        <v>159</v>
      </c>
      <c r="CQ160" t="s">
        <v>100</v>
      </c>
      <c r="CR160" t="s">
        <v>100</v>
      </c>
      <c r="CS160" t="s">
        <v>101</v>
      </c>
      <c r="CT160" s="7" t="s">
        <v>152</v>
      </c>
      <c r="CU160" t="s">
        <v>102</v>
      </c>
      <c r="CV160" t="s">
        <v>100</v>
      </c>
    </row>
    <row r="161" spans="1:100">
      <c r="A161" s="3" t="s">
        <v>1782</v>
      </c>
      <c r="B161" s="4" t="s">
        <v>1783</v>
      </c>
      <c r="C161">
        <v>70.394118914428702</v>
      </c>
      <c r="D161">
        <v>9.1875517982348391</v>
      </c>
      <c r="E161">
        <v>2.9585635932011698</v>
      </c>
      <c r="F161">
        <v>1.7385671174160199E-3</v>
      </c>
      <c r="G161" t="s">
        <v>4</v>
      </c>
      <c r="H161">
        <v>70.394118914428702</v>
      </c>
      <c r="I161">
        <v>7.4405636803877302</v>
      </c>
      <c r="J161">
        <v>3.28094915999475</v>
      </c>
      <c r="K161">
        <v>5.8988584863697E-4</v>
      </c>
      <c r="L161" t="s">
        <v>4</v>
      </c>
      <c r="M161">
        <v>9.1875517982348391</v>
      </c>
      <c r="N161">
        <v>7.4405636803877302</v>
      </c>
      <c r="O161">
        <v>0.32238556679358799</v>
      </c>
      <c r="P161">
        <v>0.793469804346839</v>
      </c>
      <c r="Q161" t="s">
        <v>4</v>
      </c>
      <c r="R161" s="4" t="s">
        <v>87</v>
      </c>
      <c r="S161" t="s">
        <v>4</v>
      </c>
      <c r="T161" t="s">
        <v>1784</v>
      </c>
      <c r="U161" t="s">
        <v>1785</v>
      </c>
      <c r="V161" t="s">
        <v>1786</v>
      </c>
      <c r="W161" t="s">
        <v>507</v>
      </c>
      <c r="X161" t="s">
        <v>4</v>
      </c>
      <c r="Y161" t="s">
        <v>1787</v>
      </c>
      <c r="Z161" t="s">
        <v>1788</v>
      </c>
      <c r="AA161" t="s">
        <v>1789</v>
      </c>
      <c r="AB161" t="s">
        <v>4</v>
      </c>
      <c r="AC161" s="3" t="s">
        <v>1790</v>
      </c>
      <c r="AD161" t="s">
        <v>4</v>
      </c>
      <c r="AE161" t="s">
        <v>1791</v>
      </c>
      <c r="AF161" t="s">
        <v>1792</v>
      </c>
      <c r="AG161" t="s">
        <v>1793</v>
      </c>
      <c r="AH161" t="s">
        <v>112</v>
      </c>
      <c r="AU161" t="s">
        <v>112</v>
      </c>
      <c r="AV161" t="s">
        <v>1794</v>
      </c>
      <c r="AW161" t="s">
        <v>114</v>
      </c>
      <c r="AX161" t="s">
        <v>144</v>
      </c>
      <c r="AY161" t="s">
        <v>1795</v>
      </c>
      <c r="AZ161" t="s">
        <v>4</v>
      </c>
      <c r="BA161" s="3" t="s">
        <v>95</v>
      </c>
      <c r="BB161" t="s">
        <v>96</v>
      </c>
      <c r="BC161" s="3" t="s">
        <v>95</v>
      </c>
      <c r="BD161" t="s">
        <v>4</v>
      </c>
      <c r="BE161">
        <v>5081</v>
      </c>
      <c r="BF161" t="s">
        <v>282</v>
      </c>
      <c r="BG161">
        <v>95.604399999999998</v>
      </c>
      <c r="BH161">
        <v>91.208799999999997</v>
      </c>
      <c r="BI161">
        <v>80.219800000000006</v>
      </c>
      <c r="BM161">
        <v>64.010999999999996</v>
      </c>
      <c r="BN161">
        <v>60.439599999999999</v>
      </c>
      <c r="BQ161">
        <v>41.483499999999999</v>
      </c>
      <c r="BR161">
        <v>42.307699999999997</v>
      </c>
      <c r="BS161">
        <v>43.6813</v>
      </c>
      <c r="BX161" t="s">
        <v>1796</v>
      </c>
      <c r="BY161">
        <v>18.956</v>
      </c>
      <c r="BZ161">
        <v>23.6264</v>
      </c>
      <c r="CA161">
        <v>43.406599999999997</v>
      </c>
      <c r="CC161">
        <v>13.1868</v>
      </c>
      <c r="CD161">
        <v>12.087899999999999</v>
      </c>
      <c r="CK161">
        <v>6</v>
      </c>
      <c r="CL161" t="s">
        <v>4</v>
      </c>
      <c r="CM161" t="s">
        <v>1797</v>
      </c>
      <c r="CN161" t="s">
        <v>1798</v>
      </c>
      <c r="CO161" t="s">
        <v>99</v>
      </c>
      <c r="CP161">
        <v>160</v>
      </c>
      <c r="CQ161" t="s">
        <v>100</v>
      </c>
      <c r="CR161" t="s">
        <v>100</v>
      </c>
      <c r="CS161" t="s">
        <v>101</v>
      </c>
      <c r="CT161" t="s">
        <v>100</v>
      </c>
      <c r="CU161" t="s">
        <v>102</v>
      </c>
      <c r="CV161" t="s">
        <v>100</v>
      </c>
    </row>
    <row r="162" spans="1:100">
      <c r="A162" s="3" t="s">
        <v>1799</v>
      </c>
      <c r="B162" s="4" t="s">
        <v>1800</v>
      </c>
      <c r="C162">
        <v>62.381873947362401</v>
      </c>
      <c r="D162">
        <v>8.6552661252477794</v>
      </c>
      <c r="E162">
        <v>2.8363047584982799</v>
      </c>
      <c r="F162" s="5">
        <v>2.2055922496703002E-6</v>
      </c>
      <c r="G162" t="s">
        <v>4</v>
      </c>
      <c r="H162">
        <v>62.381873947362401</v>
      </c>
      <c r="I162">
        <v>9.8718127890762304</v>
      </c>
      <c r="J162">
        <v>2.7188446059851898</v>
      </c>
      <c r="K162" s="5">
        <v>9.9866298161076502E-6</v>
      </c>
      <c r="L162" t="s">
        <v>4</v>
      </c>
      <c r="M162">
        <v>8.6552661252477794</v>
      </c>
      <c r="N162">
        <v>9.8718127890762304</v>
      </c>
      <c r="O162">
        <f>0.117460152513096</f>
        <v>0.11746015251309599</v>
      </c>
      <c r="P162">
        <v>0.89515994340648097</v>
      </c>
      <c r="Q162" t="s">
        <v>4</v>
      </c>
      <c r="R162" s="4" t="s">
        <v>87</v>
      </c>
      <c r="S162" t="s">
        <v>4</v>
      </c>
      <c r="T162" t="s">
        <v>88</v>
      </c>
      <c r="U162" t="s">
        <v>89</v>
      </c>
      <c r="V162" t="s">
        <v>90</v>
      </c>
      <c r="W162" t="s">
        <v>91</v>
      </c>
      <c r="X162" t="s">
        <v>4</v>
      </c>
      <c r="Y162" t="s">
        <v>1801</v>
      </c>
      <c r="Z162" t="s">
        <v>1802</v>
      </c>
      <c r="AA162" t="s">
        <v>1803</v>
      </c>
      <c r="AB162" t="s">
        <v>4</v>
      </c>
      <c r="AC162" s="3" t="s">
        <v>1804</v>
      </c>
      <c r="AD162" t="s">
        <v>4</v>
      </c>
      <c r="AE162" t="s">
        <v>1805</v>
      </c>
      <c r="AF162" t="s">
        <v>1806</v>
      </c>
      <c r="AG162" t="s">
        <v>1807</v>
      </c>
      <c r="AH162" t="s">
        <v>112</v>
      </c>
      <c r="AU162" t="s">
        <v>112</v>
      </c>
      <c r="AV162" t="s">
        <v>1808</v>
      </c>
      <c r="AW162" t="s">
        <v>114</v>
      </c>
      <c r="AX162" t="s">
        <v>144</v>
      </c>
      <c r="AY162" t="s">
        <v>1809</v>
      </c>
      <c r="AZ162" t="s">
        <v>4</v>
      </c>
      <c r="BA162" s="3" t="s">
        <v>95</v>
      </c>
      <c r="BB162" t="s">
        <v>96</v>
      </c>
      <c r="BC162" s="3" t="s">
        <v>197</v>
      </c>
      <c r="BD162" t="s">
        <v>4</v>
      </c>
      <c r="BE162">
        <v>218</v>
      </c>
      <c r="BF162" t="s">
        <v>322</v>
      </c>
      <c r="CK162">
        <v>1</v>
      </c>
      <c r="CL162" t="s">
        <v>4</v>
      </c>
      <c r="CM162" t="s">
        <v>98</v>
      </c>
      <c r="CN162" t="s">
        <v>98</v>
      </c>
      <c r="CO162" t="s">
        <v>99</v>
      </c>
      <c r="CP162">
        <v>161</v>
      </c>
      <c r="CQ162" t="s">
        <v>100</v>
      </c>
      <c r="CR162" t="s">
        <v>100</v>
      </c>
      <c r="CS162" t="s">
        <v>101</v>
      </c>
      <c r="CT162" t="s">
        <v>100</v>
      </c>
      <c r="CU162" t="s">
        <v>102</v>
      </c>
      <c r="CV162" t="s">
        <v>100</v>
      </c>
    </row>
    <row r="163" spans="1:100">
      <c r="A163" s="3" t="s">
        <v>1810</v>
      </c>
      <c r="B163" s="4" t="s">
        <v>1811</v>
      </c>
      <c r="C163">
        <v>67.553408122537306</v>
      </c>
      <c r="D163">
        <v>11.8504763166952</v>
      </c>
      <c r="E163">
        <v>2.5202684173791101</v>
      </c>
      <c r="F163">
        <v>2.6189081823492402E-4</v>
      </c>
      <c r="G163" t="s">
        <v>4</v>
      </c>
      <c r="H163">
        <v>67.553408122537306</v>
      </c>
      <c r="I163">
        <v>5.5678401945026001</v>
      </c>
      <c r="J163">
        <v>3.5603216913473998</v>
      </c>
      <c r="K163" s="5">
        <v>2.3708425688406502E-6</v>
      </c>
      <c r="L163" t="s">
        <v>4</v>
      </c>
      <c r="M163">
        <v>11.8504763166952</v>
      </c>
      <c r="N163">
        <v>5.5678401945026001</v>
      </c>
      <c r="O163">
        <v>1.0400532739682899</v>
      </c>
      <c r="P163">
        <v>0.23034788784740101</v>
      </c>
      <c r="Q163" t="s">
        <v>4</v>
      </c>
      <c r="R163" s="4" t="s">
        <v>87</v>
      </c>
      <c r="S163" t="s">
        <v>4</v>
      </c>
      <c r="T163" t="s">
        <v>189</v>
      </c>
      <c r="U163" t="s">
        <v>190</v>
      </c>
      <c r="V163" t="s">
        <v>191</v>
      </c>
      <c r="W163" t="s">
        <v>192</v>
      </c>
      <c r="X163" t="s">
        <v>4</v>
      </c>
      <c r="Y163" t="s">
        <v>92</v>
      </c>
      <c r="Z163" t="s">
        <v>92</v>
      </c>
      <c r="AA163" t="s">
        <v>92</v>
      </c>
      <c r="AB163" t="s">
        <v>4</v>
      </c>
      <c r="AC163" s="3" t="s">
        <v>1812</v>
      </c>
      <c r="AD163" t="s">
        <v>4</v>
      </c>
      <c r="AE163" t="s">
        <v>1813</v>
      </c>
      <c r="AF163" t="s">
        <v>1814</v>
      </c>
      <c r="AG163" t="s">
        <v>1815</v>
      </c>
      <c r="AH163" t="s">
        <v>112</v>
      </c>
      <c r="AU163" t="s">
        <v>112</v>
      </c>
      <c r="AV163" t="s">
        <v>1816</v>
      </c>
      <c r="AW163" t="s">
        <v>114</v>
      </c>
      <c r="AZ163" t="s">
        <v>4</v>
      </c>
      <c r="BA163" s="3" t="s">
        <v>115</v>
      </c>
      <c r="BB163" t="s">
        <v>96</v>
      </c>
      <c r="BC163" s="3" t="s">
        <v>197</v>
      </c>
      <c r="BD163" t="s">
        <v>4</v>
      </c>
      <c r="BE163">
        <v>4045</v>
      </c>
      <c r="BF163" t="s">
        <v>112</v>
      </c>
      <c r="BG163">
        <v>38.281199999999998</v>
      </c>
      <c r="BH163">
        <v>94.531199999999998</v>
      </c>
      <c r="BI163">
        <v>60.156199999999998</v>
      </c>
      <c r="BJ163">
        <v>46.614600000000003</v>
      </c>
      <c r="BM163">
        <v>50.260399999999997</v>
      </c>
      <c r="BN163">
        <v>59.375</v>
      </c>
      <c r="BO163">
        <v>45.052100000000003</v>
      </c>
      <c r="BQ163">
        <v>26.041699999999999</v>
      </c>
      <c r="BR163">
        <v>32.291699999999999</v>
      </c>
      <c r="BS163">
        <v>29.6875</v>
      </c>
      <c r="BT163">
        <v>24.218800000000002</v>
      </c>
      <c r="BV163">
        <v>23.177099999999999</v>
      </c>
      <c r="BW163">
        <v>31.770800000000001</v>
      </c>
      <c r="BX163">
        <v>28.645800000000001</v>
      </c>
      <c r="BZ163">
        <v>27.864599999999999</v>
      </c>
      <c r="CA163">
        <v>27.343800000000002</v>
      </c>
      <c r="CK163">
        <v>5</v>
      </c>
      <c r="CL163" t="s">
        <v>4</v>
      </c>
      <c r="CM163" t="s">
        <v>1817</v>
      </c>
      <c r="CN163" t="s">
        <v>1818</v>
      </c>
      <c r="CO163" t="s">
        <v>99</v>
      </c>
      <c r="CP163">
        <v>162</v>
      </c>
      <c r="CQ163" t="s">
        <v>100</v>
      </c>
      <c r="CR163" t="s">
        <v>100</v>
      </c>
      <c r="CS163" t="s">
        <v>101</v>
      </c>
      <c r="CT163" t="s">
        <v>100</v>
      </c>
      <c r="CU163" t="s">
        <v>102</v>
      </c>
      <c r="CV163" t="s">
        <v>100</v>
      </c>
    </row>
    <row r="164" spans="1:100">
      <c r="A164" s="3" t="s">
        <v>1819</v>
      </c>
      <c r="B164" s="4" t="s">
        <v>1820</v>
      </c>
      <c r="C164">
        <v>32.9493157447939</v>
      </c>
      <c r="D164">
        <v>3.54792439219983</v>
      </c>
      <c r="E164">
        <v>3.22631910802779</v>
      </c>
      <c r="F164">
        <v>1.5826489264190199E-3</v>
      </c>
      <c r="G164" t="s">
        <v>4</v>
      </c>
      <c r="H164">
        <v>32.9493157447939</v>
      </c>
      <c r="I164">
        <v>3.0618995701889</v>
      </c>
      <c r="J164">
        <v>3.5055148974296699</v>
      </c>
      <c r="K164">
        <v>1.13027541671414E-3</v>
      </c>
      <c r="L164" t="s">
        <v>4</v>
      </c>
      <c r="M164">
        <v>3.54792439219983</v>
      </c>
      <c r="N164">
        <v>3.0618995701889</v>
      </c>
      <c r="O164">
        <v>0.279195789401879</v>
      </c>
      <c r="P164">
        <v>0.85059504990597301</v>
      </c>
      <c r="Q164" t="s">
        <v>4</v>
      </c>
      <c r="R164" s="4" t="s">
        <v>87</v>
      </c>
      <c r="S164" t="s">
        <v>4</v>
      </c>
      <c r="T164" t="s">
        <v>88</v>
      </c>
      <c r="U164" t="s">
        <v>89</v>
      </c>
      <c r="V164" t="s">
        <v>90</v>
      </c>
      <c r="W164" t="s">
        <v>91</v>
      </c>
      <c r="X164" t="s">
        <v>4</v>
      </c>
      <c r="Y164" t="s">
        <v>92</v>
      </c>
      <c r="Z164" t="s">
        <v>92</v>
      </c>
      <c r="AA164" t="s">
        <v>92</v>
      </c>
      <c r="AB164" t="s">
        <v>4</v>
      </c>
      <c r="AC164" s="3" t="s">
        <v>93</v>
      </c>
      <c r="AD164" t="s">
        <v>4</v>
      </c>
      <c r="AE164" t="s">
        <v>1821</v>
      </c>
      <c r="AF164" t="s">
        <v>1822</v>
      </c>
      <c r="AG164" t="s">
        <v>1823</v>
      </c>
      <c r="AH164" t="s">
        <v>112</v>
      </c>
      <c r="AU164" t="s">
        <v>112</v>
      </c>
      <c r="AV164" t="s">
        <v>1824</v>
      </c>
      <c r="AW164" t="s">
        <v>114</v>
      </c>
      <c r="AZ164" t="s">
        <v>4</v>
      </c>
      <c r="BA164" s="3" t="s">
        <v>95</v>
      </c>
      <c r="BB164" t="s">
        <v>96</v>
      </c>
      <c r="BC164" s="3" t="s">
        <v>197</v>
      </c>
      <c r="BD164" t="s">
        <v>4</v>
      </c>
      <c r="BE164">
        <v>4061</v>
      </c>
      <c r="BF164" t="s">
        <v>112</v>
      </c>
      <c r="BG164">
        <v>82.352900000000005</v>
      </c>
      <c r="BH164">
        <v>83.333299999999994</v>
      </c>
      <c r="BI164">
        <v>82.352900000000005</v>
      </c>
      <c r="BJ164">
        <v>67.647099999999995</v>
      </c>
      <c r="BK164">
        <v>72.549000000000007</v>
      </c>
      <c r="BL164">
        <v>70.588200000000001</v>
      </c>
      <c r="BM164">
        <v>68.627399999999994</v>
      </c>
      <c r="BN164">
        <v>72.549000000000007</v>
      </c>
      <c r="BO164">
        <v>75.490200000000002</v>
      </c>
      <c r="BR164">
        <v>50.980400000000003</v>
      </c>
      <c r="BS164">
        <v>53.921599999999998</v>
      </c>
      <c r="BU164">
        <v>46.078400000000002</v>
      </c>
      <c r="BV164" t="s">
        <v>1825</v>
      </c>
      <c r="BW164">
        <v>37.254899999999999</v>
      </c>
      <c r="BX164">
        <v>38.235300000000002</v>
      </c>
      <c r="BY164">
        <v>39.215699999999998</v>
      </c>
      <c r="CA164">
        <v>34.313699999999997</v>
      </c>
      <c r="CK164">
        <v>5</v>
      </c>
      <c r="CL164" t="s">
        <v>4</v>
      </c>
      <c r="CM164" t="s">
        <v>1826</v>
      </c>
      <c r="CN164" t="s">
        <v>1827</v>
      </c>
      <c r="CO164" t="s">
        <v>99</v>
      </c>
      <c r="CP164">
        <v>163</v>
      </c>
      <c r="CQ164" t="s">
        <v>100</v>
      </c>
      <c r="CR164" t="s">
        <v>100</v>
      </c>
      <c r="CS164" t="s">
        <v>101</v>
      </c>
      <c r="CT164" t="s">
        <v>100</v>
      </c>
      <c r="CU164" t="s">
        <v>102</v>
      </c>
      <c r="CV164" t="s">
        <v>100</v>
      </c>
    </row>
    <row r="165" spans="1:100">
      <c r="A165" s="3" t="s">
        <v>1828</v>
      </c>
      <c r="B165" s="4" t="s">
        <v>1829</v>
      </c>
      <c r="C165">
        <v>283.11790016655999</v>
      </c>
      <c r="D165">
        <v>47.168419362453101</v>
      </c>
      <c r="E165">
        <v>2.5824838793486</v>
      </c>
      <c r="F165" s="5">
        <v>1.3936976407998199E-7</v>
      </c>
      <c r="G165" t="s">
        <v>4</v>
      </c>
      <c r="H165">
        <v>283.11790016655999</v>
      </c>
      <c r="I165">
        <v>64.227961612659598</v>
      </c>
      <c r="J165">
        <v>2.11873117557885</v>
      </c>
      <c r="K165" s="5">
        <v>1.41289386910842E-5</v>
      </c>
      <c r="L165" t="s">
        <v>4</v>
      </c>
      <c r="M165">
        <v>47.168419362453101</v>
      </c>
      <c r="N165">
        <v>64.227961612659598</v>
      </c>
      <c r="O165">
        <f>0.463752703769743</f>
        <v>0.46375270376974298</v>
      </c>
      <c r="P165">
        <v>0.41489986394054401</v>
      </c>
      <c r="Q165" t="s">
        <v>4</v>
      </c>
      <c r="R165" s="4" t="s">
        <v>87</v>
      </c>
      <c r="S165" t="s">
        <v>4</v>
      </c>
      <c r="T165" t="s">
        <v>1830</v>
      </c>
      <c r="U165" t="s">
        <v>1831</v>
      </c>
      <c r="V165" t="s">
        <v>1832</v>
      </c>
      <c r="W165" t="s">
        <v>1833</v>
      </c>
      <c r="X165" t="s">
        <v>4</v>
      </c>
      <c r="Y165" t="s">
        <v>1834</v>
      </c>
      <c r="Z165" t="s">
        <v>1835</v>
      </c>
      <c r="AA165" t="s">
        <v>1836</v>
      </c>
      <c r="AB165" t="s">
        <v>4</v>
      </c>
      <c r="AC165" s="3" t="s">
        <v>1837</v>
      </c>
      <c r="AD165" t="s">
        <v>4</v>
      </c>
      <c r="AE165" s="4" t="s">
        <v>94</v>
      </c>
      <c r="AZ165" t="s">
        <v>4</v>
      </c>
      <c r="BA165" s="3" t="s">
        <v>95</v>
      </c>
      <c r="BB165" s="6" t="s">
        <v>95</v>
      </c>
      <c r="BC165" s="3" t="s">
        <v>95</v>
      </c>
      <c r="BD165" t="s">
        <v>4</v>
      </c>
      <c r="BE165">
        <v>4736</v>
      </c>
      <c r="BF165" t="s">
        <v>282</v>
      </c>
      <c r="BG165">
        <v>86.642600000000002</v>
      </c>
      <c r="BH165">
        <v>100</v>
      </c>
      <c r="BI165">
        <v>77.6173</v>
      </c>
      <c r="BJ165">
        <v>38.989199999999997</v>
      </c>
      <c r="BL165">
        <v>38.6282</v>
      </c>
      <c r="BM165">
        <v>55.956699999999998</v>
      </c>
      <c r="BN165">
        <v>55.595700000000001</v>
      </c>
      <c r="CA165">
        <v>17.328499999999998</v>
      </c>
      <c r="CC165">
        <v>11.552300000000001</v>
      </c>
      <c r="CK165">
        <v>6</v>
      </c>
      <c r="CL165" t="s">
        <v>4</v>
      </c>
      <c r="CM165" t="s">
        <v>1838</v>
      </c>
      <c r="CN165" t="s">
        <v>1839</v>
      </c>
      <c r="CO165" t="s">
        <v>99</v>
      </c>
      <c r="CP165">
        <v>164</v>
      </c>
      <c r="CQ165" t="s">
        <v>100</v>
      </c>
      <c r="CR165" t="s">
        <v>100</v>
      </c>
      <c r="CS165" t="s">
        <v>101</v>
      </c>
      <c r="CT165" t="s">
        <v>100</v>
      </c>
      <c r="CU165" t="s">
        <v>102</v>
      </c>
      <c r="CV165" t="s">
        <v>100</v>
      </c>
    </row>
    <row r="166" spans="1:100">
      <c r="A166" s="3" t="s">
        <v>1840</v>
      </c>
      <c r="B166" s="4" t="s">
        <v>1841</v>
      </c>
      <c r="C166">
        <v>216.56295503179601</v>
      </c>
      <c r="D166">
        <v>47.634584237271199</v>
      </c>
      <c r="E166">
        <v>2.1902549293896798</v>
      </c>
      <c r="F166" s="5">
        <v>3.8924586114379601E-7</v>
      </c>
      <c r="G166" t="s">
        <v>4</v>
      </c>
      <c r="H166">
        <v>216.56295503179601</v>
      </c>
      <c r="I166">
        <v>28.9042612105813</v>
      </c>
      <c r="J166">
        <v>2.8858654238543702</v>
      </c>
      <c r="K166" s="5">
        <v>7.1885020218243104E-11</v>
      </c>
      <c r="L166" t="s">
        <v>4</v>
      </c>
      <c r="M166">
        <v>47.634584237271199</v>
      </c>
      <c r="N166">
        <v>28.9042612105813</v>
      </c>
      <c r="O166">
        <v>0.69561049446469303</v>
      </c>
      <c r="P166">
        <v>0.166877256645142</v>
      </c>
      <c r="Q166" t="s">
        <v>4</v>
      </c>
      <c r="R166" s="4" t="s">
        <v>87</v>
      </c>
      <c r="S166" t="s">
        <v>4</v>
      </c>
      <c r="T166" t="s">
        <v>1842</v>
      </c>
      <c r="U166" t="s">
        <v>1843</v>
      </c>
      <c r="V166" t="s">
        <v>1844</v>
      </c>
      <c r="W166" t="s">
        <v>1845</v>
      </c>
      <c r="X166" t="s">
        <v>4</v>
      </c>
      <c r="Y166" t="s">
        <v>1846</v>
      </c>
      <c r="Z166" t="s">
        <v>1847</v>
      </c>
      <c r="AA166" t="s">
        <v>1848</v>
      </c>
      <c r="AB166" t="s">
        <v>4</v>
      </c>
      <c r="AC166" s="3" t="s">
        <v>1849</v>
      </c>
      <c r="AD166" t="s">
        <v>4</v>
      </c>
      <c r="AE166" t="s">
        <v>1850</v>
      </c>
      <c r="AF166" t="s">
        <v>1851</v>
      </c>
      <c r="AG166" t="s">
        <v>1852</v>
      </c>
      <c r="AH166" t="s">
        <v>112</v>
      </c>
      <c r="AL166" t="s">
        <v>1853</v>
      </c>
      <c r="AM166" t="s">
        <v>1854</v>
      </c>
      <c r="AQ166" t="s">
        <v>879</v>
      </c>
      <c r="AU166" t="s">
        <v>112</v>
      </c>
      <c r="AV166" t="s">
        <v>1855</v>
      </c>
      <c r="AW166" t="s">
        <v>114</v>
      </c>
      <c r="AX166" t="s">
        <v>132</v>
      </c>
      <c r="AY166" t="s">
        <v>1856</v>
      </c>
      <c r="AZ166" t="s">
        <v>4</v>
      </c>
      <c r="BA166" s="3" t="s">
        <v>95</v>
      </c>
      <c r="BB166" s="6" t="s">
        <v>95</v>
      </c>
      <c r="BC166" s="3" t="s">
        <v>197</v>
      </c>
      <c r="BD166" t="s">
        <v>4</v>
      </c>
      <c r="BE166">
        <v>7605</v>
      </c>
      <c r="BF166" t="s">
        <v>213</v>
      </c>
      <c r="BG166">
        <v>61.129600000000003</v>
      </c>
      <c r="BI166">
        <v>83.7209</v>
      </c>
      <c r="BJ166">
        <v>96.677700000000002</v>
      </c>
      <c r="BK166">
        <v>96.345500000000001</v>
      </c>
      <c r="BL166">
        <v>79.069800000000001</v>
      </c>
      <c r="BM166">
        <v>97.01</v>
      </c>
      <c r="BN166">
        <v>97.342200000000005</v>
      </c>
      <c r="BO166">
        <v>95.348799999999997</v>
      </c>
      <c r="BP166">
        <v>57.807299999999998</v>
      </c>
      <c r="BQ166">
        <v>47.508299999999998</v>
      </c>
      <c r="BR166">
        <v>47.840499999999999</v>
      </c>
      <c r="BS166">
        <v>5.9800700000000004</v>
      </c>
      <c r="BT166">
        <v>39.5349</v>
      </c>
      <c r="BU166">
        <v>43.8538</v>
      </c>
      <c r="BV166" t="s">
        <v>1857</v>
      </c>
      <c r="BW166">
        <v>47.176099999999998</v>
      </c>
      <c r="BX166">
        <v>56.1462</v>
      </c>
      <c r="BY166">
        <v>35.548200000000001</v>
      </c>
      <c r="BZ166">
        <v>56.1462</v>
      </c>
      <c r="CA166">
        <v>51.494999999999997</v>
      </c>
      <c r="CB166">
        <v>27.5748</v>
      </c>
      <c r="CC166">
        <v>42.524900000000002</v>
      </c>
      <c r="CD166">
        <v>48.837200000000003</v>
      </c>
      <c r="CE166" t="s">
        <v>1858</v>
      </c>
      <c r="CG166" t="s">
        <v>1859</v>
      </c>
      <c r="CH166" t="s">
        <v>1860</v>
      </c>
      <c r="CI166" t="s">
        <v>1861</v>
      </c>
      <c r="CK166">
        <v>8</v>
      </c>
      <c r="CL166" t="s">
        <v>4</v>
      </c>
      <c r="CM166" t="s">
        <v>1862</v>
      </c>
      <c r="CN166" t="s">
        <v>1863</v>
      </c>
      <c r="CO166" t="s">
        <v>99</v>
      </c>
      <c r="CP166">
        <v>165</v>
      </c>
      <c r="CQ166" t="s">
        <v>100</v>
      </c>
      <c r="CR166" t="s">
        <v>100</v>
      </c>
      <c r="CS166" t="s">
        <v>101</v>
      </c>
      <c r="CT166" t="s">
        <v>100</v>
      </c>
      <c r="CU166" t="s">
        <v>102</v>
      </c>
      <c r="CV166" t="s">
        <v>100</v>
      </c>
    </row>
    <row r="167" spans="1:100">
      <c r="A167" s="3" t="s">
        <v>1864</v>
      </c>
      <c r="B167" s="4" t="s">
        <v>1865</v>
      </c>
      <c r="C167">
        <v>1526.68130986093</v>
      </c>
      <c r="D167">
        <v>293.80260308950699</v>
      </c>
      <c r="E167">
        <v>2.3779557028443898</v>
      </c>
      <c r="F167" s="5">
        <v>1.7191956665263601E-15</v>
      </c>
      <c r="G167" t="s">
        <v>4</v>
      </c>
      <c r="H167">
        <v>1526.68130986093</v>
      </c>
      <c r="I167">
        <v>80.121252271422406</v>
      </c>
      <c r="J167">
        <v>4.2224408999473804</v>
      </c>
      <c r="K167" s="5">
        <v>4.2831147948757902E-43</v>
      </c>
      <c r="L167" t="s">
        <v>4</v>
      </c>
      <c r="M167">
        <v>293.80260308950699</v>
      </c>
      <c r="N167">
        <v>80.121252271422406</v>
      </c>
      <c r="O167">
        <v>1.8444851971029901</v>
      </c>
      <c r="P167" s="5">
        <v>5.5741888780496902E-9</v>
      </c>
      <c r="Q167" t="s">
        <v>4</v>
      </c>
      <c r="R167" s="4" t="s">
        <v>87</v>
      </c>
      <c r="S167" t="s">
        <v>4</v>
      </c>
      <c r="T167" t="s">
        <v>1866</v>
      </c>
      <c r="U167" t="s">
        <v>1867</v>
      </c>
      <c r="V167" t="s">
        <v>1868</v>
      </c>
      <c r="W167" t="s">
        <v>123</v>
      </c>
      <c r="X167" t="s">
        <v>4</v>
      </c>
      <c r="Y167" t="s">
        <v>1869</v>
      </c>
      <c r="Z167" t="s">
        <v>1870</v>
      </c>
      <c r="AA167" t="s">
        <v>1871</v>
      </c>
      <c r="AB167" t="s">
        <v>4</v>
      </c>
      <c r="AC167" s="3" t="s">
        <v>1872</v>
      </c>
      <c r="AD167" t="s">
        <v>4</v>
      </c>
      <c r="AE167" t="s">
        <v>1873</v>
      </c>
      <c r="AF167" t="s">
        <v>1874</v>
      </c>
      <c r="AG167" t="s">
        <v>1875</v>
      </c>
      <c r="AH167" t="s">
        <v>112</v>
      </c>
      <c r="AI167" t="s">
        <v>1876</v>
      </c>
      <c r="AJ167" t="s">
        <v>1877</v>
      </c>
      <c r="AU167" t="s">
        <v>112</v>
      </c>
      <c r="AV167" t="s">
        <v>1878</v>
      </c>
      <c r="AW167" t="s">
        <v>114</v>
      </c>
      <c r="AX167" t="s">
        <v>1879</v>
      </c>
      <c r="AY167" t="s">
        <v>1880</v>
      </c>
      <c r="AZ167" t="s">
        <v>4</v>
      </c>
      <c r="BA167" s="3" t="s">
        <v>95</v>
      </c>
      <c r="BB167" s="6" t="s">
        <v>95</v>
      </c>
      <c r="BC167" s="3" t="s">
        <v>95</v>
      </c>
      <c r="BD167" t="s">
        <v>4</v>
      </c>
      <c r="BE167">
        <v>4083</v>
      </c>
      <c r="BF167" t="s">
        <v>112</v>
      </c>
      <c r="BG167">
        <v>95.546599999999998</v>
      </c>
      <c r="BH167">
        <v>85.020200000000003</v>
      </c>
      <c r="BI167">
        <v>94.331999999999994</v>
      </c>
      <c r="BJ167">
        <v>84.210499999999996</v>
      </c>
      <c r="BK167">
        <v>63.967599999999997</v>
      </c>
      <c r="BL167">
        <v>54.655900000000003</v>
      </c>
      <c r="BM167">
        <v>63.967599999999997</v>
      </c>
      <c r="BN167">
        <v>69.838099999999997</v>
      </c>
      <c r="BO167">
        <v>52.024299999999997</v>
      </c>
      <c r="BP167">
        <v>25.5061</v>
      </c>
      <c r="BQ167">
        <v>22.874500000000001</v>
      </c>
      <c r="BR167" t="s">
        <v>1881</v>
      </c>
      <c r="BS167">
        <v>23.886600000000001</v>
      </c>
      <c r="BT167">
        <v>20.850200000000001</v>
      </c>
      <c r="BU167">
        <v>22.6721</v>
      </c>
      <c r="BV167" t="s">
        <v>1882</v>
      </c>
      <c r="BW167" t="s">
        <v>1883</v>
      </c>
      <c r="BX167">
        <v>32.3887</v>
      </c>
      <c r="BY167">
        <v>15.7895</v>
      </c>
      <c r="BZ167">
        <v>25.5061</v>
      </c>
      <c r="CA167" t="s">
        <v>1884</v>
      </c>
      <c r="CG167">
        <v>21.6599</v>
      </c>
      <c r="CH167">
        <v>21.6599</v>
      </c>
      <c r="CI167">
        <v>20.6478</v>
      </c>
      <c r="CJ167" t="s">
        <v>1885</v>
      </c>
      <c r="CK167">
        <v>5</v>
      </c>
      <c r="CL167" t="s">
        <v>4</v>
      </c>
      <c r="CM167" t="s">
        <v>1886</v>
      </c>
      <c r="CN167" t="s">
        <v>1887</v>
      </c>
      <c r="CO167" t="s">
        <v>1888</v>
      </c>
      <c r="CP167">
        <v>166</v>
      </c>
      <c r="CQ167" t="s">
        <v>100</v>
      </c>
      <c r="CR167" t="s">
        <v>100</v>
      </c>
      <c r="CS167" t="s">
        <v>101</v>
      </c>
      <c r="CT167" s="7" t="s">
        <v>152</v>
      </c>
      <c r="CU167" t="s">
        <v>102</v>
      </c>
      <c r="CV167" t="s">
        <v>1889</v>
      </c>
    </row>
    <row r="168" spans="1:100">
      <c r="A168" s="3" t="s">
        <v>1890</v>
      </c>
      <c r="B168" s="4" t="s">
        <v>1891</v>
      </c>
      <c r="C168">
        <v>79.024832388120203</v>
      </c>
      <c r="D168">
        <v>18.541830662201299</v>
      </c>
      <c r="E168">
        <v>2.0821469178265701</v>
      </c>
      <c r="F168">
        <v>1.29372237934854E-4</v>
      </c>
      <c r="G168" t="s">
        <v>4</v>
      </c>
      <c r="H168">
        <v>79.024832388120203</v>
      </c>
      <c r="I168">
        <v>17.046577622762602</v>
      </c>
      <c r="J168">
        <v>2.1801022636576999</v>
      </c>
      <c r="K168" s="5">
        <v>8.0624391058453597E-5</v>
      </c>
      <c r="L168" t="s">
        <v>4</v>
      </c>
      <c r="M168">
        <v>18.541830662201299</v>
      </c>
      <c r="N168">
        <v>17.046577622762602</v>
      </c>
      <c r="O168">
        <v>9.7955345831123405E-2</v>
      </c>
      <c r="P168">
        <v>0.89862507764734001</v>
      </c>
      <c r="Q168" t="s">
        <v>4</v>
      </c>
      <c r="R168" s="4" t="s">
        <v>87</v>
      </c>
      <c r="S168" t="s">
        <v>4</v>
      </c>
      <c r="T168" t="s">
        <v>1312</v>
      </c>
      <c r="U168" t="s">
        <v>1313</v>
      </c>
      <c r="V168" t="s">
        <v>1314</v>
      </c>
      <c r="W168" t="s">
        <v>203</v>
      </c>
      <c r="X168" t="s">
        <v>4</v>
      </c>
      <c r="Y168" t="s">
        <v>1315</v>
      </c>
      <c r="Z168" t="s">
        <v>1316</v>
      </c>
      <c r="AA168" t="s">
        <v>1317</v>
      </c>
      <c r="AB168" t="s">
        <v>4</v>
      </c>
      <c r="AC168" s="3" t="s">
        <v>1318</v>
      </c>
      <c r="AD168" t="s">
        <v>4</v>
      </c>
      <c r="AE168" t="s">
        <v>1892</v>
      </c>
      <c r="AF168" t="s">
        <v>1893</v>
      </c>
      <c r="AG168" t="s">
        <v>1894</v>
      </c>
      <c r="AH168" t="s">
        <v>314</v>
      </c>
      <c r="AU168" t="s">
        <v>112</v>
      </c>
      <c r="AV168" t="s">
        <v>1895</v>
      </c>
      <c r="AW168" t="s">
        <v>114</v>
      </c>
      <c r="AX168" t="s">
        <v>132</v>
      </c>
      <c r="AY168" t="s">
        <v>1896</v>
      </c>
      <c r="AZ168" t="s">
        <v>4</v>
      </c>
      <c r="BA168" s="3" t="s">
        <v>95</v>
      </c>
      <c r="BB168" s="6" t="s">
        <v>95</v>
      </c>
      <c r="BC168" s="3" t="s">
        <v>95</v>
      </c>
      <c r="BD168" t="s">
        <v>4</v>
      </c>
      <c r="BE168">
        <v>5122</v>
      </c>
      <c r="BF168" t="s">
        <v>282</v>
      </c>
      <c r="BG168">
        <v>100</v>
      </c>
      <c r="BK168">
        <v>91.940299999999993</v>
      </c>
      <c r="CB168">
        <v>19.701499999999999</v>
      </c>
      <c r="CD168" t="s">
        <v>1897</v>
      </c>
      <c r="CK168">
        <v>6</v>
      </c>
      <c r="CL168" t="s">
        <v>4</v>
      </c>
      <c r="CM168" t="s">
        <v>98</v>
      </c>
      <c r="CN168" t="s">
        <v>98</v>
      </c>
      <c r="CO168" t="s">
        <v>99</v>
      </c>
      <c r="CP168">
        <v>167</v>
      </c>
      <c r="CQ168" t="s">
        <v>100</v>
      </c>
      <c r="CR168" t="s">
        <v>100</v>
      </c>
      <c r="CS168" t="s">
        <v>101</v>
      </c>
      <c r="CT168" t="s">
        <v>100</v>
      </c>
      <c r="CU168" t="s">
        <v>102</v>
      </c>
      <c r="CV168" t="s">
        <v>100</v>
      </c>
    </row>
    <row r="169" spans="1:100">
      <c r="A169" s="3" t="s">
        <v>1898</v>
      </c>
      <c r="B169" s="4" t="s">
        <v>1899</v>
      </c>
      <c r="C169">
        <v>57.1022697366963</v>
      </c>
      <c r="D169">
        <v>12.8227177252164</v>
      </c>
      <c r="E169">
        <v>2.16040355431916</v>
      </c>
      <c r="F169">
        <v>3.1301177781890501E-3</v>
      </c>
      <c r="G169" t="s">
        <v>4</v>
      </c>
      <c r="H169">
        <v>57.1022697366963</v>
      </c>
      <c r="I169">
        <v>6.3019219661137997</v>
      </c>
      <c r="J169">
        <v>3.2100720241467502</v>
      </c>
      <c r="K169" s="5">
        <v>3.9222100203269E-5</v>
      </c>
      <c r="L169" t="s">
        <v>4</v>
      </c>
      <c r="M169">
        <v>12.8227177252164</v>
      </c>
      <c r="N169">
        <v>6.3019219661137997</v>
      </c>
      <c r="O169">
        <v>1.04966846982759</v>
      </c>
      <c r="P169">
        <v>0.23544392972344999</v>
      </c>
      <c r="Q169" t="s">
        <v>4</v>
      </c>
      <c r="R169" s="4" t="s">
        <v>87</v>
      </c>
      <c r="S169" t="s">
        <v>4</v>
      </c>
      <c r="T169" t="s">
        <v>504</v>
      </c>
      <c r="U169" t="s">
        <v>505</v>
      </c>
      <c r="V169" t="s">
        <v>506</v>
      </c>
      <c r="W169" t="s">
        <v>507</v>
      </c>
      <c r="X169" t="s">
        <v>4</v>
      </c>
      <c r="Y169" t="s">
        <v>508</v>
      </c>
      <c r="Z169" t="s">
        <v>509</v>
      </c>
      <c r="AA169" t="s">
        <v>510</v>
      </c>
      <c r="AB169" t="s">
        <v>4</v>
      </c>
      <c r="AC169" s="3" t="s">
        <v>1900</v>
      </c>
      <c r="AD169" t="s">
        <v>4</v>
      </c>
      <c r="AE169" t="s">
        <v>1901</v>
      </c>
      <c r="AF169" t="s">
        <v>1902</v>
      </c>
      <c r="AG169" t="s">
        <v>1903</v>
      </c>
      <c r="AH169" t="s">
        <v>112</v>
      </c>
      <c r="AI169" t="s">
        <v>1904</v>
      </c>
      <c r="AJ169" t="s">
        <v>1905</v>
      </c>
      <c r="AU169" t="s">
        <v>112</v>
      </c>
      <c r="AV169" t="s">
        <v>1906</v>
      </c>
      <c r="AW169" t="s">
        <v>114</v>
      </c>
      <c r="AX169" t="s">
        <v>1907</v>
      </c>
      <c r="AY169" t="s">
        <v>1908</v>
      </c>
      <c r="AZ169" t="s">
        <v>4</v>
      </c>
      <c r="BA169" s="3" t="s">
        <v>95</v>
      </c>
      <c r="BB169" t="s">
        <v>96</v>
      </c>
      <c r="BC169" s="3" t="s">
        <v>95</v>
      </c>
      <c r="BD169" t="s">
        <v>4</v>
      </c>
      <c r="BE169">
        <v>5123</v>
      </c>
      <c r="BF169" t="s">
        <v>282</v>
      </c>
      <c r="BG169">
        <v>98.032799999999995</v>
      </c>
      <c r="BI169">
        <v>91.803299999999993</v>
      </c>
      <c r="BJ169">
        <v>80.983599999999996</v>
      </c>
      <c r="BK169">
        <v>56.3934</v>
      </c>
      <c r="BL169">
        <v>58.032800000000002</v>
      </c>
      <c r="BM169">
        <v>59.6721</v>
      </c>
      <c r="BN169">
        <v>76.065600000000003</v>
      </c>
      <c r="BQ169" t="s">
        <v>1909</v>
      </c>
      <c r="CK169">
        <v>6</v>
      </c>
      <c r="CL169" t="s">
        <v>4</v>
      </c>
      <c r="CM169" t="s">
        <v>98</v>
      </c>
      <c r="CN169" t="s">
        <v>98</v>
      </c>
      <c r="CO169" t="s">
        <v>99</v>
      </c>
      <c r="CP169">
        <v>168</v>
      </c>
      <c r="CQ169" t="s">
        <v>100</v>
      </c>
      <c r="CR169" t="s">
        <v>100</v>
      </c>
      <c r="CS169" t="s">
        <v>101</v>
      </c>
      <c r="CT169" t="s">
        <v>100</v>
      </c>
      <c r="CU169" t="s">
        <v>102</v>
      </c>
      <c r="CV169" t="s">
        <v>100</v>
      </c>
    </row>
    <row r="170" spans="1:100">
      <c r="A170" s="3" t="s">
        <v>1910</v>
      </c>
      <c r="B170" s="4" t="s">
        <v>1911</v>
      </c>
      <c r="C170">
        <v>279.075850664803</v>
      </c>
      <c r="D170">
        <v>50.827295720968102</v>
      </c>
      <c r="E170">
        <v>2.4573308334933301</v>
      </c>
      <c r="F170" s="5">
        <v>4.8608470905481797E-5</v>
      </c>
      <c r="G170" t="s">
        <v>4</v>
      </c>
      <c r="H170">
        <v>279.075850664803</v>
      </c>
      <c r="I170">
        <v>63.082721277533402</v>
      </c>
      <c r="J170">
        <v>2.1214099115116398</v>
      </c>
      <c r="K170">
        <v>3.9316771749305898E-4</v>
      </c>
      <c r="L170" t="s">
        <v>4</v>
      </c>
      <c r="M170">
        <v>50.827295720968102</v>
      </c>
      <c r="N170">
        <v>63.082721277533402</v>
      </c>
      <c r="O170">
        <f>0.335920921981686</f>
        <v>0.33592092198168599</v>
      </c>
      <c r="P170">
        <v>0.64074687656284801</v>
      </c>
      <c r="Q170" t="s">
        <v>4</v>
      </c>
      <c r="R170" s="4" t="s">
        <v>87</v>
      </c>
      <c r="S170" t="s">
        <v>4</v>
      </c>
      <c r="T170" t="s">
        <v>1912</v>
      </c>
      <c r="U170" t="s">
        <v>1913</v>
      </c>
      <c r="V170" t="s">
        <v>1914</v>
      </c>
      <c r="W170" t="s">
        <v>1915</v>
      </c>
      <c r="X170" t="s">
        <v>4</v>
      </c>
      <c r="Y170" t="s">
        <v>204</v>
      </c>
      <c r="Z170" t="s">
        <v>205</v>
      </c>
      <c r="AA170" t="s">
        <v>206</v>
      </c>
      <c r="AB170" t="s">
        <v>4</v>
      </c>
      <c r="AC170" s="3" t="s">
        <v>1916</v>
      </c>
      <c r="AD170" t="s">
        <v>4</v>
      </c>
      <c r="AE170" t="s">
        <v>1917</v>
      </c>
      <c r="AF170" t="s">
        <v>1918</v>
      </c>
      <c r="AG170" t="s">
        <v>1919</v>
      </c>
      <c r="AH170" t="s">
        <v>112</v>
      </c>
      <c r="AU170" t="s">
        <v>112</v>
      </c>
      <c r="AV170" t="s">
        <v>1920</v>
      </c>
      <c r="AW170" t="s">
        <v>114</v>
      </c>
      <c r="AX170" t="s">
        <v>132</v>
      </c>
      <c r="AY170" t="s">
        <v>212</v>
      </c>
      <c r="AZ170" t="s">
        <v>4</v>
      </c>
      <c r="BA170" s="3" t="s">
        <v>95</v>
      </c>
      <c r="BB170" s="6" t="s">
        <v>95</v>
      </c>
      <c r="BC170" s="3" t="s">
        <v>95</v>
      </c>
      <c r="BD170" t="s">
        <v>4</v>
      </c>
      <c r="BE170">
        <v>4129</v>
      </c>
      <c r="BF170" t="s">
        <v>112</v>
      </c>
      <c r="BG170">
        <v>98.309899999999999</v>
      </c>
      <c r="BH170">
        <v>98.309899999999999</v>
      </c>
      <c r="BI170">
        <v>95.492999999999995</v>
      </c>
      <c r="BJ170">
        <v>90.985900000000001</v>
      </c>
      <c r="BK170">
        <v>84.225300000000004</v>
      </c>
      <c r="BL170">
        <v>85.070400000000006</v>
      </c>
      <c r="BM170">
        <v>84.507000000000005</v>
      </c>
      <c r="BN170">
        <v>84.225300000000004</v>
      </c>
      <c r="BP170">
        <v>60</v>
      </c>
      <c r="BR170">
        <v>53.239400000000003</v>
      </c>
      <c r="BS170">
        <v>56.338000000000001</v>
      </c>
      <c r="BY170">
        <v>22.253499999999999</v>
      </c>
      <c r="BZ170">
        <v>34.084499999999998</v>
      </c>
      <c r="CA170" t="s">
        <v>1921</v>
      </c>
      <c r="CK170">
        <v>5</v>
      </c>
      <c r="CL170" t="s">
        <v>4</v>
      </c>
      <c r="CM170" t="s">
        <v>1922</v>
      </c>
      <c r="CN170" t="s">
        <v>1923</v>
      </c>
      <c r="CO170" t="s">
        <v>1467</v>
      </c>
      <c r="CP170">
        <v>169</v>
      </c>
      <c r="CQ170" t="s">
        <v>100</v>
      </c>
      <c r="CR170" t="s">
        <v>100</v>
      </c>
      <c r="CS170" t="s">
        <v>101</v>
      </c>
      <c r="CT170" t="s">
        <v>100</v>
      </c>
      <c r="CU170" t="s">
        <v>102</v>
      </c>
      <c r="CV170" t="s">
        <v>100</v>
      </c>
    </row>
    <row r="171" spans="1:100">
      <c r="A171" s="3" t="s">
        <v>1924</v>
      </c>
      <c r="B171" s="4" t="s">
        <v>1925</v>
      </c>
      <c r="C171">
        <v>48.345699725487002</v>
      </c>
      <c r="D171">
        <v>5.8874538703904502</v>
      </c>
      <c r="E171">
        <v>3.0594263668531401</v>
      </c>
      <c r="F171">
        <v>1.3519862547248799E-4</v>
      </c>
      <c r="G171" t="s">
        <v>4</v>
      </c>
      <c r="H171">
        <v>48.345699725487002</v>
      </c>
      <c r="I171">
        <v>5.6712715046133999</v>
      </c>
      <c r="J171">
        <v>3.1111652389984399</v>
      </c>
      <c r="K171">
        <v>1.7075803409487199E-4</v>
      </c>
      <c r="L171" t="s">
        <v>4</v>
      </c>
      <c r="M171">
        <v>5.8874538703904502</v>
      </c>
      <c r="N171">
        <v>5.6712715046133999</v>
      </c>
      <c r="O171">
        <v>5.1738872145299201E-2</v>
      </c>
      <c r="P171">
        <v>0.96573756450663695</v>
      </c>
      <c r="Q171" t="s">
        <v>4</v>
      </c>
      <c r="R171" s="4" t="s">
        <v>87</v>
      </c>
      <c r="S171" t="s">
        <v>4</v>
      </c>
      <c r="T171" t="s">
        <v>1926</v>
      </c>
      <c r="U171" t="s">
        <v>1927</v>
      </c>
      <c r="V171" t="s">
        <v>1928</v>
      </c>
      <c r="W171" t="s">
        <v>328</v>
      </c>
      <c r="X171" t="s">
        <v>4</v>
      </c>
      <c r="Y171" t="s">
        <v>1929</v>
      </c>
      <c r="Z171" t="s">
        <v>1930</v>
      </c>
      <c r="AA171" t="s">
        <v>1931</v>
      </c>
      <c r="AB171" t="s">
        <v>4</v>
      </c>
      <c r="AC171" s="3" t="s">
        <v>1932</v>
      </c>
      <c r="AD171" t="s">
        <v>4</v>
      </c>
      <c r="AE171" t="s">
        <v>1933</v>
      </c>
      <c r="AF171" t="s">
        <v>1934</v>
      </c>
      <c r="AG171" t="s">
        <v>1935</v>
      </c>
      <c r="AH171" t="s">
        <v>1936</v>
      </c>
      <c r="AU171" t="s">
        <v>112</v>
      </c>
      <c r="AV171" t="s">
        <v>1937</v>
      </c>
      <c r="AW171" t="s">
        <v>114</v>
      </c>
      <c r="AX171" t="s">
        <v>1938</v>
      </c>
      <c r="AY171" t="s">
        <v>1939</v>
      </c>
      <c r="AZ171" t="s">
        <v>4</v>
      </c>
      <c r="BA171" s="3" t="s">
        <v>115</v>
      </c>
      <c r="BB171" s="6" t="s">
        <v>95</v>
      </c>
      <c r="BC171" s="3" t="s">
        <v>95</v>
      </c>
      <c r="BD171" t="s">
        <v>4</v>
      </c>
      <c r="BE171">
        <v>10096</v>
      </c>
      <c r="BF171" t="s">
        <v>169</v>
      </c>
      <c r="BG171">
        <v>95.238100000000003</v>
      </c>
      <c r="BI171">
        <v>98.484800000000007</v>
      </c>
      <c r="BJ171">
        <v>84.415599999999998</v>
      </c>
      <c r="BK171">
        <v>96.536799999999999</v>
      </c>
      <c r="BM171">
        <v>17.965399999999999</v>
      </c>
      <c r="BN171">
        <v>88.744600000000005</v>
      </c>
      <c r="BP171">
        <v>88.528099999999995</v>
      </c>
      <c r="BQ171">
        <v>77.705600000000004</v>
      </c>
      <c r="BR171">
        <v>82.900400000000005</v>
      </c>
      <c r="BT171">
        <v>82.251099999999994</v>
      </c>
      <c r="BU171">
        <v>80.735900000000001</v>
      </c>
      <c r="BV171" t="s">
        <v>1940</v>
      </c>
      <c r="CB171">
        <v>14.7186</v>
      </c>
      <c r="CF171">
        <v>64.718599999999995</v>
      </c>
      <c r="CG171" t="s">
        <v>1941</v>
      </c>
      <c r="CH171">
        <v>40.259700000000002</v>
      </c>
      <c r="CJ171" t="s">
        <v>1942</v>
      </c>
      <c r="CK171">
        <v>9</v>
      </c>
      <c r="CL171" t="s">
        <v>4</v>
      </c>
      <c r="CM171" t="s">
        <v>98</v>
      </c>
      <c r="CN171" t="s">
        <v>98</v>
      </c>
      <c r="CO171" t="s">
        <v>99</v>
      </c>
      <c r="CP171">
        <v>170</v>
      </c>
      <c r="CQ171" t="s">
        <v>100</v>
      </c>
      <c r="CR171" t="s">
        <v>100</v>
      </c>
      <c r="CS171" t="s">
        <v>101</v>
      </c>
      <c r="CT171" t="s">
        <v>100</v>
      </c>
      <c r="CU171" t="s">
        <v>102</v>
      </c>
      <c r="CV171" t="s">
        <v>100</v>
      </c>
    </row>
    <row r="172" spans="1:100">
      <c r="A172" s="3" t="s">
        <v>1943</v>
      </c>
      <c r="B172" s="4" t="s">
        <v>1944</v>
      </c>
      <c r="C172">
        <v>55.090394985981099</v>
      </c>
      <c r="D172">
        <v>10.3156542474572</v>
      </c>
      <c r="E172">
        <v>2.4314694109484098</v>
      </c>
      <c r="F172">
        <v>8.1248395263527895E-3</v>
      </c>
      <c r="G172" t="s">
        <v>4</v>
      </c>
      <c r="H172">
        <v>55.090394985981099</v>
      </c>
      <c r="I172">
        <v>2.8056126193570199</v>
      </c>
      <c r="J172">
        <v>4.2038137630611798</v>
      </c>
      <c r="K172" s="5">
        <v>4.39217266313483E-5</v>
      </c>
      <c r="L172" t="s">
        <v>4</v>
      </c>
      <c r="M172">
        <v>10.3156542474572</v>
      </c>
      <c r="N172">
        <v>2.8056126193570199</v>
      </c>
      <c r="O172">
        <v>1.77234435211277</v>
      </c>
      <c r="P172">
        <v>0.11443269695121799</v>
      </c>
      <c r="Q172" t="s">
        <v>4</v>
      </c>
      <c r="R172" s="4" t="s">
        <v>87</v>
      </c>
      <c r="S172" t="s">
        <v>4</v>
      </c>
      <c r="T172" t="s">
        <v>1945</v>
      </c>
      <c r="U172" t="s">
        <v>1946</v>
      </c>
      <c r="V172" t="s">
        <v>1947</v>
      </c>
      <c r="W172" t="s">
        <v>203</v>
      </c>
      <c r="X172" t="s">
        <v>4</v>
      </c>
      <c r="Y172" t="s">
        <v>1948</v>
      </c>
      <c r="Z172" t="s">
        <v>1949</v>
      </c>
      <c r="AA172" t="s">
        <v>1950</v>
      </c>
      <c r="AB172" t="s">
        <v>4</v>
      </c>
      <c r="AC172" s="3" t="s">
        <v>1951</v>
      </c>
      <c r="AD172" t="s">
        <v>4</v>
      </c>
      <c r="AE172" t="s">
        <v>1952</v>
      </c>
      <c r="AF172" t="s">
        <v>1953</v>
      </c>
      <c r="AG172" t="s">
        <v>1954</v>
      </c>
      <c r="AH172" t="s">
        <v>112</v>
      </c>
      <c r="AI172" t="s">
        <v>1955</v>
      </c>
      <c r="AJ172" t="s">
        <v>1956</v>
      </c>
      <c r="AU172" t="s">
        <v>112</v>
      </c>
      <c r="AV172" t="s">
        <v>1957</v>
      </c>
      <c r="AW172" t="s">
        <v>114</v>
      </c>
      <c r="AX172" t="s">
        <v>733</v>
      </c>
      <c r="AY172" t="s">
        <v>1958</v>
      </c>
      <c r="AZ172" t="s">
        <v>4</v>
      </c>
      <c r="BA172" s="3" t="s">
        <v>95</v>
      </c>
      <c r="BB172" s="6" t="s">
        <v>95</v>
      </c>
      <c r="BC172" s="3" t="s">
        <v>95</v>
      </c>
      <c r="BD172" t="s">
        <v>4</v>
      </c>
      <c r="BE172">
        <v>10116</v>
      </c>
      <c r="BF172" t="s">
        <v>169</v>
      </c>
      <c r="BH172">
        <v>99.236599999999996</v>
      </c>
      <c r="BI172">
        <v>93.129800000000003</v>
      </c>
      <c r="BJ172">
        <v>1.1450400000000001</v>
      </c>
      <c r="BK172">
        <v>70.992400000000004</v>
      </c>
      <c r="BM172">
        <v>69.084000000000003</v>
      </c>
      <c r="BN172">
        <v>70.228999999999999</v>
      </c>
      <c r="BO172">
        <v>74.809200000000004</v>
      </c>
      <c r="BP172">
        <v>50.381700000000002</v>
      </c>
      <c r="BQ172">
        <v>31.679400000000001</v>
      </c>
      <c r="BS172">
        <v>37.786299999999997</v>
      </c>
      <c r="BW172" t="s">
        <v>1959</v>
      </c>
      <c r="BX172">
        <v>45.801499999999997</v>
      </c>
      <c r="BZ172">
        <v>33.206099999999999</v>
      </c>
      <c r="CB172">
        <v>17.175599999999999</v>
      </c>
      <c r="CC172">
        <v>15.648899999999999</v>
      </c>
      <c r="CD172">
        <v>19.465599999999998</v>
      </c>
      <c r="CF172">
        <v>17.557300000000001</v>
      </c>
      <c r="CG172">
        <v>18.702300000000001</v>
      </c>
      <c r="CH172">
        <v>19.084</v>
      </c>
      <c r="CI172">
        <v>16.412199999999999</v>
      </c>
      <c r="CJ172">
        <v>15.648899999999999</v>
      </c>
      <c r="CK172">
        <v>9</v>
      </c>
      <c r="CL172" t="s">
        <v>4</v>
      </c>
      <c r="CM172" t="s">
        <v>98</v>
      </c>
      <c r="CN172" t="s">
        <v>98</v>
      </c>
      <c r="CO172" t="s">
        <v>99</v>
      </c>
      <c r="CP172">
        <v>171</v>
      </c>
      <c r="CQ172" t="s">
        <v>100</v>
      </c>
      <c r="CR172" t="s">
        <v>100</v>
      </c>
      <c r="CS172" t="s">
        <v>101</v>
      </c>
      <c r="CT172" t="s">
        <v>100</v>
      </c>
      <c r="CU172" t="s">
        <v>102</v>
      </c>
      <c r="CV172" t="s">
        <v>100</v>
      </c>
    </row>
    <row r="173" spans="1:100">
      <c r="A173" s="3" t="s">
        <v>1960</v>
      </c>
      <c r="B173" s="4" t="s">
        <v>1961</v>
      </c>
      <c r="C173">
        <v>45.666203330416998</v>
      </c>
      <c r="D173">
        <v>9.9551840428729896</v>
      </c>
      <c r="E173">
        <v>2.2049383111922398</v>
      </c>
      <c r="F173">
        <v>4.8911943562887699E-3</v>
      </c>
      <c r="G173" t="s">
        <v>4</v>
      </c>
      <c r="H173">
        <v>45.666203330416998</v>
      </c>
      <c r="I173">
        <v>8.4021926083452207</v>
      </c>
      <c r="J173">
        <v>2.4826731208231201</v>
      </c>
      <c r="K173">
        <v>1.8624312515353801E-3</v>
      </c>
      <c r="L173" t="s">
        <v>4</v>
      </c>
      <c r="M173">
        <v>9.9551840428729896</v>
      </c>
      <c r="N173">
        <v>8.4021926083452207</v>
      </c>
      <c r="O173">
        <v>0.27773480963088198</v>
      </c>
      <c r="P173">
        <v>0.78776061350582904</v>
      </c>
      <c r="Q173" t="s">
        <v>4</v>
      </c>
      <c r="R173" s="4" t="s">
        <v>87</v>
      </c>
      <c r="S173" t="s">
        <v>4</v>
      </c>
      <c r="T173" t="s">
        <v>92</v>
      </c>
      <c r="U173" t="s">
        <v>92</v>
      </c>
      <c r="V173" t="s">
        <v>92</v>
      </c>
      <c r="W173" t="s">
        <v>92</v>
      </c>
      <c r="X173" t="s">
        <v>4</v>
      </c>
      <c r="Y173" t="s">
        <v>155</v>
      </c>
      <c r="Z173" t="s">
        <v>156</v>
      </c>
      <c r="AA173" t="s">
        <v>157</v>
      </c>
      <c r="AB173" t="s">
        <v>4</v>
      </c>
      <c r="AC173" s="3" t="s">
        <v>1962</v>
      </c>
      <c r="AD173" t="s">
        <v>4</v>
      </c>
      <c r="AE173" t="s">
        <v>1963</v>
      </c>
      <c r="AF173" t="s">
        <v>1964</v>
      </c>
      <c r="AG173" t="s">
        <v>1965</v>
      </c>
      <c r="AH173" t="s">
        <v>112</v>
      </c>
      <c r="AU173" t="s">
        <v>112</v>
      </c>
      <c r="AV173" t="s">
        <v>1966</v>
      </c>
      <c r="AW173" t="s">
        <v>114</v>
      </c>
      <c r="AX173" t="s">
        <v>132</v>
      </c>
      <c r="AY173" t="s">
        <v>1967</v>
      </c>
      <c r="AZ173" t="s">
        <v>4</v>
      </c>
      <c r="BA173" s="3" t="s">
        <v>95</v>
      </c>
      <c r="BB173" s="6" t="s">
        <v>95</v>
      </c>
      <c r="BC173" s="3" t="s">
        <v>95</v>
      </c>
      <c r="BD173" t="s">
        <v>4</v>
      </c>
      <c r="BE173">
        <v>7775</v>
      </c>
      <c r="BF173" t="s">
        <v>213</v>
      </c>
      <c r="BG173">
        <v>99.697000000000003</v>
      </c>
      <c r="BI173">
        <v>95.757599999999996</v>
      </c>
      <c r="BK173">
        <v>46.666699999999999</v>
      </c>
      <c r="BM173">
        <v>82.7273</v>
      </c>
      <c r="BN173">
        <v>83.333299999999994</v>
      </c>
      <c r="BO173">
        <v>86.060599999999994</v>
      </c>
      <c r="BP173" t="s">
        <v>1968</v>
      </c>
      <c r="BR173">
        <v>42.424199999999999</v>
      </c>
      <c r="CB173">
        <v>10.6061</v>
      </c>
      <c r="CC173">
        <v>16.9697</v>
      </c>
      <c r="CD173" t="s">
        <v>1969</v>
      </c>
      <c r="CE173">
        <v>20.606100000000001</v>
      </c>
      <c r="CK173">
        <v>8</v>
      </c>
      <c r="CL173" t="s">
        <v>4</v>
      </c>
      <c r="CM173" t="s">
        <v>98</v>
      </c>
      <c r="CN173" t="s">
        <v>98</v>
      </c>
      <c r="CO173" t="s">
        <v>99</v>
      </c>
      <c r="CP173">
        <v>172</v>
      </c>
      <c r="CQ173" t="s">
        <v>100</v>
      </c>
      <c r="CR173" t="s">
        <v>100</v>
      </c>
      <c r="CS173" t="s">
        <v>101</v>
      </c>
      <c r="CT173" t="s">
        <v>100</v>
      </c>
      <c r="CU173" t="s">
        <v>102</v>
      </c>
      <c r="CV173" t="s">
        <v>100</v>
      </c>
    </row>
    <row r="174" spans="1:100">
      <c r="A174" s="3" t="s">
        <v>1970</v>
      </c>
      <c r="B174" s="4" t="s">
        <v>1971</v>
      </c>
      <c r="C174">
        <v>373.45806502792499</v>
      </c>
      <c r="D174">
        <v>53.504391906046301</v>
      </c>
      <c r="E174">
        <v>2.8054490070333098</v>
      </c>
      <c r="F174" s="5">
        <v>1.24265656874656E-10</v>
      </c>
      <c r="G174" t="s">
        <v>4</v>
      </c>
      <c r="H174">
        <v>373.45806502792499</v>
      </c>
      <c r="I174">
        <v>25.796960624218901</v>
      </c>
      <c r="J174">
        <v>3.7858079200571</v>
      </c>
      <c r="K174" s="5">
        <v>6.8422328270797505E-17</v>
      </c>
      <c r="L174" t="s">
        <v>4</v>
      </c>
      <c r="M174">
        <v>53.504391906046301</v>
      </c>
      <c r="N174">
        <v>25.796960624218901</v>
      </c>
      <c r="O174">
        <v>0.98035891302378797</v>
      </c>
      <c r="P174">
        <v>5.0935124292833603E-2</v>
      </c>
      <c r="Q174" t="s">
        <v>4</v>
      </c>
      <c r="R174" s="4" t="s">
        <v>87</v>
      </c>
      <c r="S174" t="s">
        <v>4</v>
      </c>
      <c r="T174" t="s">
        <v>92</v>
      </c>
      <c r="U174" t="s">
        <v>92</v>
      </c>
      <c r="V174" t="s">
        <v>92</v>
      </c>
      <c r="W174" t="s">
        <v>92</v>
      </c>
      <c r="X174" t="s">
        <v>4</v>
      </c>
      <c r="Y174" t="s">
        <v>92</v>
      </c>
      <c r="Z174" t="s">
        <v>92</v>
      </c>
      <c r="AA174" t="s">
        <v>92</v>
      </c>
      <c r="AB174" t="s">
        <v>4</v>
      </c>
      <c r="AC174" s="3" t="s">
        <v>93</v>
      </c>
      <c r="AD174" t="s">
        <v>4</v>
      </c>
      <c r="AE174" s="4" t="s">
        <v>94</v>
      </c>
      <c r="AZ174" t="s">
        <v>4</v>
      </c>
      <c r="BA174" s="3" t="s">
        <v>95</v>
      </c>
      <c r="BB174" s="6" t="s">
        <v>95</v>
      </c>
      <c r="BC174" s="3" t="s">
        <v>95</v>
      </c>
      <c r="BD174" t="s">
        <v>4</v>
      </c>
      <c r="BE174">
        <v>4179</v>
      </c>
      <c r="BF174" t="s">
        <v>112</v>
      </c>
      <c r="BG174">
        <v>97.189700000000002</v>
      </c>
      <c r="BH174">
        <v>100</v>
      </c>
      <c r="BI174">
        <v>89.227199999999996</v>
      </c>
      <c r="BJ174">
        <v>75.175600000000003</v>
      </c>
      <c r="BK174">
        <v>56.908700000000003</v>
      </c>
      <c r="BL174">
        <v>66.510499999999993</v>
      </c>
      <c r="BM174">
        <v>58.079599999999999</v>
      </c>
      <c r="BN174">
        <v>58.079599999999999</v>
      </c>
      <c r="BO174">
        <v>67.213099999999997</v>
      </c>
      <c r="CK174">
        <v>5</v>
      </c>
      <c r="CL174" t="s">
        <v>4</v>
      </c>
      <c r="CM174" t="s">
        <v>98</v>
      </c>
      <c r="CN174" t="s">
        <v>98</v>
      </c>
      <c r="CO174" t="s">
        <v>99</v>
      </c>
      <c r="CP174">
        <v>173</v>
      </c>
      <c r="CQ174" t="s">
        <v>100</v>
      </c>
      <c r="CR174" t="s">
        <v>100</v>
      </c>
      <c r="CS174" t="s">
        <v>101</v>
      </c>
      <c r="CT174" t="s">
        <v>100</v>
      </c>
      <c r="CU174" t="s">
        <v>102</v>
      </c>
      <c r="CV174" t="s">
        <v>100</v>
      </c>
    </row>
    <row r="175" spans="1:100">
      <c r="A175" s="3" t="s">
        <v>1972</v>
      </c>
      <c r="B175" s="4" t="s">
        <v>1973</v>
      </c>
      <c r="C175">
        <v>94.075117215472403</v>
      </c>
      <c r="D175">
        <v>17.487071607771099</v>
      </c>
      <c r="E175">
        <v>2.4346375016941799</v>
      </c>
      <c r="F175" s="5">
        <v>7.4253687570849196E-5</v>
      </c>
      <c r="G175" t="s">
        <v>4</v>
      </c>
      <c r="H175">
        <v>94.075117215472403</v>
      </c>
      <c r="I175">
        <v>19.120124442470502</v>
      </c>
      <c r="J175">
        <v>2.3139818581615699</v>
      </c>
      <c r="K175">
        <v>1.72282514857029E-4</v>
      </c>
      <c r="L175" t="s">
        <v>4</v>
      </c>
      <c r="M175">
        <v>17.487071607771099</v>
      </c>
      <c r="N175">
        <v>19.120124442470502</v>
      </c>
      <c r="O175">
        <f>0.120655643532609</f>
        <v>0.12065564353260901</v>
      </c>
      <c r="P175">
        <v>0.88570111079971203</v>
      </c>
      <c r="Q175" t="s">
        <v>4</v>
      </c>
      <c r="R175" s="4" t="s">
        <v>87</v>
      </c>
      <c r="S175" t="s">
        <v>4</v>
      </c>
      <c r="T175" t="s">
        <v>1974</v>
      </c>
      <c r="U175" t="s">
        <v>1975</v>
      </c>
      <c r="V175" t="s">
        <v>1976</v>
      </c>
      <c r="W175" t="s">
        <v>123</v>
      </c>
      <c r="X175" t="s">
        <v>4</v>
      </c>
      <c r="Y175" t="s">
        <v>1315</v>
      </c>
      <c r="Z175" t="s">
        <v>1316</v>
      </c>
      <c r="AA175" t="s">
        <v>1317</v>
      </c>
      <c r="AB175" t="s">
        <v>4</v>
      </c>
      <c r="AC175" s="3" t="s">
        <v>1977</v>
      </c>
      <c r="AD175" t="s">
        <v>4</v>
      </c>
      <c r="AE175" t="s">
        <v>1978</v>
      </c>
      <c r="AF175" t="s">
        <v>1979</v>
      </c>
      <c r="AG175" t="s">
        <v>1980</v>
      </c>
      <c r="AH175" t="s">
        <v>1981</v>
      </c>
      <c r="AU175" t="s">
        <v>112</v>
      </c>
      <c r="AV175" t="s">
        <v>1982</v>
      </c>
      <c r="AW175" t="s">
        <v>114</v>
      </c>
      <c r="AX175" t="s">
        <v>132</v>
      </c>
      <c r="AY175" t="s">
        <v>1460</v>
      </c>
      <c r="AZ175" t="s">
        <v>4</v>
      </c>
      <c r="BA175" s="3" t="s">
        <v>115</v>
      </c>
      <c r="BB175" s="6" t="s">
        <v>95</v>
      </c>
      <c r="BC175" s="3" t="s">
        <v>95</v>
      </c>
      <c r="BD175" t="s">
        <v>4</v>
      </c>
      <c r="BE175">
        <v>4182</v>
      </c>
      <c r="BF175" t="s">
        <v>112</v>
      </c>
      <c r="BG175">
        <v>19.339600000000001</v>
      </c>
      <c r="BP175">
        <v>46.226399999999998</v>
      </c>
      <c r="BQ175" t="s">
        <v>1983</v>
      </c>
      <c r="BW175">
        <v>29.2453</v>
      </c>
      <c r="BX175">
        <v>39.858499999999999</v>
      </c>
      <c r="CA175" t="s">
        <v>1984</v>
      </c>
      <c r="CK175">
        <v>5</v>
      </c>
      <c r="CL175" t="s">
        <v>4</v>
      </c>
      <c r="CM175" t="s">
        <v>1985</v>
      </c>
      <c r="CN175" t="s">
        <v>1986</v>
      </c>
      <c r="CO175" t="s">
        <v>1987</v>
      </c>
      <c r="CP175">
        <v>174</v>
      </c>
      <c r="CQ175" t="s">
        <v>100</v>
      </c>
      <c r="CR175" t="s">
        <v>100</v>
      </c>
      <c r="CS175" t="s">
        <v>101</v>
      </c>
      <c r="CT175" t="s">
        <v>100</v>
      </c>
      <c r="CU175" t="s">
        <v>102</v>
      </c>
      <c r="CV175" t="s">
        <v>100</v>
      </c>
    </row>
    <row r="176" spans="1:100">
      <c r="A176" s="3" t="s">
        <v>1988</v>
      </c>
      <c r="B176" s="4" t="s">
        <v>1989</v>
      </c>
      <c r="C176">
        <v>1355.2147658429001</v>
      </c>
      <c r="D176">
        <v>218.24363081814101</v>
      </c>
      <c r="E176">
        <v>2.63387326025321</v>
      </c>
      <c r="F176" s="5">
        <v>9.0986078405258593E-6</v>
      </c>
      <c r="G176" t="s">
        <v>4</v>
      </c>
      <c r="H176">
        <v>1355.2147658429001</v>
      </c>
      <c r="I176">
        <v>34.7470569200784</v>
      </c>
      <c r="J176">
        <v>5.2513766043363601</v>
      </c>
      <c r="K176" s="5">
        <v>2.7935401375992002E-19</v>
      </c>
      <c r="L176" t="s">
        <v>4</v>
      </c>
      <c r="M176">
        <v>218.24363081814101</v>
      </c>
      <c r="N176">
        <v>34.7470569200784</v>
      </c>
      <c r="O176">
        <v>2.6175033440831501</v>
      </c>
      <c r="P176" s="5">
        <v>1.30582214142293E-5</v>
      </c>
      <c r="Q176" t="s">
        <v>4</v>
      </c>
      <c r="R176" s="4" t="s">
        <v>87</v>
      </c>
      <c r="S176" t="s">
        <v>4</v>
      </c>
      <c r="T176" t="s">
        <v>92</v>
      </c>
      <c r="U176" t="s">
        <v>92</v>
      </c>
      <c r="V176" t="s">
        <v>92</v>
      </c>
      <c r="W176" t="s">
        <v>92</v>
      </c>
      <c r="X176" t="s">
        <v>4</v>
      </c>
      <c r="Y176" t="s">
        <v>92</v>
      </c>
      <c r="Z176" t="s">
        <v>92</v>
      </c>
      <c r="AA176" t="s">
        <v>92</v>
      </c>
      <c r="AB176" t="s">
        <v>4</v>
      </c>
      <c r="AC176" s="3" t="s">
        <v>93</v>
      </c>
      <c r="AD176" t="s">
        <v>4</v>
      </c>
      <c r="AE176" s="4" t="s">
        <v>94</v>
      </c>
      <c r="AZ176" t="s">
        <v>4</v>
      </c>
      <c r="BA176" s="3" t="s">
        <v>95</v>
      </c>
      <c r="BB176" s="6" t="s">
        <v>95</v>
      </c>
      <c r="BC176" s="3" t="s">
        <v>95</v>
      </c>
      <c r="BD176" t="s">
        <v>4</v>
      </c>
      <c r="BE176">
        <v>1171</v>
      </c>
      <c r="BF176" t="s">
        <v>151</v>
      </c>
      <c r="BG176">
        <v>65.217399999999998</v>
      </c>
      <c r="BI176" t="s">
        <v>1990</v>
      </c>
      <c r="BJ176">
        <v>45.652200000000001</v>
      </c>
      <c r="CK176">
        <v>2</v>
      </c>
      <c r="CL176" t="s">
        <v>4</v>
      </c>
      <c r="CM176" t="s">
        <v>98</v>
      </c>
      <c r="CN176" t="s">
        <v>98</v>
      </c>
      <c r="CO176" t="s">
        <v>99</v>
      </c>
      <c r="CP176">
        <v>175</v>
      </c>
      <c r="CQ176" t="s">
        <v>100</v>
      </c>
      <c r="CR176" t="s">
        <v>100</v>
      </c>
      <c r="CS176" t="s">
        <v>101</v>
      </c>
      <c r="CT176" t="s">
        <v>152</v>
      </c>
      <c r="CU176" t="s">
        <v>102</v>
      </c>
      <c r="CV176" t="s">
        <v>100</v>
      </c>
    </row>
    <row r="177" spans="1:100">
      <c r="A177" s="3" t="s">
        <v>1991</v>
      </c>
      <c r="B177" s="4" t="s">
        <v>1992</v>
      </c>
      <c r="C177">
        <v>26.299932732243999</v>
      </c>
      <c r="D177">
        <v>1.6116399990274599</v>
      </c>
      <c r="E177">
        <v>4.0417738434529902</v>
      </c>
      <c r="F177">
        <v>8.6451770352090405E-4</v>
      </c>
      <c r="G177" t="s">
        <v>4</v>
      </c>
      <c r="H177">
        <v>26.299932732243999</v>
      </c>
      <c r="I177">
        <v>1.4948873657459301</v>
      </c>
      <c r="J177">
        <v>3.95839038157933</v>
      </c>
      <c r="K177">
        <v>1.72006085743818E-3</v>
      </c>
      <c r="L177" t="s">
        <v>4</v>
      </c>
      <c r="M177">
        <v>1.6116399990274599</v>
      </c>
      <c r="N177">
        <v>1.4948873657459301</v>
      </c>
      <c r="O177">
        <f>0.0833834618736609</f>
        <v>8.33834618736609E-2</v>
      </c>
      <c r="P177">
        <v>0.965178034242411</v>
      </c>
      <c r="Q177" t="s">
        <v>4</v>
      </c>
      <c r="R177" s="4" t="s">
        <v>87</v>
      </c>
      <c r="S177" t="s">
        <v>4</v>
      </c>
      <c r="T177" t="s">
        <v>88</v>
      </c>
      <c r="U177" t="s">
        <v>89</v>
      </c>
      <c r="V177" t="s">
        <v>90</v>
      </c>
      <c r="W177" t="s">
        <v>91</v>
      </c>
      <c r="X177" t="s">
        <v>4</v>
      </c>
      <c r="Y177" t="s">
        <v>92</v>
      </c>
      <c r="Z177" t="s">
        <v>92</v>
      </c>
      <c r="AA177" t="s">
        <v>92</v>
      </c>
      <c r="AB177" t="s">
        <v>4</v>
      </c>
      <c r="AC177" s="3" t="s">
        <v>93</v>
      </c>
      <c r="AD177" t="s">
        <v>4</v>
      </c>
      <c r="AE177" s="4" t="s">
        <v>94</v>
      </c>
      <c r="AZ177" t="s">
        <v>4</v>
      </c>
      <c r="BA177" s="3" t="s">
        <v>95</v>
      </c>
      <c r="BB177" t="s">
        <v>96</v>
      </c>
      <c r="BC177" s="3" t="s">
        <v>95</v>
      </c>
      <c r="BD177" t="s">
        <v>4</v>
      </c>
      <c r="BE177">
        <v>2604</v>
      </c>
      <c r="BF177" t="s">
        <v>97</v>
      </c>
      <c r="CK177">
        <v>4</v>
      </c>
      <c r="CL177" t="s">
        <v>4</v>
      </c>
      <c r="CM177" t="s">
        <v>98</v>
      </c>
      <c r="CN177" t="s">
        <v>98</v>
      </c>
      <c r="CO177" t="s">
        <v>99</v>
      </c>
      <c r="CP177">
        <v>176</v>
      </c>
      <c r="CQ177" t="s">
        <v>100</v>
      </c>
      <c r="CR177" t="s">
        <v>100</v>
      </c>
      <c r="CS177" t="s">
        <v>101</v>
      </c>
      <c r="CT177" t="s">
        <v>100</v>
      </c>
      <c r="CU177" t="s">
        <v>102</v>
      </c>
      <c r="CV177" t="s">
        <v>100</v>
      </c>
    </row>
    <row r="178" spans="1:100">
      <c r="A178" s="3" t="s">
        <v>1993</v>
      </c>
      <c r="B178" s="4" t="s">
        <v>1994</v>
      </c>
      <c r="C178">
        <v>70.422478966413195</v>
      </c>
      <c r="D178">
        <v>14.4624275308514</v>
      </c>
      <c r="E178">
        <v>2.2833282861858701</v>
      </c>
      <c r="F178" s="5">
        <v>5.14422619424193E-5</v>
      </c>
      <c r="G178" t="s">
        <v>4</v>
      </c>
      <c r="H178">
        <v>70.422478966413195</v>
      </c>
      <c r="I178">
        <v>9.2916966976056692</v>
      </c>
      <c r="J178">
        <v>2.8965846779317701</v>
      </c>
      <c r="K178" s="5">
        <v>1.5070392708445E-6</v>
      </c>
      <c r="L178" t="s">
        <v>4</v>
      </c>
      <c r="M178">
        <v>14.4624275308514</v>
      </c>
      <c r="N178">
        <v>9.2916966976056692</v>
      </c>
      <c r="O178">
        <v>0.61325639174589597</v>
      </c>
      <c r="P178">
        <v>0.39683767468445402</v>
      </c>
      <c r="Q178" t="s">
        <v>4</v>
      </c>
      <c r="R178" s="4" t="s">
        <v>87</v>
      </c>
      <c r="S178" t="s">
        <v>4</v>
      </c>
      <c r="T178" t="s">
        <v>1995</v>
      </c>
      <c r="U178" t="s">
        <v>1996</v>
      </c>
      <c r="V178" t="s">
        <v>1997</v>
      </c>
      <c r="W178" t="s">
        <v>203</v>
      </c>
      <c r="X178" t="s">
        <v>4</v>
      </c>
      <c r="Y178" t="s">
        <v>1998</v>
      </c>
      <c r="Z178" t="s">
        <v>1999</v>
      </c>
      <c r="AA178" t="s">
        <v>2000</v>
      </c>
      <c r="AB178" t="s">
        <v>4</v>
      </c>
      <c r="AC178" s="3" t="s">
        <v>2001</v>
      </c>
      <c r="AD178" t="s">
        <v>4</v>
      </c>
      <c r="AE178" t="s">
        <v>2002</v>
      </c>
      <c r="AF178" t="s">
        <v>2003</v>
      </c>
      <c r="AG178" t="s">
        <v>2004</v>
      </c>
      <c r="AH178" t="s">
        <v>112</v>
      </c>
      <c r="AK178" t="s">
        <v>2005</v>
      </c>
      <c r="AL178" t="s">
        <v>2006</v>
      </c>
      <c r="AM178" t="s">
        <v>2007</v>
      </c>
      <c r="AO178" t="s">
        <v>2008</v>
      </c>
      <c r="AP178" t="s">
        <v>2009</v>
      </c>
      <c r="AQ178" t="s">
        <v>2010</v>
      </c>
      <c r="AS178" t="s">
        <v>2011</v>
      </c>
      <c r="AU178" t="s">
        <v>112</v>
      </c>
      <c r="AV178" t="s">
        <v>2012</v>
      </c>
      <c r="AW178" t="s">
        <v>114</v>
      </c>
      <c r="AX178" t="s">
        <v>345</v>
      </c>
      <c r="AY178" t="s">
        <v>2013</v>
      </c>
      <c r="AZ178" t="s">
        <v>4</v>
      </c>
      <c r="BA178" s="3" t="s">
        <v>95</v>
      </c>
      <c r="BB178" s="6" t="s">
        <v>95</v>
      </c>
      <c r="BC178" s="3" t="s">
        <v>95</v>
      </c>
      <c r="BD178" t="s">
        <v>4</v>
      </c>
      <c r="BE178">
        <v>10136</v>
      </c>
      <c r="BF178" t="s">
        <v>169</v>
      </c>
      <c r="BG178">
        <v>59.162300000000002</v>
      </c>
      <c r="BH178">
        <v>0</v>
      </c>
      <c r="BI178">
        <v>96.335099999999997</v>
      </c>
      <c r="BJ178">
        <v>90.575900000000004</v>
      </c>
      <c r="BK178">
        <v>87.434600000000003</v>
      </c>
      <c r="BM178">
        <v>87.434600000000003</v>
      </c>
      <c r="BN178">
        <v>87.434600000000003</v>
      </c>
      <c r="BO178" t="s">
        <v>2014</v>
      </c>
      <c r="BP178">
        <v>63.874299999999998</v>
      </c>
      <c r="CB178" t="s">
        <v>2015</v>
      </c>
      <c r="CF178" t="s">
        <v>2016</v>
      </c>
      <c r="CG178">
        <v>28.272300000000001</v>
      </c>
      <c r="CH178">
        <v>27.225100000000001</v>
      </c>
      <c r="CI178">
        <v>29.319400000000002</v>
      </c>
      <c r="CJ178" t="s">
        <v>2017</v>
      </c>
      <c r="CK178">
        <v>9</v>
      </c>
      <c r="CL178" t="s">
        <v>4</v>
      </c>
      <c r="CM178" t="s">
        <v>98</v>
      </c>
      <c r="CN178" t="s">
        <v>98</v>
      </c>
      <c r="CO178" t="s">
        <v>99</v>
      </c>
      <c r="CP178">
        <v>177</v>
      </c>
      <c r="CQ178" t="s">
        <v>100</v>
      </c>
      <c r="CR178" t="s">
        <v>100</v>
      </c>
      <c r="CS178" t="s">
        <v>101</v>
      </c>
      <c r="CT178" t="s">
        <v>100</v>
      </c>
      <c r="CU178" t="s">
        <v>102</v>
      </c>
      <c r="CV178" t="s">
        <v>100</v>
      </c>
    </row>
    <row r="179" spans="1:100">
      <c r="A179" s="3" t="s">
        <v>2018</v>
      </c>
      <c r="B179" s="4" t="s">
        <v>2019</v>
      </c>
      <c r="C179">
        <v>117.510848334191</v>
      </c>
      <c r="D179">
        <v>28.178434540847601</v>
      </c>
      <c r="E179">
        <v>2.0667546548335198</v>
      </c>
      <c r="F179" s="5">
        <v>1.59771839217352E-6</v>
      </c>
      <c r="G179" t="s">
        <v>4</v>
      </c>
      <c r="H179">
        <v>117.510848334191</v>
      </c>
      <c r="I179">
        <v>27.603047852839701</v>
      </c>
      <c r="J179">
        <v>2.1026424009919298</v>
      </c>
      <c r="K179" s="5">
        <v>1.5999072054077499E-6</v>
      </c>
      <c r="L179" t="s">
        <v>4</v>
      </c>
      <c r="M179">
        <v>28.178434540847601</v>
      </c>
      <c r="N179">
        <v>27.603047852839701</v>
      </c>
      <c r="O179">
        <v>3.58877461584051E-2</v>
      </c>
      <c r="P179">
        <v>0.95427868691015205</v>
      </c>
      <c r="Q179" t="s">
        <v>4</v>
      </c>
      <c r="R179" s="4" t="s">
        <v>87</v>
      </c>
      <c r="S179" t="s">
        <v>4</v>
      </c>
      <c r="T179" t="s">
        <v>827</v>
      </c>
      <c r="U179" t="s">
        <v>828</v>
      </c>
      <c r="V179" t="s">
        <v>829</v>
      </c>
      <c r="W179" t="s">
        <v>203</v>
      </c>
      <c r="X179" t="s">
        <v>4</v>
      </c>
      <c r="Y179" t="s">
        <v>2020</v>
      </c>
      <c r="Z179" t="s">
        <v>2021</v>
      </c>
      <c r="AA179" t="s">
        <v>2022</v>
      </c>
      <c r="AB179" t="s">
        <v>4</v>
      </c>
      <c r="AC179" s="3" t="s">
        <v>2023</v>
      </c>
      <c r="AD179" t="s">
        <v>4</v>
      </c>
      <c r="AE179" t="s">
        <v>2024</v>
      </c>
      <c r="AF179" t="s">
        <v>834</v>
      </c>
      <c r="AG179" t="s">
        <v>2025</v>
      </c>
      <c r="AH179" t="s">
        <v>112</v>
      </c>
      <c r="AK179" t="s">
        <v>2026</v>
      </c>
      <c r="AL179" t="s">
        <v>2027</v>
      </c>
      <c r="AQ179" t="s">
        <v>2028</v>
      </c>
      <c r="AU179" t="s">
        <v>112</v>
      </c>
      <c r="AV179" t="s">
        <v>2029</v>
      </c>
      <c r="AW179" t="s">
        <v>114</v>
      </c>
      <c r="AX179" t="s">
        <v>1756</v>
      </c>
      <c r="AY179" t="s">
        <v>2030</v>
      </c>
      <c r="AZ179" t="s">
        <v>4</v>
      </c>
      <c r="BA179" s="3" t="s">
        <v>95</v>
      </c>
      <c r="BB179" s="6" t="s">
        <v>95</v>
      </c>
      <c r="BC179" s="3" t="s">
        <v>95</v>
      </c>
      <c r="BD179" t="s">
        <v>4</v>
      </c>
      <c r="BE179">
        <v>5681</v>
      </c>
      <c r="BF179" t="s">
        <v>386</v>
      </c>
      <c r="BG179">
        <v>60.750399999999999</v>
      </c>
      <c r="BJ179">
        <v>83.838399999999993</v>
      </c>
      <c r="BK179">
        <v>71.572900000000004</v>
      </c>
      <c r="BN179">
        <v>75.468999999999994</v>
      </c>
      <c r="BO179">
        <v>77.344899999999996</v>
      </c>
      <c r="BQ179">
        <v>27.128399999999999</v>
      </c>
      <c r="BR179">
        <v>29.148599999999998</v>
      </c>
      <c r="BS179">
        <v>24.6753</v>
      </c>
      <c r="BV179">
        <v>6.9264099999999997</v>
      </c>
      <c r="CB179">
        <v>12.698399999999999</v>
      </c>
      <c r="CG179" t="s">
        <v>2031</v>
      </c>
      <c r="CH179" t="s">
        <v>2032</v>
      </c>
      <c r="CI179" t="s">
        <v>2033</v>
      </c>
      <c r="CK179">
        <v>7</v>
      </c>
      <c r="CL179" t="s">
        <v>4</v>
      </c>
      <c r="CM179" t="s">
        <v>98</v>
      </c>
      <c r="CN179" t="s">
        <v>98</v>
      </c>
      <c r="CO179" t="s">
        <v>99</v>
      </c>
      <c r="CP179">
        <v>178</v>
      </c>
      <c r="CQ179" t="s">
        <v>100</v>
      </c>
      <c r="CR179" t="s">
        <v>100</v>
      </c>
      <c r="CS179" t="s">
        <v>101</v>
      </c>
      <c r="CT179" t="s">
        <v>100</v>
      </c>
      <c r="CU179" t="s">
        <v>102</v>
      </c>
      <c r="CV179" t="s">
        <v>100</v>
      </c>
    </row>
    <row r="180" spans="1:100">
      <c r="A180" s="3" t="s">
        <v>2034</v>
      </c>
      <c r="B180" s="4" t="s">
        <v>2035</v>
      </c>
      <c r="C180">
        <v>602.72737907480303</v>
      </c>
      <c r="D180">
        <v>121.762710608741</v>
      </c>
      <c r="E180">
        <v>2.3096807619808701</v>
      </c>
      <c r="F180" s="5">
        <v>3.7215755890478099E-21</v>
      </c>
      <c r="G180" t="s">
        <v>4</v>
      </c>
      <c r="H180">
        <v>602.72737907480303</v>
      </c>
      <c r="I180">
        <v>48.613107707849302</v>
      </c>
      <c r="J180">
        <v>3.61879506508896</v>
      </c>
      <c r="K180" s="5">
        <v>2.6251231812763801E-41</v>
      </c>
      <c r="L180" t="s">
        <v>4</v>
      </c>
      <c r="M180">
        <v>121.762710608741</v>
      </c>
      <c r="N180">
        <v>48.613107707849302</v>
      </c>
      <c r="O180">
        <v>1.3091143031080901</v>
      </c>
      <c r="P180" s="5">
        <v>4.7015954205847398E-6</v>
      </c>
      <c r="Q180" t="s">
        <v>4</v>
      </c>
      <c r="R180" s="4" t="s">
        <v>87</v>
      </c>
      <c r="S180" t="s">
        <v>4</v>
      </c>
      <c r="T180" t="s">
        <v>2036</v>
      </c>
      <c r="U180" t="s">
        <v>2037</v>
      </c>
      <c r="V180" t="s">
        <v>2038</v>
      </c>
      <c r="W180" t="s">
        <v>1845</v>
      </c>
      <c r="X180" t="s">
        <v>4</v>
      </c>
      <c r="Y180" t="s">
        <v>2039</v>
      </c>
      <c r="Z180" t="s">
        <v>2040</v>
      </c>
      <c r="AA180" t="s">
        <v>2041</v>
      </c>
      <c r="AB180" t="s">
        <v>4</v>
      </c>
      <c r="AC180" s="3" t="s">
        <v>332</v>
      </c>
      <c r="AD180" t="s">
        <v>4</v>
      </c>
      <c r="AE180" t="s">
        <v>333</v>
      </c>
      <c r="AF180" t="s">
        <v>2042</v>
      </c>
      <c r="AG180" t="s">
        <v>2043</v>
      </c>
      <c r="AH180" t="s">
        <v>112</v>
      </c>
      <c r="AJ180" t="s">
        <v>336</v>
      </c>
      <c r="AK180" t="s">
        <v>337</v>
      </c>
      <c r="AL180" t="s">
        <v>338</v>
      </c>
      <c r="AM180" t="s">
        <v>339</v>
      </c>
      <c r="AO180" t="s">
        <v>340</v>
      </c>
      <c r="AP180" t="s">
        <v>341</v>
      </c>
      <c r="AQ180" t="s">
        <v>342</v>
      </c>
      <c r="AS180" t="s">
        <v>343</v>
      </c>
      <c r="AU180" t="s">
        <v>112</v>
      </c>
      <c r="AV180" t="s">
        <v>344</v>
      </c>
      <c r="AW180" t="s">
        <v>114</v>
      </c>
      <c r="AX180" t="s">
        <v>345</v>
      </c>
      <c r="AY180" t="s">
        <v>346</v>
      </c>
      <c r="AZ180" t="s">
        <v>4</v>
      </c>
      <c r="BA180" s="3" t="s">
        <v>95</v>
      </c>
      <c r="BB180" t="s">
        <v>96</v>
      </c>
      <c r="BC180" s="3" t="s">
        <v>197</v>
      </c>
      <c r="BD180" t="s">
        <v>4</v>
      </c>
      <c r="BE180">
        <v>5688</v>
      </c>
      <c r="BF180" t="s">
        <v>386</v>
      </c>
      <c r="BG180">
        <v>32.8063</v>
      </c>
      <c r="BJ180">
        <v>9.2885399999999994</v>
      </c>
      <c r="BK180">
        <v>24.901199999999999</v>
      </c>
      <c r="BL180" t="s">
        <v>2044</v>
      </c>
      <c r="BM180" t="s">
        <v>2045</v>
      </c>
      <c r="BN180" t="s">
        <v>2046</v>
      </c>
      <c r="BO180" t="s">
        <v>2047</v>
      </c>
      <c r="BP180">
        <v>22.924900000000001</v>
      </c>
      <c r="BQ180">
        <v>35.770800000000001</v>
      </c>
      <c r="BR180" t="s">
        <v>2048</v>
      </c>
      <c r="BS180">
        <v>35.770800000000001</v>
      </c>
      <c r="BT180">
        <v>35.177900000000001</v>
      </c>
      <c r="BV180" t="s">
        <v>2049</v>
      </c>
      <c r="BW180" t="s">
        <v>2050</v>
      </c>
      <c r="BX180">
        <v>36.165999999999997</v>
      </c>
      <c r="CA180">
        <v>37.154200000000003</v>
      </c>
      <c r="CB180" t="s">
        <v>2051</v>
      </c>
      <c r="CC180" t="s">
        <v>2052</v>
      </c>
      <c r="CD180" t="s">
        <v>2053</v>
      </c>
      <c r="CF180">
        <v>32.608699999999999</v>
      </c>
      <c r="CG180" t="s">
        <v>2054</v>
      </c>
      <c r="CH180" t="s">
        <v>2055</v>
      </c>
      <c r="CK180">
        <v>7</v>
      </c>
      <c r="CL180" t="s">
        <v>4</v>
      </c>
      <c r="CM180" t="s">
        <v>2056</v>
      </c>
      <c r="CN180" t="s">
        <v>2057</v>
      </c>
      <c r="CO180" t="s">
        <v>1218</v>
      </c>
      <c r="CP180">
        <v>179</v>
      </c>
      <c r="CQ180" t="s">
        <v>100</v>
      </c>
      <c r="CR180" t="s">
        <v>100</v>
      </c>
      <c r="CS180" t="s">
        <v>101</v>
      </c>
      <c r="CT180" s="7" t="s">
        <v>152</v>
      </c>
      <c r="CU180" t="s">
        <v>102</v>
      </c>
      <c r="CV180" t="s">
        <v>100</v>
      </c>
    </row>
    <row r="181" spans="1:100">
      <c r="A181" s="3" t="s">
        <v>2058</v>
      </c>
      <c r="B181" s="4" t="s">
        <v>2059</v>
      </c>
      <c r="C181">
        <v>41.099144856852298</v>
      </c>
      <c r="D181">
        <v>5.6875685953800303</v>
      </c>
      <c r="E181">
        <v>2.85359266670805</v>
      </c>
      <c r="F181" s="5">
        <v>7.5909889910415697E-5</v>
      </c>
      <c r="G181" t="s">
        <v>4</v>
      </c>
      <c r="H181">
        <v>41.099144856852298</v>
      </c>
      <c r="I181">
        <v>7.42848510759005</v>
      </c>
      <c r="J181">
        <v>2.5183840716273602</v>
      </c>
      <c r="K181">
        <v>5.2643747793787096E-4</v>
      </c>
      <c r="L181" t="s">
        <v>4</v>
      </c>
      <c r="M181">
        <v>5.6875685953800303</v>
      </c>
      <c r="N181">
        <v>7.42848510759005</v>
      </c>
      <c r="O181">
        <f>0.335208595080683</f>
        <v>0.33520859508068301</v>
      </c>
      <c r="P181">
        <v>0.73105337459716302</v>
      </c>
      <c r="Q181" t="s">
        <v>4</v>
      </c>
      <c r="R181" s="4" t="s">
        <v>87</v>
      </c>
      <c r="S181" t="s">
        <v>4</v>
      </c>
      <c r="T181" t="s">
        <v>2060</v>
      </c>
      <c r="U181" t="s">
        <v>2061</v>
      </c>
      <c r="V181" t="s">
        <v>2062</v>
      </c>
      <c r="W181" t="s">
        <v>328</v>
      </c>
      <c r="X181" t="s">
        <v>4</v>
      </c>
      <c r="Y181" t="s">
        <v>2063</v>
      </c>
      <c r="Z181" t="s">
        <v>2064</v>
      </c>
      <c r="AA181" t="s">
        <v>2065</v>
      </c>
      <c r="AB181" t="s">
        <v>4</v>
      </c>
      <c r="AC181" s="3" t="s">
        <v>2066</v>
      </c>
      <c r="AD181" t="s">
        <v>4</v>
      </c>
      <c r="AE181" t="s">
        <v>2067</v>
      </c>
      <c r="AF181" t="s">
        <v>2068</v>
      </c>
      <c r="AG181" t="s">
        <v>2069</v>
      </c>
      <c r="AH181" t="s">
        <v>112</v>
      </c>
      <c r="AI181" t="s">
        <v>2070</v>
      </c>
      <c r="AU181" t="s">
        <v>112</v>
      </c>
      <c r="AV181" t="s">
        <v>2071</v>
      </c>
      <c r="AW181" t="s">
        <v>114</v>
      </c>
      <c r="AX181" t="s">
        <v>536</v>
      </c>
      <c r="AY181" t="s">
        <v>2072</v>
      </c>
      <c r="AZ181" t="s">
        <v>4</v>
      </c>
      <c r="BA181" s="3" t="s">
        <v>95</v>
      </c>
      <c r="BB181" t="s">
        <v>96</v>
      </c>
      <c r="BC181" s="3" t="s">
        <v>95</v>
      </c>
      <c r="BD181" t="s">
        <v>4</v>
      </c>
      <c r="BE181">
        <v>7862</v>
      </c>
      <c r="BF181" t="s">
        <v>213</v>
      </c>
      <c r="BG181">
        <v>99.4465</v>
      </c>
      <c r="BH181">
        <v>29.704799999999999</v>
      </c>
      <c r="BI181">
        <v>92.619900000000001</v>
      </c>
      <c r="BJ181">
        <v>54.427999999999997</v>
      </c>
      <c r="BK181">
        <v>81.918800000000005</v>
      </c>
      <c r="BL181">
        <v>57.195599999999999</v>
      </c>
      <c r="BM181">
        <v>85.608900000000006</v>
      </c>
      <c r="BN181">
        <v>83.948300000000003</v>
      </c>
      <c r="BO181">
        <v>84.686300000000003</v>
      </c>
      <c r="BP181">
        <v>14.5756</v>
      </c>
      <c r="BR181">
        <v>48.155000000000001</v>
      </c>
      <c r="BW181">
        <v>58.671599999999998</v>
      </c>
      <c r="BX181">
        <v>51.660499999999999</v>
      </c>
      <c r="BY181">
        <v>17.1587</v>
      </c>
      <c r="BZ181">
        <v>24.723199999999999</v>
      </c>
      <c r="CB181">
        <v>20.110700000000001</v>
      </c>
      <c r="CD181">
        <v>23.0627</v>
      </c>
      <c r="CF181">
        <v>14.5756</v>
      </c>
      <c r="CK181">
        <v>8</v>
      </c>
      <c r="CL181" t="s">
        <v>4</v>
      </c>
      <c r="CM181" t="s">
        <v>98</v>
      </c>
      <c r="CN181" t="s">
        <v>98</v>
      </c>
      <c r="CO181" t="s">
        <v>99</v>
      </c>
      <c r="CP181">
        <v>180</v>
      </c>
      <c r="CQ181" t="s">
        <v>100</v>
      </c>
      <c r="CR181" t="s">
        <v>100</v>
      </c>
      <c r="CS181" t="s">
        <v>101</v>
      </c>
      <c r="CT181" t="s">
        <v>100</v>
      </c>
      <c r="CU181" t="s">
        <v>102</v>
      </c>
      <c r="CV181" t="s">
        <v>100</v>
      </c>
    </row>
    <row r="182" spans="1:100">
      <c r="A182" s="3" t="s">
        <v>2073</v>
      </c>
      <c r="B182" s="4" t="s">
        <v>2074</v>
      </c>
      <c r="C182">
        <v>150.38135758848401</v>
      </c>
      <c r="D182">
        <v>30.8213966894001</v>
      </c>
      <c r="E182">
        <v>2.2927710347641002</v>
      </c>
      <c r="F182" s="5">
        <v>1.8930824921380801E-6</v>
      </c>
      <c r="G182" t="s">
        <v>4</v>
      </c>
      <c r="H182">
        <v>150.38135758848401</v>
      </c>
      <c r="I182">
        <v>8.8920660019222204</v>
      </c>
      <c r="J182">
        <v>4.1469193853511301</v>
      </c>
      <c r="K182" s="5">
        <v>1.20030931788802E-13</v>
      </c>
      <c r="L182" t="s">
        <v>4</v>
      </c>
      <c r="M182">
        <v>30.8213966894001</v>
      </c>
      <c r="N182">
        <v>8.8920660019222204</v>
      </c>
      <c r="O182">
        <v>1.85414835058704</v>
      </c>
      <c r="P182">
        <v>1.86713251520435E-3</v>
      </c>
      <c r="Q182" t="s">
        <v>4</v>
      </c>
      <c r="R182" s="4" t="s">
        <v>87</v>
      </c>
      <c r="S182" t="s">
        <v>4</v>
      </c>
      <c r="T182" t="s">
        <v>92</v>
      </c>
      <c r="U182" t="s">
        <v>92</v>
      </c>
      <c r="V182" t="s">
        <v>92</v>
      </c>
      <c r="W182" t="s">
        <v>92</v>
      </c>
      <c r="X182" t="s">
        <v>4</v>
      </c>
      <c r="Y182" t="s">
        <v>92</v>
      </c>
      <c r="Z182" t="s">
        <v>92</v>
      </c>
      <c r="AA182" t="s">
        <v>92</v>
      </c>
      <c r="AB182" t="s">
        <v>4</v>
      </c>
      <c r="AC182" s="3" t="s">
        <v>93</v>
      </c>
      <c r="AD182" t="s">
        <v>4</v>
      </c>
      <c r="AE182" s="4" t="s">
        <v>94</v>
      </c>
      <c r="AZ182" t="s">
        <v>4</v>
      </c>
      <c r="BA182" s="3" t="s">
        <v>95</v>
      </c>
      <c r="BB182" s="6" t="s">
        <v>95</v>
      </c>
      <c r="BC182" s="3" t="s">
        <v>95</v>
      </c>
      <c r="BD182" t="s">
        <v>4</v>
      </c>
      <c r="BE182">
        <v>1214</v>
      </c>
      <c r="BF182" t="s">
        <v>151</v>
      </c>
      <c r="BG182" t="s">
        <v>2075</v>
      </c>
      <c r="BJ182">
        <v>39.647599999999997</v>
      </c>
      <c r="BK182" t="s">
        <v>2076</v>
      </c>
      <c r="BO182">
        <v>29.9559</v>
      </c>
      <c r="CK182">
        <v>2</v>
      </c>
      <c r="CL182" t="s">
        <v>4</v>
      </c>
      <c r="CM182" t="s">
        <v>98</v>
      </c>
      <c r="CN182" t="s">
        <v>98</v>
      </c>
      <c r="CO182" t="s">
        <v>99</v>
      </c>
      <c r="CP182">
        <v>181</v>
      </c>
      <c r="CQ182" t="s">
        <v>100</v>
      </c>
      <c r="CR182" t="s">
        <v>100</v>
      </c>
      <c r="CS182" t="s">
        <v>101</v>
      </c>
      <c r="CT182" s="7" t="s">
        <v>152</v>
      </c>
      <c r="CU182" t="s">
        <v>102</v>
      </c>
      <c r="CV182" t="s">
        <v>100</v>
      </c>
    </row>
    <row r="183" spans="1:100">
      <c r="A183" s="3" t="s">
        <v>2077</v>
      </c>
      <c r="B183" s="4" t="s">
        <v>2078</v>
      </c>
      <c r="C183">
        <v>293.05511268844202</v>
      </c>
      <c r="D183">
        <v>68.052538091175904</v>
      </c>
      <c r="E183">
        <v>2.1017086612826499</v>
      </c>
      <c r="F183">
        <v>2.17254804450133E-4</v>
      </c>
      <c r="G183" t="s">
        <v>4</v>
      </c>
      <c r="H183">
        <v>293.05511268844202</v>
      </c>
      <c r="I183">
        <v>10.2654041983608</v>
      </c>
      <c r="J183">
        <v>4.81822292815992</v>
      </c>
      <c r="K183" s="5">
        <v>3.7875744867461303E-15</v>
      </c>
      <c r="L183" t="s">
        <v>4</v>
      </c>
      <c r="M183">
        <v>68.052538091175904</v>
      </c>
      <c r="N183">
        <v>10.2654041983608</v>
      </c>
      <c r="O183">
        <v>2.7165142668772702</v>
      </c>
      <c r="P183" s="5">
        <v>1.6585904076649201E-5</v>
      </c>
      <c r="Q183" t="s">
        <v>4</v>
      </c>
      <c r="R183" s="4" t="s">
        <v>87</v>
      </c>
      <c r="S183" t="s">
        <v>4</v>
      </c>
      <c r="T183" t="s">
        <v>92</v>
      </c>
      <c r="U183" t="s">
        <v>92</v>
      </c>
      <c r="V183" t="s">
        <v>92</v>
      </c>
      <c r="W183" t="s">
        <v>92</v>
      </c>
      <c r="X183" t="s">
        <v>4</v>
      </c>
      <c r="Y183" t="s">
        <v>92</v>
      </c>
      <c r="Z183" t="s">
        <v>92</v>
      </c>
      <c r="AA183" t="s">
        <v>92</v>
      </c>
      <c r="AB183" t="s">
        <v>4</v>
      </c>
      <c r="AC183" s="3" t="s">
        <v>93</v>
      </c>
      <c r="AD183" t="s">
        <v>4</v>
      </c>
      <c r="AE183" s="4" t="s">
        <v>94</v>
      </c>
      <c r="AZ183" t="s">
        <v>4</v>
      </c>
      <c r="BA183" s="3" t="s">
        <v>95</v>
      </c>
      <c r="BB183" s="6" t="s">
        <v>95</v>
      </c>
      <c r="BC183" s="3" t="s">
        <v>95</v>
      </c>
      <c r="BD183" t="s">
        <v>4</v>
      </c>
      <c r="BE183">
        <v>258</v>
      </c>
      <c r="BF183" t="s">
        <v>322</v>
      </c>
      <c r="CK183">
        <v>1</v>
      </c>
      <c r="CL183" t="s">
        <v>4</v>
      </c>
      <c r="CM183" t="s">
        <v>98</v>
      </c>
      <c r="CN183" t="s">
        <v>98</v>
      </c>
      <c r="CO183" t="s">
        <v>99</v>
      </c>
      <c r="CP183">
        <v>182</v>
      </c>
      <c r="CQ183" t="s">
        <v>100</v>
      </c>
      <c r="CR183" t="s">
        <v>100</v>
      </c>
      <c r="CS183" t="s">
        <v>101</v>
      </c>
      <c r="CT183" t="s">
        <v>152</v>
      </c>
      <c r="CU183" t="s">
        <v>102</v>
      </c>
      <c r="CV183" t="s">
        <v>100</v>
      </c>
    </row>
    <row r="184" spans="1:100">
      <c r="A184" s="3" t="s">
        <v>2079</v>
      </c>
      <c r="B184" s="4" t="s">
        <v>2080</v>
      </c>
      <c r="C184">
        <v>310.82284287292401</v>
      </c>
      <c r="D184">
        <v>66.784438041783901</v>
      </c>
      <c r="E184">
        <v>2.2133378366214602</v>
      </c>
      <c r="F184" s="5">
        <v>7.1358644465053794E-8</v>
      </c>
      <c r="G184" t="s">
        <v>4</v>
      </c>
      <c r="H184">
        <v>310.82284287292401</v>
      </c>
      <c r="I184">
        <v>23.255690214054699</v>
      </c>
      <c r="J184">
        <v>3.7361906167310299</v>
      </c>
      <c r="K184" s="5">
        <v>1.1247179866290799E-17</v>
      </c>
      <c r="L184" t="s">
        <v>4</v>
      </c>
      <c r="M184">
        <v>66.784438041783901</v>
      </c>
      <c r="N184">
        <v>23.255690214054699</v>
      </c>
      <c r="O184">
        <v>1.5228527801095599</v>
      </c>
      <c r="P184">
        <v>9.9408440524869908E-4</v>
      </c>
      <c r="Q184" t="s">
        <v>4</v>
      </c>
      <c r="R184" s="4" t="s">
        <v>87</v>
      </c>
      <c r="S184" t="s">
        <v>4</v>
      </c>
      <c r="T184" t="s">
        <v>2081</v>
      </c>
      <c r="U184" t="s">
        <v>2082</v>
      </c>
      <c r="V184" t="s">
        <v>2083</v>
      </c>
      <c r="W184" t="s">
        <v>507</v>
      </c>
      <c r="X184" t="s">
        <v>4</v>
      </c>
      <c r="Y184" t="s">
        <v>2084</v>
      </c>
      <c r="Z184" t="s">
        <v>2085</v>
      </c>
      <c r="AA184" t="s">
        <v>2085</v>
      </c>
      <c r="AB184" t="s">
        <v>4</v>
      </c>
      <c r="AC184" s="3" t="s">
        <v>2086</v>
      </c>
      <c r="AD184" t="s">
        <v>4</v>
      </c>
      <c r="AE184" t="s">
        <v>2087</v>
      </c>
      <c r="AF184" t="s">
        <v>2088</v>
      </c>
      <c r="AG184" t="s">
        <v>2089</v>
      </c>
      <c r="AH184" t="s">
        <v>2090</v>
      </c>
      <c r="AU184" t="s">
        <v>112</v>
      </c>
      <c r="AV184" t="s">
        <v>2091</v>
      </c>
      <c r="AW184" t="s">
        <v>114</v>
      </c>
      <c r="AX184" t="s">
        <v>345</v>
      </c>
      <c r="AY184" t="s">
        <v>2092</v>
      </c>
      <c r="AZ184" t="s">
        <v>4</v>
      </c>
      <c r="BA184" s="3" t="s">
        <v>95</v>
      </c>
      <c r="BB184" s="6" t="s">
        <v>95</v>
      </c>
      <c r="BC184" s="3" t="s">
        <v>197</v>
      </c>
      <c r="BD184" t="s">
        <v>4</v>
      </c>
      <c r="BE184">
        <v>7874</v>
      </c>
      <c r="BF184" t="s">
        <v>213</v>
      </c>
      <c r="BG184">
        <v>59.793799999999997</v>
      </c>
      <c r="BH184">
        <v>33.677</v>
      </c>
      <c r="BI184">
        <v>59.793799999999997</v>
      </c>
      <c r="BJ184">
        <v>33.677</v>
      </c>
      <c r="BK184">
        <v>55.326500000000003</v>
      </c>
      <c r="BL184">
        <v>55.670099999999998</v>
      </c>
      <c r="BM184">
        <v>48.453600000000002</v>
      </c>
      <c r="BN184">
        <v>48.453600000000002</v>
      </c>
      <c r="BO184">
        <v>90.034400000000005</v>
      </c>
      <c r="BQ184">
        <v>33.677</v>
      </c>
      <c r="BR184">
        <v>38.144300000000001</v>
      </c>
      <c r="BS184">
        <v>27.835100000000001</v>
      </c>
      <c r="BW184">
        <v>30.584199999999999</v>
      </c>
      <c r="BY184">
        <v>37.457000000000001</v>
      </c>
      <c r="CB184">
        <v>26.4605</v>
      </c>
      <c r="CD184">
        <v>37.800699999999999</v>
      </c>
      <c r="CF184">
        <v>45.017200000000003</v>
      </c>
      <c r="CG184" t="s">
        <v>2093</v>
      </c>
      <c r="CH184" t="s">
        <v>2094</v>
      </c>
      <c r="CI184" t="s">
        <v>2095</v>
      </c>
      <c r="CK184">
        <v>8</v>
      </c>
      <c r="CL184" t="s">
        <v>4</v>
      </c>
      <c r="CM184" t="s">
        <v>98</v>
      </c>
      <c r="CN184" t="s">
        <v>98</v>
      </c>
      <c r="CO184" t="s">
        <v>99</v>
      </c>
      <c r="CP184">
        <v>183</v>
      </c>
      <c r="CQ184" t="s">
        <v>100</v>
      </c>
      <c r="CR184" t="s">
        <v>100</v>
      </c>
      <c r="CS184" t="s">
        <v>101</v>
      </c>
      <c r="CT184" s="7" t="s">
        <v>152</v>
      </c>
      <c r="CU184" t="s">
        <v>102</v>
      </c>
      <c r="CV184" t="s">
        <v>100</v>
      </c>
    </row>
    <row r="185" spans="1:100">
      <c r="A185" s="3" t="s">
        <v>2096</v>
      </c>
      <c r="B185" s="4" t="s">
        <v>2097</v>
      </c>
      <c r="C185">
        <v>168.59581949224901</v>
      </c>
      <c r="D185">
        <v>25.943792799053998</v>
      </c>
      <c r="E185">
        <v>2.7054102833196398</v>
      </c>
      <c r="F185" s="5">
        <v>7.5715049105652397E-9</v>
      </c>
      <c r="G185" t="s">
        <v>4</v>
      </c>
      <c r="H185">
        <v>168.59581949224901</v>
      </c>
      <c r="I185">
        <v>9.4218518302399996</v>
      </c>
      <c r="J185">
        <v>4.0470551870844904</v>
      </c>
      <c r="K185" s="5">
        <v>2.3755819694962201E-14</v>
      </c>
      <c r="L185" t="s">
        <v>4</v>
      </c>
      <c r="M185">
        <v>25.943792799053998</v>
      </c>
      <c r="N185">
        <v>9.4218518302399996</v>
      </c>
      <c r="O185">
        <v>1.3416449037648399</v>
      </c>
      <c r="P185">
        <v>2.1909619052872201E-2</v>
      </c>
      <c r="Q185" t="s">
        <v>4</v>
      </c>
      <c r="R185" s="4" t="s">
        <v>87</v>
      </c>
      <c r="S185" t="s">
        <v>4</v>
      </c>
      <c r="T185" t="s">
        <v>92</v>
      </c>
      <c r="U185" t="s">
        <v>92</v>
      </c>
      <c r="V185" t="s">
        <v>92</v>
      </c>
      <c r="W185" t="s">
        <v>92</v>
      </c>
      <c r="X185" t="s">
        <v>4</v>
      </c>
      <c r="Y185" t="s">
        <v>92</v>
      </c>
      <c r="Z185" t="s">
        <v>92</v>
      </c>
      <c r="AA185" t="s">
        <v>92</v>
      </c>
      <c r="AB185" t="s">
        <v>4</v>
      </c>
      <c r="AC185" s="3" t="s">
        <v>93</v>
      </c>
      <c r="AD185" t="s">
        <v>4</v>
      </c>
      <c r="AE185" s="4" t="s">
        <v>94</v>
      </c>
      <c r="AZ185" t="s">
        <v>4</v>
      </c>
      <c r="BA185" s="3" t="s">
        <v>115</v>
      </c>
      <c r="BB185" s="6" t="s">
        <v>95</v>
      </c>
      <c r="BC185" s="3" t="s">
        <v>95</v>
      </c>
      <c r="BD185" t="s">
        <v>4</v>
      </c>
      <c r="BE185">
        <v>1223</v>
      </c>
      <c r="BF185" t="s">
        <v>151</v>
      </c>
      <c r="BG185" t="s">
        <v>2098</v>
      </c>
      <c r="CK185">
        <v>2</v>
      </c>
      <c r="CL185" t="s">
        <v>4</v>
      </c>
      <c r="CM185" t="s">
        <v>98</v>
      </c>
      <c r="CN185" t="s">
        <v>98</v>
      </c>
      <c r="CO185" t="s">
        <v>99</v>
      </c>
      <c r="CP185">
        <v>184</v>
      </c>
      <c r="CQ185" t="s">
        <v>100</v>
      </c>
      <c r="CR185" t="s">
        <v>100</v>
      </c>
      <c r="CS185" t="s">
        <v>101</v>
      </c>
      <c r="CT185" s="7" t="s">
        <v>152</v>
      </c>
      <c r="CU185" t="s">
        <v>102</v>
      </c>
      <c r="CV185" t="s">
        <v>100</v>
      </c>
    </row>
    <row r="186" spans="1:100">
      <c r="A186" s="3" t="s">
        <v>2099</v>
      </c>
      <c r="B186" s="4" t="s">
        <v>2100</v>
      </c>
      <c r="C186">
        <v>41.773751565398101</v>
      </c>
      <c r="D186">
        <v>4.8677136925625399</v>
      </c>
      <c r="E186">
        <v>3.1195992542689499</v>
      </c>
      <c r="F186" s="5">
        <v>6.9886827189049599E-5</v>
      </c>
      <c r="G186" t="s">
        <v>4</v>
      </c>
      <c r="H186">
        <v>41.773751565398101</v>
      </c>
      <c r="I186">
        <v>3.0618995701889</v>
      </c>
      <c r="J186">
        <v>3.87310171813475</v>
      </c>
      <c r="K186" s="5">
        <v>1.7287780846305E-5</v>
      </c>
      <c r="L186" t="s">
        <v>4</v>
      </c>
      <c r="M186">
        <v>4.8677136925625399</v>
      </c>
      <c r="N186">
        <v>3.0618995701889</v>
      </c>
      <c r="O186">
        <v>0.753502463865796</v>
      </c>
      <c r="P186">
        <v>0.50298027400617895</v>
      </c>
      <c r="Q186" t="s">
        <v>4</v>
      </c>
      <c r="R186" s="4" t="s">
        <v>87</v>
      </c>
      <c r="S186" t="s">
        <v>4</v>
      </c>
      <c r="T186" t="s">
        <v>88</v>
      </c>
      <c r="U186" t="s">
        <v>89</v>
      </c>
      <c r="V186" t="s">
        <v>90</v>
      </c>
      <c r="W186" t="s">
        <v>91</v>
      </c>
      <c r="X186" t="s">
        <v>4</v>
      </c>
      <c r="Y186" t="s">
        <v>92</v>
      </c>
      <c r="Z186" t="s">
        <v>92</v>
      </c>
      <c r="AA186" t="s">
        <v>92</v>
      </c>
      <c r="AB186" t="s">
        <v>4</v>
      </c>
      <c r="AC186" s="3" t="s">
        <v>93</v>
      </c>
      <c r="AD186" t="s">
        <v>4</v>
      </c>
      <c r="AE186" t="s">
        <v>2101</v>
      </c>
      <c r="AF186" t="s">
        <v>2102</v>
      </c>
      <c r="AG186" t="s">
        <v>2103</v>
      </c>
      <c r="AH186" t="s">
        <v>386</v>
      </c>
      <c r="AU186" t="s">
        <v>112</v>
      </c>
      <c r="AV186" t="s">
        <v>2104</v>
      </c>
      <c r="AW186" t="s">
        <v>114</v>
      </c>
      <c r="AZ186" t="s">
        <v>4</v>
      </c>
      <c r="BA186" s="3" t="s">
        <v>95</v>
      </c>
      <c r="BB186" t="s">
        <v>96</v>
      </c>
      <c r="BC186" s="3" t="s">
        <v>95</v>
      </c>
      <c r="BD186" t="s">
        <v>4</v>
      </c>
      <c r="BE186">
        <v>2664</v>
      </c>
      <c r="BF186" t="s">
        <v>97</v>
      </c>
      <c r="BG186">
        <v>44.543399999999998</v>
      </c>
      <c r="BH186">
        <v>34.5212</v>
      </c>
      <c r="BI186">
        <v>95.322900000000004</v>
      </c>
      <c r="BJ186">
        <v>56.124699999999997</v>
      </c>
      <c r="BK186">
        <v>67.4833</v>
      </c>
      <c r="BL186">
        <v>49.443199999999997</v>
      </c>
      <c r="BM186">
        <v>85.746099999999998</v>
      </c>
      <c r="BN186">
        <v>85.300700000000006</v>
      </c>
      <c r="BO186">
        <v>36.970999999999997</v>
      </c>
      <c r="BP186">
        <v>20.712700000000002</v>
      </c>
      <c r="CK186">
        <v>4</v>
      </c>
      <c r="CL186" t="s">
        <v>4</v>
      </c>
      <c r="CM186" t="s">
        <v>98</v>
      </c>
      <c r="CN186" t="s">
        <v>98</v>
      </c>
      <c r="CO186" t="s">
        <v>99</v>
      </c>
      <c r="CP186">
        <v>185</v>
      </c>
      <c r="CQ186" t="s">
        <v>100</v>
      </c>
      <c r="CR186" t="s">
        <v>100</v>
      </c>
      <c r="CS186" t="s">
        <v>101</v>
      </c>
      <c r="CT186" t="s">
        <v>100</v>
      </c>
      <c r="CU186" t="s">
        <v>102</v>
      </c>
      <c r="CV186" t="s">
        <v>100</v>
      </c>
    </row>
    <row r="187" spans="1:100">
      <c r="A187" s="3" t="s">
        <v>2105</v>
      </c>
      <c r="B187" s="4" t="s">
        <v>2106</v>
      </c>
      <c r="C187">
        <v>109.607827460132</v>
      </c>
      <c r="D187">
        <v>9.8683849281296201</v>
      </c>
      <c r="E187">
        <v>3.4748948253579202</v>
      </c>
      <c r="F187">
        <v>6.5957381300079201E-4</v>
      </c>
      <c r="G187" t="s">
        <v>4</v>
      </c>
      <c r="H187">
        <v>109.607827460132</v>
      </c>
      <c r="I187">
        <v>7.3911393497774496</v>
      </c>
      <c r="J187">
        <v>3.9383470844774702</v>
      </c>
      <c r="K187">
        <v>1.29190912963493E-4</v>
      </c>
      <c r="L187" t="s">
        <v>4</v>
      </c>
      <c r="M187">
        <v>9.8683849281296201</v>
      </c>
      <c r="N187">
        <v>7.3911393497774496</v>
      </c>
      <c r="O187">
        <v>0.46345225911955401</v>
      </c>
      <c r="P187">
        <v>0.71932651913456602</v>
      </c>
      <c r="Q187" t="s">
        <v>4</v>
      </c>
      <c r="R187" s="4" t="s">
        <v>87</v>
      </c>
      <c r="S187" t="s">
        <v>4</v>
      </c>
      <c r="T187" t="s">
        <v>92</v>
      </c>
      <c r="U187" t="s">
        <v>92</v>
      </c>
      <c r="V187" t="s">
        <v>92</v>
      </c>
      <c r="W187" t="s">
        <v>92</v>
      </c>
      <c r="X187" t="s">
        <v>4</v>
      </c>
      <c r="Y187" t="s">
        <v>2107</v>
      </c>
      <c r="Z187" t="s">
        <v>2108</v>
      </c>
      <c r="AA187" t="s">
        <v>2109</v>
      </c>
      <c r="AB187" t="s">
        <v>4</v>
      </c>
      <c r="AC187" s="3" t="s">
        <v>1595</v>
      </c>
      <c r="AD187" t="s">
        <v>4</v>
      </c>
      <c r="AE187" t="s">
        <v>2110</v>
      </c>
      <c r="AF187" t="s">
        <v>2111</v>
      </c>
      <c r="AG187" t="s">
        <v>2112</v>
      </c>
      <c r="AH187" t="s">
        <v>2113</v>
      </c>
      <c r="AU187" t="s">
        <v>112</v>
      </c>
      <c r="AV187" t="s">
        <v>2114</v>
      </c>
      <c r="AW187" t="s">
        <v>114</v>
      </c>
      <c r="AX187" t="s">
        <v>2115</v>
      </c>
      <c r="AY187" t="s">
        <v>2116</v>
      </c>
      <c r="AZ187" t="s">
        <v>4</v>
      </c>
      <c r="BA187" s="3" t="s">
        <v>115</v>
      </c>
      <c r="BB187" s="6" t="s">
        <v>95</v>
      </c>
      <c r="BC187" s="3" t="s">
        <v>95</v>
      </c>
      <c r="BD187" t="s">
        <v>4</v>
      </c>
      <c r="BE187">
        <v>1249</v>
      </c>
      <c r="BF187" t="s">
        <v>151</v>
      </c>
      <c r="BG187">
        <v>96.180599999999998</v>
      </c>
      <c r="BH187">
        <v>85.763900000000007</v>
      </c>
      <c r="BI187">
        <v>28.125</v>
      </c>
      <c r="BJ187">
        <v>18.75</v>
      </c>
      <c r="BK187">
        <v>46.875</v>
      </c>
      <c r="CK187">
        <v>2</v>
      </c>
      <c r="CL187" t="s">
        <v>4</v>
      </c>
      <c r="CM187" t="s">
        <v>98</v>
      </c>
      <c r="CN187" t="s">
        <v>98</v>
      </c>
      <c r="CO187" t="s">
        <v>99</v>
      </c>
      <c r="CP187">
        <v>186</v>
      </c>
      <c r="CQ187" t="s">
        <v>100</v>
      </c>
      <c r="CR187" t="s">
        <v>100</v>
      </c>
      <c r="CS187" t="s">
        <v>101</v>
      </c>
      <c r="CT187" t="s">
        <v>100</v>
      </c>
      <c r="CU187" t="s">
        <v>102</v>
      </c>
      <c r="CV187" t="s">
        <v>100</v>
      </c>
    </row>
    <row r="188" spans="1:100">
      <c r="A188" s="3" t="s">
        <v>2117</v>
      </c>
      <c r="B188" s="4" t="s">
        <v>2118</v>
      </c>
      <c r="C188">
        <v>130.939231609833</v>
      </c>
      <c r="D188">
        <v>25.379962784461998</v>
      </c>
      <c r="E188">
        <v>2.37062271069879</v>
      </c>
      <c r="F188" s="5">
        <v>1.7459732238641899E-9</v>
      </c>
      <c r="G188" t="s">
        <v>4</v>
      </c>
      <c r="H188">
        <v>130.939231609833</v>
      </c>
      <c r="I188">
        <v>18.835097697153</v>
      </c>
      <c r="J188">
        <v>2.75623431560826</v>
      </c>
      <c r="K188" s="5">
        <v>4.4215091407354101E-11</v>
      </c>
      <c r="L188" t="s">
        <v>4</v>
      </c>
      <c r="M188">
        <v>25.379962784461998</v>
      </c>
      <c r="N188">
        <v>18.835097697153</v>
      </c>
      <c r="O188">
        <v>0.38561160490947199</v>
      </c>
      <c r="P188">
        <v>0.45787621032779402</v>
      </c>
      <c r="Q188" t="s">
        <v>4</v>
      </c>
      <c r="R188" s="4" t="s">
        <v>87</v>
      </c>
      <c r="S188" t="s">
        <v>4</v>
      </c>
      <c r="T188" t="s">
        <v>88</v>
      </c>
      <c r="U188" t="s">
        <v>89</v>
      </c>
      <c r="V188" t="s">
        <v>90</v>
      </c>
      <c r="W188" t="s">
        <v>91</v>
      </c>
      <c r="X188" t="s">
        <v>4</v>
      </c>
      <c r="Y188" t="s">
        <v>92</v>
      </c>
      <c r="Z188" t="s">
        <v>92</v>
      </c>
      <c r="AA188" t="s">
        <v>92</v>
      </c>
      <c r="AB188" t="s">
        <v>4</v>
      </c>
      <c r="AC188" s="3" t="s">
        <v>93</v>
      </c>
      <c r="AD188" t="s">
        <v>4</v>
      </c>
      <c r="AE188" s="4" t="s">
        <v>94</v>
      </c>
      <c r="AZ188" t="s">
        <v>4</v>
      </c>
      <c r="BA188" s="3" t="s">
        <v>115</v>
      </c>
      <c r="BB188" t="s">
        <v>96</v>
      </c>
      <c r="BC188" s="3" t="s">
        <v>95</v>
      </c>
      <c r="BD188" t="s">
        <v>4</v>
      </c>
      <c r="BE188">
        <v>2026</v>
      </c>
      <c r="BF188" t="s">
        <v>148</v>
      </c>
      <c r="BG188">
        <v>70.112399999999994</v>
      </c>
      <c r="BH188">
        <v>40.449399999999997</v>
      </c>
      <c r="BI188">
        <v>71.9101</v>
      </c>
      <c r="BJ188">
        <v>18.8764</v>
      </c>
      <c r="BK188">
        <v>43.146099999999997</v>
      </c>
      <c r="BL188">
        <v>10.112399999999999</v>
      </c>
      <c r="BM188" t="s">
        <v>2119</v>
      </c>
      <c r="BN188">
        <v>54.831499999999998</v>
      </c>
      <c r="BO188">
        <v>38.427</v>
      </c>
      <c r="CK188">
        <v>3</v>
      </c>
      <c r="CL188" t="s">
        <v>4</v>
      </c>
      <c r="CM188" t="s">
        <v>98</v>
      </c>
      <c r="CN188" t="s">
        <v>98</v>
      </c>
      <c r="CO188" t="s">
        <v>99</v>
      </c>
      <c r="CP188">
        <v>187</v>
      </c>
      <c r="CQ188" t="s">
        <v>100</v>
      </c>
      <c r="CR188" t="s">
        <v>100</v>
      </c>
      <c r="CS188" t="s">
        <v>101</v>
      </c>
      <c r="CT188" t="s">
        <v>100</v>
      </c>
      <c r="CU188" t="s">
        <v>102</v>
      </c>
      <c r="CV188" t="s">
        <v>100</v>
      </c>
    </row>
    <row r="189" spans="1:100">
      <c r="A189" s="3" t="s">
        <v>2120</v>
      </c>
      <c r="B189" s="4" t="s">
        <v>2121</v>
      </c>
      <c r="C189">
        <v>77.181417596432993</v>
      </c>
      <c r="D189">
        <v>12.0520533656191</v>
      </c>
      <c r="E189">
        <v>2.6866864797791101</v>
      </c>
      <c r="F189">
        <v>2.3959382778515502E-3</v>
      </c>
      <c r="G189" t="s">
        <v>4</v>
      </c>
      <c r="H189">
        <v>77.181417596432993</v>
      </c>
      <c r="I189">
        <v>15.2566009108636</v>
      </c>
      <c r="J189">
        <v>2.3372875192343199</v>
      </c>
      <c r="K189">
        <v>7.4351405387545798E-3</v>
      </c>
      <c r="L189" t="s">
        <v>4</v>
      </c>
      <c r="M189">
        <v>12.0520533656191</v>
      </c>
      <c r="N189">
        <v>15.2566009108636</v>
      </c>
      <c r="O189">
        <f>0.349398960544792</f>
        <v>0.34939896054479203</v>
      </c>
      <c r="P189">
        <v>0.74835191777071997</v>
      </c>
      <c r="Q189" t="s">
        <v>4</v>
      </c>
      <c r="R189" s="4" t="s">
        <v>87</v>
      </c>
      <c r="S189" t="s">
        <v>4</v>
      </c>
      <c r="T189" t="s">
        <v>92</v>
      </c>
      <c r="U189" t="s">
        <v>92</v>
      </c>
      <c r="V189" t="s">
        <v>92</v>
      </c>
      <c r="W189" t="s">
        <v>92</v>
      </c>
      <c r="X189" t="s">
        <v>4</v>
      </c>
      <c r="Y189" t="s">
        <v>92</v>
      </c>
      <c r="Z189" t="s">
        <v>92</v>
      </c>
      <c r="AA189" t="s">
        <v>92</v>
      </c>
      <c r="AB189" t="s">
        <v>4</v>
      </c>
      <c r="AC189" s="3" t="s">
        <v>93</v>
      </c>
      <c r="AD189" t="s">
        <v>4</v>
      </c>
      <c r="AE189" s="4" t="s">
        <v>94</v>
      </c>
      <c r="AZ189" t="s">
        <v>4</v>
      </c>
      <c r="BA189" s="3" t="s">
        <v>95</v>
      </c>
      <c r="BB189" s="6" t="s">
        <v>95</v>
      </c>
      <c r="BC189" s="3" t="s">
        <v>197</v>
      </c>
      <c r="BD189" t="s">
        <v>4</v>
      </c>
      <c r="BE189">
        <v>2030</v>
      </c>
      <c r="BF189" t="s">
        <v>148</v>
      </c>
      <c r="BG189">
        <v>97.222200000000001</v>
      </c>
      <c r="BH189">
        <v>58.333300000000001</v>
      </c>
      <c r="BI189">
        <v>87.301599999999993</v>
      </c>
      <c r="BJ189">
        <v>66.269800000000004</v>
      </c>
      <c r="BK189">
        <v>60.714300000000001</v>
      </c>
      <c r="BL189">
        <v>56.349200000000003</v>
      </c>
      <c r="BM189">
        <v>51.1905</v>
      </c>
      <c r="BN189">
        <v>50.396799999999999</v>
      </c>
      <c r="BO189">
        <v>61.1111</v>
      </c>
      <c r="CK189">
        <v>3</v>
      </c>
      <c r="CL189" t="s">
        <v>4</v>
      </c>
      <c r="CM189" t="s">
        <v>98</v>
      </c>
      <c r="CN189" t="s">
        <v>98</v>
      </c>
      <c r="CO189" t="s">
        <v>99</v>
      </c>
      <c r="CP189">
        <v>188</v>
      </c>
      <c r="CQ189" t="s">
        <v>100</v>
      </c>
      <c r="CR189" t="s">
        <v>100</v>
      </c>
      <c r="CS189" t="s">
        <v>101</v>
      </c>
      <c r="CT189" t="s">
        <v>100</v>
      </c>
      <c r="CU189" t="s">
        <v>102</v>
      </c>
      <c r="CV189" t="s">
        <v>100</v>
      </c>
    </row>
    <row r="190" spans="1:100">
      <c r="A190" s="3" t="s">
        <v>2122</v>
      </c>
      <c r="B190" s="4" t="s">
        <v>2123</v>
      </c>
      <c r="C190">
        <v>89.838646711192197</v>
      </c>
      <c r="D190">
        <v>20.479364409248898</v>
      </c>
      <c r="E190">
        <v>2.1360255338807099</v>
      </c>
      <c r="F190">
        <v>8.3504130830831E-4</v>
      </c>
      <c r="G190" t="s">
        <v>4</v>
      </c>
      <c r="H190">
        <v>89.838646711192197</v>
      </c>
      <c r="I190">
        <v>19.940976302504499</v>
      </c>
      <c r="J190">
        <v>2.18328396967655</v>
      </c>
      <c r="K190">
        <v>6.2710757992796796E-4</v>
      </c>
      <c r="L190" t="s">
        <v>4</v>
      </c>
      <c r="M190">
        <v>20.479364409248898</v>
      </c>
      <c r="N190">
        <v>19.940976302504499</v>
      </c>
      <c r="O190">
        <v>4.7258435795842497E-2</v>
      </c>
      <c r="P190">
        <v>0.95710019396540602</v>
      </c>
      <c r="Q190" t="s">
        <v>4</v>
      </c>
      <c r="R190" s="4" t="s">
        <v>87</v>
      </c>
      <c r="S190" t="s">
        <v>4</v>
      </c>
      <c r="T190" t="s">
        <v>88</v>
      </c>
      <c r="U190" t="s">
        <v>89</v>
      </c>
      <c r="V190" t="s">
        <v>90</v>
      </c>
      <c r="W190" t="s">
        <v>91</v>
      </c>
      <c r="X190" t="s">
        <v>4</v>
      </c>
      <c r="Y190" t="s">
        <v>92</v>
      </c>
      <c r="Z190" t="s">
        <v>92</v>
      </c>
      <c r="AA190" t="s">
        <v>92</v>
      </c>
      <c r="AB190" t="s">
        <v>4</v>
      </c>
      <c r="AC190" s="3" t="s">
        <v>93</v>
      </c>
      <c r="AD190" t="s">
        <v>4</v>
      </c>
      <c r="AE190" s="4" t="s">
        <v>94</v>
      </c>
      <c r="AZ190" t="s">
        <v>4</v>
      </c>
      <c r="BA190" s="3" t="s">
        <v>95</v>
      </c>
      <c r="BB190" t="s">
        <v>96</v>
      </c>
      <c r="BC190" s="3" t="s">
        <v>95</v>
      </c>
      <c r="BD190" t="s">
        <v>4</v>
      </c>
      <c r="BE190">
        <v>2032</v>
      </c>
      <c r="BF190" t="s">
        <v>148</v>
      </c>
      <c r="BG190">
        <v>98.360699999999994</v>
      </c>
      <c r="BH190">
        <v>100</v>
      </c>
      <c r="BI190">
        <v>77.049199999999999</v>
      </c>
      <c r="BJ190">
        <v>47.131100000000004</v>
      </c>
      <c r="BK190">
        <v>48.360700000000001</v>
      </c>
      <c r="BM190">
        <v>46.721299999999999</v>
      </c>
      <c r="BN190">
        <v>49.590200000000003</v>
      </c>
      <c r="BO190" t="s">
        <v>2124</v>
      </c>
      <c r="CK190">
        <v>3</v>
      </c>
      <c r="CL190" t="s">
        <v>4</v>
      </c>
      <c r="CM190" t="s">
        <v>98</v>
      </c>
      <c r="CN190" t="s">
        <v>98</v>
      </c>
      <c r="CO190" t="s">
        <v>99</v>
      </c>
      <c r="CP190">
        <v>189</v>
      </c>
      <c r="CQ190" t="s">
        <v>100</v>
      </c>
      <c r="CR190" t="s">
        <v>100</v>
      </c>
      <c r="CS190" t="s">
        <v>101</v>
      </c>
      <c r="CT190" t="s">
        <v>100</v>
      </c>
      <c r="CU190" t="s">
        <v>102</v>
      </c>
      <c r="CV190" t="s">
        <v>100</v>
      </c>
    </row>
    <row r="191" spans="1:100">
      <c r="A191" s="3" t="s">
        <v>2125</v>
      </c>
      <c r="B191" s="4" t="s">
        <v>2126</v>
      </c>
      <c r="C191">
        <v>101.262091950496</v>
      </c>
      <c r="D191">
        <v>10.911028603654101</v>
      </c>
      <c r="E191">
        <v>3.2223377278632901</v>
      </c>
      <c r="F191" s="5">
        <v>8.63988922778873E-7</v>
      </c>
      <c r="G191" t="s">
        <v>4</v>
      </c>
      <c r="H191">
        <v>101.262091950496</v>
      </c>
      <c r="I191">
        <v>3.8767121438241499</v>
      </c>
      <c r="J191">
        <v>4.75233013444885</v>
      </c>
      <c r="K191" s="5">
        <v>1.5184444211411399E-9</v>
      </c>
      <c r="L191" t="s">
        <v>4</v>
      </c>
      <c r="M191">
        <v>10.911028603654101</v>
      </c>
      <c r="N191">
        <v>3.8767121438241499</v>
      </c>
      <c r="O191">
        <v>1.5299924065855599</v>
      </c>
      <c r="P191">
        <v>8.4088268996757004E-2</v>
      </c>
      <c r="Q191" t="s">
        <v>4</v>
      </c>
      <c r="R191" s="4" t="s">
        <v>87</v>
      </c>
      <c r="S191" t="s">
        <v>4</v>
      </c>
      <c r="T191" t="s">
        <v>88</v>
      </c>
      <c r="U191" t="s">
        <v>89</v>
      </c>
      <c r="V191" t="s">
        <v>90</v>
      </c>
      <c r="W191" t="s">
        <v>91</v>
      </c>
      <c r="X191" t="s">
        <v>4</v>
      </c>
      <c r="Y191" t="s">
        <v>92</v>
      </c>
      <c r="Z191" t="s">
        <v>92</v>
      </c>
      <c r="AA191" t="s">
        <v>92</v>
      </c>
      <c r="AB191" t="s">
        <v>4</v>
      </c>
      <c r="AC191" s="3" t="s">
        <v>93</v>
      </c>
      <c r="AD191" t="s">
        <v>4</v>
      </c>
      <c r="AE191" s="4" t="s">
        <v>94</v>
      </c>
      <c r="AZ191" t="s">
        <v>4</v>
      </c>
      <c r="BA191" s="3" t="s">
        <v>95</v>
      </c>
      <c r="BB191" t="s">
        <v>96</v>
      </c>
      <c r="BC191" s="3" t="s">
        <v>95</v>
      </c>
      <c r="BD191" t="s">
        <v>4</v>
      </c>
      <c r="BE191">
        <v>1258</v>
      </c>
      <c r="BF191" t="s">
        <v>151</v>
      </c>
      <c r="BG191">
        <v>96.706599999999995</v>
      </c>
      <c r="BH191">
        <v>99.401200000000003</v>
      </c>
      <c r="BJ191">
        <v>59.880200000000002</v>
      </c>
      <c r="BK191">
        <v>50.898200000000003</v>
      </c>
      <c r="BL191">
        <v>30.8383</v>
      </c>
      <c r="BM191" t="s">
        <v>2127</v>
      </c>
      <c r="BN191" t="s">
        <v>2128</v>
      </c>
      <c r="BO191">
        <v>63.173699999999997</v>
      </c>
      <c r="CK191">
        <v>2</v>
      </c>
      <c r="CL191" t="s">
        <v>4</v>
      </c>
      <c r="CM191" t="s">
        <v>98</v>
      </c>
      <c r="CN191" t="s">
        <v>98</v>
      </c>
      <c r="CO191" t="s">
        <v>99</v>
      </c>
      <c r="CP191">
        <v>190</v>
      </c>
      <c r="CQ191" t="s">
        <v>100</v>
      </c>
      <c r="CR191" t="s">
        <v>100</v>
      </c>
      <c r="CS191" t="s">
        <v>101</v>
      </c>
      <c r="CT191" t="s">
        <v>100</v>
      </c>
      <c r="CU191" t="s">
        <v>102</v>
      </c>
      <c r="CV191" t="s">
        <v>100</v>
      </c>
    </row>
    <row r="192" spans="1:100">
      <c r="A192" s="3" t="s">
        <v>2129</v>
      </c>
      <c r="B192" s="4" t="s">
        <v>2130</v>
      </c>
      <c r="C192">
        <v>1545.4457314669301</v>
      </c>
      <c r="D192">
        <v>324.14871126711603</v>
      </c>
      <c r="E192">
        <v>2.2516833681194801</v>
      </c>
      <c r="F192" s="5">
        <v>5.2888154017125998E-9</v>
      </c>
      <c r="G192" t="s">
        <v>4</v>
      </c>
      <c r="H192">
        <v>1545.4457314669301</v>
      </c>
      <c r="I192">
        <v>123.603292131388</v>
      </c>
      <c r="J192">
        <v>3.6382293058682098</v>
      </c>
      <c r="K192" s="5">
        <v>9.7893414549226395E-22</v>
      </c>
      <c r="L192" t="s">
        <v>4</v>
      </c>
      <c r="M192">
        <v>324.14871126711603</v>
      </c>
      <c r="N192">
        <v>123.603292131388</v>
      </c>
      <c r="O192">
        <v>1.3865459377487299</v>
      </c>
      <c r="P192">
        <v>4.67203563792176E-4</v>
      </c>
      <c r="Q192" t="s">
        <v>4</v>
      </c>
      <c r="R192" s="4" t="s">
        <v>87</v>
      </c>
      <c r="S192" t="s">
        <v>4</v>
      </c>
      <c r="T192" t="s">
        <v>92</v>
      </c>
      <c r="U192" t="s">
        <v>92</v>
      </c>
      <c r="V192" t="s">
        <v>92</v>
      </c>
      <c r="W192" t="s">
        <v>92</v>
      </c>
      <c r="X192" t="s">
        <v>4</v>
      </c>
      <c r="Y192" t="s">
        <v>2131</v>
      </c>
      <c r="Z192" t="s">
        <v>2132</v>
      </c>
      <c r="AA192" t="s">
        <v>2133</v>
      </c>
      <c r="AB192" t="s">
        <v>4</v>
      </c>
      <c r="AC192" s="3" t="s">
        <v>2134</v>
      </c>
      <c r="AD192" t="s">
        <v>4</v>
      </c>
      <c r="AE192" t="s">
        <v>2135</v>
      </c>
      <c r="AF192" t="s">
        <v>2136</v>
      </c>
      <c r="AG192" t="s">
        <v>918</v>
      </c>
      <c r="AH192" t="s">
        <v>112</v>
      </c>
      <c r="AJ192" t="s">
        <v>2137</v>
      </c>
      <c r="AU192" t="s">
        <v>112</v>
      </c>
      <c r="AV192" t="s">
        <v>2138</v>
      </c>
      <c r="AW192" t="s">
        <v>114</v>
      </c>
      <c r="AX192" t="s">
        <v>2139</v>
      </c>
      <c r="AY192" t="s">
        <v>2140</v>
      </c>
      <c r="AZ192" t="s">
        <v>4</v>
      </c>
      <c r="BA192" s="3" t="s">
        <v>95</v>
      </c>
      <c r="BB192" s="6" t="s">
        <v>95</v>
      </c>
      <c r="BC192" s="3" t="s">
        <v>95</v>
      </c>
      <c r="BD192" t="s">
        <v>4</v>
      </c>
      <c r="BE192">
        <v>2708</v>
      </c>
      <c r="BF192" t="s">
        <v>97</v>
      </c>
      <c r="BG192">
        <v>97.486000000000004</v>
      </c>
      <c r="BH192">
        <v>47.485999999999997</v>
      </c>
      <c r="BI192">
        <v>83.798900000000003</v>
      </c>
      <c r="BJ192">
        <v>53.351999999999997</v>
      </c>
      <c r="BL192">
        <v>51.396599999999999</v>
      </c>
      <c r="BM192">
        <v>51.955300000000001</v>
      </c>
      <c r="BO192">
        <v>62.011200000000002</v>
      </c>
      <c r="BP192">
        <v>16.480399999999999</v>
      </c>
      <c r="CK192">
        <v>4</v>
      </c>
      <c r="CL192" t="s">
        <v>4</v>
      </c>
      <c r="CM192" t="s">
        <v>98</v>
      </c>
      <c r="CN192" t="s">
        <v>98</v>
      </c>
      <c r="CO192" t="s">
        <v>99</v>
      </c>
      <c r="CP192">
        <v>191</v>
      </c>
      <c r="CQ192" t="s">
        <v>100</v>
      </c>
      <c r="CR192" t="s">
        <v>100</v>
      </c>
      <c r="CS192" t="s">
        <v>101</v>
      </c>
      <c r="CT192" s="7" t="s">
        <v>152</v>
      </c>
      <c r="CU192" t="s">
        <v>102</v>
      </c>
      <c r="CV192" t="s">
        <v>100</v>
      </c>
    </row>
    <row r="193" spans="1:100">
      <c r="A193" s="3" t="s">
        <v>2141</v>
      </c>
      <c r="B193" s="4" t="s">
        <v>2142</v>
      </c>
      <c r="C193">
        <v>495.814898029066</v>
      </c>
      <c r="D193">
        <v>105.16053424149101</v>
      </c>
      <c r="E193">
        <v>2.2357601563284502</v>
      </c>
      <c r="F193">
        <v>2.0272436961151002E-3</v>
      </c>
      <c r="G193" t="s">
        <v>4</v>
      </c>
      <c r="H193">
        <v>495.814898029066</v>
      </c>
      <c r="I193">
        <v>34.240522304813503</v>
      </c>
      <c r="J193">
        <v>3.8241894262237901</v>
      </c>
      <c r="K193" s="5">
        <v>4.8139512765516703E-8</v>
      </c>
      <c r="L193" t="s">
        <v>4</v>
      </c>
      <c r="M193">
        <v>105.16053424149101</v>
      </c>
      <c r="N193">
        <v>34.240522304813503</v>
      </c>
      <c r="O193">
        <v>1.5884292698953399</v>
      </c>
      <c r="P193">
        <v>3.1517290416463402E-2</v>
      </c>
      <c r="Q193" t="s">
        <v>4</v>
      </c>
      <c r="R193" s="4" t="s">
        <v>87</v>
      </c>
      <c r="S193" t="s">
        <v>4</v>
      </c>
      <c r="T193" t="s">
        <v>92</v>
      </c>
      <c r="U193" t="s">
        <v>92</v>
      </c>
      <c r="V193" t="s">
        <v>92</v>
      </c>
      <c r="W193" t="s">
        <v>92</v>
      </c>
      <c r="X193" t="s">
        <v>4</v>
      </c>
      <c r="Y193" t="s">
        <v>92</v>
      </c>
      <c r="Z193" t="s">
        <v>92</v>
      </c>
      <c r="AA193" t="s">
        <v>92</v>
      </c>
      <c r="AB193" t="s">
        <v>4</v>
      </c>
      <c r="AC193" s="3" t="s">
        <v>93</v>
      </c>
      <c r="AD193" t="s">
        <v>4</v>
      </c>
      <c r="AE193" s="4" t="s">
        <v>94</v>
      </c>
      <c r="AZ193" t="s">
        <v>4</v>
      </c>
      <c r="BA193" s="3" t="s">
        <v>95</v>
      </c>
      <c r="BB193" s="6" t="s">
        <v>95</v>
      </c>
      <c r="BC193" s="3" t="s">
        <v>95</v>
      </c>
      <c r="BD193" t="s">
        <v>4</v>
      </c>
      <c r="BE193">
        <v>1263</v>
      </c>
      <c r="BF193" t="s">
        <v>151</v>
      </c>
      <c r="BG193">
        <v>95.721900000000005</v>
      </c>
      <c r="BH193">
        <v>100</v>
      </c>
      <c r="BI193">
        <v>59.893000000000001</v>
      </c>
      <c r="CK193">
        <v>2</v>
      </c>
      <c r="CL193" t="s">
        <v>4</v>
      </c>
      <c r="CM193" t="s">
        <v>98</v>
      </c>
      <c r="CN193" t="s">
        <v>98</v>
      </c>
      <c r="CO193" t="s">
        <v>99</v>
      </c>
      <c r="CP193">
        <v>192</v>
      </c>
      <c r="CQ193" t="s">
        <v>100</v>
      </c>
      <c r="CR193" t="s">
        <v>100</v>
      </c>
      <c r="CS193" t="s">
        <v>101</v>
      </c>
      <c r="CT193" s="7" t="s">
        <v>152</v>
      </c>
      <c r="CU193" t="s">
        <v>102</v>
      </c>
      <c r="CV193" t="s">
        <v>100</v>
      </c>
    </row>
    <row r="194" spans="1:100">
      <c r="A194" s="3" t="s">
        <v>2143</v>
      </c>
      <c r="B194" s="4" t="s">
        <v>2144</v>
      </c>
      <c r="C194">
        <v>793.53543637254904</v>
      </c>
      <c r="D194">
        <v>170.22890061393699</v>
      </c>
      <c r="E194">
        <v>2.2202477286745799</v>
      </c>
      <c r="F194" s="5">
        <v>1.07836022119686E-11</v>
      </c>
      <c r="G194" t="s">
        <v>4</v>
      </c>
      <c r="H194">
        <v>793.53543637254904</v>
      </c>
      <c r="I194">
        <v>96.672263812298198</v>
      </c>
      <c r="J194">
        <v>3.0150245784346099</v>
      </c>
      <c r="K194" s="5">
        <v>3.5643310784777999E-20</v>
      </c>
      <c r="L194" t="s">
        <v>4</v>
      </c>
      <c r="M194">
        <v>170.22890061393699</v>
      </c>
      <c r="N194">
        <v>96.672263812298198</v>
      </c>
      <c r="O194">
        <v>0.79477684976003105</v>
      </c>
      <c r="P194">
        <v>2.5416905871985699E-2</v>
      </c>
      <c r="Q194" t="s">
        <v>4</v>
      </c>
      <c r="R194" s="4" t="s">
        <v>87</v>
      </c>
      <c r="S194" t="s">
        <v>4</v>
      </c>
      <c r="T194" t="s">
        <v>2145</v>
      </c>
      <c r="U194" t="s">
        <v>2146</v>
      </c>
      <c r="V194" t="s">
        <v>2147</v>
      </c>
      <c r="W194" t="s">
        <v>203</v>
      </c>
      <c r="X194" t="s">
        <v>4</v>
      </c>
      <c r="Y194" t="s">
        <v>2148</v>
      </c>
      <c r="Z194" t="s">
        <v>2149</v>
      </c>
      <c r="AA194" t="s">
        <v>2150</v>
      </c>
      <c r="AB194" t="s">
        <v>4</v>
      </c>
      <c r="AC194" s="3" t="s">
        <v>2151</v>
      </c>
      <c r="AD194" t="s">
        <v>4</v>
      </c>
      <c r="AE194" t="s">
        <v>2152</v>
      </c>
      <c r="AF194" t="s">
        <v>2153</v>
      </c>
      <c r="AG194" t="s">
        <v>161</v>
      </c>
      <c r="AH194" t="s">
        <v>112</v>
      </c>
      <c r="AL194" t="s">
        <v>2154</v>
      </c>
      <c r="AM194" t="s">
        <v>2155</v>
      </c>
      <c r="AQ194" t="s">
        <v>303</v>
      </c>
      <c r="AU194" t="s">
        <v>112</v>
      </c>
      <c r="AV194" t="s">
        <v>2156</v>
      </c>
      <c r="AW194" t="s">
        <v>114</v>
      </c>
      <c r="AX194" t="s">
        <v>2157</v>
      </c>
      <c r="AY194" t="s">
        <v>2158</v>
      </c>
      <c r="AZ194" t="s">
        <v>4</v>
      </c>
      <c r="BA194" s="3" t="s">
        <v>95</v>
      </c>
      <c r="BB194" s="6" t="s">
        <v>95</v>
      </c>
      <c r="BC194" s="3" t="s">
        <v>95</v>
      </c>
      <c r="BD194" t="s">
        <v>4</v>
      </c>
      <c r="BE194">
        <v>7927</v>
      </c>
      <c r="BF194" t="s">
        <v>213</v>
      </c>
      <c r="BG194">
        <v>98.724500000000006</v>
      </c>
      <c r="BH194">
        <v>39.0306</v>
      </c>
      <c r="BI194">
        <v>88.775499999999994</v>
      </c>
      <c r="BJ194">
        <v>82.908199999999994</v>
      </c>
      <c r="BK194">
        <v>71.938800000000001</v>
      </c>
      <c r="BL194" t="s">
        <v>2159</v>
      </c>
      <c r="BM194">
        <v>76.530600000000007</v>
      </c>
      <c r="BN194">
        <v>76.530600000000007</v>
      </c>
      <c r="BO194">
        <v>54.3367</v>
      </c>
      <c r="BR194">
        <v>19.387799999999999</v>
      </c>
      <c r="BS194" t="s">
        <v>2160</v>
      </c>
      <c r="BT194">
        <v>24.2347</v>
      </c>
      <c r="BU194">
        <v>25</v>
      </c>
      <c r="BV194" t="s">
        <v>2161</v>
      </c>
      <c r="BX194">
        <v>26.5306</v>
      </c>
      <c r="BY194">
        <v>29.846900000000002</v>
      </c>
      <c r="BZ194">
        <v>22.193899999999999</v>
      </c>
      <c r="CC194">
        <v>17.091799999999999</v>
      </c>
      <c r="CD194">
        <v>21.173500000000001</v>
      </c>
      <c r="CF194">
        <v>26.5306</v>
      </c>
      <c r="CG194">
        <v>27.550999999999998</v>
      </c>
      <c r="CH194">
        <v>27.550999999999998</v>
      </c>
      <c r="CI194" t="s">
        <v>2162</v>
      </c>
      <c r="CK194">
        <v>8</v>
      </c>
      <c r="CL194" t="s">
        <v>4</v>
      </c>
      <c r="CM194" t="s">
        <v>98</v>
      </c>
      <c r="CN194" t="s">
        <v>98</v>
      </c>
      <c r="CO194" t="s">
        <v>99</v>
      </c>
      <c r="CP194">
        <v>193</v>
      </c>
      <c r="CQ194" t="s">
        <v>100</v>
      </c>
      <c r="CR194" t="s">
        <v>100</v>
      </c>
      <c r="CS194" t="s">
        <v>101</v>
      </c>
      <c r="CT194" t="s">
        <v>100</v>
      </c>
      <c r="CU194" t="s">
        <v>102</v>
      </c>
      <c r="CV194" t="s">
        <v>100</v>
      </c>
    </row>
    <row r="195" spans="1:100">
      <c r="A195" s="3" t="s">
        <v>2163</v>
      </c>
      <c r="B195" s="4" t="s">
        <v>2164</v>
      </c>
      <c r="C195">
        <v>361.30095937481701</v>
      </c>
      <c r="D195">
        <v>48.135494462063399</v>
      </c>
      <c r="E195">
        <v>2.9041022515716199</v>
      </c>
      <c r="F195" s="5">
        <v>1.17018558777901E-21</v>
      </c>
      <c r="G195" t="s">
        <v>4</v>
      </c>
      <c r="H195">
        <v>361.30095937481701</v>
      </c>
      <c r="I195">
        <v>18.3946486341863</v>
      </c>
      <c r="J195">
        <v>4.22652598929281</v>
      </c>
      <c r="K195" s="5">
        <v>1.78942989400755E-32</v>
      </c>
      <c r="L195" t="s">
        <v>4</v>
      </c>
      <c r="M195">
        <v>48.135494462063399</v>
      </c>
      <c r="N195">
        <v>18.3946486341863</v>
      </c>
      <c r="O195">
        <v>1.3224237377212</v>
      </c>
      <c r="P195">
        <v>7.04313326381808E-4</v>
      </c>
      <c r="Q195" t="s">
        <v>4</v>
      </c>
      <c r="R195" s="4" t="s">
        <v>87</v>
      </c>
      <c r="S195" t="s">
        <v>4</v>
      </c>
      <c r="T195" t="s">
        <v>92</v>
      </c>
      <c r="U195" t="s">
        <v>92</v>
      </c>
      <c r="V195" t="s">
        <v>92</v>
      </c>
      <c r="W195" t="s">
        <v>92</v>
      </c>
      <c r="X195" t="s">
        <v>4</v>
      </c>
      <c r="Y195" t="s">
        <v>92</v>
      </c>
      <c r="Z195" t="s">
        <v>92</v>
      </c>
      <c r="AA195" t="s">
        <v>92</v>
      </c>
      <c r="AB195" t="s">
        <v>4</v>
      </c>
      <c r="AC195" s="3" t="s">
        <v>93</v>
      </c>
      <c r="AD195" t="s">
        <v>4</v>
      </c>
      <c r="AE195" s="4" t="s">
        <v>94</v>
      </c>
      <c r="AZ195" t="s">
        <v>4</v>
      </c>
      <c r="BA195" s="3" t="s">
        <v>115</v>
      </c>
      <c r="BB195" s="6" t="s">
        <v>95</v>
      </c>
      <c r="BC195" s="3" t="s">
        <v>95</v>
      </c>
      <c r="BD195" t="s">
        <v>4</v>
      </c>
      <c r="BE195">
        <v>1268</v>
      </c>
      <c r="BF195" t="s">
        <v>151</v>
      </c>
      <c r="BG195" t="s">
        <v>2165</v>
      </c>
      <c r="CK195">
        <v>2</v>
      </c>
      <c r="CL195" t="s">
        <v>4</v>
      </c>
      <c r="CM195" t="s">
        <v>98</v>
      </c>
      <c r="CN195" t="s">
        <v>98</v>
      </c>
      <c r="CO195" t="s">
        <v>99</v>
      </c>
      <c r="CP195">
        <v>194</v>
      </c>
      <c r="CQ195" t="s">
        <v>100</v>
      </c>
      <c r="CR195" t="s">
        <v>100</v>
      </c>
      <c r="CS195" t="s">
        <v>101</v>
      </c>
      <c r="CT195" s="7" t="s">
        <v>152</v>
      </c>
      <c r="CU195" t="s">
        <v>102</v>
      </c>
      <c r="CV195" t="s">
        <v>100</v>
      </c>
    </row>
    <row r="196" spans="1:100">
      <c r="A196" s="3" t="s">
        <v>2166</v>
      </c>
      <c r="B196" s="4" t="s">
        <v>2167</v>
      </c>
      <c r="C196">
        <v>73.388610947850694</v>
      </c>
      <c r="D196">
        <v>15.2701670547631</v>
      </c>
      <c r="E196">
        <v>2.2811371605803998</v>
      </c>
      <c r="F196">
        <v>1.0663144205017201E-3</v>
      </c>
      <c r="G196" t="s">
        <v>4</v>
      </c>
      <c r="H196">
        <v>73.388610947850694</v>
      </c>
      <c r="I196">
        <v>2.0881920694337301</v>
      </c>
      <c r="J196">
        <v>5.2731623825865404</v>
      </c>
      <c r="K196" s="5">
        <v>6.0344034723508497E-8</v>
      </c>
      <c r="L196" t="s">
        <v>4</v>
      </c>
      <c r="M196">
        <v>15.2701670547631</v>
      </c>
      <c r="N196">
        <v>2.0881920694337301</v>
      </c>
      <c r="O196">
        <v>2.9920252220061299</v>
      </c>
      <c r="P196">
        <v>3.2465954146342099E-3</v>
      </c>
      <c r="Q196" t="s">
        <v>4</v>
      </c>
      <c r="R196" s="4" t="s">
        <v>87</v>
      </c>
      <c r="S196" t="s">
        <v>4</v>
      </c>
      <c r="T196" t="s">
        <v>92</v>
      </c>
      <c r="U196" t="s">
        <v>92</v>
      </c>
      <c r="V196" t="s">
        <v>92</v>
      </c>
      <c r="W196" t="s">
        <v>92</v>
      </c>
      <c r="X196" t="s">
        <v>4</v>
      </c>
      <c r="Y196" t="s">
        <v>92</v>
      </c>
      <c r="Z196" t="s">
        <v>92</v>
      </c>
      <c r="AA196" t="s">
        <v>92</v>
      </c>
      <c r="AB196" t="s">
        <v>4</v>
      </c>
      <c r="AC196" s="3" t="s">
        <v>93</v>
      </c>
      <c r="AD196" t="s">
        <v>4</v>
      </c>
      <c r="AE196" s="4" t="s">
        <v>94</v>
      </c>
      <c r="AZ196" t="s">
        <v>4</v>
      </c>
      <c r="BA196" s="3" t="s">
        <v>95</v>
      </c>
      <c r="BB196" t="s">
        <v>96</v>
      </c>
      <c r="BC196" s="3" t="s">
        <v>95</v>
      </c>
      <c r="BD196" t="s">
        <v>4</v>
      </c>
      <c r="BE196">
        <v>2050</v>
      </c>
      <c r="BF196" t="s">
        <v>148</v>
      </c>
      <c r="BG196">
        <v>71.428600000000003</v>
      </c>
      <c r="BH196">
        <v>68.650800000000004</v>
      </c>
      <c r="BI196">
        <v>78.968299999999999</v>
      </c>
      <c r="BJ196">
        <v>34.523800000000001</v>
      </c>
      <c r="BK196">
        <v>25</v>
      </c>
      <c r="BL196">
        <v>23.8095</v>
      </c>
      <c r="BM196">
        <v>27.777799999999999</v>
      </c>
      <c r="BN196">
        <v>21.825399999999998</v>
      </c>
      <c r="BO196">
        <v>5.9523799999999998</v>
      </c>
      <c r="CK196">
        <v>3</v>
      </c>
      <c r="CL196" t="s">
        <v>4</v>
      </c>
      <c r="CM196" t="s">
        <v>98</v>
      </c>
      <c r="CN196" t="s">
        <v>98</v>
      </c>
      <c r="CO196" t="s">
        <v>99</v>
      </c>
      <c r="CP196">
        <v>195</v>
      </c>
      <c r="CQ196" t="s">
        <v>100</v>
      </c>
      <c r="CR196" t="s">
        <v>100</v>
      </c>
      <c r="CS196" t="s">
        <v>101</v>
      </c>
      <c r="CT196" t="s">
        <v>152</v>
      </c>
      <c r="CU196" t="s">
        <v>102</v>
      </c>
      <c r="CV196" t="s">
        <v>100</v>
      </c>
    </row>
    <row r="197" spans="1:100">
      <c r="A197" s="3" t="s">
        <v>2168</v>
      </c>
      <c r="B197" s="4" t="s">
        <v>2169</v>
      </c>
      <c r="C197">
        <v>766.28194225557002</v>
      </c>
      <c r="D197">
        <v>99.386258083655207</v>
      </c>
      <c r="E197">
        <v>2.9440767030066501</v>
      </c>
      <c r="F197" s="5">
        <v>1.85629169087424E-29</v>
      </c>
      <c r="G197" t="s">
        <v>4</v>
      </c>
      <c r="H197">
        <v>766.28194225557002</v>
      </c>
      <c r="I197">
        <v>34.097737894415403</v>
      </c>
      <c r="J197">
        <v>4.4682870089122204</v>
      </c>
      <c r="K197" s="5">
        <v>3.0963724714797801E-51</v>
      </c>
      <c r="L197" t="s">
        <v>4</v>
      </c>
      <c r="M197">
        <v>99.386258083655207</v>
      </c>
      <c r="N197">
        <v>34.097737894415403</v>
      </c>
      <c r="O197">
        <v>1.5242103059055701</v>
      </c>
      <c r="P197" s="5">
        <v>1.4294818454170599E-6</v>
      </c>
      <c r="Q197" t="s">
        <v>4</v>
      </c>
      <c r="R197" s="4" t="s">
        <v>87</v>
      </c>
      <c r="S197" t="s">
        <v>4</v>
      </c>
      <c r="T197" t="s">
        <v>92</v>
      </c>
      <c r="U197" t="s">
        <v>92</v>
      </c>
      <c r="V197" t="s">
        <v>92</v>
      </c>
      <c r="W197" t="s">
        <v>92</v>
      </c>
      <c r="X197" t="s">
        <v>4</v>
      </c>
      <c r="Y197" t="s">
        <v>2170</v>
      </c>
      <c r="Z197" t="s">
        <v>2171</v>
      </c>
      <c r="AA197" t="s">
        <v>2172</v>
      </c>
      <c r="AB197" t="s">
        <v>4</v>
      </c>
      <c r="AC197" s="3" t="s">
        <v>93</v>
      </c>
      <c r="AD197" t="s">
        <v>4</v>
      </c>
      <c r="AE197" t="s">
        <v>2173</v>
      </c>
      <c r="AF197" t="s">
        <v>2174</v>
      </c>
      <c r="AG197" t="s">
        <v>2175</v>
      </c>
      <c r="AH197" t="s">
        <v>112</v>
      </c>
      <c r="AL197" t="s">
        <v>2176</v>
      </c>
      <c r="AQ197" t="s">
        <v>2177</v>
      </c>
      <c r="AU197" t="s">
        <v>112</v>
      </c>
      <c r="AV197" t="s">
        <v>2178</v>
      </c>
      <c r="AW197" t="s">
        <v>114</v>
      </c>
      <c r="AZ197" t="s">
        <v>4</v>
      </c>
      <c r="BA197" s="3" t="s">
        <v>95</v>
      </c>
      <c r="BB197" s="6" t="s">
        <v>95</v>
      </c>
      <c r="BC197" s="3" t="s">
        <v>95</v>
      </c>
      <c r="BD197" t="s">
        <v>4</v>
      </c>
      <c r="BE197">
        <v>4319</v>
      </c>
      <c r="BF197" t="s">
        <v>112</v>
      </c>
      <c r="BG197">
        <v>87.930999999999997</v>
      </c>
      <c r="BH197">
        <v>82.375500000000002</v>
      </c>
      <c r="BI197" t="s">
        <v>2179</v>
      </c>
      <c r="BJ197">
        <v>69.923400000000001</v>
      </c>
      <c r="BK197">
        <v>73.754800000000003</v>
      </c>
      <c r="BL197">
        <v>60.153300000000002</v>
      </c>
      <c r="BM197">
        <v>75.095799999999997</v>
      </c>
      <c r="BN197">
        <v>75.095799999999997</v>
      </c>
      <c r="BO197">
        <v>74.137900000000002</v>
      </c>
      <c r="BP197">
        <v>26.053599999999999</v>
      </c>
      <c r="BW197">
        <v>21.647500000000001</v>
      </c>
      <c r="BX197">
        <v>27.777799999999999</v>
      </c>
      <c r="CA197">
        <v>21.072800000000001</v>
      </c>
      <c r="CK197">
        <v>5</v>
      </c>
      <c r="CL197" t="s">
        <v>4</v>
      </c>
      <c r="CM197" t="s">
        <v>2180</v>
      </c>
      <c r="CN197" t="s">
        <v>2181</v>
      </c>
      <c r="CO197" t="s">
        <v>219</v>
      </c>
      <c r="CP197">
        <v>196</v>
      </c>
      <c r="CQ197" t="s">
        <v>100</v>
      </c>
      <c r="CR197" t="s">
        <v>100</v>
      </c>
      <c r="CS197" t="s">
        <v>101</v>
      </c>
      <c r="CT197" s="7" t="s">
        <v>152</v>
      </c>
      <c r="CU197" t="s">
        <v>102</v>
      </c>
      <c r="CV197" t="s">
        <v>2182</v>
      </c>
    </row>
    <row r="198" spans="1:100">
      <c r="A198" s="3" t="s">
        <v>2183</v>
      </c>
      <c r="B198" s="4" t="s">
        <v>2184</v>
      </c>
      <c r="C198">
        <v>43.173639121959297</v>
      </c>
      <c r="D198">
        <v>5.0481700048737901</v>
      </c>
      <c r="E198">
        <v>3.0963102591140199</v>
      </c>
      <c r="F198">
        <v>1.28788078348325E-3</v>
      </c>
      <c r="G198" t="s">
        <v>4</v>
      </c>
      <c r="H198">
        <v>43.173639121959297</v>
      </c>
      <c r="I198">
        <v>3.8166658779247999</v>
      </c>
      <c r="J198">
        <v>3.39149051517651</v>
      </c>
      <c r="K198">
        <v>6.8680104443065502E-4</v>
      </c>
      <c r="L198" t="s">
        <v>4</v>
      </c>
      <c r="M198">
        <v>5.0481700048737901</v>
      </c>
      <c r="N198">
        <v>3.8166658779247999</v>
      </c>
      <c r="O198">
        <v>0.29518025606249598</v>
      </c>
      <c r="P198">
        <v>0.82697915151188195</v>
      </c>
      <c r="Q198" t="s">
        <v>4</v>
      </c>
      <c r="R198" s="4" t="s">
        <v>87</v>
      </c>
      <c r="S198" t="s">
        <v>4</v>
      </c>
      <c r="T198" t="s">
        <v>92</v>
      </c>
      <c r="U198" t="s">
        <v>92</v>
      </c>
      <c r="V198" t="s">
        <v>92</v>
      </c>
      <c r="W198" t="s">
        <v>92</v>
      </c>
      <c r="X198" t="s">
        <v>4</v>
      </c>
      <c r="Y198" t="s">
        <v>92</v>
      </c>
      <c r="Z198" t="s">
        <v>92</v>
      </c>
      <c r="AA198" t="s">
        <v>92</v>
      </c>
      <c r="AB198" t="s">
        <v>4</v>
      </c>
      <c r="AC198" s="3" t="s">
        <v>93</v>
      </c>
      <c r="AD198" t="s">
        <v>4</v>
      </c>
      <c r="AE198" s="4" t="s">
        <v>94</v>
      </c>
      <c r="AZ198" t="s">
        <v>4</v>
      </c>
      <c r="BA198" s="3" t="s">
        <v>95</v>
      </c>
      <c r="BB198" s="6" t="s">
        <v>95</v>
      </c>
      <c r="BC198" s="3" t="s">
        <v>95</v>
      </c>
      <c r="BD198" t="s">
        <v>4</v>
      </c>
      <c r="BE198">
        <v>4322</v>
      </c>
      <c r="BF198" t="s">
        <v>112</v>
      </c>
      <c r="BG198">
        <v>96.759299999999996</v>
      </c>
      <c r="BH198">
        <v>96.759299999999996</v>
      </c>
      <c r="BI198">
        <v>84.722200000000001</v>
      </c>
      <c r="BJ198">
        <v>71.759299999999996</v>
      </c>
      <c r="BK198">
        <v>68.981499999999997</v>
      </c>
      <c r="BL198">
        <v>61.574100000000001</v>
      </c>
      <c r="BM198">
        <v>62.036999999999999</v>
      </c>
      <c r="BN198">
        <v>64.814800000000005</v>
      </c>
      <c r="BO198">
        <v>71.759299999999996</v>
      </c>
      <c r="BP198">
        <v>32.870399999999997</v>
      </c>
      <c r="CK198">
        <v>5</v>
      </c>
      <c r="CL198" t="s">
        <v>4</v>
      </c>
      <c r="CM198" t="s">
        <v>98</v>
      </c>
      <c r="CN198" t="s">
        <v>98</v>
      </c>
      <c r="CO198" t="s">
        <v>99</v>
      </c>
      <c r="CP198">
        <v>197</v>
      </c>
      <c r="CQ198" t="s">
        <v>100</v>
      </c>
      <c r="CR198" t="s">
        <v>100</v>
      </c>
      <c r="CS198" t="s">
        <v>101</v>
      </c>
      <c r="CT198" t="s">
        <v>100</v>
      </c>
      <c r="CU198" t="s">
        <v>102</v>
      </c>
      <c r="CV198" t="s">
        <v>100</v>
      </c>
    </row>
    <row r="199" spans="1:100">
      <c r="A199" s="3" t="s">
        <v>2185</v>
      </c>
      <c r="B199" s="4" t="s">
        <v>2186</v>
      </c>
      <c r="C199">
        <v>408.73284672668399</v>
      </c>
      <c r="D199">
        <v>81.196256782129694</v>
      </c>
      <c r="E199">
        <v>2.33287430294755</v>
      </c>
      <c r="F199" s="5">
        <v>1.5309778951713501E-11</v>
      </c>
      <c r="G199" t="s">
        <v>4</v>
      </c>
      <c r="H199">
        <v>408.73284672668399</v>
      </c>
      <c r="I199">
        <v>44.550776814381699</v>
      </c>
      <c r="J199">
        <v>3.1990024290741199</v>
      </c>
      <c r="K199" s="5">
        <v>3.8487791596259699E-19</v>
      </c>
      <c r="L199" t="s">
        <v>4</v>
      </c>
      <c r="M199">
        <v>81.196256782129694</v>
      </c>
      <c r="N199">
        <v>44.550776814381699</v>
      </c>
      <c r="O199">
        <v>0.86612812612657097</v>
      </c>
      <c r="P199">
        <v>2.7517828633351001E-2</v>
      </c>
      <c r="Q199" t="s">
        <v>4</v>
      </c>
      <c r="R199" s="4" t="s">
        <v>87</v>
      </c>
      <c r="S199" t="s">
        <v>4</v>
      </c>
      <c r="T199" t="s">
        <v>92</v>
      </c>
      <c r="U199" t="s">
        <v>92</v>
      </c>
      <c r="V199" t="s">
        <v>92</v>
      </c>
      <c r="W199" t="s">
        <v>92</v>
      </c>
      <c r="X199" t="s">
        <v>4</v>
      </c>
      <c r="Y199" t="s">
        <v>92</v>
      </c>
      <c r="Z199" t="s">
        <v>92</v>
      </c>
      <c r="AA199" t="s">
        <v>92</v>
      </c>
      <c r="AB199" t="s">
        <v>4</v>
      </c>
      <c r="AC199" s="3" t="s">
        <v>93</v>
      </c>
      <c r="AD199" t="s">
        <v>4</v>
      </c>
      <c r="AE199" s="4" t="s">
        <v>94</v>
      </c>
      <c r="AZ199" t="s">
        <v>4</v>
      </c>
      <c r="BA199" s="3" t="s">
        <v>95</v>
      </c>
      <c r="BB199" s="6" t="s">
        <v>95</v>
      </c>
      <c r="BC199" s="3" t="s">
        <v>95</v>
      </c>
      <c r="BD199" t="s">
        <v>4</v>
      </c>
      <c r="BE199">
        <v>1281</v>
      </c>
      <c r="BF199" t="s">
        <v>151</v>
      </c>
      <c r="BG199">
        <v>97.356800000000007</v>
      </c>
      <c r="BH199">
        <v>89.427300000000002</v>
      </c>
      <c r="BL199">
        <v>53.744500000000002</v>
      </c>
      <c r="BM199">
        <v>68.722499999999997</v>
      </c>
      <c r="BN199">
        <v>68.281899999999993</v>
      </c>
      <c r="BO199">
        <v>67.400899999999993</v>
      </c>
      <c r="CK199">
        <v>2</v>
      </c>
      <c r="CL199" t="s">
        <v>4</v>
      </c>
      <c r="CM199" t="s">
        <v>98</v>
      </c>
      <c r="CN199" t="s">
        <v>98</v>
      </c>
      <c r="CO199" t="s">
        <v>99</v>
      </c>
      <c r="CP199">
        <v>198</v>
      </c>
      <c r="CQ199" t="s">
        <v>100</v>
      </c>
      <c r="CR199" t="s">
        <v>100</v>
      </c>
      <c r="CS199" t="s">
        <v>101</v>
      </c>
      <c r="CT199" t="s">
        <v>100</v>
      </c>
      <c r="CU199" t="s">
        <v>102</v>
      </c>
      <c r="CV199" t="s">
        <v>100</v>
      </c>
    </row>
    <row r="200" spans="1:100">
      <c r="A200" s="3" t="s">
        <v>2187</v>
      </c>
      <c r="B200" s="4" t="s">
        <v>2188</v>
      </c>
      <c r="C200">
        <v>65.655080212892599</v>
      </c>
      <c r="D200">
        <v>13.298056851151401</v>
      </c>
      <c r="E200">
        <v>2.3133043323501901</v>
      </c>
      <c r="F200">
        <v>2.4947912639142103E-4</v>
      </c>
      <c r="G200" t="s">
        <v>4</v>
      </c>
      <c r="H200">
        <v>65.655080212892599</v>
      </c>
      <c r="I200">
        <v>16.510752508046</v>
      </c>
      <c r="J200">
        <v>2.0166436676914401</v>
      </c>
      <c r="K200">
        <v>1.3896789104153901E-3</v>
      </c>
      <c r="L200" t="s">
        <v>4</v>
      </c>
      <c r="M200">
        <v>13.298056851151401</v>
      </c>
      <c r="N200">
        <v>16.510752508046</v>
      </c>
      <c r="O200">
        <f>0.296660664658753</f>
        <v>0.29666066465875301</v>
      </c>
      <c r="P200">
        <v>0.71157677487401205</v>
      </c>
      <c r="Q200" t="s">
        <v>4</v>
      </c>
      <c r="R200" s="4" t="s">
        <v>87</v>
      </c>
      <c r="S200" t="s">
        <v>4</v>
      </c>
      <c r="T200" t="s">
        <v>88</v>
      </c>
      <c r="U200" t="s">
        <v>89</v>
      </c>
      <c r="V200" t="s">
        <v>90</v>
      </c>
      <c r="W200" t="s">
        <v>91</v>
      </c>
      <c r="X200" t="s">
        <v>4</v>
      </c>
      <c r="Y200" t="s">
        <v>92</v>
      </c>
      <c r="Z200" t="s">
        <v>92</v>
      </c>
      <c r="AA200" t="s">
        <v>92</v>
      </c>
      <c r="AB200" t="s">
        <v>4</v>
      </c>
      <c r="AC200" s="3" t="s">
        <v>93</v>
      </c>
      <c r="AD200" t="s">
        <v>4</v>
      </c>
      <c r="AE200" s="4" t="s">
        <v>94</v>
      </c>
      <c r="AZ200" t="s">
        <v>4</v>
      </c>
      <c r="BA200" s="3" t="s">
        <v>95</v>
      </c>
      <c r="BB200" t="s">
        <v>96</v>
      </c>
      <c r="BC200" s="3" t="s">
        <v>197</v>
      </c>
      <c r="BD200" t="s">
        <v>4</v>
      </c>
      <c r="BE200">
        <v>972</v>
      </c>
      <c r="BF200" t="s">
        <v>151</v>
      </c>
      <c r="BI200">
        <v>68.75</v>
      </c>
      <c r="BN200">
        <v>42.708300000000001</v>
      </c>
      <c r="CK200">
        <v>2</v>
      </c>
      <c r="CL200" t="s">
        <v>4</v>
      </c>
      <c r="CM200" t="s">
        <v>98</v>
      </c>
      <c r="CN200" t="s">
        <v>98</v>
      </c>
      <c r="CO200" t="s">
        <v>99</v>
      </c>
      <c r="CP200">
        <v>199</v>
      </c>
      <c r="CQ200" t="s">
        <v>100</v>
      </c>
      <c r="CR200" t="s">
        <v>100</v>
      </c>
      <c r="CS200" t="s">
        <v>101</v>
      </c>
      <c r="CT200" t="s">
        <v>100</v>
      </c>
      <c r="CU200" t="s">
        <v>102</v>
      </c>
      <c r="CV200" t="s">
        <v>100</v>
      </c>
    </row>
    <row r="201" spans="1:100">
      <c r="A201" s="3" t="s">
        <v>2189</v>
      </c>
      <c r="B201" s="4" t="s">
        <v>2190</v>
      </c>
      <c r="C201">
        <v>54.375001962366099</v>
      </c>
      <c r="D201">
        <v>5.6564666738134104</v>
      </c>
      <c r="E201">
        <v>3.2637491951019202</v>
      </c>
      <c r="F201">
        <v>2.05903181005444E-3</v>
      </c>
      <c r="G201" t="s">
        <v>4</v>
      </c>
      <c r="H201">
        <v>54.375001962366099</v>
      </c>
      <c r="I201">
        <v>5.8180878589356402</v>
      </c>
      <c r="J201">
        <v>3.2431303363320798</v>
      </c>
      <c r="K201">
        <v>2.2700777260235999E-3</v>
      </c>
      <c r="L201" t="s">
        <v>4</v>
      </c>
      <c r="M201">
        <v>5.6564666738134104</v>
      </c>
      <c r="N201">
        <v>5.8180878589356402</v>
      </c>
      <c r="O201">
        <f>0.0206188587698333</f>
        <v>2.0618858769833302E-2</v>
      </c>
      <c r="P201">
        <v>0.99294596274833702</v>
      </c>
      <c r="Q201" t="s">
        <v>4</v>
      </c>
      <c r="R201" s="4" t="s">
        <v>87</v>
      </c>
      <c r="S201" t="s">
        <v>4</v>
      </c>
      <c r="T201" t="s">
        <v>88</v>
      </c>
      <c r="U201" t="s">
        <v>89</v>
      </c>
      <c r="V201" t="s">
        <v>90</v>
      </c>
      <c r="W201" t="s">
        <v>91</v>
      </c>
      <c r="X201" t="s">
        <v>4</v>
      </c>
      <c r="Y201" t="s">
        <v>2191</v>
      </c>
      <c r="Z201" t="s">
        <v>2192</v>
      </c>
      <c r="AA201" t="s">
        <v>2193</v>
      </c>
      <c r="AB201" t="s">
        <v>4</v>
      </c>
      <c r="AC201" s="3" t="s">
        <v>2194</v>
      </c>
      <c r="AD201" t="s">
        <v>4</v>
      </c>
      <c r="AE201" t="s">
        <v>2195</v>
      </c>
      <c r="AF201" t="s">
        <v>2196</v>
      </c>
      <c r="AG201" t="s">
        <v>2197</v>
      </c>
      <c r="AH201" t="s">
        <v>112</v>
      </c>
      <c r="AJ201" t="s">
        <v>2198</v>
      </c>
      <c r="AU201" t="s">
        <v>112</v>
      </c>
      <c r="AV201" t="s">
        <v>2199</v>
      </c>
      <c r="AW201" t="s">
        <v>114</v>
      </c>
      <c r="AX201" t="s">
        <v>144</v>
      </c>
      <c r="AY201" t="s">
        <v>2200</v>
      </c>
      <c r="AZ201" t="s">
        <v>4</v>
      </c>
      <c r="BA201" s="3" t="s">
        <v>95</v>
      </c>
      <c r="BB201" t="s">
        <v>96</v>
      </c>
      <c r="BC201" s="3" t="s">
        <v>95</v>
      </c>
      <c r="BD201" t="s">
        <v>4</v>
      </c>
      <c r="BE201">
        <v>4372</v>
      </c>
      <c r="BF201" t="s">
        <v>112</v>
      </c>
      <c r="BG201">
        <v>96.363600000000005</v>
      </c>
      <c r="BH201">
        <v>100</v>
      </c>
      <c r="BI201">
        <v>85.818200000000004</v>
      </c>
      <c r="BJ201">
        <v>60.363599999999998</v>
      </c>
      <c r="BK201">
        <v>65.454499999999996</v>
      </c>
      <c r="BL201">
        <v>71.2727</v>
      </c>
      <c r="BM201">
        <v>66.545500000000004</v>
      </c>
      <c r="BN201">
        <v>71.2727</v>
      </c>
      <c r="BO201" t="s">
        <v>2201</v>
      </c>
      <c r="BR201">
        <v>26.181799999999999</v>
      </c>
      <c r="BS201">
        <v>21.818200000000001</v>
      </c>
      <c r="BT201">
        <v>26.545500000000001</v>
      </c>
      <c r="CK201">
        <v>5</v>
      </c>
      <c r="CL201" t="s">
        <v>4</v>
      </c>
      <c r="CM201" t="s">
        <v>98</v>
      </c>
      <c r="CN201" t="s">
        <v>98</v>
      </c>
      <c r="CO201" t="s">
        <v>99</v>
      </c>
      <c r="CP201">
        <v>200</v>
      </c>
      <c r="CQ201" t="s">
        <v>100</v>
      </c>
      <c r="CR201" t="s">
        <v>100</v>
      </c>
      <c r="CS201" t="s">
        <v>101</v>
      </c>
      <c r="CT201" t="s">
        <v>100</v>
      </c>
      <c r="CU201" t="s">
        <v>102</v>
      </c>
      <c r="CV201" t="s">
        <v>100</v>
      </c>
    </row>
    <row r="202" spans="1:100">
      <c r="A202" s="3" t="s">
        <v>2202</v>
      </c>
      <c r="B202" s="4" t="s">
        <v>2203</v>
      </c>
      <c r="C202">
        <v>157.094663349717</v>
      </c>
      <c r="D202">
        <v>15.290480857538901</v>
      </c>
      <c r="E202">
        <v>3.3547054575023298</v>
      </c>
      <c r="F202" s="5">
        <v>1.58517222167528E-11</v>
      </c>
      <c r="G202" t="s">
        <v>4</v>
      </c>
      <c r="H202">
        <v>157.094663349717</v>
      </c>
      <c r="I202">
        <v>11.080216771996099</v>
      </c>
      <c r="J202">
        <v>3.7979935922300898</v>
      </c>
      <c r="K202" s="5">
        <v>1.15802969502195E-12</v>
      </c>
      <c r="L202" t="s">
        <v>4</v>
      </c>
      <c r="M202">
        <v>15.290480857538901</v>
      </c>
      <c r="N202">
        <v>11.080216771996099</v>
      </c>
      <c r="O202">
        <v>0.44328813472775902</v>
      </c>
      <c r="P202">
        <v>0.51352371501126304</v>
      </c>
      <c r="Q202" t="s">
        <v>4</v>
      </c>
      <c r="R202" s="4" t="s">
        <v>87</v>
      </c>
      <c r="S202" t="s">
        <v>4</v>
      </c>
      <c r="T202" t="s">
        <v>92</v>
      </c>
      <c r="U202" t="s">
        <v>92</v>
      </c>
      <c r="V202" t="s">
        <v>92</v>
      </c>
      <c r="W202" t="s">
        <v>92</v>
      </c>
      <c r="X202" t="s">
        <v>4</v>
      </c>
      <c r="Y202" t="s">
        <v>92</v>
      </c>
      <c r="Z202" t="s">
        <v>92</v>
      </c>
      <c r="AA202" t="s">
        <v>92</v>
      </c>
      <c r="AB202" t="s">
        <v>4</v>
      </c>
      <c r="AC202" s="3" t="s">
        <v>93</v>
      </c>
      <c r="AD202" t="s">
        <v>4</v>
      </c>
      <c r="AE202" s="4" t="s">
        <v>94</v>
      </c>
      <c r="AZ202" t="s">
        <v>4</v>
      </c>
      <c r="BA202" s="3" t="s">
        <v>95</v>
      </c>
      <c r="BB202" t="s">
        <v>96</v>
      </c>
      <c r="BC202" s="3" t="s">
        <v>197</v>
      </c>
      <c r="BD202" t="s">
        <v>4</v>
      </c>
      <c r="BE202">
        <v>2781</v>
      </c>
      <c r="BF202" t="s">
        <v>97</v>
      </c>
      <c r="BG202">
        <v>78.443100000000001</v>
      </c>
      <c r="BH202">
        <v>79.640699999999995</v>
      </c>
      <c r="BI202">
        <v>68.862300000000005</v>
      </c>
      <c r="BL202">
        <v>57.484999999999999</v>
      </c>
      <c r="BM202">
        <v>32.335299999999997</v>
      </c>
      <c r="BN202">
        <v>55.688600000000001</v>
      </c>
      <c r="BO202">
        <v>34.730499999999999</v>
      </c>
      <c r="BP202" t="s">
        <v>2204</v>
      </c>
      <c r="CK202">
        <v>4</v>
      </c>
      <c r="CL202" t="s">
        <v>4</v>
      </c>
      <c r="CM202" t="s">
        <v>98</v>
      </c>
      <c r="CN202" t="s">
        <v>98</v>
      </c>
      <c r="CO202" t="s">
        <v>99</v>
      </c>
      <c r="CP202">
        <v>201</v>
      </c>
      <c r="CQ202" t="s">
        <v>100</v>
      </c>
      <c r="CR202" t="s">
        <v>100</v>
      </c>
      <c r="CS202" t="s">
        <v>101</v>
      </c>
      <c r="CT202" t="s">
        <v>100</v>
      </c>
      <c r="CU202" t="s">
        <v>102</v>
      </c>
      <c r="CV202" t="s">
        <v>100</v>
      </c>
    </row>
    <row r="203" spans="1:100">
      <c r="A203" s="3" t="s">
        <v>2205</v>
      </c>
      <c r="B203" s="4" t="s">
        <v>2206</v>
      </c>
      <c r="C203">
        <v>61.145050691126201</v>
      </c>
      <c r="D203">
        <v>11.794779123518399</v>
      </c>
      <c r="E203">
        <v>2.3794363067042101</v>
      </c>
      <c r="F203">
        <v>1.11176181415761E-3</v>
      </c>
      <c r="G203" t="s">
        <v>4</v>
      </c>
      <c r="H203">
        <v>61.145050691126201</v>
      </c>
      <c r="I203">
        <v>3.3928780366459801</v>
      </c>
      <c r="J203">
        <v>4.2176398115254301</v>
      </c>
      <c r="K203" s="5">
        <v>1.1186512920117099E-6</v>
      </c>
      <c r="L203" t="s">
        <v>4</v>
      </c>
      <c r="M203">
        <v>11.794779123518399</v>
      </c>
      <c r="N203">
        <v>3.3928780366459801</v>
      </c>
      <c r="O203">
        <v>1.83820350482123</v>
      </c>
      <c r="P203">
        <v>5.0934926577431101E-2</v>
      </c>
      <c r="Q203" t="s">
        <v>4</v>
      </c>
      <c r="R203" s="4" t="s">
        <v>87</v>
      </c>
      <c r="S203" t="s">
        <v>4</v>
      </c>
      <c r="T203" t="s">
        <v>88</v>
      </c>
      <c r="U203" t="s">
        <v>89</v>
      </c>
      <c r="V203" t="s">
        <v>90</v>
      </c>
      <c r="W203" t="s">
        <v>91</v>
      </c>
      <c r="X203" t="s">
        <v>4</v>
      </c>
      <c r="Y203" t="s">
        <v>2207</v>
      </c>
      <c r="Z203" t="s">
        <v>2208</v>
      </c>
      <c r="AA203" t="s">
        <v>2209</v>
      </c>
      <c r="AB203" t="s">
        <v>4</v>
      </c>
      <c r="AC203" s="3" t="s">
        <v>93</v>
      </c>
      <c r="AD203" t="s">
        <v>4</v>
      </c>
      <c r="AE203" s="4" t="s">
        <v>94</v>
      </c>
      <c r="AZ203" t="s">
        <v>4</v>
      </c>
      <c r="BA203" s="3" t="s">
        <v>95</v>
      </c>
      <c r="BB203" t="s">
        <v>96</v>
      </c>
      <c r="BC203" s="3" t="s">
        <v>95</v>
      </c>
      <c r="BD203" t="s">
        <v>4</v>
      </c>
      <c r="BE203">
        <v>1325</v>
      </c>
      <c r="BF203" t="s">
        <v>151</v>
      </c>
      <c r="BG203">
        <v>96.407200000000003</v>
      </c>
      <c r="BH203">
        <v>99.700599999999994</v>
      </c>
      <c r="BJ203">
        <v>59.880200000000002</v>
      </c>
      <c r="BK203">
        <v>50.598799999999997</v>
      </c>
      <c r="BL203">
        <v>30.538900000000002</v>
      </c>
      <c r="BM203" t="s">
        <v>2210</v>
      </c>
      <c r="BN203" t="s">
        <v>2211</v>
      </c>
      <c r="BO203">
        <v>62.874299999999998</v>
      </c>
      <c r="CK203">
        <v>2</v>
      </c>
      <c r="CL203" t="s">
        <v>4</v>
      </c>
      <c r="CM203" t="s">
        <v>98</v>
      </c>
      <c r="CN203" t="s">
        <v>98</v>
      </c>
      <c r="CO203" t="s">
        <v>99</v>
      </c>
      <c r="CP203">
        <v>202</v>
      </c>
      <c r="CQ203" t="s">
        <v>100</v>
      </c>
      <c r="CR203" t="s">
        <v>100</v>
      </c>
      <c r="CS203" t="s">
        <v>101</v>
      </c>
      <c r="CT203" t="s">
        <v>100</v>
      </c>
      <c r="CU203" t="s">
        <v>102</v>
      </c>
      <c r="CV203" t="s">
        <v>100</v>
      </c>
    </row>
    <row r="204" spans="1:100">
      <c r="A204" s="3" t="s">
        <v>2212</v>
      </c>
      <c r="B204" s="4" t="s">
        <v>2213</v>
      </c>
      <c r="C204">
        <v>847.135553261523</v>
      </c>
      <c r="D204">
        <v>97.655116261574605</v>
      </c>
      <c r="E204">
        <v>3.1153804098413498</v>
      </c>
      <c r="F204" s="5">
        <v>4.9936276138771199E-11</v>
      </c>
      <c r="G204" t="s">
        <v>4</v>
      </c>
      <c r="H204">
        <v>847.135553261523</v>
      </c>
      <c r="I204">
        <v>29.802371263168801</v>
      </c>
      <c r="J204">
        <v>4.7815233328425597</v>
      </c>
      <c r="K204" s="5">
        <v>1.01351858729357E-22</v>
      </c>
      <c r="L204" t="s">
        <v>4</v>
      </c>
      <c r="M204">
        <v>97.655116261574605</v>
      </c>
      <c r="N204">
        <v>29.802371263168801</v>
      </c>
      <c r="O204">
        <v>1.6661429230012199</v>
      </c>
      <c r="P204">
        <v>1.2146121865267299E-3</v>
      </c>
      <c r="Q204" t="s">
        <v>4</v>
      </c>
      <c r="R204" s="4" t="s">
        <v>87</v>
      </c>
      <c r="S204" t="s">
        <v>4</v>
      </c>
      <c r="T204" t="s">
        <v>2214</v>
      </c>
      <c r="U204" t="s">
        <v>2215</v>
      </c>
      <c r="V204" t="s">
        <v>2216</v>
      </c>
      <c r="W204" t="s">
        <v>328</v>
      </c>
      <c r="X204" t="s">
        <v>4</v>
      </c>
      <c r="Y204" t="s">
        <v>2217</v>
      </c>
      <c r="Z204" t="s">
        <v>2218</v>
      </c>
      <c r="AA204" t="s">
        <v>2219</v>
      </c>
      <c r="AB204" t="s">
        <v>4</v>
      </c>
      <c r="AC204" s="3" t="s">
        <v>2220</v>
      </c>
      <c r="AD204" t="s">
        <v>4</v>
      </c>
      <c r="AE204" t="s">
        <v>2221</v>
      </c>
      <c r="AF204" t="s">
        <v>2222</v>
      </c>
      <c r="AG204" t="s">
        <v>2223</v>
      </c>
      <c r="AH204" t="s">
        <v>282</v>
      </c>
      <c r="AU204" t="s">
        <v>112</v>
      </c>
      <c r="AV204" t="s">
        <v>2224</v>
      </c>
      <c r="AW204" t="s">
        <v>114</v>
      </c>
      <c r="AX204" t="s">
        <v>371</v>
      </c>
      <c r="AY204" t="s">
        <v>2225</v>
      </c>
      <c r="AZ204" t="s">
        <v>4</v>
      </c>
      <c r="BA204" s="3" t="s">
        <v>95</v>
      </c>
      <c r="BB204" s="6" t="s">
        <v>95</v>
      </c>
      <c r="BC204" s="3" t="s">
        <v>95</v>
      </c>
      <c r="BD204" t="s">
        <v>4</v>
      </c>
      <c r="BE204">
        <v>2800</v>
      </c>
      <c r="BF204" t="s">
        <v>97</v>
      </c>
      <c r="BG204">
        <v>97.154499999999999</v>
      </c>
      <c r="BH204">
        <v>97.764200000000002</v>
      </c>
      <c r="BI204">
        <v>92.276399999999995</v>
      </c>
      <c r="BK204">
        <v>9.7561</v>
      </c>
      <c r="BL204" t="s">
        <v>2226</v>
      </c>
      <c r="BM204">
        <v>43.292700000000004</v>
      </c>
      <c r="BP204">
        <v>13.617900000000001</v>
      </c>
      <c r="CK204">
        <v>4</v>
      </c>
      <c r="CL204" t="s">
        <v>4</v>
      </c>
      <c r="CM204" t="s">
        <v>98</v>
      </c>
      <c r="CN204" t="s">
        <v>98</v>
      </c>
      <c r="CO204" t="s">
        <v>99</v>
      </c>
      <c r="CP204">
        <v>203</v>
      </c>
      <c r="CQ204" t="s">
        <v>100</v>
      </c>
      <c r="CR204" t="s">
        <v>100</v>
      </c>
      <c r="CS204" t="s">
        <v>101</v>
      </c>
      <c r="CT204" s="7" t="s">
        <v>152</v>
      </c>
      <c r="CU204" t="s">
        <v>102</v>
      </c>
      <c r="CV204" t="s">
        <v>100</v>
      </c>
    </row>
    <row r="205" spans="1:100">
      <c r="A205" s="3" t="s">
        <v>2227</v>
      </c>
      <c r="B205" s="4" t="s">
        <v>2228</v>
      </c>
      <c r="C205">
        <v>1098.79187434506</v>
      </c>
      <c r="D205">
        <v>156.72624767983299</v>
      </c>
      <c r="E205">
        <v>2.8101351226428402</v>
      </c>
      <c r="F205" s="5">
        <v>5.0423327730811903E-19</v>
      </c>
      <c r="G205" t="s">
        <v>4</v>
      </c>
      <c r="H205">
        <v>1098.79187434506</v>
      </c>
      <c r="I205">
        <v>35.971918017809102</v>
      </c>
      <c r="J205">
        <v>4.9165201480463701</v>
      </c>
      <c r="K205" s="5">
        <v>1.71080853420665E-46</v>
      </c>
      <c r="L205" t="s">
        <v>4</v>
      </c>
      <c r="M205">
        <v>156.72624767983299</v>
      </c>
      <c r="N205">
        <v>35.971918017809102</v>
      </c>
      <c r="O205">
        <v>2.1063850254035201</v>
      </c>
      <c r="P205" s="5">
        <v>3.3790133980245299E-9</v>
      </c>
      <c r="Q205" t="s">
        <v>4</v>
      </c>
      <c r="R205" s="4" t="s">
        <v>87</v>
      </c>
      <c r="S205" t="s">
        <v>4</v>
      </c>
      <c r="T205" t="s">
        <v>2229</v>
      </c>
      <c r="U205" t="s">
        <v>2230</v>
      </c>
      <c r="V205" t="s">
        <v>2231</v>
      </c>
      <c r="W205" t="s">
        <v>91</v>
      </c>
      <c r="X205" t="s">
        <v>4</v>
      </c>
      <c r="Y205" t="s">
        <v>2232</v>
      </c>
      <c r="Z205" t="s">
        <v>2233</v>
      </c>
      <c r="AA205" t="s">
        <v>2234</v>
      </c>
      <c r="AB205" t="s">
        <v>4</v>
      </c>
      <c r="AC205" s="3" t="s">
        <v>2235</v>
      </c>
      <c r="AD205" t="s">
        <v>4</v>
      </c>
      <c r="AE205" t="s">
        <v>2236</v>
      </c>
      <c r="AF205" t="s">
        <v>2237</v>
      </c>
      <c r="AG205" t="s">
        <v>2238</v>
      </c>
      <c r="AH205" t="s">
        <v>386</v>
      </c>
      <c r="AU205" t="s">
        <v>112</v>
      </c>
      <c r="AV205" t="s">
        <v>2239</v>
      </c>
      <c r="AW205" t="s">
        <v>114</v>
      </c>
      <c r="AX205" t="s">
        <v>167</v>
      </c>
      <c r="AY205" t="s">
        <v>2240</v>
      </c>
      <c r="AZ205" t="s">
        <v>4</v>
      </c>
      <c r="BA205" s="3" t="s">
        <v>115</v>
      </c>
      <c r="BB205" s="6" t="s">
        <v>95</v>
      </c>
      <c r="BC205" s="3" t="s">
        <v>95</v>
      </c>
      <c r="BD205" t="s">
        <v>4</v>
      </c>
      <c r="BE205">
        <v>10271</v>
      </c>
      <c r="BF205" t="s">
        <v>169</v>
      </c>
      <c r="BG205">
        <v>90.526300000000006</v>
      </c>
      <c r="BH205">
        <v>93.157899999999998</v>
      </c>
      <c r="BI205">
        <v>85.789500000000004</v>
      </c>
      <c r="BJ205">
        <v>74.736800000000002</v>
      </c>
      <c r="BK205">
        <v>74.736800000000002</v>
      </c>
      <c r="BL205">
        <v>82.631600000000006</v>
      </c>
      <c r="BM205">
        <v>77.8947</v>
      </c>
      <c r="BN205">
        <v>78.947400000000002</v>
      </c>
      <c r="BO205">
        <v>76.842100000000002</v>
      </c>
      <c r="BP205">
        <v>32.631599999999999</v>
      </c>
      <c r="BW205">
        <v>45.789499999999997</v>
      </c>
      <c r="BX205">
        <v>55.263199999999998</v>
      </c>
      <c r="BZ205">
        <v>44.210500000000003</v>
      </c>
      <c r="CE205">
        <v>39.473700000000001</v>
      </c>
      <c r="CG205">
        <v>41.578899999999997</v>
      </c>
      <c r="CH205">
        <v>40</v>
      </c>
      <c r="CI205">
        <v>32.1053</v>
      </c>
      <c r="CJ205">
        <v>26.315799999999999</v>
      </c>
      <c r="CK205">
        <v>9</v>
      </c>
      <c r="CL205" t="s">
        <v>4</v>
      </c>
      <c r="CM205" t="s">
        <v>98</v>
      </c>
      <c r="CN205" t="s">
        <v>98</v>
      </c>
      <c r="CO205" t="s">
        <v>99</v>
      </c>
      <c r="CP205">
        <v>204</v>
      </c>
      <c r="CQ205" t="s">
        <v>100</v>
      </c>
      <c r="CR205" t="s">
        <v>100</v>
      </c>
      <c r="CS205" t="s">
        <v>101</v>
      </c>
      <c r="CT205" t="s">
        <v>152</v>
      </c>
      <c r="CU205" t="s">
        <v>102</v>
      </c>
      <c r="CV205" t="s">
        <v>100</v>
      </c>
    </row>
    <row r="206" spans="1:100">
      <c r="A206" s="3" t="s">
        <v>2241</v>
      </c>
      <c r="B206" s="4" t="s">
        <v>2242</v>
      </c>
      <c r="C206">
        <v>96.805333290202398</v>
      </c>
      <c r="D206">
        <v>17.983973890357198</v>
      </c>
      <c r="E206">
        <v>2.4317699214059201</v>
      </c>
      <c r="F206">
        <v>1.2888688946262E-3</v>
      </c>
      <c r="G206" t="s">
        <v>4</v>
      </c>
      <c r="H206">
        <v>96.805333290202398</v>
      </c>
      <c r="I206">
        <v>15.6743494657435</v>
      </c>
      <c r="J206">
        <v>2.6068417339591399</v>
      </c>
      <c r="K206">
        <v>5.36452793887352E-4</v>
      </c>
      <c r="L206" t="s">
        <v>4</v>
      </c>
      <c r="M206">
        <v>17.983973890357198</v>
      </c>
      <c r="N206">
        <v>15.6743494657435</v>
      </c>
      <c r="O206">
        <v>0.17507181255322099</v>
      </c>
      <c r="P206">
        <v>0.85973050989267896</v>
      </c>
      <c r="Q206" t="s">
        <v>4</v>
      </c>
      <c r="R206" s="4" t="s">
        <v>87</v>
      </c>
      <c r="S206" t="s">
        <v>4</v>
      </c>
      <c r="T206" t="s">
        <v>2243</v>
      </c>
      <c r="U206" t="s">
        <v>2244</v>
      </c>
      <c r="V206" t="s">
        <v>2245</v>
      </c>
      <c r="W206" t="s">
        <v>123</v>
      </c>
      <c r="X206" t="s">
        <v>4</v>
      </c>
      <c r="Y206" t="s">
        <v>2246</v>
      </c>
      <c r="Z206" t="s">
        <v>2247</v>
      </c>
      <c r="AA206" t="s">
        <v>2248</v>
      </c>
      <c r="AB206" t="s">
        <v>4</v>
      </c>
      <c r="AC206" s="3" t="s">
        <v>2249</v>
      </c>
      <c r="AD206" t="s">
        <v>4</v>
      </c>
      <c r="AE206" t="s">
        <v>2250</v>
      </c>
      <c r="AF206" t="s">
        <v>2251</v>
      </c>
      <c r="AG206" t="s">
        <v>2252</v>
      </c>
      <c r="AH206" t="s">
        <v>2253</v>
      </c>
      <c r="AU206" t="s">
        <v>112</v>
      </c>
      <c r="AV206" t="s">
        <v>2254</v>
      </c>
      <c r="AW206" t="s">
        <v>114</v>
      </c>
      <c r="AX206" t="s">
        <v>1938</v>
      </c>
      <c r="AY206" t="s">
        <v>2255</v>
      </c>
      <c r="AZ206" t="s">
        <v>4</v>
      </c>
      <c r="BA206" s="3" t="s">
        <v>95</v>
      </c>
      <c r="BB206" s="6" t="s">
        <v>95</v>
      </c>
      <c r="BC206" s="3" t="s">
        <v>95</v>
      </c>
      <c r="BD206" t="s">
        <v>4</v>
      </c>
      <c r="BE206">
        <v>8021</v>
      </c>
      <c r="BF206" t="s">
        <v>213</v>
      </c>
      <c r="BI206">
        <v>69.069500000000005</v>
      </c>
      <c r="BK206">
        <v>50.851900000000001</v>
      </c>
      <c r="BN206">
        <v>30.537400000000002</v>
      </c>
      <c r="BO206">
        <v>59.239800000000002</v>
      </c>
      <c r="BP206">
        <v>32.241199999999999</v>
      </c>
      <c r="BQ206">
        <v>20.969899999999999</v>
      </c>
      <c r="BR206">
        <v>20.052399999999999</v>
      </c>
      <c r="BS206">
        <v>20.445599999999999</v>
      </c>
      <c r="BW206">
        <v>23.853200000000001</v>
      </c>
      <c r="BX206">
        <v>19.921399999999998</v>
      </c>
      <c r="BZ206">
        <v>9.6985600000000005</v>
      </c>
      <c r="CA206">
        <v>20.314499999999999</v>
      </c>
      <c r="CB206">
        <v>14.4168</v>
      </c>
      <c r="CC206">
        <v>20.576699999999999</v>
      </c>
      <c r="CD206">
        <v>18.086500000000001</v>
      </c>
      <c r="CG206">
        <v>19.790299999999998</v>
      </c>
      <c r="CH206">
        <v>18.741800000000001</v>
      </c>
      <c r="CI206">
        <v>19.790299999999998</v>
      </c>
      <c r="CK206">
        <v>8</v>
      </c>
      <c r="CL206" t="s">
        <v>4</v>
      </c>
      <c r="CM206" t="s">
        <v>2256</v>
      </c>
      <c r="CN206" t="s">
        <v>2257</v>
      </c>
      <c r="CO206" t="s">
        <v>219</v>
      </c>
      <c r="CP206">
        <v>205</v>
      </c>
      <c r="CQ206" t="s">
        <v>100</v>
      </c>
      <c r="CR206" t="s">
        <v>100</v>
      </c>
      <c r="CS206" t="s">
        <v>101</v>
      </c>
      <c r="CT206" t="s">
        <v>100</v>
      </c>
      <c r="CU206" t="s">
        <v>102</v>
      </c>
      <c r="CV206" t="s">
        <v>100</v>
      </c>
    </row>
    <row r="207" spans="1:100">
      <c r="A207" s="3" t="s">
        <v>2258</v>
      </c>
      <c r="B207" s="4" t="s">
        <v>2259</v>
      </c>
      <c r="C207">
        <v>36.163182320794398</v>
      </c>
      <c r="D207">
        <v>4.0038345554357404</v>
      </c>
      <c r="E207">
        <v>3.1558450606233901</v>
      </c>
      <c r="F207">
        <v>1.0705007680003701E-4</v>
      </c>
      <c r="G207" t="s">
        <v>4</v>
      </c>
      <c r="H207">
        <v>36.163182320794398</v>
      </c>
      <c r="I207">
        <v>8.8920660019222204</v>
      </c>
      <c r="J207">
        <v>2.0649913374037498</v>
      </c>
      <c r="K207">
        <v>7.6920881323322698E-3</v>
      </c>
      <c r="L207" t="s">
        <v>4</v>
      </c>
      <c r="M207">
        <v>4.0038345554357404</v>
      </c>
      <c r="N207">
        <v>8.8920660019222204</v>
      </c>
      <c r="O207">
        <f>-1.09085372321965</f>
        <v>-1.09085372321965</v>
      </c>
      <c r="P207">
        <v>0.24684376194399099</v>
      </c>
      <c r="Q207" t="s">
        <v>4</v>
      </c>
      <c r="R207" s="4" t="s">
        <v>87</v>
      </c>
      <c r="S207" t="s">
        <v>4</v>
      </c>
      <c r="T207" t="s">
        <v>92</v>
      </c>
      <c r="U207" t="s">
        <v>92</v>
      </c>
      <c r="V207" t="s">
        <v>92</v>
      </c>
      <c r="W207" t="s">
        <v>92</v>
      </c>
      <c r="X207" t="s">
        <v>4</v>
      </c>
      <c r="Y207" t="s">
        <v>92</v>
      </c>
      <c r="Z207" t="s">
        <v>92</v>
      </c>
      <c r="AA207" t="s">
        <v>92</v>
      </c>
      <c r="AB207" t="s">
        <v>4</v>
      </c>
      <c r="AC207" s="3" t="s">
        <v>93</v>
      </c>
      <c r="AD207" t="s">
        <v>4</v>
      </c>
      <c r="AE207" s="4" t="s">
        <v>94</v>
      </c>
      <c r="AZ207" t="s">
        <v>4</v>
      </c>
      <c r="BA207" s="3" t="s">
        <v>95</v>
      </c>
      <c r="BB207" s="6" t="s">
        <v>95</v>
      </c>
      <c r="BC207" s="3" t="s">
        <v>197</v>
      </c>
      <c r="BD207" t="s">
        <v>4</v>
      </c>
      <c r="BE207">
        <v>1342</v>
      </c>
      <c r="BF207" t="s">
        <v>151</v>
      </c>
      <c r="BG207">
        <v>98.347099999999998</v>
      </c>
      <c r="BH207">
        <v>72.7273</v>
      </c>
      <c r="BI207">
        <v>61.983499999999999</v>
      </c>
      <c r="BJ207">
        <v>82.644599999999997</v>
      </c>
      <c r="BK207">
        <v>60.330599999999997</v>
      </c>
      <c r="BL207">
        <v>52.066099999999999</v>
      </c>
      <c r="BM207">
        <v>47.933900000000001</v>
      </c>
      <c r="BN207">
        <v>57.024799999999999</v>
      </c>
      <c r="BO207">
        <v>61.983499999999999</v>
      </c>
      <c r="CK207">
        <v>2</v>
      </c>
      <c r="CL207" t="s">
        <v>4</v>
      </c>
      <c r="CM207" t="s">
        <v>98</v>
      </c>
      <c r="CN207" t="s">
        <v>98</v>
      </c>
      <c r="CO207" t="s">
        <v>99</v>
      </c>
      <c r="CP207">
        <v>206</v>
      </c>
      <c r="CQ207" t="s">
        <v>100</v>
      </c>
      <c r="CR207" t="s">
        <v>100</v>
      </c>
      <c r="CS207" t="s">
        <v>101</v>
      </c>
      <c r="CT207" t="s">
        <v>100</v>
      </c>
      <c r="CU207" t="s">
        <v>102</v>
      </c>
      <c r="CV207" t="s">
        <v>100</v>
      </c>
    </row>
    <row r="208" spans="1:100">
      <c r="A208" s="3" t="s">
        <v>2260</v>
      </c>
      <c r="B208" s="4" t="s">
        <v>2261</v>
      </c>
      <c r="C208">
        <v>129.09574841439701</v>
      </c>
      <c r="D208">
        <v>28.549237363253699</v>
      </c>
      <c r="E208">
        <v>2.1776136247175799</v>
      </c>
      <c r="F208" s="5">
        <v>5.2637744701100197E-6</v>
      </c>
      <c r="G208" t="s">
        <v>4</v>
      </c>
      <c r="H208">
        <v>129.09574841439701</v>
      </c>
      <c r="I208">
        <v>17.204015912373901</v>
      </c>
      <c r="J208">
        <v>2.9125409592315501</v>
      </c>
      <c r="K208" s="5">
        <v>6.0332262945869999E-9</v>
      </c>
      <c r="L208" t="s">
        <v>4</v>
      </c>
      <c r="M208">
        <v>28.549237363253699</v>
      </c>
      <c r="N208">
        <v>17.204015912373901</v>
      </c>
      <c r="O208">
        <v>0.73492733451397796</v>
      </c>
      <c r="P208">
        <v>0.201803547406984</v>
      </c>
      <c r="Q208" t="s">
        <v>4</v>
      </c>
      <c r="R208" s="4" t="s">
        <v>87</v>
      </c>
      <c r="S208" t="s">
        <v>4</v>
      </c>
      <c r="T208" t="s">
        <v>2243</v>
      </c>
      <c r="U208" t="s">
        <v>2244</v>
      </c>
      <c r="V208" t="s">
        <v>2245</v>
      </c>
      <c r="W208" t="s">
        <v>123</v>
      </c>
      <c r="X208" t="s">
        <v>4</v>
      </c>
      <c r="Y208" t="s">
        <v>2262</v>
      </c>
      <c r="Z208" t="s">
        <v>2263</v>
      </c>
      <c r="AA208" t="s">
        <v>2264</v>
      </c>
      <c r="AB208" t="s">
        <v>4</v>
      </c>
      <c r="AC208" s="3" t="s">
        <v>2265</v>
      </c>
      <c r="AD208" t="s">
        <v>4</v>
      </c>
      <c r="AE208" t="s">
        <v>2266</v>
      </c>
      <c r="AF208" t="s">
        <v>2267</v>
      </c>
      <c r="AG208" t="s">
        <v>2268</v>
      </c>
      <c r="AH208" t="s">
        <v>386</v>
      </c>
      <c r="AU208" t="s">
        <v>112</v>
      </c>
      <c r="AV208" t="s">
        <v>2269</v>
      </c>
      <c r="AW208" t="s">
        <v>114</v>
      </c>
      <c r="AX208" t="s">
        <v>371</v>
      </c>
      <c r="AY208" t="s">
        <v>2270</v>
      </c>
      <c r="AZ208" t="s">
        <v>4</v>
      </c>
      <c r="BA208" s="3" t="s">
        <v>95</v>
      </c>
      <c r="BB208" s="6" t="s">
        <v>95</v>
      </c>
      <c r="BC208" s="3" t="s">
        <v>95</v>
      </c>
      <c r="BD208" t="s">
        <v>4</v>
      </c>
      <c r="BE208">
        <v>8035</v>
      </c>
      <c r="BF208" t="s">
        <v>213</v>
      </c>
      <c r="BG208">
        <v>72.835800000000006</v>
      </c>
      <c r="BH208">
        <v>46.268700000000003</v>
      </c>
      <c r="BI208">
        <v>68.059700000000007</v>
      </c>
      <c r="BJ208" t="s">
        <v>2271</v>
      </c>
      <c r="BK208">
        <v>53.731299999999997</v>
      </c>
      <c r="BL208">
        <v>49.253700000000002</v>
      </c>
      <c r="BM208">
        <v>58.5075</v>
      </c>
      <c r="BN208">
        <v>71.641800000000003</v>
      </c>
      <c r="BO208">
        <v>74.029899999999998</v>
      </c>
      <c r="BP208">
        <v>42.985100000000003</v>
      </c>
      <c r="BQ208">
        <v>36.417900000000003</v>
      </c>
      <c r="CD208">
        <v>28.3582</v>
      </c>
      <c r="CE208">
        <v>24.7761</v>
      </c>
      <c r="CG208" t="s">
        <v>2272</v>
      </c>
      <c r="CH208" t="s">
        <v>2273</v>
      </c>
      <c r="CI208" t="s">
        <v>2274</v>
      </c>
      <c r="CK208">
        <v>8</v>
      </c>
      <c r="CL208" t="s">
        <v>4</v>
      </c>
      <c r="CM208" t="s">
        <v>98</v>
      </c>
      <c r="CN208" t="s">
        <v>98</v>
      </c>
      <c r="CO208" t="s">
        <v>99</v>
      </c>
      <c r="CP208">
        <v>207</v>
      </c>
      <c r="CQ208" t="s">
        <v>100</v>
      </c>
      <c r="CR208" t="s">
        <v>100</v>
      </c>
      <c r="CS208" t="s">
        <v>101</v>
      </c>
      <c r="CT208" t="s">
        <v>100</v>
      </c>
      <c r="CU208" t="s">
        <v>102</v>
      </c>
      <c r="CV208" t="s">
        <v>100</v>
      </c>
    </row>
    <row r="209" spans="1:100">
      <c r="A209" s="3" t="s">
        <v>2275</v>
      </c>
      <c r="B209" s="4" t="s">
        <v>2276</v>
      </c>
      <c r="C209">
        <v>73.896529263619001</v>
      </c>
      <c r="D209">
        <v>14.2555931858461</v>
      </c>
      <c r="E209">
        <v>2.3841726973975299</v>
      </c>
      <c r="F209">
        <v>5.6349721252928902E-4</v>
      </c>
      <c r="G209" t="s">
        <v>4</v>
      </c>
      <c r="H209">
        <v>73.896529263619001</v>
      </c>
      <c r="I209">
        <v>13.223872458438899</v>
      </c>
      <c r="J209">
        <v>2.4689291899218899</v>
      </c>
      <c r="K209">
        <v>3.8977959031768301E-4</v>
      </c>
      <c r="L209" t="s">
        <v>4</v>
      </c>
      <c r="M209">
        <v>14.2555931858461</v>
      </c>
      <c r="N209">
        <v>13.223872458438899</v>
      </c>
      <c r="O209">
        <v>8.47564925243533E-2</v>
      </c>
      <c r="P209">
        <v>0.93128017484501802</v>
      </c>
      <c r="Q209" t="s">
        <v>4</v>
      </c>
      <c r="R209" s="4" t="s">
        <v>87</v>
      </c>
      <c r="S209" t="s">
        <v>4</v>
      </c>
      <c r="T209" t="s">
        <v>92</v>
      </c>
      <c r="U209" t="s">
        <v>92</v>
      </c>
      <c r="V209" t="s">
        <v>92</v>
      </c>
      <c r="W209" t="s">
        <v>92</v>
      </c>
      <c r="X209" t="s">
        <v>4</v>
      </c>
      <c r="Y209" t="s">
        <v>2277</v>
      </c>
      <c r="Z209" t="s">
        <v>2278</v>
      </c>
      <c r="AA209" t="s">
        <v>2279</v>
      </c>
      <c r="AB209" t="s">
        <v>4</v>
      </c>
      <c r="AC209" s="3" t="s">
        <v>93</v>
      </c>
      <c r="AD209" t="s">
        <v>4</v>
      </c>
      <c r="AE209" t="s">
        <v>2280</v>
      </c>
      <c r="AF209" t="s">
        <v>2281</v>
      </c>
      <c r="AG209" t="s">
        <v>2282</v>
      </c>
      <c r="AH209" t="s">
        <v>638</v>
      </c>
      <c r="AU209" t="s">
        <v>112</v>
      </c>
      <c r="AV209" t="s">
        <v>2283</v>
      </c>
      <c r="AW209" t="s">
        <v>114</v>
      </c>
      <c r="AX209" t="s">
        <v>144</v>
      </c>
      <c r="AY209" t="s">
        <v>2284</v>
      </c>
      <c r="AZ209" t="s">
        <v>4</v>
      </c>
      <c r="BA209" s="3" t="s">
        <v>95</v>
      </c>
      <c r="BB209" s="6" t="s">
        <v>95</v>
      </c>
      <c r="BC209" s="3" t="s">
        <v>95</v>
      </c>
      <c r="BD209" t="s">
        <v>4</v>
      </c>
      <c r="BE209">
        <v>2824</v>
      </c>
      <c r="BF209" t="s">
        <v>97</v>
      </c>
      <c r="BG209">
        <v>96.093800000000002</v>
      </c>
      <c r="BH209">
        <v>99.479200000000006</v>
      </c>
      <c r="BI209">
        <v>71.354200000000006</v>
      </c>
      <c r="BJ209">
        <v>10.9375</v>
      </c>
      <c r="BK209">
        <v>53.125</v>
      </c>
      <c r="BL209">
        <v>66.406199999999998</v>
      </c>
      <c r="BM209">
        <v>67.708299999999994</v>
      </c>
      <c r="BN209">
        <v>64.583299999999994</v>
      </c>
      <c r="BO209">
        <v>57.031199999999998</v>
      </c>
      <c r="BP209" t="s">
        <v>2285</v>
      </c>
      <c r="CK209">
        <v>4</v>
      </c>
      <c r="CL209" t="s">
        <v>4</v>
      </c>
      <c r="CM209" t="s">
        <v>98</v>
      </c>
      <c r="CN209" t="s">
        <v>98</v>
      </c>
      <c r="CO209" t="s">
        <v>99</v>
      </c>
      <c r="CP209">
        <v>208</v>
      </c>
      <c r="CQ209" t="s">
        <v>100</v>
      </c>
      <c r="CR209" t="s">
        <v>100</v>
      </c>
      <c r="CS209" t="s">
        <v>101</v>
      </c>
      <c r="CT209" t="s">
        <v>100</v>
      </c>
      <c r="CU209" t="s">
        <v>102</v>
      </c>
      <c r="CV209" t="s">
        <v>100</v>
      </c>
    </row>
    <row r="210" spans="1:100">
      <c r="A210" s="3" t="s">
        <v>2286</v>
      </c>
      <c r="B210" s="4" t="s">
        <v>2287</v>
      </c>
      <c r="C210">
        <v>170.077348082697</v>
      </c>
      <c r="D210">
        <v>24.735306897874398</v>
      </c>
      <c r="E210">
        <v>2.7876452544184098</v>
      </c>
      <c r="F210" s="5">
        <v>4.8547095641449101E-5</v>
      </c>
      <c r="G210" t="s">
        <v>4</v>
      </c>
      <c r="H210">
        <v>170.077348082697</v>
      </c>
      <c r="I210">
        <v>35.946304234705103</v>
      </c>
      <c r="J210">
        <v>2.23981199584142</v>
      </c>
      <c r="K210">
        <v>9.7564295949779402E-4</v>
      </c>
      <c r="L210" t="s">
        <v>4</v>
      </c>
      <c r="M210">
        <v>24.735306897874398</v>
      </c>
      <c r="N210">
        <v>35.946304234705103</v>
      </c>
      <c r="O210">
        <f>0.547833258576987</f>
        <v>0.54783325857698695</v>
      </c>
      <c r="P210">
        <v>0.48835936604615199</v>
      </c>
      <c r="Q210" t="s">
        <v>4</v>
      </c>
      <c r="R210" s="4" t="s">
        <v>87</v>
      </c>
      <c r="S210" t="s">
        <v>4</v>
      </c>
      <c r="T210" t="s">
        <v>2288</v>
      </c>
      <c r="U210" t="s">
        <v>2289</v>
      </c>
      <c r="V210" t="s">
        <v>2290</v>
      </c>
      <c r="W210" t="s">
        <v>203</v>
      </c>
      <c r="X210" t="s">
        <v>4</v>
      </c>
      <c r="Y210" t="s">
        <v>2291</v>
      </c>
      <c r="Z210" t="s">
        <v>2292</v>
      </c>
      <c r="AA210" t="s">
        <v>2293</v>
      </c>
      <c r="AB210" t="s">
        <v>4</v>
      </c>
      <c r="AC210" s="3" t="s">
        <v>2294</v>
      </c>
      <c r="AD210" t="s">
        <v>4</v>
      </c>
      <c r="AE210" t="s">
        <v>2295</v>
      </c>
      <c r="AF210" t="s">
        <v>2296</v>
      </c>
      <c r="AG210" t="s">
        <v>2297</v>
      </c>
      <c r="AH210" t="s">
        <v>112</v>
      </c>
      <c r="AU210" t="s">
        <v>112</v>
      </c>
      <c r="AV210" t="s">
        <v>2298</v>
      </c>
      <c r="AW210" t="s">
        <v>114</v>
      </c>
      <c r="AX210" t="s">
        <v>132</v>
      </c>
      <c r="AY210" t="s">
        <v>2299</v>
      </c>
      <c r="AZ210" t="s">
        <v>4</v>
      </c>
      <c r="BA210" s="3" t="s">
        <v>95</v>
      </c>
      <c r="BB210" s="6" t="s">
        <v>95</v>
      </c>
      <c r="BC210" s="3" t="s">
        <v>95</v>
      </c>
      <c r="BD210" t="s">
        <v>4</v>
      </c>
      <c r="BE210">
        <v>10282</v>
      </c>
      <c r="BF210" t="s">
        <v>169</v>
      </c>
      <c r="BG210">
        <v>85.786799999999999</v>
      </c>
      <c r="BH210">
        <v>88.663300000000007</v>
      </c>
      <c r="BI210">
        <v>73.773300000000006</v>
      </c>
      <c r="BJ210">
        <v>73.942499999999995</v>
      </c>
      <c r="BK210">
        <v>59.729300000000002</v>
      </c>
      <c r="BR210">
        <v>17.428100000000001</v>
      </c>
      <c r="BW210" t="s">
        <v>2300</v>
      </c>
      <c r="BX210">
        <v>12.8596</v>
      </c>
      <c r="CA210" t="s">
        <v>2301</v>
      </c>
      <c r="CD210" t="s">
        <v>2302</v>
      </c>
      <c r="CJ210">
        <v>12.8596</v>
      </c>
      <c r="CK210">
        <v>9</v>
      </c>
      <c r="CL210" t="s">
        <v>4</v>
      </c>
      <c r="CM210" t="s">
        <v>2303</v>
      </c>
      <c r="CN210" t="s">
        <v>2304</v>
      </c>
      <c r="CO210" t="s">
        <v>1467</v>
      </c>
      <c r="CP210">
        <v>209</v>
      </c>
      <c r="CQ210" t="s">
        <v>100</v>
      </c>
      <c r="CR210" t="s">
        <v>100</v>
      </c>
      <c r="CS210" t="s">
        <v>101</v>
      </c>
      <c r="CT210" t="s">
        <v>100</v>
      </c>
      <c r="CU210" t="s">
        <v>102</v>
      </c>
      <c r="CV210" t="s">
        <v>100</v>
      </c>
    </row>
    <row r="211" spans="1:100">
      <c r="A211" s="3" t="s">
        <v>2305</v>
      </c>
      <c r="B211" s="4" t="s">
        <v>2306</v>
      </c>
      <c r="C211">
        <v>39.051261941036898</v>
      </c>
      <c r="D211">
        <v>7.3238038660176201</v>
      </c>
      <c r="E211">
        <v>2.42203196193188</v>
      </c>
      <c r="F211">
        <v>3.2746750059674899E-3</v>
      </c>
      <c r="G211" t="s">
        <v>4</v>
      </c>
      <c r="H211">
        <v>39.051261941036898</v>
      </c>
      <c r="I211">
        <v>7.9183585011670496</v>
      </c>
      <c r="J211">
        <v>2.3467479461057801</v>
      </c>
      <c r="K211">
        <v>4.6637420056945197E-3</v>
      </c>
      <c r="L211" t="s">
        <v>4</v>
      </c>
      <c r="M211">
        <v>7.3238038660176201</v>
      </c>
      <c r="N211">
        <v>7.9183585011670496</v>
      </c>
      <c r="O211">
        <f>0.0752840158260967</f>
        <v>7.5284015826096701E-2</v>
      </c>
      <c r="P211">
        <v>0.94708668066498702</v>
      </c>
      <c r="Q211" t="s">
        <v>4</v>
      </c>
      <c r="R211" s="4" t="s">
        <v>87</v>
      </c>
      <c r="S211" t="s">
        <v>4</v>
      </c>
      <c r="T211" t="s">
        <v>88</v>
      </c>
      <c r="U211" t="s">
        <v>89</v>
      </c>
      <c r="V211" t="s">
        <v>90</v>
      </c>
      <c r="W211" t="s">
        <v>91</v>
      </c>
      <c r="X211" t="s">
        <v>4</v>
      </c>
      <c r="Y211" t="s">
        <v>92</v>
      </c>
      <c r="Z211" t="s">
        <v>92</v>
      </c>
      <c r="AA211" t="s">
        <v>92</v>
      </c>
      <c r="AB211" t="s">
        <v>4</v>
      </c>
      <c r="AC211" s="3" t="s">
        <v>93</v>
      </c>
      <c r="AD211" t="s">
        <v>4</v>
      </c>
      <c r="AE211" s="4" t="s">
        <v>94</v>
      </c>
      <c r="AZ211" t="s">
        <v>4</v>
      </c>
      <c r="BA211" s="3" t="s">
        <v>95</v>
      </c>
      <c r="BB211" t="s">
        <v>96</v>
      </c>
      <c r="BC211" s="3" t="s">
        <v>95</v>
      </c>
      <c r="BD211" t="s">
        <v>4</v>
      </c>
      <c r="BE211">
        <v>2139</v>
      </c>
      <c r="BF211" t="s">
        <v>148</v>
      </c>
      <c r="BG211">
        <v>53.191499999999998</v>
      </c>
      <c r="BI211" t="s">
        <v>2307</v>
      </c>
      <c r="BJ211">
        <v>69.361699999999999</v>
      </c>
      <c r="BK211">
        <v>64.680899999999994</v>
      </c>
      <c r="BL211">
        <v>62.127699999999997</v>
      </c>
      <c r="BN211" t="s">
        <v>2308</v>
      </c>
      <c r="BO211">
        <v>57.872300000000003</v>
      </c>
      <c r="CK211">
        <v>3</v>
      </c>
      <c r="CL211" t="s">
        <v>4</v>
      </c>
      <c r="CM211" t="s">
        <v>98</v>
      </c>
      <c r="CN211" t="s">
        <v>98</v>
      </c>
      <c r="CO211" t="s">
        <v>99</v>
      </c>
      <c r="CP211">
        <v>210</v>
      </c>
      <c r="CQ211" t="s">
        <v>100</v>
      </c>
      <c r="CR211" t="s">
        <v>100</v>
      </c>
      <c r="CS211" t="s">
        <v>101</v>
      </c>
      <c r="CT211" t="s">
        <v>100</v>
      </c>
      <c r="CU211" t="s">
        <v>102</v>
      </c>
      <c r="CV211" t="s">
        <v>100</v>
      </c>
    </row>
    <row r="212" spans="1:100">
      <c r="A212" s="3" t="s">
        <v>2309</v>
      </c>
      <c r="B212" s="4" t="s">
        <v>2310</v>
      </c>
      <c r="C212">
        <v>82.778955812346098</v>
      </c>
      <c r="D212">
        <v>19.577525267731001</v>
      </c>
      <c r="E212">
        <v>2.0869673352798599</v>
      </c>
      <c r="F212">
        <v>1.4113331077662399E-4</v>
      </c>
      <c r="G212" t="s">
        <v>4</v>
      </c>
      <c r="H212">
        <v>82.778955812346098</v>
      </c>
      <c r="I212">
        <v>7.7307237795615498</v>
      </c>
      <c r="J212">
        <v>3.3315997430353801</v>
      </c>
      <c r="K212" s="5">
        <v>4.0961877404197601E-8</v>
      </c>
      <c r="L212" t="s">
        <v>4</v>
      </c>
      <c r="M212">
        <v>19.577525267731001</v>
      </c>
      <c r="N212">
        <v>7.7307237795615498</v>
      </c>
      <c r="O212">
        <v>1.24463240775552</v>
      </c>
      <c r="P212">
        <v>6.38570576578808E-2</v>
      </c>
      <c r="Q212" t="s">
        <v>4</v>
      </c>
      <c r="R212" s="4" t="s">
        <v>87</v>
      </c>
      <c r="S212" t="s">
        <v>4</v>
      </c>
      <c r="T212" t="s">
        <v>92</v>
      </c>
      <c r="U212" t="s">
        <v>92</v>
      </c>
      <c r="V212" t="s">
        <v>92</v>
      </c>
      <c r="W212" t="s">
        <v>92</v>
      </c>
      <c r="X212" t="s">
        <v>4</v>
      </c>
      <c r="Y212" t="s">
        <v>2311</v>
      </c>
      <c r="Z212" t="s">
        <v>2312</v>
      </c>
      <c r="AA212" t="s">
        <v>2313</v>
      </c>
      <c r="AB212" t="s">
        <v>4</v>
      </c>
      <c r="AC212" s="3" t="s">
        <v>2314</v>
      </c>
      <c r="AD212" t="s">
        <v>4</v>
      </c>
      <c r="AE212" t="s">
        <v>2315</v>
      </c>
      <c r="AF212" t="s">
        <v>2316</v>
      </c>
      <c r="AG212" t="s">
        <v>2317</v>
      </c>
      <c r="AH212" t="s">
        <v>314</v>
      </c>
      <c r="AU212" t="s">
        <v>112</v>
      </c>
      <c r="AV212" t="s">
        <v>2318</v>
      </c>
      <c r="AW212" t="s">
        <v>114</v>
      </c>
      <c r="AX212" t="s">
        <v>144</v>
      </c>
      <c r="AY212" t="s">
        <v>2319</v>
      </c>
      <c r="AZ212" t="s">
        <v>4</v>
      </c>
      <c r="BA212" s="3" t="s">
        <v>95</v>
      </c>
      <c r="BB212" s="6" t="s">
        <v>95</v>
      </c>
      <c r="BC212" s="3" t="s">
        <v>95</v>
      </c>
      <c r="BD212" t="s">
        <v>4</v>
      </c>
      <c r="BE212">
        <v>4398</v>
      </c>
      <c r="BF212" t="s">
        <v>112</v>
      </c>
      <c r="BG212">
        <v>88.797799999999995</v>
      </c>
      <c r="BH212">
        <v>94.535499999999999</v>
      </c>
      <c r="BI212">
        <v>90.710400000000007</v>
      </c>
      <c r="BJ212" t="s">
        <v>2320</v>
      </c>
      <c r="BK212">
        <v>74.316900000000004</v>
      </c>
      <c r="BM212">
        <v>64.207599999999999</v>
      </c>
      <c r="BN212">
        <v>71.311499999999995</v>
      </c>
      <c r="BO212">
        <v>72.131100000000004</v>
      </c>
      <c r="BP212">
        <v>47.540999999999997</v>
      </c>
      <c r="BR212">
        <v>28.688500000000001</v>
      </c>
      <c r="CK212">
        <v>5</v>
      </c>
      <c r="CL212" t="s">
        <v>4</v>
      </c>
      <c r="CM212" t="s">
        <v>98</v>
      </c>
      <c r="CN212" t="s">
        <v>98</v>
      </c>
      <c r="CO212" t="s">
        <v>99</v>
      </c>
      <c r="CP212">
        <v>211</v>
      </c>
      <c r="CQ212" t="s">
        <v>100</v>
      </c>
      <c r="CR212" t="s">
        <v>100</v>
      </c>
      <c r="CS212" t="s">
        <v>101</v>
      </c>
      <c r="CT212" t="s">
        <v>100</v>
      </c>
      <c r="CU212" t="s">
        <v>102</v>
      </c>
      <c r="CV212" t="s">
        <v>100</v>
      </c>
    </row>
    <row r="213" spans="1:100">
      <c r="A213" s="3" t="s">
        <v>2321</v>
      </c>
      <c r="B213" s="4" t="s">
        <v>2322</v>
      </c>
      <c r="C213">
        <v>229.01266371159301</v>
      </c>
      <c r="D213">
        <v>31.912332987137599</v>
      </c>
      <c r="E213">
        <v>2.8410027813231902</v>
      </c>
      <c r="F213" s="5">
        <v>2.6018980368280201E-6</v>
      </c>
      <c r="G213" t="s">
        <v>4</v>
      </c>
      <c r="H213">
        <v>229.01266371159301</v>
      </c>
      <c r="I213">
        <v>19.6065252265768</v>
      </c>
      <c r="J213">
        <v>3.5272737708220498</v>
      </c>
      <c r="K213" s="5">
        <v>8.2821045120552802E-9</v>
      </c>
      <c r="L213" t="s">
        <v>4</v>
      </c>
      <c r="M213">
        <v>31.912332987137599</v>
      </c>
      <c r="N213">
        <v>19.6065252265768</v>
      </c>
      <c r="O213">
        <v>0.68627098949886201</v>
      </c>
      <c r="P213">
        <v>0.33569053127675402</v>
      </c>
      <c r="Q213" t="s">
        <v>4</v>
      </c>
      <c r="R213" s="4" t="s">
        <v>87</v>
      </c>
      <c r="S213" t="s">
        <v>4</v>
      </c>
      <c r="T213" t="s">
        <v>92</v>
      </c>
      <c r="U213" t="s">
        <v>92</v>
      </c>
      <c r="V213" t="s">
        <v>92</v>
      </c>
      <c r="W213" t="s">
        <v>92</v>
      </c>
      <c r="X213" t="s">
        <v>4</v>
      </c>
      <c r="Y213" t="s">
        <v>92</v>
      </c>
      <c r="Z213" t="s">
        <v>92</v>
      </c>
      <c r="AA213" t="s">
        <v>92</v>
      </c>
      <c r="AB213" t="s">
        <v>4</v>
      </c>
      <c r="AC213" s="3" t="s">
        <v>93</v>
      </c>
      <c r="AD213" t="s">
        <v>4</v>
      </c>
      <c r="AE213" s="4" t="s">
        <v>94</v>
      </c>
      <c r="AZ213" t="s">
        <v>4</v>
      </c>
      <c r="BA213" s="3" t="s">
        <v>95</v>
      </c>
      <c r="BB213" s="6" t="s">
        <v>95</v>
      </c>
      <c r="BC213" s="3" t="s">
        <v>197</v>
      </c>
      <c r="BD213" t="s">
        <v>4</v>
      </c>
      <c r="BE213">
        <v>1352</v>
      </c>
      <c r="BF213" t="s">
        <v>151</v>
      </c>
      <c r="BG213">
        <v>89.915999999999997</v>
      </c>
      <c r="BI213">
        <v>42.576999999999998</v>
      </c>
      <c r="BJ213">
        <v>32.212899999999998</v>
      </c>
      <c r="CK213">
        <v>2</v>
      </c>
      <c r="CL213" t="s">
        <v>4</v>
      </c>
      <c r="CM213" t="s">
        <v>98</v>
      </c>
      <c r="CN213" t="s">
        <v>98</v>
      </c>
      <c r="CO213" t="s">
        <v>99</v>
      </c>
      <c r="CP213">
        <v>212</v>
      </c>
      <c r="CQ213" t="s">
        <v>100</v>
      </c>
      <c r="CR213" t="s">
        <v>100</v>
      </c>
      <c r="CS213" t="s">
        <v>101</v>
      </c>
      <c r="CT213" t="s">
        <v>100</v>
      </c>
      <c r="CU213" t="s">
        <v>102</v>
      </c>
      <c r="CV213" t="s">
        <v>100</v>
      </c>
    </row>
    <row r="214" spans="1:100">
      <c r="A214" s="3" t="s">
        <v>2323</v>
      </c>
      <c r="B214" s="4" t="s">
        <v>2324</v>
      </c>
      <c r="C214">
        <v>64.4658789722167</v>
      </c>
      <c r="D214">
        <v>12.8913372311358</v>
      </c>
      <c r="E214">
        <v>2.3383145188463001</v>
      </c>
      <c r="F214">
        <v>1.1949150351757E-3</v>
      </c>
      <c r="G214" t="s">
        <v>4</v>
      </c>
      <c r="H214">
        <v>64.4658789722167</v>
      </c>
      <c r="I214">
        <v>13.448852937857099</v>
      </c>
      <c r="J214">
        <v>2.2830137166195299</v>
      </c>
      <c r="K214">
        <v>1.56835850468531E-3</v>
      </c>
      <c r="L214" t="s">
        <v>4</v>
      </c>
      <c r="M214">
        <v>12.8913372311358</v>
      </c>
      <c r="N214">
        <v>13.448852937857099</v>
      </c>
      <c r="O214">
        <f>0.0553008022267724</f>
        <v>5.5300802226772403E-2</v>
      </c>
      <c r="P214">
        <v>0.95601752726607603</v>
      </c>
      <c r="Q214" t="s">
        <v>4</v>
      </c>
      <c r="R214" s="4" t="s">
        <v>87</v>
      </c>
      <c r="S214" t="s">
        <v>4</v>
      </c>
      <c r="T214" t="s">
        <v>2325</v>
      </c>
      <c r="U214" t="s">
        <v>2326</v>
      </c>
      <c r="V214" t="s">
        <v>2327</v>
      </c>
      <c r="W214" t="s">
        <v>203</v>
      </c>
      <c r="X214" t="s">
        <v>4</v>
      </c>
      <c r="Y214" t="s">
        <v>2328</v>
      </c>
      <c r="Z214" t="s">
        <v>2329</v>
      </c>
      <c r="AA214" t="s">
        <v>2330</v>
      </c>
      <c r="AB214" t="s">
        <v>4</v>
      </c>
      <c r="AC214" s="3" t="s">
        <v>207</v>
      </c>
      <c r="AD214" t="s">
        <v>4</v>
      </c>
      <c r="AE214" t="s">
        <v>2331</v>
      </c>
      <c r="AF214" t="s">
        <v>2332</v>
      </c>
      <c r="AG214" t="s">
        <v>2333</v>
      </c>
      <c r="AH214" t="s">
        <v>112</v>
      </c>
      <c r="AU214" t="s">
        <v>112</v>
      </c>
      <c r="AV214" t="s">
        <v>2334</v>
      </c>
      <c r="AW214" t="s">
        <v>114</v>
      </c>
      <c r="AX214" t="s">
        <v>132</v>
      </c>
      <c r="AY214" t="s">
        <v>212</v>
      </c>
      <c r="AZ214" t="s">
        <v>4</v>
      </c>
      <c r="BA214" s="3" t="s">
        <v>95</v>
      </c>
      <c r="BB214" s="6" t="s">
        <v>95</v>
      </c>
      <c r="BC214" s="3" t="s">
        <v>95</v>
      </c>
      <c r="BD214" t="s">
        <v>4</v>
      </c>
      <c r="BE214">
        <v>5191</v>
      </c>
      <c r="BF214" t="s">
        <v>282</v>
      </c>
      <c r="BG214">
        <v>77.198700000000002</v>
      </c>
      <c r="BH214">
        <v>99.674300000000002</v>
      </c>
      <c r="BI214">
        <v>92.508099999999999</v>
      </c>
      <c r="BJ214">
        <v>92.508099999999999</v>
      </c>
      <c r="BK214">
        <v>80.130300000000005</v>
      </c>
      <c r="BL214">
        <v>86.644999999999996</v>
      </c>
      <c r="BM214">
        <v>84.690600000000003</v>
      </c>
      <c r="BN214">
        <v>84.364800000000002</v>
      </c>
      <c r="BP214">
        <v>75.569999999999993</v>
      </c>
      <c r="BR214">
        <v>64.820800000000006</v>
      </c>
      <c r="BT214" t="s">
        <v>2335</v>
      </c>
      <c r="BU214" t="s">
        <v>2336</v>
      </c>
      <c r="BV214" t="s">
        <v>2337</v>
      </c>
      <c r="CK214">
        <v>6</v>
      </c>
      <c r="CL214" t="s">
        <v>4</v>
      </c>
      <c r="CM214" t="s">
        <v>98</v>
      </c>
      <c r="CN214" t="s">
        <v>98</v>
      </c>
      <c r="CO214" t="s">
        <v>99</v>
      </c>
      <c r="CP214">
        <v>213</v>
      </c>
      <c r="CQ214" t="s">
        <v>100</v>
      </c>
      <c r="CR214" t="s">
        <v>100</v>
      </c>
      <c r="CS214" t="s">
        <v>101</v>
      </c>
      <c r="CT214" t="s">
        <v>100</v>
      </c>
      <c r="CU214" t="s">
        <v>102</v>
      </c>
      <c r="CV214" t="s">
        <v>100</v>
      </c>
    </row>
  </sheetData>
  <conditionalFormatting sqref="M2:N214 H2:I214 C2:D214">
    <cfRule type="colorScale" priority="5">
      <colorScale>
        <cfvo type="min"/>
        <cfvo type="percentile" val="50"/>
        <cfvo type="max"/>
        <color rgb="FF63BE7B"/>
        <color rgb="FFFFEB84"/>
        <color rgb="FFF8696B"/>
      </colorScale>
    </cfRule>
  </conditionalFormatting>
  <conditionalFormatting sqref="E2:E214 J2:J214 O2:O214">
    <cfRule type="cellIs" dxfId="5" priority="3" operator="lessThan">
      <formula>-2</formula>
    </cfRule>
    <cfRule type="cellIs" dxfId="4" priority="4" operator="greaterThan">
      <formula>2</formula>
    </cfRule>
  </conditionalFormatting>
  <conditionalFormatting sqref="F2:F214 K2:K214 P2:P214">
    <cfRule type="cellIs" dxfId="3" priority="2" operator="lessThan">
      <formula>0.01</formula>
    </cfRule>
  </conditionalFormatting>
  <conditionalFormatting sqref="BG2:CJ9 BG11:CJ214 BG10:BV10 BX10:CJ10">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A0EB5-D99A-9A43-9024-BBE674BF2B9A}">
  <dimension ref="A1:CV348"/>
  <sheetViews>
    <sheetView tabSelected="1" workbookViewId="0">
      <selection sqref="A1:XFD1"/>
    </sheetView>
  </sheetViews>
  <sheetFormatPr baseColWidth="10" defaultRowHeight="16"/>
  <cols>
    <col min="1" max="1" width="21.6640625" customWidth="1"/>
    <col min="2" max="2" width="18.5" customWidth="1"/>
    <col min="3" max="3" width="17.83203125" customWidth="1"/>
    <col min="4" max="4" width="17.83203125" bestFit="1" customWidth="1"/>
    <col min="5" max="6" width="20.83203125" bestFit="1" customWidth="1"/>
    <col min="7" max="7" width="4.1640625" customWidth="1"/>
    <col min="8" max="9" width="17.83203125" bestFit="1" customWidth="1"/>
    <col min="10" max="10" width="22.1640625" bestFit="1" customWidth="1"/>
    <col min="11" max="11" width="21.6640625" bestFit="1" customWidth="1"/>
    <col min="12" max="12" width="4.1640625" customWidth="1"/>
    <col min="13" max="14" width="17.83203125" bestFit="1" customWidth="1"/>
    <col min="15" max="15" width="20.83203125" bestFit="1" customWidth="1"/>
    <col min="16" max="16" width="21.6640625" bestFit="1" customWidth="1"/>
    <col min="17" max="17" width="5" customWidth="1"/>
    <col min="18" max="18" width="18.5" customWidth="1"/>
    <col min="19" max="19" width="5" customWidth="1"/>
    <col min="20" max="23" width="19.83203125" customWidth="1"/>
    <col min="24" max="24" width="5.33203125" customWidth="1"/>
    <col min="25" max="25" width="19.83203125" customWidth="1"/>
    <col min="26" max="26" width="25.33203125" customWidth="1"/>
    <col min="27" max="27" width="32.33203125" customWidth="1"/>
    <col min="28" max="28" width="4.5" customWidth="1"/>
    <col min="29" max="29" width="39" customWidth="1"/>
    <col min="30" max="30" width="4.83203125" customWidth="1"/>
    <col min="31" max="31" width="16.1640625" customWidth="1"/>
    <col min="34" max="34" width="13.5" customWidth="1"/>
    <col min="35" max="35" width="14.83203125" customWidth="1"/>
    <col min="37" max="37" width="11.6640625" customWidth="1"/>
    <col min="39" max="39" width="16.1640625" customWidth="1"/>
    <col min="40" max="40" width="12.33203125" customWidth="1"/>
    <col min="41" max="41" width="12.6640625" customWidth="1"/>
    <col min="42" max="42" width="12.5" customWidth="1"/>
    <col min="46" max="46" width="12.1640625" customWidth="1"/>
    <col min="47" max="47" width="16" customWidth="1"/>
    <col min="48" max="48" width="15" customWidth="1"/>
    <col min="51" max="51" width="63.6640625" customWidth="1"/>
    <col min="52" max="52" width="4.83203125" customWidth="1"/>
    <col min="53" max="53" width="17.33203125" bestFit="1" customWidth="1"/>
    <col min="54" max="54" width="28.1640625" bestFit="1" customWidth="1"/>
    <col min="55" max="55" width="21.1640625" customWidth="1"/>
    <col min="56" max="56" width="4.83203125" customWidth="1"/>
    <col min="59" max="78" width="5" customWidth="1"/>
    <col min="79" max="79" width="10" customWidth="1"/>
    <col min="80" max="88" width="5" customWidth="1"/>
    <col min="90" max="90" width="4.83203125" customWidth="1"/>
    <col min="91" max="92" width="32" customWidth="1"/>
    <col min="93" max="93" width="44.6640625" customWidth="1"/>
    <col min="99" max="99" width="13" bestFit="1" customWidth="1"/>
    <col min="100" max="100" width="64.6640625" bestFit="1" customWidth="1"/>
  </cols>
  <sheetData>
    <row r="1" spans="1:100" s="2" customFormat="1">
      <c r="A1" s="1" t="s">
        <v>0</v>
      </c>
      <c r="B1" s="1" t="s">
        <v>1</v>
      </c>
      <c r="C1" s="2" t="s">
        <v>17323</v>
      </c>
      <c r="D1" s="2" t="s">
        <v>17324</v>
      </c>
      <c r="E1" s="2" t="s">
        <v>2</v>
      </c>
      <c r="F1" s="2" t="s">
        <v>3</v>
      </c>
      <c r="G1" s="2" t="s">
        <v>4</v>
      </c>
      <c r="H1" s="2" t="s">
        <v>17323</v>
      </c>
      <c r="I1" s="2" t="s">
        <v>17325</v>
      </c>
      <c r="J1" s="2" t="s">
        <v>5</v>
      </c>
      <c r="K1" s="2" t="s">
        <v>6</v>
      </c>
      <c r="L1" s="2" t="s">
        <v>4</v>
      </c>
      <c r="M1" s="2" t="s">
        <v>17324</v>
      </c>
      <c r="N1" s="2" t="s">
        <v>17325</v>
      </c>
      <c r="O1" s="2" t="s">
        <v>7</v>
      </c>
      <c r="P1" s="2" t="s">
        <v>8</v>
      </c>
      <c r="Q1" s="2" t="s">
        <v>4</v>
      </c>
      <c r="R1" s="1" t="s">
        <v>9</v>
      </c>
      <c r="S1" s="2" t="s">
        <v>4</v>
      </c>
      <c r="T1" s="2" t="s">
        <v>10</v>
      </c>
      <c r="U1" s="2" t="s">
        <v>11</v>
      </c>
      <c r="V1" s="2" t="s">
        <v>12</v>
      </c>
      <c r="W1" s="2" t="s">
        <v>13</v>
      </c>
      <c r="X1" s="2" t="s">
        <v>4</v>
      </c>
      <c r="Y1" s="2" t="s">
        <v>14</v>
      </c>
      <c r="Z1" s="2" t="s">
        <v>15</v>
      </c>
      <c r="AA1" s="2" t="s">
        <v>16</v>
      </c>
      <c r="AB1" s="2" t="s">
        <v>4</v>
      </c>
      <c r="AC1" s="1" t="s">
        <v>17</v>
      </c>
      <c r="AD1" s="2" t="s">
        <v>4</v>
      </c>
      <c r="AE1" s="2" t="s">
        <v>18</v>
      </c>
      <c r="AF1" s="2" t="s">
        <v>19</v>
      </c>
      <c r="AG1" s="2" t="s">
        <v>20</v>
      </c>
      <c r="AH1" s="2" t="s">
        <v>21</v>
      </c>
      <c r="AI1" s="2" t="s">
        <v>22</v>
      </c>
      <c r="AJ1" s="2" t="s">
        <v>23</v>
      </c>
      <c r="AK1" s="2" t="s">
        <v>24</v>
      </c>
      <c r="AL1" s="2" t="s">
        <v>25</v>
      </c>
      <c r="AM1" s="2" t="s">
        <v>26</v>
      </c>
      <c r="AN1" s="2" t="s">
        <v>27</v>
      </c>
      <c r="AO1" s="2" t="s">
        <v>28</v>
      </c>
      <c r="AP1" s="2" t="s">
        <v>29</v>
      </c>
      <c r="AQ1" s="2" t="s">
        <v>30</v>
      </c>
      <c r="AR1" s="2" t="s">
        <v>31</v>
      </c>
      <c r="AS1" s="2" t="s">
        <v>32</v>
      </c>
      <c r="AT1" s="2" t="s">
        <v>33</v>
      </c>
      <c r="AU1" s="2" t="s">
        <v>34</v>
      </c>
      <c r="AV1" s="2" t="s">
        <v>35</v>
      </c>
      <c r="AW1" s="2" t="s">
        <v>36</v>
      </c>
      <c r="AX1" s="2" t="s">
        <v>37</v>
      </c>
      <c r="AY1" s="2" t="s">
        <v>38</v>
      </c>
      <c r="AZ1" s="2" t="s">
        <v>4</v>
      </c>
      <c r="BA1" s="1" t="s">
        <v>39</v>
      </c>
      <c r="BB1" s="2" t="s">
        <v>40</v>
      </c>
      <c r="BC1" s="1" t="s">
        <v>41</v>
      </c>
      <c r="BD1" s="2" t="s">
        <v>4</v>
      </c>
      <c r="BE1" s="1" t="s">
        <v>42</v>
      </c>
      <c r="BF1" s="1" t="s">
        <v>43</v>
      </c>
      <c r="BG1" s="1" t="s">
        <v>44</v>
      </c>
      <c r="BH1" s="1" t="s">
        <v>45</v>
      </c>
      <c r="BI1" s="1" t="s">
        <v>46</v>
      </c>
      <c r="BJ1" s="1" t="s">
        <v>47</v>
      </c>
      <c r="BK1" s="1" t="s">
        <v>48</v>
      </c>
      <c r="BL1" s="1" t="s">
        <v>49</v>
      </c>
      <c r="BM1" s="1" t="s">
        <v>50</v>
      </c>
      <c r="BN1" s="1" t="s">
        <v>51</v>
      </c>
      <c r="BO1" s="1" t="s">
        <v>52</v>
      </c>
      <c r="BP1" s="1" t="s">
        <v>53</v>
      </c>
      <c r="BQ1" s="1" t="s">
        <v>54</v>
      </c>
      <c r="BR1" s="1" t="s">
        <v>55</v>
      </c>
      <c r="BS1" s="1" t="s">
        <v>56</v>
      </c>
      <c r="BT1" s="1" t="s">
        <v>57</v>
      </c>
      <c r="BU1" s="1" t="s">
        <v>58</v>
      </c>
      <c r="BV1" s="1" t="s">
        <v>59</v>
      </c>
      <c r="BW1" s="1" t="s">
        <v>60</v>
      </c>
      <c r="BX1" s="1" t="s">
        <v>61</v>
      </c>
      <c r="BY1" s="1" t="s">
        <v>62</v>
      </c>
      <c r="BZ1" s="1" t="s">
        <v>63</v>
      </c>
      <c r="CA1" s="1" t="s">
        <v>64</v>
      </c>
      <c r="CB1" s="1" t="s">
        <v>65</v>
      </c>
      <c r="CC1" s="1" t="s">
        <v>66</v>
      </c>
      <c r="CD1" s="1" t="s">
        <v>67</v>
      </c>
      <c r="CE1" s="1" t="s">
        <v>68</v>
      </c>
      <c r="CF1" s="1" t="s">
        <v>69</v>
      </c>
      <c r="CG1" s="1" t="s">
        <v>70</v>
      </c>
      <c r="CH1" s="1" t="s">
        <v>71</v>
      </c>
      <c r="CI1" s="1" t="s">
        <v>72</v>
      </c>
      <c r="CJ1" s="1" t="s">
        <v>73</v>
      </c>
      <c r="CK1" s="1" t="s">
        <v>74</v>
      </c>
      <c r="CL1" s="2" t="s">
        <v>4</v>
      </c>
      <c r="CM1" s="2" t="s">
        <v>75</v>
      </c>
      <c r="CN1" s="2" t="s">
        <v>76</v>
      </c>
      <c r="CO1" s="2" t="s">
        <v>77</v>
      </c>
      <c r="CP1" s="2" t="s">
        <v>78</v>
      </c>
      <c r="CQ1" s="2" t="s">
        <v>79</v>
      </c>
      <c r="CR1" s="2" t="s">
        <v>80</v>
      </c>
      <c r="CS1" s="2" t="s">
        <v>81</v>
      </c>
      <c r="CT1" s="2" t="s">
        <v>82</v>
      </c>
      <c r="CU1" s="2" t="s">
        <v>83</v>
      </c>
      <c r="CV1" s="2" t="s">
        <v>84</v>
      </c>
    </row>
    <row r="2" spans="1:100">
      <c r="A2" s="3" t="s">
        <v>2338</v>
      </c>
      <c r="B2" s="4" t="s">
        <v>2339</v>
      </c>
      <c r="C2">
        <v>6615.2620912453303</v>
      </c>
      <c r="D2">
        <v>52581.003848629603</v>
      </c>
      <c r="E2">
        <f>-2.99066807650969</f>
        <v>-2.99066807650969</v>
      </c>
      <c r="F2" s="5">
        <v>2.4825998480286001E-14</v>
      </c>
      <c r="G2" t="s">
        <v>4</v>
      </c>
      <c r="H2">
        <v>6615.2620912453303</v>
      </c>
      <c r="I2">
        <v>1884.2513863481799</v>
      </c>
      <c r="J2">
        <v>1.8106548517294001</v>
      </c>
      <c r="K2" s="5">
        <v>5.03949509534313E-6</v>
      </c>
      <c r="L2" t="s">
        <v>4</v>
      </c>
      <c r="M2">
        <v>52581.003848629603</v>
      </c>
      <c r="N2">
        <v>1884.2513863481799</v>
      </c>
      <c r="O2">
        <v>4.8013229282390899</v>
      </c>
      <c r="P2" s="5">
        <v>1.3180457335109001E-36</v>
      </c>
      <c r="Q2" t="s">
        <v>4</v>
      </c>
      <c r="R2" s="4" t="s">
        <v>87</v>
      </c>
      <c r="S2" t="s">
        <v>4</v>
      </c>
      <c r="T2" t="s">
        <v>2340</v>
      </c>
      <c r="U2" t="s">
        <v>2341</v>
      </c>
      <c r="V2" t="s">
        <v>2342</v>
      </c>
      <c r="W2" t="s">
        <v>328</v>
      </c>
      <c r="X2" t="s">
        <v>4</v>
      </c>
      <c r="Y2" t="s">
        <v>2343</v>
      </c>
      <c r="Z2" t="s">
        <v>2344</v>
      </c>
      <c r="AA2" t="s">
        <v>2345</v>
      </c>
      <c r="AB2" t="s">
        <v>4</v>
      </c>
      <c r="AC2" s="3" t="s">
        <v>2346</v>
      </c>
      <c r="AD2" t="s">
        <v>4</v>
      </c>
      <c r="AE2" t="s">
        <v>2347</v>
      </c>
      <c r="AF2" t="s">
        <v>834</v>
      </c>
      <c r="AG2" t="s">
        <v>2348</v>
      </c>
      <c r="AH2" t="s">
        <v>282</v>
      </c>
      <c r="AU2" t="s">
        <v>112</v>
      </c>
      <c r="AV2" t="s">
        <v>2349</v>
      </c>
      <c r="AW2" t="s">
        <v>114</v>
      </c>
      <c r="AX2" t="s">
        <v>144</v>
      </c>
      <c r="AY2" t="s">
        <v>2350</v>
      </c>
      <c r="AZ2" t="s">
        <v>4</v>
      </c>
      <c r="BA2" s="3" t="s">
        <v>95</v>
      </c>
      <c r="BB2" t="s">
        <v>96</v>
      </c>
      <c r="BC2" s="3" t="s">
        <v>197</v>
      </c>
      <c r="BD2" t="s">
        <v>4</v>
      </c>
      <c r="BE2">
        <v>8255</v>
      </c>
      <c r="BF2" t="s">
        <v>213</v>
      </c>
      <c r="BG2">
        <v>97.204700000000003</v>
      </c>
      <c r="BH2">
        <v>26.811</v>
      </c>
      <c r="BI2">
        <v>76.535399999999996</v>
      </c>
      <c r="BK2">
        <v>65</v>
      </c>
      <c r="BM2">
        <v>34.5276</v>
      </c>
      <c r="BN2">
        <v>57.401600000000002</v>
      </c>
      <c r="BO2">
        <v>59.960599999999999</v>
      </c>
      <c r="BQ2">
        <v>11.4961</v>
      </c>
      <c r="BR2">
        <v>7.5984299999999996</v>
      </c>
      <c r="BT2">
        <v>6.0629900000000001</v>
      </c>
      <c r="BU2">
        <v>9.1732300000000002</v>
      </c>
      <c r="BV2" t="s">
        <v>2351</v>
      </c>
      <c r="BW2">
        <v>16.102399999999999</v>
      </c>
      <c r="CA2">
        <v>9.1732300000000002</v>
      </c>
      <c r="CB2" t="s">
        <v>2352</v>
      </c>
      <c r="CC2">
        <v>6.10236</v>
      </c>
      <c r="CD2" t="s">
        <v>2353</v>
      </c>
      <c r="CK2">
        <v>8</v>
      </c>
      <c r="CL2" t="s">
        <v>4</v>
      </c>
      <c r="CM2" t="s">
        <v>2354</v>
      </c>
      <c r="CN2" t="s">
        <v>2355</v>
      </c>
      <c r="CO2" t="s">
        <v>1218</v>
      </c>
      <c r="CP2" t="s">
        <v>100</v>
      </c>
      <c r="CQ2">
        <v>1</v>
      </c>
      <c r="CR2" t="s">
        <v>100</v>
      </c>
      <c r="CS2" s="7" t="s">
        <v>101</v>
      </c>
      <c r="CT2" t="s">
        <v>152</v>
      </c>
      <c r="CU2" t="s">
        <v>102</v>
      </c>
      <c r="CV2" t="s">
        <v>100</v>
      </c>
    </row>
    <row r="3" spans="1:100">
      <c r="A3" s="3" t="s">
        <v>2356</v>
      </c>
      <c r="B3" s="4" t="s">
        <v>2357</v>
      </c>
      <c r="C3">
        <v>17289.679062922802</v>
      </c>
      <c r="D3">
        <v>129448.62510478499</v>
      </c>
      <c r="E3">
        <f>-2.90438794673856</f>
        <v>-2.9043879467385598</v>
      </c>
      <c r="F3" s="5">
        <v>1.6513757503694699E-10</v>
      </c>
      <c r="G3" t="s">
        <v>4</v>
      </c>
      <c r="H3">
        <v>17289.679062922802</v>
      </c>
      <c r="I3">
        <v>6931.3422805405698</v>
      </c>
      <c r="J3">
        <v>1.3186626275656901</v>
      </c>
      <c r="K3">
        <v>4.7613066191171203E-3</v>
      </c>
      <c r="L3" t="s">
        <v>4</v>
      </c>
      <c r="M3">
        <v>129448.62510478499</v>
      </c>
      <c r="N3">
        <v>6931.3422805405698</v>
      </c>
      <c r="O3">
        <v>4.2230505743042501</v>
      </c>
      <c r="P3" s="5">
        <v>5.8903338340834399E-22</v>
      </c>
      <c r="Q3" t="s">
        <v>4</v>
      </c>
      <c r="R3" s="4" t="s">
        <v>87</v>
      </c>
      <c r="S3" t="s">
        <v>4</v>
      </c>
      <c r="T3" t="s">
        <v>2358</v>
      </c>
      <c r="U3" t="s">
        <v>2359</v>
      </c>
      <c r="V3" t="s">
        <v>2360</v>
      </c>
      <c r="W3" t="s">
        <v>507</v>
      </c>
      <c r="X3" t="s">
        <v>4</v>
      </c>
      <c r="Y3" t="s">
        <v>2361</v>
      </c>
      <c r="Z3" t="s">
        <v>2362</v>
      </c>
      <c r="AA3" t="s">
        <v>2363</v>
      </c>
      <c r="AB3" t="s">
        <v>4</v>
      </c>
      <c r="AC3" s="3" t="s">
        <v>2364</v>
      </c>
      <c r="AD3" t="s">
        <v>4</v>
      </c>
      <c r="AE3" t="s">
        <v>2365</v>
      </c>
      <c r="AF3" t="s">
        <v>2366</v>
      </c>
      <c r="AG3" t="s">
        <v>2367</v>
      </c>
      <c r="AH3" t="s">
        <v>112</v>
      </c>
      <c r="AU3" t="s">
        <v>112</v>
      </c>
      <c r="AV3" t="s">
        <v>2368</v>
      </c>
      <c r="AW3" t="s">
        <v>114</v>
      </c>
      <c r="AX3" t="s">
        <v>2139</v>
      </c>
      <c r="AY3" t="s">
        <v>2369</v>
      </c>
      <c r="AZ3" t="s">
        <v>4</v>
      </c>
      <c r="BA3" s="3" t="s">
        <v>115</v>
      </c>
      <c r="BB3" s="6" t="s">
        <v>95</v>
      </c>
      <c r="BC3" s="3" t="s">
        <v>95</v>
      </c>
      <c r="BD3" t="s">
        <v>4</v>
      </c>
      <c r="BE3">
        <v>4019</v>
      </c>
      <c r="BF3" t="s">
        <v>112</v>
      </c>
      <c r="BG3">
        <v>100</v>
      </c>
      <c r="BH3">
        <v>94.059399999999997</v>
      </c>
      <c r="BI3">
        <v>94.059399999999997</v>
      </c>
      <c r="BJ3">
        <v>91.089100000000002</v>
      </c>
      <c r="BK3">
        <v>91.089100000000002</v>
      </c>
      <c r="BL3">
        <v>79.207899999999995</v>
      </c>
      <c r="BM3">
        <v>85.148499999999999</v>
      </c>
      <c r="BN3">
        <v>85.148499999999999</v>
      </c>
      <c r="BO3">
        <v>92.0792</v>
      </c>
      <c r="CK3">
        <v>5</v>
      </c>
      <c r="CL3" t="s">
        <v>4</v>
      </c>
      <c r="CM3" t="s">
        <v>98</v>
      </c>
      <c r="CN3" t="s">
        <v>98</v>
      </c>
      <c r="CO3" t="s">
        <v>99</v>
      </c>
      <c r="CP3" t="s">
        <v>100</v>
      </c>
      <c r="CQ3">
        <v>2</v>
      </c>
      <c r="CR3" t="s">
        <v>100</v>
      </c>
      <c r="CS3" s="7" t="s">
        <v>101</v>
      </c>
      <c r="CT3" t="s">
        <v>152</v>
      </c>
      <c r="CU3" t="s">
        <v>102</v>
      </c>
      <c r="CV3" t="s">
        <v>100</v>
      </c>
    </row>
    <row r="4" spans="1:100">
      <c r="A4" s="3" t="s">
        <v>2370</v>
      </c>
      <c r="B4" s="4" t="s">
        <v>2371</v>
      </c>
      <c r="C4">
        <v>2485.6725526091</v>
      </c>
      <c r="D4">
        <v>36033.119705760197</v>
      </c>
      <c r="E4">
        <f>-3.85759013154087</f>
        <v>-3.8575901315408698</v>
      </c>
      <c r="F4" s="5">
        <v>1.7526471716685601E-5</v>
      </c>
      <c r="G4" t="s">
        <v>4</v>
      </c>
      <c r="H4">
        <v>2485.6725526091</v>
      </c>
      <c r="I4">
        <v>1164.2921918899001</v>
      </c>
      <c r="J4">
        <v>1.09448182442266</v>
      </c>
      <c r="K4">
        <v>0.247614413189646</v>
      </c>
      <c r="L4" t="s">
        <v>4</v>
      </c>
      <c r="M4">
        <v>36033.119705760197</v>
      </c>
      <c r="N4">
        <v>1164.2921918899001</v>
      </c>
      <c r="O4">
        <v>4.9520719559635298</v>
      </c>
      <c r="P4" s="5">
        <v>7.7040877284288797E-9</v>
      </c>
      <c r="Q4" t="s">
        <v>4</v>
      </c>
      <c r="R4" s="4" t="s">
        <v>87</v>
      </c>
      <c r="S4" t="s">
        <v>4</v>
      </c>
      <c r="T4" t="s">
        <v>92</v>
      </c>
      <c r="U4" t="s">
        <v>92</v>
      </c>
      <c r="V4" t="s">
        <v>92</v>
      </c>
      <c r="W4" t="s">
        <v>92</v>
      </c>
      <c r="X4" t="s">
        <v>4</v>
      </c>
      <c r="Y4" t="s">
        <v>92</v>
      </c>
      <c r="Z4" t="s">
        <v>92</v>
      </c>
      <c r="AA4" t="s">
        <v>92</v>
      </c>
      <c r="AB4" t="s">
        <v>4</v>
      </c>
      <c r="AC4" s="3" t="s">
        <v>93</v>
      </c>
      <c r="AD4" t="s">
        <v>4</v>
      </c>
      <c r="AE4" s="4" t="s">
        <v>94</v>
      </c>
      <c r="AZ4" t="s">
        <v>4</v>
      </c>
      <c r="BA4" s="3" t="s">
        <v>115</v>
      </c>
      <c r="BB4" s="6" t="s">
        <v>95</v>
      </c>
      <c r="BC4" s="3" t="s">
        <v>95</v>
      </c>
      <c r="BD4" t="s">
        <v>4</v>
      </c>
      <c r="BE4">
        <v>1945</v>
      </c>
      <c r="BF4" t="s">
        <v>148</v>
      </c>
      <c r="BG4">
        <v>95.303899999999999</v>
      </c>
      <c r="BH4">
        <v>84.116</v>
      </c>
      <c r="BI4">
        <v>87.016599999999997</v>
      </c>
      <c r="BJ4">
        <v>47.651899999999998</v>
      </c>
      <c r="BK4">
        <v>29.9724</v>
      </c>
      <c r="BL4">
        <v>12.9834</v>
      </c>
      <c r="BM4">
        <v>35.082900000000002</v>
      </c>
      <c r="BN4">
        <v>37.7072</v>
      </c>
      <c r="BO4">
        <v>36.878500000000003</v>
      </c>
      <c r="CK4">
        <v>3</v>
      </c>
      <c r="CL4" t="s">
        <v>4</v>
      </c>
      <c r="CM4" t="s">
        <v>98</v>
      </c>
      <c r="CN4" t="s">
        <v>98</v>
      </c>
      <c r="CO4" t="s">
        <v>99</v>
      </c>
      <c r="CP4" t="s">
        <v>100</v>
      </c>
      <c r="CQ4">
        <v>3</v>
      </c>
      <c r="CR4" t="s">
        <v>100</v>
      </c>
      <c r="CS4" t="s">
        <v>100</v>
      </c>
      <c r="CT4" t="s">
        <v>152</v>
      </c>
      <c r="CU4" t="s">
        <v>102</v>
      </c>
      <c r="CV4" t="s">
        <v>100</v>
      </c>
    </row>
    <row r="5" spans="1:100">
      <c r="A5" s="3" t="s">
        <v>2372</v>
      </c>
      <c r="B5" s="4" t="s">
        <v>2373</v>
      </c>
      <c r="C5">
        <v>184.68834746303401</v>
      </c>
      <c r="D5">
        <v>1752.41146202957</v>
      </c>
      <c r="E5">
        <f>-3.24489211043606</f>
        <v>-3.24489211043606</v>
      </c>
      <c r="F5" s="5">
        <v>8.6601795338585099E-14</v>
      </c>
      <c r="G5" t="s">
        <v>4</v>
      </c>
      <c r="H5">
        <v>184.68834746303401</v>
      </c>
      <c r="I5">
        <v>243.70841869424399</v>
      </c>
      <c r="J5">
        <f>0.396731674643166</f>
        <v>0.396731674643166</v>
      </c>
      <c r="K5">
        <v>0.41594637783453903</v>
      </c>
      <c r="L5" t="s">
        <v>4</v>
      </c>
      <c r="M5">
        <v>1752.41146202957</v>
      </c>
      <c r="N5">
        <v>243.70841869424399</v>
      </c>
      <c r="O5">
        <v>2.8481604357928898</v>
      </c>
      <c r="P5" s="5">
        <v>3.0300107014872699E-11</v>
      </c>
      <c r="Q5" t="s">
        <v>4</v>
      </c>
      <c r="R5" s="4" t="s">
        <v>87</v>
      </c>
      <c r="S5" t="s">
        <v>4</v>
      </c>
      <c r="T5" t="s">
        <v>88</v>
      </c>
      <c r="U5" t="s">
        <v>89</v>
      </c>
      <c r="V5" t="s">
        <v>90</v>
      </c>
      <c r="W5" t="s">
        <v>91</v>
      </c>
      <c r="X5" t="s">
        <v>4</v>
      </c>
      <c r="Y5" t="s">
        <v>92</v>
      </c>
      <c r="Z5" t="s">
        <v>92</v>
      </c>
      <c r="AA5" t="s">
        <v>92</v>
      </c>
      <c r="AB5" t="s">
        <v>4</v>
      </c>
      <c r="AC5" s="3" t="s">
        <v>93</v>
      </c>
      <c r="AD5" t="s">
        <v>4</v>
      </c>
      <c r="AE5" s="4" t="s">
        <v>94</v>
      </c>
      <c r="AZ5" t="s">
        <v>4</v>
      </c>
      <c r="BA5" s="3" t="s">
        <v>95</v>
      </c>
      <c r="BB5" t="s">
        <v>96</v>
      </c>
      <c r="BC5" s="3" t="s">
        <v>95</v>
      </c>
      <c r="BD5" t="s">
        <v>4</v>
      </c>
      <c r="BE5">
        <v>2144</v>
      </c>
      <c r="BF5" t="s">
        <v>148</v>
      </c>
      <c r="BG5">
        <v>95.953800000000001</v>
      </c>
      <c r="BH5">
        <v>98.843900000000005</v>
      </c>
      <c r="BI5">
        <v>91.329499999999996</v>
      </c>
      <c r="BJ5">
        <v>45.664700000000003</v>
      </c>
      <c r="BK5">
        <v>52.601199999999999</v>
      </c>
      <c r="BL5">
        <v>43.352600000000002</v>
      </c>
      <c r="BM5">
        <v>64.739900000000006</v>
      </c>
      <c r="BN5">
        <v>64.161799999999999</v>
      </c>
      <c r="BO5">
        <v>61.271700000000003</v>
      </c>
      <c r="CK5">
        <v>3</v>
      </c>
      <c r="CL5" t="s">
        <v>4</v>
      </c>
      <c r="CM5" t="s">
        <v>98</v>
      </c>
      <c r="CN5" t="s">
        <v>98</v>
      </c>
      <c r="CO5" t="s">
        <v>99</v>
      </c>
      <c r="CP5" t="s">
        <v>100</v>
      </c>
      <c r="CQ5">
        <v>4</v>
      </c>
      <c r="CR5" t="s">
        <v>100</v>
      </c>
      <c r="CS5" t="s">
        <v>100</v>
      </c>
      <c r="CT5" t="s">
        <v>152</v>
      </c>
      <c r="CU5" t="s">
        <v>102</v>
      </c>
      <c r="CV5" t="s">
        <v>100</v>
      </c>
    </row>
    <row r="6" spans="1:100">
      <c r="A6" s="3" t="s">
        <v>2374</v>
      </c>
      <c r="B6" s="4" t="s">
        <v>2375</v>
      </c>
      <c r="C6">
        <v>505.87894797486302</v>
      </c>
      <c r="D6">
        <v>6241.8178591801498</v>
      </c>
      <c r="E6">
        <f>-3.62498840315817</f>
        <v>-3.6249884031581701</v>
      </c>
      <c r="F6" s="5">
        <v>8.9124410056039101E-5</v>
      </c>
      <c r="G6" t="s">
        <v>4</v>
      </c>
      <c r="H6">
        <v>505.87894797486302</v>
      </c>
      <c r="I6">
        <v>187.89069631880301</v>
      </c>
      <c r="J6">
        <v>1.4301912007923401</v>
      </c>
      <c r="K6">
        <v>0.135128625779391</v>
      </c>
      <c r="L6" t="s">
        <v>4</v>
      </c>
      <c r="M6">
        <v>6241.8178591801498</v>
      </c>
      <c r="N6">
        <v>187.89069631880301</v>
      </c>
      <c r="O6">
        <v>5.0551796039505099</v>
      </c>
      <c r="P6" s="5">
        <v>9.0667790998695901E-9</v>
      </c>
      <c r="Q6" t="s">
        <v>4</v>
      </c>
      <c r="R6" s="4" t="s">
        <v>87</v>
      </c>
      <c r="S6" t="s">
        <v>4</v>
      </c>
      <c r="T6" t="s">
        <v>92</v>
      </c>
      <c r="U6" t="s">
        <v>92</v>
      </c>
      <c r="V6" t="s">
        <v>92</v>
      </c>
      <c r="W6" t="s">
        <v>92</v>
      </c>
      <c r="X6" t="s">
        <v>4</v>
      </c>
      <c r="Y6" t="s">
        <v>92</v>
      </c>
      <c r="Z6" t="s">
        <v>92</v>
      </c>
      <c r="AA6" t="s">
        <v>92</v>
      </c>
      <c r="AB6" t="s">
        <v>4</v>
      </c>
      <c r="AC6" s="3" t="s">
        <v>93</v>
      </c>
      <c r="AD6" t="s">
        <v>4</v>
      </c>
      <c r="AE6" s="4" t="s">
        <v>94</v>
      </c>
      <c r="AZ6" t="s">
        <v>4</v>
      </c>
      <c r="BA6" s="3" t="s">
        <v>95</v>
      </c>
      <c r="BB6" s="6" t="s">
        <v>95</v>
      </c>
      <c r="BC6" s="3" t="s">
        <v>95</v>
      </c>
      <c r="BD6" t="s">
        <v>4</v>
      </c>
      <c r="BE6">
        <v>1354</v>
      </c>
      <c r="BF6" t="s">
        <v>151</v>
      </c>
      <c r="BG6">
        <v>92.802999999999997</v>
      </c>
      <c r="BH6">
        <v>51.893900000000002</v>
      </c>
      <c r="BI6">
        <v>51.136400000000002</v>
      </c>
      <c r="BJ6">
        <v>24.2424</v>
      </c>
      <c r="BK6">
        <v>30.303000000000001</v>
      </c>
      <c r="BL6">
        <v>20.454499999999999</v>
      </c>
      <c r="BM6">
        <v>27.2727</v>
      </c>
      <c r="BN6">
        <v>26.136399999999998</v>
      </c>
      <c r="BO6">
        <v>27.2727</v>
      </c>
      <c r="CK6">
        <v>2</v>
      </c>
      <c r="CL6" t="s">
        <v>4</v>
      </c>
      <c r="CM6" t="s">
        <v>98</v>
      </c>
      <c r="CN6" t="s">
        <v>98</v>
      </c>
      <c r="CO6" t="s">
        <v>99</v>
      </c>
      <c r="CP6" t="s">
        <v>100</v>
      </c>
      <c r="CQ6">
        <v>5</v>
      </c>
      <c r="CR6" t="s">
        <v>100</v>
      </c>
      <c r="CS6" t="s">
        <v>100</v>
      </c>
      <c r="CT6" t="s">
        <v>152</v>
      </c>
      <c r="CU6" t="s">
        <v>102</v>
      </c>
      <c r="CV6" t="s">
        <v>100</v>
      </c>
    </row>
    <row r="7" spans="1:100">
      <c r="A7" s="3" t="s">
        <v>2376</v>
      </c>
      <c r="B7" s="4" t="s">
        <v>2377</v>
      </c>
      <c r="C7">
        <v>704.56171520143403</v>
      </c>
      <c r="D7">
        <v>4769.0246805152701</v>
      </c>
      <c r="E7">
        <f>-2.75866364001934</f>
        <v>-2.7586636400193401</v>
      </c>
      <c r="F7" s="5">
        <v>1.13888069327844E-30</v>
      </c>
      <c r="G7" t="s">
        <v>4</v>
      </c>
      <c r="H7">
        <v>704.56171520143403</v>
      </c>
      <c r="I7">
        <v>381.78493949599903</v>
      </c>
      <c r="J7">
        <v>0.88407992107129996</v>
      </c>
      <c r="K7">
        <v>5.3734993260313101E-4</v>
      </c>
      <c r="L7" t="s">
        <v>4</v>
      </c>
      <c r="M7">
        <v>4769.0246805152701</v>
      </c>
      <c r="N7">
        <v>381.78493949599903</v>
      </c>
      <c r="O7">
        <v>3.64274356109064</v>
      </c>
      <c r="P7" s="5">
        <v>1.5610304696882E-52</v>
      </c>
      <c r="Q7" t="s">
        <v>4</v>
      </c>
      <c r="R7" s="4" t="s">
        <v>87</v>
      </c>
      <c r="S7" t="s">
        <v>4</v>
      </c>
      <c r="T7" t="s">
        <v>92</v>
      </c>
      <c r="U7" t="s">
        <v>92</v>
      </c>
      <c r="V7" t="s">
        <v>92</v>
      </c>
      <c r="W7" t="s">
        <v>92</v>
      </c>
      <c r="X7" t="s">
        <v>4</v>
      </c>
      <c r="Y7" t="s">
        <v>2378</v>
      </c>
      <c r="Z7" t="s">
        <v>2379</v>
      </c>
      <c r="AA7" t="s">
        <v>2380</v>
      </c>
      <c r="AB7" t="s">
        <v>4</v>
      </c>
      <c r="AC7" s="3" t="s">
        <v>93</v>
      </c>
      <c r="AD7" t="s">
        <v>4</v>
      </c>
      <c r="AE7" t="s">
        <v>2381</v>
      </c>
      <c r="AF7" t="s">
        <v>2382</v>
      </c>
      <c r="AG7" t="s">
        <v>2383</v>
      </c>
      <c r="AH7" t="s">
        <v>386</v>
      </c>
      <c r="AU7" t="s">
        <v>112</v>
      </c>
      <c r="AV7" t="s">
        <v>2384</v>
      </c>
      <c r="AW7" t="s">
        <v>114</v>
      </c>
      <c r="AX7" t="s">
        <v>144</v>
      </c>
      <c r="AY7" t="s">
        <v>2385</v>
      </c>
      <c r="AZ7" t="s">
        <v>4</v>
      </c>
      <c r="BA7" s="3" t="s">
        <v>95</v>
      </c>
      <c r="BB7" s="6" t="s">
        <v>95</v>
      </c>
      <c r="BC7" s="3" t="s">
        <v>95</v>
      </c>
      <c r="BD7" t="s">
        <v>4</v>
      </c>
      <c r="BE7">
        <v>8046</v>
      </c>
      <c r="BF7" t="s">
        <v>213</v>
      </c>
      <c r="BG7">
        <v>98.555999999999997</v>
      </c>
      <c r="BH7">
        <v>100</v>
      </c>
      <c r="BI7">
        <v>97.111900000000006</v>
      </c>
      <c r="BJ7">
        <v>90.613699999999994</v>
      </c>
      <c r="BK7">
        <v>74.007199999999997</v>
      </c>
      <c r="BL7">
        <v>72.202200000000005</v>
      </c>
      <c r="BM7">
        <v>83.754499999999993</v>
      </c>
      <c r="BN7">
        <v>83.754499999999993</v>
      </c>
      <c r="BO7">
        <v>73.285200000000003</v>
      </c>
      <c r="BP7">
        <v>34.295999999999999</v>
      </c>
      <c r="BQ7">
        <v>20.938600000000001</v>
      </c>
      <c r="BR7">
        <v>19.494599999999998</v>
      </c>
      <c r="CB7">
        <v>15.1625</v>
      </c>
      <c r="CE7">
        <v>20.5776</v>
      </c>
      <c r="CF7" t="s">
        <v>2386</v>
      </c>
      <c r="CG7">
        <v>23.826699999999999</v>
      </c>
      <c r="CH7">
        <v>22.7437</v>
      </c>
      <c r="CI7">
        <v>22.7437</v>
      </c>
      <c r="CK7">
        <v>8</v>
      </c>
      <c r="CL7" t="s">
        <v>4</v>
      </c>
      <c r="CM7" t="s">
        <v>98</v>
      </c>
      <c r="CN7" t="s">
        <v>98</v>
      </c>
      <c r="CO7" t="s">
        <v>99</v>
      </c>
      <c r="CP7" t="s">
        <v>100</v>
      </c>
      <c r="CQ7">
        <v>6</v>
      </c>
      <c r="CR7" t="s">
        <v>100</v>
      </c>
      <c r="CS7" t="s">
        <v>100</v>
      </c>
      <c r="CT7" t="s">
        <v>152</v>
      </c>
      <c r="CU7" t="s">
        <v>102</v>
      </c>
      <c r="CV7" t="s">
        <v>100</v>
      </c>
    </row>
    <row r="8" spans="1:100">
      <c r="A8" s="3" t="s">
        <v>2387</v>
      </c>
      <c r="B8" s="4" t="s">
        <v>2388</v>
      </c>
      <c r="C8">
        <v>572.21844832385796</v>
      </c>
      <c r="D8">
        <v>2615.53192899757</v>
      </c>
      <c r="E8">
        <f>-2.19222032711274</f>
        <v>-2.1922203271127398</v>
      </c>
      <c r="F8" s="5">
        <v>9.5057452457241799E-11</v>
      </c>
      <c r="G8" t="s">
        <v>4</v>
      </c>
      <c r="H8">
        <v>572.21844832385796</v>
      </c>
      <c r="I8">
        <v>484.107354173663</v>
      </c>
      <c r="J8">
        <v>0.23805207451090901</v>
      </c>
      <c r="K8">
        <v>0.53324503853628302</v>
      </c>
      <c r="L8" t="s">
        <v>4</v>
      </c>
      <c r="M8">
        <v>2615.53192899757</v>
      </c>
      <c r="N8">
        <v>484.107354173663</v>
      </c>
      <c r="O8">
        <v>2.4302724016236499</v>
      </c>
      <c r="P8" s="5">
        <v>2.08671326077435E-13</v>
      </c>
      <c r="Q8" t="s">
        <v>4</v>
      </c>
      <c r="R8" s="4" t="s">
        <v>87</v>
      </c>
      <c r="S8" t="s">
        <v>4</v>
      </c>
      <c r="T8" t="s">
        <v>92</v>
      </c>
      <c r="U8" t="s">
        <v>92</v>
      </c>
      <c r="V8" t="s">
        <v>92</v>
      </c>
      <c r="W8" t="s">
        <v>92</v>
      </c>
      <c r="X8" t="s">
        <v>4</v>
      </c>
      <c r="Y8" t="s">
        <v>2389</v>
      </c>
      <c r="Z8" t="s">
        <v>2390</v>
      </c>
      <c r="AA8" t="s">
        <v>2391</v>
      </c>
      <c r="AB8" t="s">
        <v>4</v>
      </c>
      <c r="AC8" s="3" t="s">
        <v>2392</v>
      </c>
      <c r="AD8" t="s">
        <v>4</v>
      </c>
      <c r="AE8" s="4" t="s">
        <v>94</v>
      </c>
      <c r="AZ8" t="s">
        <v>4</v>
      </c>
      <c r="BA8" s="3" t="s">
        <v>95</v>
      </c>
      <c r="BB8" s="6" t="s">
        <v>95</v>
      </c>
      <c r="BC8" s="3" t="s">
        <v>95</v>
      </c>
      <c r="BD8" t="s">
        <v>4</v>
      </c>
      <c r="BE8">
        <v>2836</v>
      </c>
      <c r="BF8" t="s">
        <v>97</v>
      </c>
      <c r="BG8">
        <v>95.111999999999995</v>
      </c>
      <c r="BH8">
        <v>94.908299999999997</v>
      </c>
      <c r="BI8">
        <v>91.649699999999996</v>
      </c>
      <c r="BJ8">
        <v>69.246399999999994</v>
      </c>
      <c r="BK8">
        <v>71.486800000000002</v>
      </c>
      <c r="BL8">
        <v>72.505099999999999</v>
      </c>
      <c r="BM8">
        <v>72.505099999999999</v>
      </c>
      <c r="BN8">
        <v>72.708799999999997</v>
      </c>
      <c r="BO8">
        <v>80.040700000000001</v>
      </c>
      <c r="BP8">
        <v>21.384899999999998</v>
      </c>
      <c r="CK8">
        <v>4</v>
      </c>
      <c r="CL8" t="s">
        <v>4</v>
      </c>
      <c r="CM8" t="s">
        <v>98</v>
      </c>
      <c r="CN8" t="s">
        <v>98</v>
      </c>
      <c r="CO8" t="s">
        <v>99</v>
      </c>
      <c r="CP8" t="s">
        <v>100</v>
      </c>
      <c r="CQ8">
        <v>7</v>
      </c>
      <c r="CR8" t="s">
        <v>100</v>
      </c>
      <c r="CS8" t="s">
        <v>100</v>
      </c>
      <c r="CT8" t="s">
        <v>152</v>
      </c>
      <c r="CU8" t="s">
        <v>102</v>
      </c>
      <c r="CV8" t="s">
        <v>100</v>
      </c>
    </row>
    <row r="9" spans="1:100">
      <c r="A9" s="3" t="s">
        <v>2393</v>
      </c>
      <c r="B9" s="4" t="s">
        <v>2394</v>
      </c>
      <c r="C9">
        <v>80.011268854094695</v>
      </c>
      <c r="D9">
        <v>1350.56349171232</v>
      </c>
      <c r="E9">
        <f>-4.07574893947901</f>
        <v>-4.0757489394790101</v>
      </c>
      <c r="F9" s="5">
        <v>6.3080870640651097E-12</v>
      </c>
      <c r="G9" t="s">
        <v>4</v>
      </c>
      <c r="H9">
        <v>80.011268854094695</v>
      </c>
      <c r="I9">
        <v>36.875516651829301</v>
      </c>
      <c r="J9">
        <v>1.1239381266863899</v>
      </c>
      <c r="K9">
        <v>8.6351606385630303E-2</v>
      </c>
      <c r="L9" t="s">
        <v>4</v>
      </c>
      <c r="M9">
        <v>1350.56349171232</v>
      </c>
      <c r="N9">
        <v>36.875516651829301</v>
      </c>
      <c r="O9">
        <v>5.1996870661654002</v>
      </c>
      <c r="P9" s="5">
        <v>2.0055167635352101E-18</v>
      </c>
      <c r="Q9" t="s">
        <v>4</v>
      </c>
      <c r="R9" s="4" t="s">
        <v>87</v>
      </c>
      <c r="S9" t="s">
        <v>4</v>
      </c>
      <c r="T9" t="s">
        <v>92</v>
      </c>
      <c r="U9" t="s">
        <v>92</v>
      </c>
      <c r="V9" t="s">
        <v>92</v>
      </c>
      <c r="W9" t="s">
        <v>92</v>
      </c>
      <c r="X9" t="s">
        <v>4</v>
      </c>
      <c r="Y9" t="s">
        <v>92</v>
      </c>
      <c r="Z9" t="s">
        <v>92</v>
      </c>
      <c r="AA9" t="s">
        <v>92</v>
      </c>
      <c r="AB9" t="s">
        <v>4</v>
      </c>
      <c r="AC9" s="3" t="s">
        <v>93</v>
      </c>
      <c r="AD9" t="s">
        <v>4</v>
      </c>
      <c r="AE9" s="4" t="s">
        <v>94</v>
      </c>
      <c r="AZ9" t="s">
        <v>4</v>
      </c>
      <c r="BA9" s="3" t="s">
        <v>115</v>
      </c>
      <c r="BB9" s="6" t="s">
        <v>95</v>
      </c>
      <c r="BC9" s="3" t="s">
        <v>95</v>
      </c>
      <c r="BD9" t="s">
        <v>4</v>
      </c>
      <c r="BE9">
        <v>2153</v>
      </c>
      <c r="BF9" t="s">
        <v>148</v>
      </c>
      <c r="BG9">
        <v>98.802400000000006</v>
      </c>
      <c r="BH9">
        <v>100</v>
      </c>
      <c r="BJ9">
        <v>61.077800000000003</v>
      </c>
      <c r="BK9">
        <v>50.898200000000003</v>
      </c>
      <c r="BO9">
        <v>59.281399999999998</v>
      </c>
      <c r="CK9">
        <v>3</v>
      </c>
      <c r="CL9" t="s">
        <v>4</v>
      </c>
      <c r="CM9" t="s">
        <v>98</v>
      </c>
      <c r="CN9" t="s">
        <v>98</v>
      </c>
      <c r="CO9" t="s">
        <v>99</v>
      </c>
      <c r="CP9" t="s">
        <v>100</v>
      </c>
      <c r="CQ9">
        <v>8</v>
      </c>
      <c r="CR9" t="s">
        <v>100</v>
      </c>
      <c r="CS9" t="s">
        <v>100</v>
      </c>
      <c r="CT9" t="s">
        <v>152</v>
      </c>
      <c r="CU9" t="s">
        <v>102</v>
      </c>
      <c r="CV9" t="s">
        <v>100</v>
      </c>
    </row>
    <row r="10" spans="1:100">
      <c r="A10" s="3" t="s">
        <v>2395</v>
      </c>
      <c r="B10" s="4" t="s">
        <v>2396</v>
      </c>
      <c r="C10">
        <v>327.37727941296299</v>
      </c>
      <c r="D10">
        <v>2921.7096489629898</v>
      </c>
      <c r="E10">
        <f>-3.15716331235296</f>
        <v>-3.1571633123529601</v>
      </c>
      <c r="F10" s="5">
        <v>3.8997589958061001E-15</v>
      </c>
      <c r="G10" t="s">
        <v>4</v>
      </c>
      <c r="H10">
        <v>327.37727941296299</v>
      </c>
      <c r="I10">
        <v>124.573171795096</v>
      </c>
      <c r="J10">
        <v>1.3783101495336301</v>
      </c>
      <c r="K10">
        <v>1.16436286191441E-3</v>
      </c>
      <c r="L10" t="s">
        <v>4</v>
      </c>
      <c r="M10">
        <v>2921.7096489629898</v>
      </c>
      <c r="N10">
        <v>124.573171795096</v>
      </c>
      <c r="O10">
        <v>4.5354734618865997</v>
      </c>
      <c r="P10" s="5">
        <v>4.4859836062337402E-30</v>
      </c>
      <c r="Q10" t="s">
        <v>4</v>
      </c>
      <c r="R10" s="4" t="s">
        <v>87</v>
      </c>
      <c r="S10" t="s">
        <v>4</v>
      </c>
      <c r="T10" t="s">
        <v>92</v>
      </c>
      <c r="U10" t="s">
        <v>92</v>
      </c>
      <c r="V10" t="s">
        <v>92</v>
      </c>
      <c r="W10" t="s">
        <v>92</v>
      </c>
      <c r="X10" t="s">
        <v>4</v>
      </c>
      <c r="Y10" t="s">
        <v>92</v>
      </c>
      <c r="Z10" t="s">
        <v>92</v>
      </c>
      <c r="AA10" t="s">
        <v>92</v>
      </c>
      <c r="AB10" t="s">
        <v>4</v>
      </c>
      <c r="AC10" s="3" t="s">
        <v>93</v>
      </c>
      <c r="AD10" t="s">
        <v>4</v>
      </c>
      <c r="AE10" s="4" t="s">
        <v>94</v>
      </c>
      <c r="AZ10" t="s">
        <v>4</v>
      </c>
      <c r="BA10" s="3" t="s">
        <v>115</v>
      </c>
      <c r="BB10" s="6" t="s">
        <v>95</v>
      </c>
      <c r="BC10" s="3" t="s">
        <v>197</v>
      </c>
      <c r="BD10" t="s">
        <v>4</v>
      </c>
      <c r="BE10">
        <v>2156</v>
      </c>
      <c r="BF10" t="s">
        <v>148</v>
      </c>
      <c r="BG10">
        <v>98.7209</v>
      </c>
      <c r="BH10">
        <v>100</v>
      </c>
      <c r="BI10">
        <v>81.860500000000002</v>
      </c>
      <c r="BJ10" t="s">
        <v>2397</v>
      </c>
      <c r="BK10">
        <v>61.395299999999999</v>
      </c>
      <c r="BL10">
        <v>63.139499999999998</v>
      </c>
      <c r="BM10">
        <v>62.325600000000001</v>
      </c>
      <c r="BN10">
        <v>71.627899999999997</v>
      </c>
      <c r="BO10">
        <v>71.744200000000006</v>
      </c>
      <c r="CK10">
        <v>3</v>
      </c>
      <c r="CL10" t="s">
        <v>4</v>
      </c>
      <c r="CM10" t="s">
        <v>98</v>
      </c>
      <c r="CN10" t="s">
        <v>98</v>
      </c>
      <c r="CO10" t="s">
        <v>99</v>
      </c>
      <c r="CP10" t="s">
        <v>100</v>
      </c>
      <c r="CQ10">
        <v>9</v>
      </c>
      <c r="CR10" t="s">
        <v>100</v>
      </c>
      <c r="CS10" s="7" t="s">
        <v>101</v>
      </c>
      <c r="CT10" t="s">
        <v>152</v>
      </c>
      <c r="CU10" t="s">
        <v>102</v>
      </c>
      <c r="CV10" t="s">
        <v>100</v>
      </c>
    </row>
    <row r="11" spans="1:100">
      <c r="A11" s="3" t="s">
        <v>2398</v>
      </c>
      <c r="B11" s="4" t="s">
        <v>2399</v>
      </c>
      <c r="C11">
        <v>17.677930348803301</v>
      </c>
      <c r="D11">
        <v>85.473410994538298</v>
      </c>
      <c r="E11">
        <f>-2.26745269236406</f>
        <v>-2.2674526923640599</v>
      </c>
      <c r="F11">
        <v>1.13880705652641E-3</v>
      </c>
      <c r="G11" t="s">
        <v>4</v>
      </c>
      <c r="H11">
        <v>17.677930348803301</v>
      </c>
      <c r="I11">
        <v>9.6094865518455101</v>
      </c>
      <c r="J11">
        <v>0.89132627270617804</v>
      </c>
      <c r="K11">
        <v>0.26714002555029998</v>
      </c>
      <c r="L11" t="s">
        <v>4</v>
      </c>
      <c r="M11">
        <v>85.473410994538298</v>
      </c>
      <c r="N11">
        <v>9.6094865518455101</v>
      </c>
      <c r="O11">
        <v>3.1587789650702298</v>
      </c>
      <c r="P11" s="5">
        <v>1.09350393673599E-5</v>
      </c>
      <c r="Q11" t="s">
        <v>4</v>
      </c>
      <c r="R11" s="4" t="s">
        <v>87</v>
      </c>
      <c r="S11" t="s">
        <v>4</v>
      </c>
      <c r="T11" t="s">
        <v>92</v>
      </c>
      <c r="U11" t="s">
        <v>92</v>
      </c>
      <c r="V11" t="s">
        <v>92</v>
      </c>
      <c r="W11" t="s">
        <v>92</v>
      </c>
      <c r="X11" t="s">
        <v>4</v>
      </c>
      <c r="Y11" t="s">
        <v>92</v>
      </c>
      <c r="Z11" t="s">
        <v>92</v>
      </c>
      <c r="AA11" t="s">
        <v>92</v>
      </c>
      <c r="AB11" t="s">
        <v>4</v>
      </c>
      <c r="AC11" s="3" t="s">
        <v>93</v>
      </c>
      <c r="AD11" t="s">
        <v>4</v>
      </c>
      <c r="AE11" s="4" t="s">
        <v>94</v>
      </c>
      <c r="AZ11" t="s">
        <v>4</v>
      </c>
      <c r="BA11" s="3" t="s">
        <v>95</v>
      </c>
      <c r="BB11" s="6" t="s">
        <v>95</v>
      </c>
      <c r="BC11" s="3" t="s">
        <v>197</v>
      </c>
      <c r="BD11" t="s">
        <v>4</v>
      </c>
      <c r="BE11">
        <v>1371</v>
      </c>
      <c r="BF11" t="s">
        <v>151</v>
      </c>
      <c r="BG11">
        <v>78.494600000000005</v>
      </c>
      <c r="CK11">
        <v>2</v>
      </c>
      <c r="CL11" t="s">
        <v>4</v>
      </c>
      <c r="CM11" t="s">
        <v>98</v>
      </c>
      <c r="CN11" t="s">
        <v>98</v>
      </c>
      <c r="CO11" t="s">
        <v>99</v>
      </c>
      <c r="CP11" t="s">
        <v>100</v>
      </c>
      <c r="CQ11">
        <v>10</v>
      </c>
      <c r="CR11" t="s">
        <v>100</v>
      </c>
      <c r="CS11" t="s">
        <v>100</v>
      </c>
      <c r="CT11" t="s">
        <v>152</v>
      </c>
      <c r="CU11" t="s">
        <v>102</v>
      </c>
      <c r="CV11" t="s">
        <v>100</v>
      </c>
    </row>
    <row r="12" spans="1:100">
      <c r="A12" s="3" t="s">
        <v>2400</v>
      </c>
      <c r="B12" s="4" t="s">
        <v>2401</v>
      </c>
      <c r="C12">
        <v>53.982057786328298</v>
      </c>
      <c r="D12">
        <v>351.23615889608197</v>
      </c>
      <c r="E12">
        <f>-2.69624373602691</f>
        <v>-2.69624373602691</v>
      </c>
      <c r="F12" s="5">
        <v>8.6393772771481606E-15</v>
      </c>
      <c r="G12" t="s">
        <v>4</v>
      </c>
      <c r="H12">
        <v>53.982057786328298</v>
      </c>
      <c r="I12">
        <v>23.639565620592698</v>
      </c>
      <c r="J12">
        <v>1.2318335055735701</v>
      </c>
      <c r="K12">
        <v>3.4620289476086502E-3</v>
      </c>
      <c r="L12" t="s">
        <v>4</v>
      </c>
      <c r="M12">
        <v>351.23615889608197</v>
      </c>
      <c r="N12">
        <v>23.639565620592698</v>
      </c>
      <c r="O12">
        <v>3.9280772416004899</v>
      </c>
      <c r="P12" s="5">
        <v>1.99850407362272E-24</v>
      </c>
      <c r="Q12" t="s">
        <v>4</v>
      </c>
      <c r="R12" s="4" t="s">
        <v>87</v>
      </c>
      <c r="S12" t="s">
        <v>4</v>
      </c>
      <c r="T12" t="s">
        <v>2402</v>
      </c>
      <c r="U12" t="s">
        <v>2403</v>
      </c>
      <c r="V12" t="s">
        <v>2404</v>
      </c>
      <c r="W12" t="s">
        <v>91</v>
      </c>
      <c r="X12" t="s">
        <v>4</v>
      </c>
      <c r="Y12" t="s">
        <v>2405</v>
      </c>
      <c r="Z12" t="s">
        <v>2406</v>
      </c>
      <c r="AA12" t="s">
        <v>2407</v>
      </c>
      <c r="AB12" t="s">
        <v>4</v>
      </c>
      <c r="AC12" s="3" t="s">
        <v>2408</v>
      </c>
      <c r="AD12" t="s">
        <v>4</v>
      </c>
      <c r="AE12" t="s">
        <v>2409</v>
      </c>
      <c r="AF12" t="s">
        <v>2410</v>
      </c>
      <c r="AG12" t="s">
        <v>2411</v>
      </c>
      <c r="AH12" t="s">
        <v>638</v>
      </c>
      <c r="AU12" t="s">
        <v>112</v>
      </c>
      <c r="AV12" t="s">
        <v>2412</v>
      </c>
      <c r="AW12" t="s">
        <v>114</v>
      </c>
      <c r="AX12" t="s">
        <v>144</v>
      </c>
      <c r="AY12" t="s">
        <v>2413</v>
      </c>
      <c r="AZ12" t="s">
        <v>4</v>
      </c>
      <c r="BA12" s="3" t="s">
        <v>95</v>
      </c>
      <c r="BB12" s="6" t="s">
        <v>95</v>
      </c>
      <c r="BC12" s="3" t="s">
        <v>197</v>
      </c>
      <c r="BD12" t="s">
        <v>4</v>
      </c>
      <c r="BE12">
        <v>2164</v>
      </c>
      <c r="BF12" t="s">
        <v>148</v>
      </c>
      <c r="BG12">
        <v>13.7715</v>
      </c>
      <c r="BH12" t="s">
        <v>2414</v>
      </c>
      <c r="BI12">
        <v>73.239400000000003</v>
      </c>
      <c r="BJ12" t="s">
        <v>2415</v>
      </c>
      <c r="BK12">
        <v>57.1205</v>
      </c>
      <c r="BL12">
        <v>28.951499999999999</v>
      </c>
      <c r="BM12">
        <v>58.5289</v>
      </c>
      <c r="BN12">
        <v>53.051600000000001</v>
      </c>
      <c r="BO12">
        <v>47.574300000000001</v>
      </c>
      <c r="CK12">
        <v>3</v>
      </c>
      <c r="CL12" t="s">
        <v>4</v>
      </c>
      <c r="CM12" t="s">
        <v>98</v>
      </c>
      <c r="CN12" t="s">
        <v>98</v>
      </c>
      <c r="CO12" t="s">
        <v>99</v>
      </c>
      <c r="CP12" t="s">
        <v>100</v>
      </c>
      <c r="CQ12">
        <v>11</v>
      </c>
      <c r="CR12" t="s">
        <v>100</v>
      </c>
      <c r="CS12" s="7" t="s">
        <v>101</v>
      </c>
      <c r="CT12" t="s">
        <v>152</v>
      </c>
      <c r="CU12" t="s">
        <v>102</v>
      </c>
      <c r="CV12" t="s">
        <v>100</v>
      </c>
    </row>
    <row r="13" spans="1:100">
      <c r="A13" s="3" t="s">
        <v>2416</v>
      </c>
      <c r="B13" s="4" t="s">
        <v>2417</v>
      </c>
      <c r="C13">
        <v>69.422692877338406</v>
      </c>
      <c r="D13">
        <v>585.71312799449095</v>
      </c>
      <c r="E13">
        <f>-3.07558656433502</f>
        <v>-3.07558656433502</v>
      </c>
      <c r="F13" s="5">
        <v>8.1721120944092204E-7</v>
      </c>
      <c r="G13" t="s">
        <v>4</v>
      </c>
      <c r="H13">
        <v>69.422692877338406</v>
      </c>
      <c r="I13">
        <v>24.410993150016498</v>
      </c>
      <c r="J13">
        <v>1.5245148335701499</v>
      </c>
      <c r="K13">
        <v>2.40293142938902E-2</v>
      </c>
      <c r="L13" t="s">
        <v>4</v>
      </c>
      <c r="M13">
        <v>585.71312799449095</v>
      </c>
      <c r="N13">
        <v>24.410993150016498</v>
      </c>
      <c r="O13">
        <v>4.6001013979051697</v>
      </c>
      <c r="P13" s="5">
        <v>1.8787008259203499E-13</v>
      </c>
      <c r="Q13" t="s">
        <v>4</v>
      </c>
      <c r="R13" s="4" t="s">
        <v>87</v>
      </c>
      <c r="S13" t="s">
        <v>4</v>
      </c>
      <c r="T13" t="s">
        <v>88</v>
      </c>
      <c r="U13" t="s">
        <v>89</v>
      </c>
      <c r="V13" t="s">
        <v>90</v>
      </c>
      <c r="W13" t="s">
        <v>91</v>
      </c>
      <c r="X13" t="s">
        <v>4</v>
      </c>
      <c r="Y13" t="s">
        <v>92</v>
      </c>
      <c r="Z13" t="s">
        <v>92</v>
      </c>
      <c r="AA13" t="s">
        <v>92</v>
      </c>
      <c r="AB13" t="s">
        <v>4</v>
      </c>
      <c r="AC13" s="3" t="s">
        <v>93</v>
      </c>
      <c r="AD13" t="s">
        <v>4</v>
      </c>
      <c r="AE13" s="4" t="s">
        <v>94</v>
      </c>
      <c r="AZ13" t="s">
        <v>4</v>
      </c>
      <c r="BA13" s="3" t="s">
        <v>95</v>
      </c>
      <c r="BB13" t="s">
        <v>96</v>
      </c>
      <c r="BC13" s="3" t="s">
        <v>95</v>
      </c>
      <c r="BD13" t="s">
        <v>4</v>
      </c>
      <c r="BE13">
        <v>1378</v>
      </c>
      <c r="BF13" t="s">
        <v>151</v>
      </c>
      <c r="BG13">
        <v>89.850700000000003</v>
      </c>
      <c r="BH13">
        <v>79.104500000000002</v>
      </c>
      <c r="BJ13">
        <v>43.582099999999997</v>
      </c>
      <c r="BK13" t="s">
        <v>2418</v>
      </c>
      <c r="BM13" t="s">
        <v>2419</v>
      </c>
      <c r="BN13" t="s">
        <v>2420</v>
      </c>
      <c r="BO13" t="s">
        <v>2421</v>
      </c>
      <c r="CK13">
        <v>2</v>
      </c>
      <c r="CL13" t="s">
        <v>4</v>
      </c>
      <c r="CM13" t="s">
        <v>98</v>
      </c>
      <c r="CN13" t="s">
        <v>98</v>
      </c>
      <c r="CO13" t="s">
        <v>99</v>
      </c>
      <c r="CP13" t="s">
        <v>100</v>
      </c>
      <c r="CQ13">
        <v>12</v>
      </c>
      <c r="CR13" t="s">
        <v>100</v>
      </c>
      <c r="CS13" s="7" t="s">
        <v>101</v>
      </c>
      <c r="CT13" t="s">
        <v>152</v>
      </c>
      <c r="CU13" t="s">
        <v>102</v>
      </c>
      <c r="CV13" t="s">
        <v>100</v>
      </c>
    </row>
    <row r="14" spans="1:100">
      <c r="A14" s="3" t="s">
        <v>2422</v>
      </c>
      <c r="B14" s="4" t="s">
        <v>2423</v>
      </c>
      <c r="C14">
        <v>42.051653384881803</v>
      </c>
      <c r="D14">
        <v>505.76644078517899</v>
      </c>
      <c r="E14">
        <f>-3.58262553332089</f>
        <v>-3.5826255333208898</v>
      </c>
      <c r="F14" s="5">
        <v>1.2182257360595E-9</v>
      </c>
      <c r="G14" t="s">
        <v>4</v>
      </c>
      <c r="H14">
        <v>42.051653384881803</v>
      </c>
      <c r="I14">
        <v>105.932111963011</v>
      </c>
      <c r="J14">
        <f>-1.32404078184</f>
        <v>-1.32404078184</v>
      </c>
      <c r="K14">
        <v>3.3324075518056599E-2</v>
      </c>
      <c r="L14" t="s">
        <v>4</v>
      </c>
      <c r="M14">
        <v>505.76644078517899</v>
      </c>
      <c r="N14">
        <v>105.932111963011</v>
      </c>
      <c r="O14">
        <v>2.2585847514808899</v>
      </c>
      <c r="P14">
        <v>1.09157288460056E-4</v>
      </c>
      <c r="Q14" t="s">
        <v>4</v>
      </c>
      <c r="R14" s="4" t="s">
        <v>87</v>
      </c>
      <c r="S14" t="s">
        <v>4</v>
      </c>
      <c r="T14" t="s">
        <v>1765</v>
      </c>
      <c r="U14" t="s">
        <v>1766</v>
      </c>
      <c r="V14" t="s">
        <v>1767</v>
      </c>
      <c r="W14" t="s">
        <v>123</v>
      </c>
      <c r="X14" t="s">
        <v>4</v>
      </c>
      <c r="Y14" t="s">
        <v>1768</v>
      </c>
      <c r="Z14" t="s">
        <v>1769</v>
      </c>
      <c r="AA14" t="s">
        <v>1770</v>
      </c>
      <c r="AB14" t="s">
        <v>4</v>
      </c>
      <c r="AC14" s="3" t="s">
        <v>2424</v>
      </c>
      <c r="AD14" t="s">
        <v>4</v>
      </c>
      <c r="AE14" s="4" t="s">
        <v>94</v>
      </c>
      <c r="AZ14" t="s">
        <v>4</v>
      </c>
      <c r="BA14" s="3" t="s">
        <v>115</v>
      </c>
      <c r="BB14" s="6" t="s">
        <v>95</v>
      </c>
      <c r="BC14" s="3" t="s">
        <v>95</v>
      </c>
      <c r="BD14" t="s">
        <v>4</v>
      </c>
      <c r="BE14">
        <v>1380</v>
      </c>
      <c r="BF14" t="s">
        <v>151</v>
      </c>
      <c r="BG14">
        <v>94.444400000000002</v>
      </c>
      <c r="BH14">
        <v>100</v>
      </c>
      <c r="BI14">
        <v>83.333299999999994</v>
      </c>
      <c r="BJ14">
        <v>64.814800000000005</v>
      </c>
      <c r="BK14">
        <v>63.8889</v>
      </c>
      <c r="BL14">
        <v>46.296300000000002</v>
      </c>
      <c r="BM14">
        <v>58.333300000000001</v>
      </c>
      <c r="BN14">
        <v>58.333300000000001</v>
      </c>
      <c r="CK14">
        <v>2</v>
      </c>
      <c r="CL14" t="s">
        <v>4</v>
      </c>
      <c r="CM14" t="s">
        <v>98</v>
      </c>
      <c r="CN14" t="s">
        <v>98</v>
      </c>
      <c r="CO14" t="s">
        <v>99</v>
      </c>
      <c r="CP14" t="s">
        <v>100</v>
      </c>
      <c r="CQ14">
        <v>13</v>
      </c>
      <c r="CR14" t="s">
        <v>100</v>
      </c>
      <c r="CS14" t="s">
        <v>100</v>
      </c>
      <c r="CT14" t="s">
        <v>152</v>
      </c>
      <c r="CU14" t="s">
        <v>102</v>
      </c>
      <c r="CV14" t="s">
        <v>100</v>
      </c>
    </row>
    <row r="15" spans="1:100">
      <c r="A15" s="3" t="s">
        <v>2425</v>
      </c>
      <c r="B15" s="4" t="s">
        <v>2426</v>
      </c>
      <c r="C15">
        <v>148.384128945128</v>
      </c>
      <c r="D15">
        <v>2021.8682160563001</v>
      </c>
      <c r="E15">
        <f>-3.767653678954</f>
        <v>-3.7676536789539998</v>
      </c>
      <c r="F15" s="5">
        <v>4.30706202493761E-11</v>
      </c>
      <c r="G15" t="s">
        <v>4</v>
      </c>
      <c r="H15">
        <v>148.384128945128</v>
      </c>
      <c r="I15">
        <v>72.8770803966665</v>
      </c>
      <c r="J15">
        <v>1.0346259080203799</v>
      </c>
      <c r="K15">
        <v>9.5413627903521495E-2</v>
      </c>
      <c r="L15" t="s">
        <v>4</v>
      </c>
      <c r="M15">
        <v>2021.8682160563001</v>
      </c>
      <c r="N15">
        <v>72.8770803966665</v>
      </c>
      <c r="O15">
        <v>4.8022795869743797</v>
      </c>
      <c r="P15" s="5">
        <v>1.55084299062134E-17</v>
      </c>
      <c r="Q15" t="s">
        <v>4</v>
      </c>
      <c r="R15" s="4" t="s">
        <v>87</v>
      </c>
      <c r="S15" t="s">
        <v>4</v>
      </c>
      <c r="T15" t="s">
        <v>92</v>
      </c>
      <c r="U15" t="s">
        <v>92</v>
      </c>
      <c r="V15" t="s">
        <v>92</v>
      </c>
      <c r="W15" t="s">
        <v>92</v>
      </c>
      <c r="X15" t="s">
        <v>4</v>
      </c>
      <c r="Y15" t="s">
        <v>92</v>
      </c>
      <c r="Z15" t="s">
        <v>92</v>
      </c>
      <c r="AA15" t="s">
        <v>92</v>
      </c>
      <c r="AB15" t="s">
        <v>4</v>
      </c>
      <c r="AC15" s="3" t="s">
        <v>93</v>
      </c>
      <c r="AD15" t="s">
        <v>4</v>
      </c>
      <c r="AE15" s="4" t="s">
        <v>94</v>
      </c>
      <c r="AZ15" t="s">
        <v>4</v>
      </c>
      <c r="BA15" s="3" t="s">
        <v>115</v>
      </c>
      <c r="BB15" s="6" t="s">
        <v>95</v>
      </c>
      <c r="BC15" s="3" t="s">
        <v>95</v>
      </c>
      <c r="BD15" t="s">
        <v>4</v>
      </c>
      <c r="BE15">
        <v>1381</v>
      </c>
      <c r="BF15" t="s">
        <v>151</v>
      </c>
      <c r="BG15">
        <v>97.507800000000003</v>
      </c>
      <c r="BH15">
        <v>100</v>
      </c>
      <c r="BI15">
        <v>80.062299999999993</v>
      </c>
      <c r="BJ15">
        <v>36.137099999999997</v>
      </c>
      <c r="BK15">
        <v>38.940800000000003</v>
      </c>
      <c r="BL15" t="s">
        <v>2427</v>
      </c>
      <c r="BM15">
        <v>33.6449</v>
      </c>
      <c r="BN15">
        <v>32.710299999999997</v>
      </c>
      <c r="BO15">
        <v>38.940800000000003</v>
      </c>
      <c r="CK15">
        <v>2</v>
      </c>
      <c r="CL15" t="s">
        <v>4</v>
      </c>
      <c r="CM15" t="s">
        <v>98</v>
      </c>
      <c r="CN15" t="s">
        <v>98</v>
      </c>
      <c r="CO15" t="s">
        <v>99</v>
      </c>
      <c r="CP15" t="s">
        <v>100</v>
      </c>
      <c r="CQ15">
        <v>14</v>
      </c>
      <c r="CR15" t="s">
        <v>100</v>
      </c>
      <c r="CS15" t="s">
        <v>100</v>
      </c>
      <c r="CT15" t="s">
        <v>152</v>
      </c>
      <c r="CU15" t="s">
        <v>102</v>
      </c>
      <c r="CV15" t="s">
        <v>100</v>
      </c>
    </row>
    <row r="16" spans="1:100">
      <c r="A16" s="3" t="s">
        <v>2428</v>
      </c>
      <c r="B16" s="4" t="s">
        <v>2429</v>
      </c>
      <c r="C16">
        <v>768.53904107495498</v>
      </c>
      <c r="D16">
        <v>10862.4702011102</v>
      </c>
      <c r="E16">
        <f>-3.82102328730141</f>
        <v>-3.8210232873014101</v>
      </c>
      <c r="F16">
        <v>1.4532152700320899E-4</v>
      </c>
      <c r="G16" t="s">
        <v>4</v>
      </c>
      <c r="H16">
        <v>768.53904107495498</v>
      </c>
      <c r="I16">
        <v>375.405776596306</v>
      </c>
      <c r="J16">
        <v>1.0341596615612301</v>
      </c>
      <c r="K16">
        <v>0.32910547532193102</v>
      </c>
      <c r="L16" t="s">
        <v>4</v>
      </c>
      <c r="M16">
        <v>10862.4702011102</v>
      </c>
      <c r="N16">
        <v>375.405776596306</v>
      </c>
      <c r="O16">
        <v>4.8551829488626401</v>
      </c>
      <c r="P16" s="5">
        <v>3.9555960704882598E-7</v>
      </c>
      <c r="Q16" t="s">
        <v>4</v>
      </c>
      <c r="R16" s="4" t="s">
        <v>87</v>
      </c>
      <c r="S16" t="s">
        <v>4</v>
      </c>
      <c r="T16" t="s">
        <v>92</v>
      </c>
      <c r="U16" t="s">
        <v>92</v>
      </c>
      <c r="V16" t="s">
        <v>92</v>
      </c>
      <c r="W16" t="s">
        <v>92</v>
      </c>
      <c r="X16" t="s">
        <v>4</v>
      </c>
      <c r="Y16" t="s">
        <v>92</v>
      </c>
      <c r="Z16" t="s">
        <v>92</v>
      </c>
      <c r="AA16" t="s">
        <v>92</v>
      </c>
      <c r="AB16" t="s">
        <v>4</v>
      </c>
      <c r="AC16" s="3" t="s">
        <v>93</v>
      </c>
      <c r="AD16" t="s">
        <v>4</v>
      </c>
      <c r="AE16" s="4" t="s">
        <v>94</v>
      </c>
      <c r="AZ16" t="s">
        <v>4</v>
      </c>
      <c r="BA16" s="3" t="s">
        <v>115</v>
      </c>
      <c r="BB16" s="6" t="s">
        <v>95</v>
      </c>
      <c r="BC16" s="3" t="s">
        <v>95</v>
      </c>
      <c r="BD16" t="s">
        <v>4</v>
      </c>
      <c r="BE16">
        <v>2167</v>
      </c>
      <c r="BF16" t="s">
        <v>148</v>
      </c>
      <c r="BG16">
        <v>73.020099999999999</v>
      </c>
      <c r="BH16">
        <v>17.047000000000001</v>
      </c>
      <c r="BI16">
        <v>52.080500000000001</v>
      </c>
      <c r="BJ16" t="s">
        <v>2430</v>
      </c>
      <c r="BK16">
        <v>23.624199999999998</v>
      </c>
      <c r="BM16">
        <v>6.4429499999999997</v>
      </c>
      <c r="BN16">
        <v>9.5302000000000007</v>
      </c>
      <c r="BO16">
        <v>21.610700000000001</v>
      </c>
      <c r="CK16">
        <v>3</v>
      </c>
      <c r="CL16" t="s">
        <v>4</v>
      </c>
      <c r="CM16" t="s">
        <v>98</v>
      </c>
      <c r="CN16" t="s">
        <v>98</v>
      </c>
      <c r="CO16" t="s">
        <v>99</v>
      </c>
      <c r="CP16" t="s">
        <v>100</v>
      </c>
      <c r="CQ16">
        <v>15</v>
      </c>
      <c r="CR16" t="s">
        <v>100</v>
      </c>
      <c r="CS16" t="s">
        <v>100</v>
      </c>
      <c r="CT16" t="s">
        <v>152</v>
      </c>
      <c r="CU16" t="s">
        <v>102</v>
      </c>
      <c r="CV16" t="s">
        <v>100</v>
      </c>
    </row>
    <row r="17" spans="1:100">
      <c r="A17" s="3" t="s">
        <v>2431</v>
      </c>
      <c r="B17" s="4" t="s">
        <v>2432</v>
      </c>
      <c r="C17">
        <v>405.10006818111799</v>
      </c>
      <c r="D17">
        <v>6771.7227068009197</v>
      </c>
      <c r="E17">
        <f>-4.06289740516838</f>
        <v>-4.0628974051683802</v>
      </c>
      <c r="F17" s="5">
        <v>1.5056000789494801E-10</v>
      </c>
      <c r="G17" t="s">
        <v>4</v>
      </c>
      <c r="H17">
        <v>405.10006818111799</v>
      </c>
      <c r="I17">
        <v>230.65407172770099</v>
      </c>
      <c r="J17">
        <v>0.81537567637254904</v>
      </c>
      <c r="K17">
        <v>0.23657733442064</v>
      </c>
      <c r="L17" t="s">
        <v>4</v>
      </c>
      <c r="M17">
        <v>6771.7227068009197</v>
      </c>
      <c r="N17">
        <v>230.65407172770099</v>
      </c>
      <c r="O17">
        <v>4.8782730815409296</v>
      </c>
      <c r="P17" s="5">
        <v>2.8476973865257002E-15</v>
      </c>
      <c r="Q17" t="s">
        <v>4</v>
      </c>
      <c r="R17" s="4" t="s">
        <v>87</v>
      </c>
      <c r="S17" t="s">
        <v>4</v>
      </c>
      <c r="T17" t="s">
        <v>92</v>
      </c>
      <c r="U17" t="s">
        <v>92</v>
      </c>
      <c r="V17" t="s">
        <v>92</v>
      </c>
      <c r="W17" t="s">
        <v>92</v>
      </c>
      <c r="X17" t="s">
        <v>4</v>
      </c>
      <c r="Y17" t="s">
        <v>92</v>
      </c>
      <c r="Z17" t="s">
        <v>92</v>
      </c>
      <c r="AA17" t="s">
        <v>92</v>
      </c>
      <c r="AB17" t="s">
        <v>4</v>
      </c>
      <c r="AC17" s="3" t="s">
        <v>93</v>
      </c>
      <c r="AD17" t="s">
        <v>4</v>
      </c>
      <c r="AE17" s="4" t="s">
        <v>94</v>
      </c>
      <c r="AZ17" t="s">
        <v>4</v>
      </c>
      <c r="BA17" s="3" t="s">
        <v>95</v>
      </c>
      <c r="BB17" s="6" t="s">
        <v>95</v>
      </c>
      <c r="BC17" s="3" t="s">
        <v>95</v>
      </c>
      <c r="BD17" t="s">
        <v>4</v>
      </c>
      <c r="BE17">
        <v>1382</v>
      </c>
      <c r="BF17" t="s">
        <v>151</v>
      </c>
      <c r="BG17">
        <v>97.952200000000005</v>
      </c>
      <c r="BH17">
        <v>99.658699999999996</v>
      </c>
      <c r="BI17">
        <v>90.102400000000003</v>
      </c>
      <c r="BJ17">
        <v>68.600700000000003</v>
      </c>
      <c r="BL17" t="s">
        <v>2433</v>
      </c>
      <c r="BM17" t="s">
        <v>2434</v>
      </c>
      <c r="BN17">
        <v>60.409599999999998</v>
      </c>
      <c r="BO17">
        <v>62.116</v>
      </c>
      <c r="CK17">
        <v>2</v>
      </c>
      <c r="CL17" t="s">
        <v>4</v>
      </c>
      <c r="CM17" t="s">
        <v>98</v>
      </c>
      <c r="CN17" t="s">
        <v>98</v>
      </c>
      <c r="CO17" t="s">
        <v>99</v>
      </c>
      <c r="CP17" t="s">
        <v>100</v>
      </c>
      <c r="CQ17">
        <v>16</v>
      </c>
      <c r="CR17" t="s">
        <v>100</v>
      </c>
      <c r="CS17" t="s">
        <v>100</v>
      </c>
      <c r="CT17" t="s">
        <v>152</v>
      </c>
      <c r="CU17" t="s">
        <v>102</v>
      </c>
      <c r="CV17" t="s">
        <v>100</v>
      </c>
    </row>
    <row r="18" spans="1:100">
      <c r="A18" s="3" t="s">
        <v>2435</v>
      </c>
      <c r="B18" s="4" t="s">
        <v>2436</v>
      </c>
      <c r="C18">
        <v>451.23172283944001</v>
      </c>
      <c r="D18">
        <v>8849.4532483869807</v>
      </c>
      <c r="E18">
        <f>-4.29346412000518</f>
        <v>-4.2934641200051802</v>
      </c>
      <c r="F18" s="5">
        <v>2.1998790634480499E-18</v>
      </c>
      <c r="G18" t="s">
        <v>4</v>
      </c>
      <c r="H18">
        <v>451.23172283944001</v>
      </c>
      <c r="I18">
        <v>286.835527049034</v>
      </c>
      <c r="J18">
        <v>0.65467561709326305</v>
      </c>
      <c r="K18">
        <v>0.226591826342734</v>
      </c>
      <c r="L18" t="s">
        <v>4</v>
      </c>
      <c r="M18">
        <v>8849.4532483869807</v>
      </c>
      <c r="N18">
        <v>286.835527049034</v>
      </c>
      <c r="O18">
        <v>4.9481397370984403</v>
      </c>
      <c r="P18" s="5">
        <v>1.0161864322774799E-24</v>
      </c>
      <c r="Q18" t="s">
        <v>4</v>
      </c>
      <c r="R18" s="4" t="s">
        <v>87</v>
      </c>
      <c r="S18" t="s">
        <v>4</v>
      </c>
      <c r="T18" t="s">
        <v>2437</v>
      </c>
      <c r="U18" t="s">
        <v>2438</v>
      </c>
      <c r="V18" t="s">
        <v>2439</v>
      </c>
      <c r="W18" t="s">
        <v>123</v>
      </c>
      <c r="X18" t="s">
        <v>4</v>
      </c>
      <c r="Y18" t="s">
        <v>2440</v>
      </c>
      <c r="Z18" t="s">
        <v>2441</v>
      </c>
      <c r="AA18" t="s">
        <v>2442</v>
      </c>
      <c r="AB18" t="s">
        <v>4</v>
      </c>
      <c r="AC18" s="3" t="s">
        <v>2443</v>
      </c>
      <c r="AD18" t="s">
        <v>4</v>
      </c>
      <c r="AE18" t="s">
        <v>2444</v>
      </c>
      <c r="AF18" t="s">
        <v>2445</v>
      </c>
      <c r="AG18" t="s">
        <v>2446</v>
      </c>
      <c r="AH18" t="s">
        <v>386</v>
      </c>
      <c r="AU18" t="s">
        <v>112</v>
      </c>
      <c r="AV18" t="s">
        <v>2447</v>
      </c>
      <c r="AW18" t="s">
        <v>114</v>
      </c>
      <c r="AX18" t="s">
        <v>536</v>
      </c>
      <c r="AY18" t="s">
        <v>2448</v>
      </c>
      <c r="AZ18" t="s">
        <v>4</v>
      </c>
      <c r="BA18" s="3" t="s">
        <v>115</v>
      </c>
      <c r="BB18" s="6" t="s">
        <v>95</v>
      </c>
      <c r="BC18" s="3" t="s">
        <v>95</v>
      </c>
      <c r="BD18" t="s">
        <v>4</v>
      </c>
      <c r="BE18">
        <v>2177</v>
      </c>
      <c r="BF18" t="s">
        <v>148</v>
      </c>
      <c r="BG18">
        <v>96.413499999999999</v>
      </c>
      <c r="BH18">
        <v>61.286900000000003</v>
      </c>
      <c r="BI18">
        <v>90.717299999999994</v>
      </c>
      <c r="BJ18">
        <v>66.455699999999993</v>
      </c>
      <c r="BK18">
        <v>51.476799999999997</v>
      </c>
      <c r="CK18">
        <v>3</v>
      </c>
      <c r="CL18" t="s">
        <v>4</v>
      </c>
      <c r="CM18" t="s">
        <v>98</v>
      </c>
      <c r="CN18" t="s">
        <v>98</v>
      </c>
      <c r="CO18" t="s">
        <v>99</v>
      </c>
      <c r="CP18" t="s">
        <v>100</v>
      </c>
      <c r="CQ18">
        <v>17</v>
      </c>
      <c r="CR18" t="s">
        <v>100</v>
      </c>
      <c r="CS18" t="s">
        <v>100</v>
      </c>
      <c r="CT18" t="s">
        <v>152</v>
      </c>
      <c r="CU18" t="s">
        <v>102</v>
      </c>
      <c r="CV18" t="s">
        <v>100</v>
      </c>
    </row>
    <row r="19" spans="1:100">
      <c r="A19" s="3" t="s">
        <v>2449</v>
      </c>
      <c r="B19" s="4" t="s">
        <v>2450</v>
      </c>
      <c r="C19">
        <v>315.50347423458902</v>
      </c>
      <c r="D19">
        <v>1975.8609965113101</v>
      </c>
      <c r="E19">
        <f>-2.64639755119783</f>
        <v>-2.6463975511978299</v>
      </c>
      <c r="F19" s="5">
        <v>9.1869358528007698E-6</v>
      </c>
      <c r="G19" t="s">
        <v>4</v>
      </c>
      <c r="H19">
        <v>315.50347423458902</v>
      </c>
      <c r="I19">
        <v>101.015606766134</v>
      </c>
      <c r="J19">
        <v>1.64614247173628</v>
      </c>
      <c r="K19">
        <v>6.8802612549746503E-3</v>
      </c>
      <c r="L19" t="s">
        <v>4</v>
      </c>
      <c r="M19">
        <v>1975.8609965113101</v>
      </c>
      <c r="N19">
        <v>101.015606766134</v>
      </c>
      <c r="O19">
        <v>4.2925400229340998</v>
      </c>
      <c r="P19" s="5">
        <v>6.8738890009466902E-14</v>
      </c>
      <c r="Q19" t="s">
        <v>4</v>
      </c>
      <c r="R19" s="4" t="s">
        <v>87</v>
      </c>
      <c r="S19" t="s">
        <v>4</v>
      </c>
      <c r="T19" t="s">
        <v>92</v>
      </c>
      <c r="U19" t="s">
        <v>92</v>
      </c>
      <c r="V19" t="s">
        <v>92</v>
      </c>
      <c r="W19" t="s">
        <v>92</v>
      </c>
      <c r="X19" t="s">
        <v>4</v>
      </c>
      <c r="Y19" t="s">
        <v>92</v>
      </c>
      <c r="Z19" t="s">
        <v>92</v>
      </c>
      <c r="AA19" t="s">
        <v>92</v>
      </c>
      <c r="AB19" t="s">
        <v>4</v>
      </c>
      <c r="AC19" s="3" t="s">
        <v>93</v>
      </c>
      <c r="AD19" t="s">
        <v>4</v>
      </c>
      <c r="AE19" t="s">
        <v>2451</v>
      </c>
      <c r="AF19" t="s">
        <v>2452</v>
      </c>
      <c r="AG19" t="s">
        <v>2453</v>
      </c>
      <c r="AH19" t="s">
        <v>112</v>
      </c>
      <c r="AU19" t="s">
        <v>112</v>
      </c>
      <c r="AV19" t="s">
        <v>2454</v>
      </c>
      <c r="AW19" t="s">
        <v>114</v>
      </c>
      <c r="AX19" t="s">
        <v>144</v>
      </c>
      <c r="AY19" t="s">
        <v>2455</v>
      </c>
      <c r="AZ19" t="s">
        <v>4</v>
      </c>
      <c r="BA19" s="3" t="s">
        <v>115</v>
      </c>
      <c r="BB19" s="6" t="s">
        <v>95</v>
      </c>
      <c r="BC19" s="3" t="s">
        <v>95</v>
      </c>
      <c r="BD19" t="s">
        <v>4</v>
      </c>
      <c r="BE19">
        <v>4431</v>
      </c>
      <c r="BF19" t="s">
        <v>112</v>
      </c>
      <c r="BG19">
        <v>97.526499999999999</v>
      </c>
      <c r="BH19">
        <v>100</v>
      </c>
      <c r="BI19">
        <v>93.992900000000006</v>
      </c>
      <c r="BJ19">
        <v>81.272099999999995</v>
      </c>
      <c r="BK19">
        <v>63.957599999999999</v>
      </c>
      <c r="BO19">
        <v>68.904600000000002</v>
      </c>
      <c r="BP19">
        <v>9.8939900000000005</v>
      </c>
      <c r="CK19">
        <v>5</v>
      </c>
      <c r="CL19" t="s">
        <v>4</v>
      </c>
      <c r="CM19" t="s">
        <v>98</v>
      </c>
      <c r="CN19" t="s">
        <v>98</v>
      </c>
      <c r="CO19" t="s">
        <v>99</v>
      </c>
      <c r="CP19" t="s">
        <v>100</v>
      </c>
      <c r="CQ19">
        <v>18</v>
      </c>
      <c r="CR19" t="s">
        <v>100</v>
      </c>
      <c r="CS19" s="7" t="s">
        <v>101</v>
      </c>
      <c r="CT19" t="s">
        <v>152</v>
      </c>
      <c r="CU19" t="s">
        <v>102</v>
      </c>
      <c r="CV19" t="s">
        <v>100</v>
      </c>
    </row>
    <row r="20" spans="1:100">
      <c r="A20" s="3" t="s">
        <v>2456</v>
      </c>
      <c r="B20" s="4" t="s">
        <v>2457</v>
      </c>
      <c r="C20">
        <v>110.785655481353</v>
      </c>
      <c r="D20">
        <v>886.98594821297104</v>
      </c>
      <c r="E20">
        <f>-3.00070674446967</f>
        <v>-3.00070674446967</v>
      </c>
      <c r="F20" s="5">
        <v>1.1188981228168E-14</v>
      </c>
      <c r="G20" t="s">
        <v>4</v>
      </c>
      <c r="H20">
        <v>110.785655481353</v>
      </c>
      <c r="I20">
        <v>211.77114882865899</v>
      </c>
      <c r="J20">
        <f>0.9239259195635</f>
        <v>0.92392591956350001</v>
      </c>
      <c r="K20">
        <v>2.5696672620686999E-2</v>
      </c>
      <c r="L20" t="s">
        <v>4</v>
      </c>
      <c r="M20">
        <v>886.98594821297104</v>
      </c>
      <c r="N20">
        <v>211.77114882865899</v>
      </c>
      <c r="O20">
        <v>2.0767808249061699</v>
      </c>
      <c r="P20" s="5">
        <v>6.8896732926472705E-8</v>
      </c>
      <c r="Q20" t="s">
        <v>4</v>
      </c>
      <c r="R20" s="4" t="s">
        <v>87</v>
      </c>
      <c r="S20" t="s">
        <v>4</v>
      </c>
      <c r="T20" t="s">
        <v>2458</v>
      </c>
      <c r="U20" t="s">
        <v>2459</v>
      </c>
      <c r="V20" t="s">
        <v>2460</v>
      </c>
      <c r="W20" t="s">
        <v>976</v>
      </c>
      <c r="X20" t="s">
        <v>4</v>
      </c>
      <c r="Y20" t="s">
        <v>2461</v>
      </c>
      <c r="Z20" t="s">
        <v>2462</v>
      </c>
      <c r="AA20" t="s">
        <v>2463</v>
      </c>
      <c r="AB20" t="s">
        <v>4</v>
      </c>
      <c r="AC20" s="3" t="s">
        <v>2464</v>
      </c>
      <c r="AD20" t="s">
        <v>4</v>
      </c>
      <c r="AE20" t="s">
        <v>2465</v>
      </c>
      <c r="AF20" t="s">
        <v>2466</v>
      </c>
      <c r="AG20" t="s">
        <v>2467</v>
      </c>
      <c r="AH20" t="s">
        <v>213</v>
      </c>
      <c r="AU20" t="s">
        <v>112</v>
      </c>
      <c r="AV20" t="s">
        <v>2468</v>
      </c>
      <c r="AW20" t="s">
        <v>114</v>
      </c>
      <c r="AX20" t="s">
        <v>2157</v>
      </c>
      <c r="AY20" t="s">
        <v>2469</v>
      </c>
      <c r="AZ20" t="s">
        <v>4</v>
      </c>
      <c r="BA20" s="3" t="s">
        <v>95</v>
      </c>
      <c r="BB20" s="6" t="s">
        <v>95</v>
      </c>
      <c r="BC20" s="3" t="s">
        <v>95</v>
      </c>
      <c r="BD20" t="s">
        <v>4</v>
      </c>
      <c r="BE20">
        <v>10311</v>
      </c>
      <c r="BF20" t="s">
        <v>169</v>
      </c>
      <c r="BG20">
        <v>65.693399999999997</v>
      </c>
      <c r="BH20">
        <v>65.693399999999997</v>
      </c>
      <c r="BJ20">
        <v>62.773699999999998</v>
      </c>
      <c r="BL20">
        <v>44.525500000000001</v>
      </c>
      <c r="BO20">
        <v>48.905099999999997</v>
      </c>
      <c r="BQ20">
        <v>35.766399999999997</v>
      </c>
      <c r="CA20">
        <v>13.1387</v>
      </c>
      <c r="CF20">
        <v>40.146000000000001</v>
      </c>
      <c r="CG20">
        <v>39.4161</v>
      </c>
      <c r="CH20">
        <v>39.4161</v>
      </c>
      <c r="CI20">
        <v>40.146000000000001</v>
      </c>
      <c r="CK20">
        <v>9</v>
      </c>
      <c r="CL20" t="s">
        <v>4</v>
      </c>
      <c r="CM20" t="s">
        <v>2470</v>
      </c>
      <c r="CN20" t="s">
        <v>2471</v>
      </c>
      <c r="CO20" t="s">
        <v>219</v>
      </c>
      <c r="CP20" t="s">
        <v>100</v>
      </c>
      <c r="CQ20">
        <v>19</v>
      </c>
      <c r="CR20" t="s">
        <v>100</v>
      </c>
      <c r="CS20" t="s">
        <v>100</v>
      </c>
      <c r="CT20" t="s">
        <v>152</v>
      </c>
      <c r="CU20" t="s">
        <v>102</v>
      </c>
      <c r="CV20" t="s">
        <v>100</v>
      </c>
    </row>
    <row r="21" spans="1:100">
      <c r="A21" s="3" t="s">
        <v>2472</v>
      </c>
      <c r="B21" s="4" t="s">
        <v>2473</v>
      </c>
      <c r="C21">
        <v>125.655067016646</v>
      </c>
      <c r="D21">
        <v>1933.09845577488</v>
      </c>
      <c r="E21">
        <f>-3.94219868985314</f>
        <v>-3.9421986898531398</v>
      </c>
      <c r="F21" s="5">
        <v>7.3749887790096395E-16</v>
      </c>
      <c r="G21" t="s">
        <v>4</v>
      </c>
      <c r="H21">
        <v>125.655067016646</v>
      </c>
      <c r="I21">
        <v>55.149522049250699</v>
      </c>
      <c r="J21">
        <v>1.1979616279007701</v>
      </c>
      <c r="K21">
        <v>2.5226211162129201E-2</v>
      </c>
      <c r="L21" t="s">
        <v>4</v>
      </c>
      <c r="M21">
        <v>1933.09845577488</v>
      </c>
      <c r="N21">
        <v>55.149522049250699</v>
      </c>
      <c r="O21">
        <v>5.1401603177539101</v>
      </c>
      <c r="P21" s="5">
        <v>1.14596563233551E-25</v>
      </c>
      <c r="Q21" t="s">
        <v>4</v>
      </c>
      <c r="R21" s="4" t="s">
        <v>87</v>
      </c>
      <c r="S21" t="s">
        <v>4</v>
      </c>
      <c r="T21" t="s">
        <v>189</v>
      </c>
      <c r="U21" t="s">
        <v>190</v>
      </c>
      <c r="V21" t="s">
        <v>191</v>
      </c>
      <c r="W21" t="s">
        <v>192</v>
      </c>
      <c r="X21" t="s">
        <v>4</v>
      </c>
      <c r="Y21" t="s">
        <v>92</v>
      </c>
      <c r="Z21" t="s">
        <v>92</v>
      </c>
      <c r="AA21" t="s">
        <v>92</v>
      </c>
      <c r="AB21" t="s">
        <v>4</v>
      </c>
      <c r="AC21" s="3" t="s">
        <v>93</v>
      </c>
      <c r="AD21" t="s">
        <v>4</v>
      </c>
      <c r="AE21" s="4" t="s">
        <v>94</v>
      </c>
      <c r="AZ21" t="s">
        <v>4</v>
      </c>
      <c r="BA21" s="3" t="s">
        <v>95</v>
      </c>
      <c r="BB21" t="s">
        <v>96</v>
      </c>
      <c r="BC21" s="3" t="s">
        <v>197</v>
      </c>
      <c r="BD21" t="s">
        <v>4</v>
      </c>
      <c r="BE21">
        <v>2861</v>
      </c>
      <c r="BF21" t="s">
        <v>97</v>
      </c>
      <c r="BG21" t="s">
        <v>2474</v>
      </c>
      <c r="BH21">
        <v>100</v>
      </c>
      <c r="BI21">
        <v>88.177300000000002</v>
      </c>
      <c r="BK21">
        <v>24.876799999999999</v>
      </c>
      <c r="BP21">
        <v>15.0246</v>
      </c>
      <c r="CK21">
        <v>4</v>
      </c>
      <c r="CL21" t="s">
        <v>4</v>
      </c>
      <c r="CM21" t="s">
        <v>98</v>
      </c>
      <c r="CN21" t="s">
        <v>98</v>
      </c>
      <c r="CO21" t="s">
        <v>99</v>
      </c>
      <c r="CP21" t="s">
        <v>100</v>
      </c>
      <c r="CQ21">
        <v>20</v>
      </c>
      <c r="CR21" t="s">
        <v>100</v>
      </c>
      <c r="CS21" s="7" t="s">
        <v>101</v>
      </c>
      <c r="CT21" t="s">
        <v>152</v>
      </c>
      <c r="CU21" t="s">
        <v>102</v>
      </c>
      <c r="CV21" t="s">
        <v>100</v>
      </c>
    </row>
    <row r="22" spans="1:100">
      <c r="A22" s="3" t="s">
        <v>2475</v>
      </c>
      <c r="B22" s="4" t="s">
        <v>2476</v>
      </c>
      <c r="C22">
        <v>121.41505057024099</v>
      </c>
      <c r="D22">
        <v>1035.9326109490501</v>
      </c>
      <c r="E22">
        <f>-3.08847849827481</f>
        <v>-3.0884784982748101</v>
      </c>
      <c r="F22" s="5">
        <v>4.6535121875248201E-22</v>
      </c>
      <c r="G22" t="s">
        <v>4</v>
      </c>
      <c r="H22">
        <v>121.41505057024099</v>
      </c>
      <c r="I22">
        <v>61.263809293759003</v>
      </c>
      <c r="J22">
        <v>0.99767149095985097</v>
      </c>
      <c r="K22">
        <v>5.85214361970779E-3</v>
      </c>
      <c r="L22" t="s">
        <v>4</v>
      </c>
      <c r="M22">
        <v>1035.9326109490501</v>
      </c>
      <c r="N22">
        <v>61.263809293759003</v>
      </c>
      <c r="O22">
        <v>4.0861499892346602</v>
      </c>
      <c r="P22" s="5">
        <v>7.7810361741615504E-35</v>
      </c>
      <c r="Q22" t="s">
        <v>4</v>
      </c>
      <c r="R22" s="4" t="s">
        <v>87</v>
      </c>
      <c r="S22" t="s">
        <v>4</v>
      </c>
      <c r="T22" t="s">
        <v>92</v>
      </c>
      <c r="U22" t="s">
        <v>92</v>
      </c>
      <c r="V22" t="s">
        <v>92</v>
      </c>
      <c r="W22" t="s">
        <v>92</v>
      </c>
      <c r="X22" t="s">
        <v>4</v>
      </c>
      <c r="Y22" t="s">
        <v>92</v>
      </c>
      <c r="Z22" t="s">
        <v>92</v>
      </c>
      <c r="AA22" t="s">
        <v>92</v>
      </c>
      <c r="AB22" t="s">
        <v>4</v>
      </c>
      <c r="AC22" s="3" t="s">
        <v>93</v>
      </c>
      <c r="AD22" t="s">
        <v>4</v>
      </c>
      <c r="AE22" s="4" t="s">
        <v>94</v>
      </c>
      <c r="AZ22" t="s">
        <v>4</v>
      </c>
      <c r="BA22" s="3" t="s">
        <v>95</v>
      </c>
      <c r="BB22" s="6" t="s">
        <v>95</v>
      </c>
      <c r="BC22" s="3" t="s">
        <v>197</v>
      </c>
      <c r="BD22" t="s">
        <v>4</v>
      </c>
      <c r="BE22">
        <v>2189</v>
      </c>
      <c r="BF22" t="s">
        <v>148</v>
      </c>
      <c r="BG22">
        <v>88.3249</v>
      </c>
      <c r="BH22">
        <v>37.563499999999998</v>
      </c>
      <c r="BI22">
        <v>82.233500000000006</v>
      </c>
      <c r="BJ22">
        <v>70.812200000000004</v>
      </c>
      <c r="BK22" t="s">
        <v>2477</v>
      </c>
      <c r="BM22">
        <v>34.264000000000003</v>
      </c>
      <c r="BN22">
        <v>59.390900000000002</v>
      </c>
      <c r="BO22">
        <v>63.959400000000002</v>
      </c>
      <c r="CK22">
        <v>3</v>
      </c>
      <c r="CL22" t="s">
        <v>4</v>
      </c>
      <c r="CM22" t="s">
        <v>98</v>
      </c>
      <c r="CN22" t="s">
        <v>98</v>
      </c>
      <c r="CO22" t="s">
        <v>99</v>
      </c>
      <c r="CP22" t="s">
        <v>100</v>
      </c>
      <c r="CQ22">
        <v>21</v>
      </c>
      <c r="CR22" t="s">
        <v>100</v>
      </c>
      <c r="CS22" t="s">
        <v>100</v>
      </c>
      <c r="CT22" t="s">
        <v>152</v>
      </c>
      <c r="CU22" t="s">
        <v>102</v>
      </c>
      <c r="CV22" t="s">
        <v>100</v>
      </c>
    </row>
    <row r="23" spans="1:100">
      <c r="A23" s="3" t="s">
        <v>2478</v>
      </c>
      <c r="B23" s="4" t="s">
        <v>2479</v>
      </c>
      <c r="C23">
        <v>63.1856070847833</v>
      </c>
      <c r="D23">
        <v>388.07056129767898</v>
      </c>
      <c r="E23">
        <f>-2.61726787743685</f>
        <v>-2.6172678774368499</v>
      </c>
      <c r="F23" s="5">
        <v>2.1168076665149801E-7</v>
      </c>
      <c r="G23" t="s">
        <v>4</v>
      </c>
      <c r="H23">
        <v>63.1856070847833</v>
      </c>
      <c r="I23">
        <v>29.685200635874601</v>
      </c>
      <c r="J23">
        <v>1.1003562675127601</v>
      </c>
      <c r="K23">
        <v>4.9087485307166903E-2</v>
      </c>
      <c r="L23" t="s">
        <v>4</v>
      </c>
      <c r="M23">
        <v>388.07056129767898</v>
      </c>
      <c r="N23">
        <v>29.685200635874601</v>
      </c>
      <c r="O23">
        <v>3.7176241449496099</v>
      </c>
      <c r="P23" s="5">
        <v>3.4547727400501699E-13</v>
      </c>
      <c r="Q23" t="s">
        <v>4</v>
      </c>
      <c r="R23" s="4" t="s">
        <v>87</v>
      </c>
      <c r="S23" t="s">
        <v>4</v>
      </c>
      <c r="T23" t="s">
        <v>2480</v>
      </c>
      <c r="U23" t="s">
        <v>2481</v>
      </c>
      <c r="V23" t="s">
        <v>2482</v>
      </c>
      <c r="W23" t="s">
        <v>328</v>
      </c>
      <c r="X23" t="s">
        <v>4</v>
      </c>
      <c r="Y23" t="s">
        <v>1929</v>
      </c>
      <c r="Z23" t="s">
        <v>1930</v>
      </c>
      <c r="AA23" t="s">
        <v>1931</v>
      </c>
      <c r="AB23" t="s">
        <v>4</v>
      </c>
      <c r="AC23" s="3" t="s">
        <v>2483</v>
      </c>
      <c r="AD23" t="s">
        <v>4</v>
      </c>
      <c r="AE23" t="s">
        <v>2484</v>
      </c>
      <c r="AF23" t="s">
        <v>2485</v>
      </c>
      <c r="AG23" t="s">
        <v>2486</v>
      </c>
      <c r="AH23" t="s">
        <v>112</v>
      </c>
      <c r="AJ23" t="s">
        <v>2487</v>
      </c>
      <c r="AL23" t="s">
        <v>2488</v>
      </c>
      <c r="AM23" t="s">
        <v>2489</v>
      </c>
      <c r="AQ23" t="s">
        <v>2490</v>
      </c>
      <c r="AU23" t="s">
        <v>112</v>
      </c>
      <c r="AV23" t="s">
        <v>2491</v>
      </c>
      <c r="AW23" t="s">
        <v>114</v>
      </c>
      <c r="AX23" t="s">
        <v>1938</v>
      </c>
      <c r="AY23" t="s">
        <v>1939</v>
      </c>
      <c r="AZ23" t="s">
        <v>4</v>
      </c>
      <c r="BA23" s="3" t="s">
        <v>115</v>
      </c>
      <c r="BB23" s="6" t="s">
        <v>95</v>
      </c>
      <c r="BC23" s="3" t="s">
        <v>95</v>
      </c>
      <c r="BD23" t="s">
        <v>4</v>
      </c>
      <c r="BE23">
        <v>5746</v>
      </c>
      <c r="BF23" t="s">
        <v>386</v>
      </c>
      <c r="BG23">
        <v>71.302400000000006</v>
      </c>
      <c r="BH23">
        <v>39.072800000000001</v>
      </c>
      <c r="BI23">
        <v>94.260499999999993</v>
      </c>
      <c r="BJ23">
        <v>98.013199999999998</v>
      </c>
      <c r="BK23">
        <v>97.571700000000007</v>
      </c>
      <c r="BL23">
        <v>38.189799999999998</v>
      </c>
      <c r="BM23">
        <v>93.377499999999998</v>
      </c>
      <c r="BN23">
        <v>97.350999999999999</v>
      </c>
      <c r="BO23">
        <v>96.909499999999994</v>
      </c>
      <c r="BP23">
        <v>34.878599999999999</v>
      </c>
      <c r="BQ23">
        <v>86.975700000000003</v>
      </c>
      <c r="BR23">
        <v>91.17</v>
      </c>
      <c r="BU23">
        <v>17.880800000000001</v>
      </c>
      <c r="BW23" t="s">
        <v>2492</v>
      </c>
      <c r="BX23">
        <v>85.430499999999995</v>
      </c>
      <c r="BZ23" t="s">
        <v>2493</v>
      </c>
      <c r="CA23">
        <v>82.560699999999997</v>
      </c>
      <c r="CD23">
        <v>12.582800000000001</v>
      </c>
      <c r="CE23">
        <v>43.708599999999997</v>
      </c>
      <c r="CF23">
        <v>38.410600000000002</v>
      </c>
      <c r="CG23" t="s">
        <v>2494</v>
      </c>
      <c r="CH23" t="s">
        <v>2495</v>
      </c>
      <c r="CI23">
        <v>38.410600000000002</v>
      </c>
      <c r="CK23">
        <v>7</v>
      </c>
      <c r="CL23" t="s">
        <v>4</v>
      </c>
      <c r="CM23" t="s">
        <v>2496</v>
      </c>
      <c r="CN23" t="s">
        <v>2497</v>
      </c>
      <c r="CO23" t="s">
        <v>99</v>
      </c>
      <c r="CP23" t="s">
        <v>100</v>
      </c>
      <c r="CQ23">
        <v>22</v>
      </c>
      <c r="CR23" t="s">
        <v>100</v>
      </c>
      <c r="CS23" s="7" t="s">
        <v>101</v>
      </c>
      <c r="CT23" t="s">
        <v>152</v>
      </c>
      <c r="CU23" t="s">
        <v>102</v>
      </c>
      <c r="CV23" t="s">
        <v>100</v>
      </c>
    </row>
    <row r="24" spans="1:100">
      <c r="A24" s="3" t="s">
        <v>2498</v>
      </c>
      <c r="B24" s="4" t="s">
        <v>2499</v>
      </c>
      <c r="C24">
        <v>68.555436732519894</v>
      </c>
      <c r="D24">
        <v>883.56604764334998</v>
      </c>
      <c r="E24">
        <f>-3.68203580387525</f>
        <v>-3.6820358038752499</v>
      </c>
      <c r="F24" s="5">
        <v>2.4805209723547599E-33</v>
      </c>
      <c r="G24" t="s">
        <v>4</v>
      </c>
      <c r="H24">
        <v>68.555436732519894</v>
      </c>
      <c r="I24">
        <v>91.625052777820301</v>
      </c>
      <c r="J24">
        <f>0.425015281987371</f>
        <v>0.42501528198737099</v>
      </c>
      <c r="K24">
        <v>0.23456796527049201</v>
      </c>
      <c r="L24" t="s">
        <v>4</v>
      </c>
      <c r="M24">
        <v>883.56604764334998</v>
      </c>
      <c r="N24">
        <v>91.625052777820301</v>
      </c>
      <c r="O24">
        <v>3.2570205218878798</v>
      </c>
      <c r="P24" s="5">
        <v>3.0495305943481499E-26</v>
      </c>
      <c r="Q24" t="s">
        <v>4</v>
      </c>
      <c r="R24" s="4" t="s">
        <v>87</v>
      </c>
      <c r="S24" t="s">
        <v>4</v>
      </c>
      <c r="T24" t="s">
        <v>2500</v>
      </c>
      <c r="U24" t="s">
        <v>2501</v>
      </c>
      <c r="V24" t="s">
        <v>2502</v>
      </c>
      <c r="W24" t="s">
        <v>328</v>
      </c>
      <c r="X24" t="s">
        <v>4</v>
      </c>
      <c r="Y24" t="s">
        <v>2503</v>
      </c>
      <c r="Z24" t="s">
        <v>2504</v>
      </c>
      <c r="AA24" t="s">
        <v>2505</v>
      </c>
      <c r="AB24" t="s">
        <v>4</v>
      </c>
      <c r="AC24" s="3" t="s">
        <v>93</v>
      </c>
      <c r="AD24" t="s">
        <v>4</v>
      </c>
      <c r="AE24" t="s">
        <v>2506</v>
      </c>
      <c r="AF24" t="s">
        <v>2507</v>
      </c>
      <c r="AG24" t="s">
        <v>2508</v>
      </c>
      <c r="AH24" t="s">
        <v>112</v>
      </c>
      <c r="AU24" t="s">
        <v>112</v>
      </c>
      <c r="AV24" t="s">
        <v>2509</v>
      </c>
      <c r="AW24" t="s">
        <v>114</v>
      </c>
      <c r="AX24" t="s">
        <v>909</v>
      </c>
      <c r="AY24" t="s">
        <v>2510</v>
      </c>
      <c r="AZ24" t="s">
        <v>4</v>
      </c>
      <c r="BA24" s="3" t="s">
        <v>95</v>
      </c>
      <c r="BB24" s="6" t="s">
        <v>95</v>
      </c>
      <c r="BC24" s="3" t="s">
        <v>95</v>
      </c>
      <c r="BD24" t="s">
        <v>4</v>
      </c>
      <c r="BE24">
        <v>10314</v>
      </c>
      <c r="BF24" t="s">
        <v>169</v>
      </c>
      <c r="BJ24">
        <v>46.598599999999998</v>
      </c>
      <c r="BM24">
        <v>22.449000000000002</v>
      </c>
      <c r="BP24">
        <v>9.5238099999999992</v>
      </c>
      <c r="BW24">
        <v>14.2857</v>
      </c>
      <c r="BX24">
        <v>27.891200000000001</v>
      </c>
      <c r="BY24">
        <v>15.306100000000001</v>
      </c>
      <c r="BZ24">
        <v>17.687100000000001</v>
      </c>
      <c r="CA24">
        <v>29.2517</v>
      </c>
      <c r="CB24">
        <v>0</v>
      </c>
      <c r="CC24">
        <v>29.2517</v>
      </c>
      <c r="CD24">
        <v>28.231300000000001</v>
      </c>
      <c r="CG24" t="s">
        <v>2511</v>
      </c>
      <c r="CH24" t="s">
        <v>2512</v>
      </c>
      <c r="CI24" t="s">
        <v>2513</v>
      </c>
      <c r="CJ24" t="s">
        <v>2514</v>
      </c>
      <c r="CK24">
        <v>9</v>
      </c>
      <c r="CL24" t="s">
        <v>4</v>
      </c>
      <c r="CM24" t="s">
        <v>2515</v>
      </c>
      <c r="CN24" t="s">
        <v>2516</v>
      </c>
      <c r="CO24" t="s">
        <v>663</v>
      </c>
      <c r="CP24" t="s">
        <v>100</v>
      </c>
      <c r="CQ24">
        <v>23</v>
      </c>
      <c r="CR24" t="s">
        <v>100</v>
      </c>
      <c r="CS24" t="s">
        <v>100</v>
      </c>
      <c r="CT24" t="s">
        <v>152</v>
      </c>
      <c r="CU24" t="s">
        <v>102</v>
      </c>
      <c r="CV24" t="s">
        <v>100</v>
      </c>
    </row>
    <row r="25" spans="1:100">
      <c r="A25" s="3" t="s">
        <v>2517</v>
      </c>
      <c r="B25" s="4" t="s">
        <v>2518</v>
      </c>
      <c r="C25">
        <v>150.926691314078</v>
      </c>
      <c r="D25">
        <v>1126.0695438749101</v>
      </c>
      <c r="E25">
        <f>-2.8987059534817</f>
        <v>-2.8987059534816999</v>
      </c>
      <c r="F25" s="5">
        <v>1.56929618737226E-27</v>
      </c>
      <c r="G25" t="s">
        <v>4</v>
      </c>
      <c r="H25">
        <v>150.926691314078</v>
      </c>
      <c r="I25">
        <v>188.64989415472999</v>
      </c>
      <c r="J25">
        <f>0.323721621879892</f>
        <v>0.32372162187989201</v>
      </c>
      <c r="K25">
        <v>0.29136565424451499</v>
      </c>
      <c r="L25" t="s">
        <v>4</v>
      </c>
      <c r="M25">
        <v>1126.0695438749101</v>
      </c>
      <c r="N25">
        <v>188.64989415472999</v>
      </c>
      <c r="O25">
        <v>2.5749843316018102</v>
      </c>
      <c r="P25" s="5">
        <v>4.7927113810891598E-22</v>
      </c>
      <c r="Q25" t="s">
        <v>4</v>
      </c>
      <c r="R25" s="4" t="s">
        <v>87</v>
      </c>
      <c r="S25" t="s">
        <v>4</v>
      </c>
      <c r="T25" t="s">
        <v>504</v>
      </c>
      <c r="U25" t="s">
        <v>505</v>
      </c>
      <c r="V25" t="s">
        <v>506</v>
      </c>
      <c r="W25" t="s">
        <v>507</v>
      </c>
      <c r="X25" t="s">
        <v>4</v>
      </c>
      <c r="Y25" t="s">
        <v>508</v>
      </c>
      <c r="Z25" t="s">
        <v>509</v>
      </c>
      <c r="AA25" t="s">
        <v>510</v>
      </c>
      <c r="AB25" t="s">
        <v>4</v>
      </c>
      <c r="AC25" s="3" t="s">
        <v>511</v>
      </c>
      <c r="AD25" t="s">
        <v>4</v>
      </c>
      <c r="AE25" t="s">
        <v>2519</v>
      </c>
      <c r="AF25" t="s">
        <v>2520</v>
      </c>
      <c r="AG25" t="s">
        <v>2521</v>
      </c>
      <c r="AH25" t="s">
        <v>112</v>
      </c>
      <c r="AU25" t="s">
        <v>112</v>
      </c>
      <c r="AV25" t="s">
        <v>2522</v>
      </c>
      <c r="AW25" t="s">
        <v>114</v>
      </c>
      <c r="AX25" t="s">
        <v>1907</v>
      </c>
      <c r="AY25" t="s">
        <v>2523</v>
      </c>
      <c r="AZ25" t="s">
        <v>4</v>
      </c>
      <c r="BA25" s="3" t="s">
        <v>95</v>
      </c>
      <c r="BB25" t="s">
        <v>96</v>
      </c>
      <c r="BC25" s="3" t="s">
        <v>95</v>
      </c>
      <c r="BD25" t="s">
        <v>4</v>
      </c>
      <c r="BE25">
        <v>5201</v>
      </c>
      <c r="BF25" t="s">
        <v>282</v>
      </c>
      <c r="BG25">
        <v>96.495999999999995</v>
      </c>
      <c r="BP25">
        <v>35.8491</v>
      </c>
      <c r="CB25">
        <v>38.274900000000002</v>
      </c>
      <c r="CC25">
        <v>32.614600000000003</v>
      </c>
      <c r="CD25">
        <v>33.423200000000001</v>
      </c>
      <c r="CK25">
        <v>6</v>
      </c>
      <c r="CL25" t="s">
        <v>4</v>
      </c>
      <c r="CM25" t="s">
        <v>98</v>
      </c>
      <c r="CN25" t="s">
        <v>98</v>
      </c>
      <c r="CO25" t="s">
        <v>99</v>
      </c>
      <c r="CP25" t="s">
        <v>100</v>
      </c>
      <c r="CQ25">
        <v>24</v>
      </c>
      <c r="CR25" t="s">
        <v>100</v>
      </c>
      <c r="CS25" t="s">
        <v>100</v>
      </c>
      <c r="CT25" t="s">
        <v>152</v>
      </c>
      <c r="CU25" t="s">
        <v>102</v>
      </c>
      <c r="CV25" t="s">
        <v>100</v>
      </c>
    </row>
    <row r="26" spans="1:100">
      <c r="A26" s="3" t="s">
        <v>2524</v>
      </c>
      <c r="B26" s="4" t="s">
        <v>2525</v>
      </c>
      <c r="C26">
        <v>820.73213954603705</v>
      </c>
      <c r="D26">
        <v>8028.0864355415797</v>
      </c>
      <c r="E26">
        <f>-3.28991548785051</f>
        <v>-3.2899154878505099</v>
      </c>
      <c r="F26" s="5">
        <v>1.54638532203818E-21</v>
      </c>
      <c r="G26" t="s">
        <v>4</v>
      </c>
      <c r="H26">
        <v>820.73213954603705</v>
      </c>
      <c r="I26">
        <v>327.63554652862803</v>
      </c>
      <c r="J26">
        <v>1.3183579984264699</v>
      </c>
      <c r="K26">
        <v>2.6295520994913202E-4</v>
      </c>
      <c r="L26" t="s">
        <v>4</v>
      </c>
      <c r="M26">
        <v>8028.0864355415797</v>
      </c>
      <c r="N26">
        <v>327.63554652862803</v>
      </c>
      <c r="O26">
        <v>4.6082734862769801</v>
      </c>
      <c r="P26" s="5">
        <v>9.0229892059092599E-42</v>
      </c>
      <c r="Q26" t="s">
        <v>4</v>
      </c>
      <c r="R26" s="4" t="s">
        <v>87</v>
      </c>
      <c r="S26" t="s">
        <v>4</v>
      </c>
      <c r="T26" t="s">
        <v>92</v>
      </c>
      <c r="U26" t="s">
        <v>92</v>
      </c>
      <c r="V26" t="s">
        <v>92</v>
      </c>
      <c r="W26" t="s">
        <v>92</v>
      </c>
      <c r="X26" t="s">
        <v>4</v>
      </c>
      <c r="Y26" t="s">
        <v>92</v>
      </c>
      <c r="Z26" t="s">
        <v>92</v>
      </c>
      <c r="AA26" t="s">
        <v>92</v>
      </c>
      <c r="AB26" t="s">
        <v>4</v>
      </c>
      <c r="AC26" s="3" t="s">
        <v>93</v>
      </c>
      <c r="AD26" t="s">
        <v>4</v>
      </c>
      <c r="AE26" s="4" t="s">
        <v>94</v>
      </c>
      <c r="AZ26" t="s">
        <v>4</v>
      </c>
      <c r="BA26" s="3" t="s">
        <v>95</v>
      </c>
      <c r="BB26" s="6" t="s">
        <v>95</v>
      </c>
      <c r="BC26" s="3" t="s">
        <v>95</v>
      </c>
      <c r="BD26" t="s">
        <v>4</v>
      </c>
      <c r="BE26">
        <v>2195</v>
      </c>
      <c r="BF26" t="s">
        <v>148</v>
      </c>
      <c r="BG26">
        <v>97.489500000000007</v>
      </c>
      <c r="BH26" t="s">
        <v>2526</v>
      </c>
      <c r="BI26">
        <v>88.145099999999999</v>
      </c>
      <c r="BJ26" t="s">
        <v>2527</v>
      </c>
      <c r="BK26">
        <v>53.8354</v>
      </c>
      <c r="BL26">
        <v>9.6234300000000008</v>
      </c>
      <c r="BN26">
        <v>3.4867499999999998</v>
      </c>
      <c r="BO26">
        <v>31.520199999999999</v>
      </c>
      <c r="CK26">
        <v>3</v>
      </c>
      <c r="CL26" t="s">
        <v>4</v>
      </c>
      <c r="CM26" t="s">
        <v>98</v>
      </c>
      <c r="CN26" t="s">
        <v>98</v>
      </c>
      <c r="CO26" t="s">
        <v>99</v>
      </c>
      <c r="CP26" t="s">
        <v>100</v>
      </c>
      <c r="CQ26">
        <v>25</v>
      </c>
      <c r="CR26" t="s">
        <v>100</v>
      </c>
      <c r="CS26" s="7" t="s">
        <v>101</v>
      </c>
      <c r="CT26" t="s">
        <v>152</v>
      </c>
      <c r="CU26" t="s">
        <v>102</v>
      </c>
      <c r="CV26" t="s">
        <v>100</v>
      </c>
    </row>
    <row r="27" spans="1:100">
      <c r="A27" s="3" t="s">
        <v>2528</v>
      </c>
      <c r="B27" s="4" t="s">
        <v>2529</v>
      </c>
      <c r="C27">
        <v>1208.7887302633001</v>
      </c>
      <c r="D27">
        <v>14388.057212113299</v>
      </c>
      <c r="E27">
        <f>-3.57319365017969</f>
        <v>-3.5731936501796899</v>
      </c>
      <c r="F27">
        <v>1.9195474069969999E-4</v>
      </c>
      <c r="G27" t="s">
        <v>4</v>
      </c>
      <c r="H27">
        <v>1208.7887302633001</v>
      </c>
      <c r="I27">
        <v>666.50225505276603</v>
      </c>
      <c r="J27">
        <v>0.85926611138492104</v>
      </c>
      <c r="K27">
        <v>0.39729411305881601</v>
      </c>
      <c r="L27" t="s">
        <v>4</v>
      </c>
      <c r="M27">
        <v>14388.057212113299</v>
      </c>
      <c r="N27">
        <v>666.50225505276603</v>
      </c>
      <c r="O27">
        <v>4.4324597615646102</v>
      </c>
      <c r="P27" s="5">
        <v>1.1629771953315E-6</v>
      </c>
      <c r="Q27" t="s">
        <v>4</v>
      </c>
      <c r="R27" s="4" t="s">
        <v>87</v>
      </c>
      <c r="S27" t="s">
        <v>4</v>
      </c>
      <c r="T27" t="s">
        <v>2325</v>
      </c>
      <c r="U27" t="s">
        <v>2326</v>
      </c>
      <c r="V27" t="s">
        <v>2327</v>
      </c>
      <c r="W27" t="s">
        <v>203</v>
      </c>
      <c r="X27" t="s">
        <v>4</v>
      </c>
      <c r="Y27" t="s">
        <v>204</v>
      </c>
      <c r="Z27" t="s">
        <v>205</v>
      </c>
      <c r="AA27" t="s">
        <v>206</v>
      </c>
      <c r="AB27" t="s">
        <v>4</v>
      </c>
      <c r="AC27" s="3" t="s">
        <v>207</v>
      </c>
      <c r="AD27" t="s">
        <v>4</v>
      </c>
      <c r="AE27" t="s">
        <v>2530</v>
      </c>
      <c r="AF27" t="s">
        <v>2531</v>
      </c>
      <c r="AG27" t="s">
        <v>2532</v>
      </c>
      <c r="AH27" t="s">
        <v>112</v>
      </c>
      <c r="AU27" t="s">
        <v>112</v>
      </c>
      <c r="AV27" t="s">
        <v>2533</v>
      </c>
      <c r="AW27" t="s">
        <v>114</v>
      </c>
      <c r="AX27" t="s">
        <v>132</v>
      </c>
      <c r="AY27" t="s">
        <v>2534</v>
      </c>
      <c r="AZ27" t="s">
        <v>4</v>
      </c>
      <c r="BA27" s="3" t="s">
        <v>115</v>
      </c>
      <c r="BB27" s="6" t="s">
        <v>95</v>
      </c>
      <c r="BC27" s="3" t="s">
        <v>95</v>
      </c>
      <c r="BD27" t="s">
        <v>4</v>
      </c>
      <c r="BE27">
        <v>5749</v>
      </c>
      <c r="BF27" t="s">
        <v>386</v>
      </c>
      <c r="BG27">
        <v>93.048100000000005</v>
      </c>
      <c r="BI27">
        <v>80.213899999999995</v>
      </c>
      <c r="BJ27">
        <v>59.3583</v>
      </c>
      <c r="BK27">
        <v>17.468800000000002</v>
      </c>
      <c r="BM27">
        <v>17.290600000000001</v>
      </c>
      <c r="BN27">
        <v>17.290600000000001</v>
      </c>
      <c r="BQ27">
        <v>12.656000000000001</v>
      </c>
      <c r="BR27" t="s">
        <v>2535</v>
      </c>
      <c r="BS27">
        <v>10.8734</v>
      </c>
      <c r="BX27">
        <v>10.6952</v>
      </c>
      <c r="BY27">
        <v>11.943</v>
      </c>
      <c r="BZ27">
        <v>8.3779000000000003</v>
      </c>
      <c r="CA27" t="s">
        <v>2536</v>
      </c>
      <c r="CC27">
        <v>4.0998200000000002</v>
      </c>
      <c r="CE27">
        <v>25.668399999999998</v>
      </c>
      <c r="CG27" t="s">
        <v>2537</v>
      </c>
      <c r="CH27" t="s">
        <v>2538</v>
      </c>
      <c r="CI27" t="s">
        <v>2539</v>
      </c>
      <c r="CJ27" t="s">
        <v>2540</v>
      </c>
      <c r="CK27">
        <v>7</v>
      </c>
      <c r="CL27" t="s">
        <v>4</v>
      </c>
      <c r="CM27" t="s">
        <v>2541</v>
      </c>
      <c r="CN27" t="s">
        <v>2542</v>
      </c>
      <c r="CO27" t="s">
        <v>2543</v>
      </c>
      <c r="CP27" t="s">
        <v>100</v>
      </c>
      <c r="CQ27">
        <v>26</v>
      </c>
      <c r="CR27" t="s">
        <v>100</v>
      </c>
      <c r="CS27" t="s">
        <v>100</v>
      </c>
      <c r="CT27" t="s">
        <v>152</v>
      </c>
      <c r="CU27" t="s">
        <v>102</v>
      </c>
      <c r="CV27" t="s">
        <v>100</v>
      </c>
    </row>
    <row r="28" spans="1:100">
      <c r="A28" s="3" t="s">
        <v>2544</v>
      </c>
      <c r="B28" s="4" t="s">
        <v>2545</v>
      </c>
      <c r="C28">
        <v>171.803068322131</v>
      </c>
      <c r="D28">
        <v>3276.76250774747</v>
      </c>
      <c r="E28">
        <f>-4.25209983956036</f>
        <v>-4.2520998395603602</v>
      </c>
      <c r="F28" s="5">
        <v>3.61076295779603E-16</v>
      </c>
      <c r="G28" t="s">
        <v>4</v>
      </c>
      <c r="H28">
        <v>171.803068322131</v>
      </c>
      <c r="I28">
        <v>115.09545676358</v>
      </c>
      <c r="J28">
        <v>0.58266875397388196</v>
      </c>
      <c r="K28">
        <v>0.31810124931625799</v>
      </c>
      <c r="L28" t="s">
        <v>4</v>
      </c>
      <c r="M28">
        <v>3276.76250774747</v>
      </c>
      <c r="N28">
        <v>115.09545676358</v>
      </c>
      <c r="O28">
        <v>4.8347685935342399</v>
      </c>
      <c r="P28" s="5">
        <v>6.0295137435571397E-21</v>
      </c>
      <c r="Q28" t="s">
        <v>4</v>
      </c>
      <c r="R28" s="4" t="s">
        <v>87</v>
      </c>
      <c r="S28" t="s">
        <v>4</v>
      </c>
      <c r="T28" t="s">
        <v>92</v>
      </c>
      <c r="U28" t="s">
        <v>92</v>
      </c>
      <c r="V28" t="s">
        <v>92</v>
      </c>
      <c r="W28" t="s">
        <v>92</v>
      </c>
      <c r="X28" t="s">
        <v>4</v>
      </c>
      <c r="Y28" t="s">
        <v>2546</v>
      </c>
      <c r="Z28" t="s">
        <v>2547</v>
      </c>
      <c r="AA28" t="s">
        <v>2548</v>
      </c>
      <c r="AB28" t="s">
        <v>4</v>
      </c>
      <c r="AC28" s="3" t="s">
        <v>2549</v>
      </c>
      <c r="AD28" t="s">
        <v>4</v>
      </c>
      <c r="AE28" t="s">
        <v>2550</v>
      </c>
      <c r="AF28" t="s">
        <v>2551</v>
      </c>
      <c r="AG28" t="s">
        <v>2552</v>
      </c>
      <c r="AH28" t="s">
        <v>112</v>
      </c>
      <c r="AU28" t="s">
        <v>112</v>
      </c>
      <c r="AV28" t="s">
        <v>2553</v>
      </c>
      <c r="AW28" t="s">
        <v>114</v>
      </c>
      <c r="AX28" t="s">
        <v>144</v>
      </c>
      <c r="AY28" t="s">
        <v>2554</v>
      </c>
      <c r="AZ28" t="s">
        <v>4</v>
      </c>
      <c r="BA28" s="3" t="s">
        <v>115</v>
      </c>
      <c r="BB28" s="6" t="s">
        <v>95</v>
      </c>
      <c r="BC28" s="3" t="s">
        <v>95</v>
      </c>
      <c r="BD28" t="s">
        <v>4</v>
      </c>
      <c r="BE28">
        <v>2211</v>
      </c>
      <c r="BF28" t="s">
        <v>148</v>
      </c>
      <c r="BG28">
        <v>98.860399999999998</v>
      </c>
      <c r="BH28">
        <v>82.621099999999998</v>
      </c>
      <c r="BI28" t="s">
        <v>2555</v>
      </c>
      <c r="BJ28">
        <v>71.225099999999998</v>
      </c>
      <c r="BK28">
        <v>63.247900000000001</v>
      </c>
      <c r="BO28">
        <v>54.985799999999998</v>
      </c>
      <c r="CK28">
        <v>3</v>
      </c>
      <c r="CL28" t="s">
        <v>4</v>
      </c>
      <c r="CM28" t="s">
        <v>98</v>
      </c>
      <c r="CN28" t="s">
        <v>98</v>
      </c>
      <c r="CO28" t="s">
        <v>99</v>
      </c>
      <c r="CP28" t="s">
        <v>100</v>
      </c>
      <c r="CQ28">
        <v>27</v>
      </c>
      <c r="CR28" t="s">
        <v>100</v>
      </c>
      <c r="CS28" t="s">
        <v>100</v>
      </c>
      <c r="CT28" t="s">
        <v>152</v>
      </c>
      <c r="CU28" t="s">
        <v>102</v>
      </c>
      <c r="CV28" t="s">
        <v>100</v>
      </c>
    </row>
    <row r="29" spans="1:100">
      <c r="A29" s="3" t="s">
        <v>2556</v>
      </c>
      <c r="B29" s="4" t="s">
        <v>2557</v>
      </c>
      <c r="C29">
        <v>111.728071347587</v>
      </c>
      <c r="D29">
        <v>2079.4974678006802</v>
      </c>
      <c r="E29">
        <f>-4.21702621099553</f>
        <v>-4.2170262109955301</v>
      </c>
      <c r="F29" s="5">
        <v>1.2878307297432299E-11</v>
      </c>
      <c r="G29" t="s">
        <v>4</v>
      </c>
      <c r="H29">
        <v>111.728071347587</v>
      </c>
      <c r="I29">
        <v>70.049673201765202</v>
      </c>
      <c r="J29">
        <v>0.68665739873613796</v>
      </c>
      <c r="K29">
        <v>0.321831043997586</v>
      </c>
      <c r="L29" t="s">
        <v>4</v>
      </c>
      <c r="M29">
        <v>2079.4974678006802</v>
      </c>
      <c r="N29">
        <v>70.049673201765202</v>
      </c>
      <c r="O29">
        <v>4.9036836097316696</v>
      </c>
      <c r="P29" s="5">
        <v>1.32762625075215E-15</v>
      </c>
      <c r="Q29" t="s">
        <v>4</v>
      </c>
      <c r="R29" s="4" t="s">
        <v>87</v>
      </c>
      <c r="S29" t="s">
        <v>4</v>
      </c>
      <c r="T29" t="s">
        <v>2558</v>
      </c>
      <c r="U29" t="s">
        <v>2559</v>
      </c>
      <c r="V29" t="s">
        <v>2560</v>
      </c>
      <c r="W29" t="s">
        <v>123</v>
      </c>
      <c r="X29" t="s">
        <v>4</v>
      </c>
      <c r="Y29" t="s">
        <v>2561</v>
      </c>
      <c r="Z29" t="s">
        <v>2562</v>
      </c>
      <c r="AA29" t="s">
        <v>2563</v>
      </c>
      <c r="AB29" t="s">
        <v>4</v>
      </c>
      <c r="AC29" s="3" t="s">
        <v>2564</v>
      </c>
      <c r="AD29" t="s">
        <v>4</v>
      </c>
      <c r="AE29" t="s">
        <v>2565</v>
      </c>
      <c r="AF29" t="s">
        <v>2566</v>
      </c>
      <c r="AG29" t="s">
        <v>2411</v>
      </c>
      <c r="AH29" t="s">
        <v>2567</v>
      </c>
      <c r="AU29" t="s">
        <v>112</v>
      </c>
      <c r="AV29" t="s">
        <v>2568</v>
      </c>
      <c r="AW29" t="s">
        <v>114</v>
      </c>
      <c r="AX29" t="s">
        <v>700</v>
      </c>
      <c r="AY29" t="s">
        <v>2569</v>
      </c>
      <c r="AZ29" t="s">
        <v>4</v>
      </c>
      <c r="BA29" s="3" t="s">
        <v>95</v>
      </c>
      <c r="BB29" s="6" t="s">
        <v>95</v>
      </c>
      <c r="BC29" s="3" t="s">
        <v>95</v>
      </c>
      <c r="BD29" t="s">
        <v>4</v>
      </c>
      <c r="BE29">
        <v>2214</v>
      </c>
      <c r="BF29" t="s">
        <v>148</v>
      </c>
      <c r="BG29">
        <v>99.022000000000006</v>
      </c>
      <c r="BH29">
        <v>93.153999999999996</v>
      </c>
      <c r="BI29">
        <v>91.686999999999998</v>
      </c>
      <c r="BJ29" t="s">
        <v>2570</v>
      </c>
      <c r="BK29" t="s">
        <v>2571</v>
      </c>
      <c r="BL29" t="s">
        <v>2572</v>
      </c>
      <c r="BM29">
        <v>46.454799999999999</v>
      </c>
      <c r="BN29">
        <v>65.036699999999996</v>
      </c>
      <c r="BO29">
        <v>31.2958</v>
      </c>
      <c r="CK29">
        <v>3</v>
      </c>
      <c r="CL29" t="s">
        <v>4</v>
      </c>
      <c r="CM29" t="s">
        <v>98</v>
      </c>
      <c r="CN29" t="s">
        <v>98</v>
      </c>
      <c r="CO29" t="s">
        <v>99</v>
      </c>
      <c r="CP29" t="s">
        <v>100</v>
      </c>
      <c r="CQ29">
        <v>28</v>
      </c>
      <c r="CR29" t="s">
        <v>100</v>
      </c>
      <c r="CS29" t="s">
        <v>100</v>
      </c>
      <c r="CT29" t="s">
        <v>152</v>
      </c>
      <c r="CU29" t="s">
        <v>102</v>
      </c>
      <c r="CV29" t="s">
        <v>100</v>
      </c>
    </row>
    <row r="30" spans="1:100">
      <c r="A30" s="3" t="s">
        <v>2573</v>
      </c>
      <c r="B30" s="4" t="s">
        <v>2574</v>
      </c>
      <c r="C30">
        <v>58.295436714716601</v>
      </c>
      <c r="D30">
        <v>394.38409949059201</v>
      </c>
      <c r="E30">
        <f>-2.75413353838105</f>
        <v>-2.7541335383810499</v>
      </c>
      <c r="F30" s="5">
        <v>3.0729160976953902E-7</v>
      </c>
      <c r="G30" t="s">
        <v>4</v>
      </c>
      <c r="H30">
        <v>58.295436714716601</v>
      </c>
      <c r="I30">
        <v>39.658979468065702</v>
      </c>
      <c r="J30">
        <v>0.52830950249328801</v>
      </c>
      <c r="K30">
        <v>0.38522493007891701</v>
      </c>
      <c r="L30" t="s">
        <v>4</v>
      </c>
      <c r="M30">
        <v>394.38409949059201</v>
      </c>
      <c r="N30">
        <v>39.658979468065702</v>
      </c>
      <c r="O30">
        <v>3.2824430408743401</v>
      </c>
      <c r="P30" s="5">
        <v>8.2792019369429004E-10</v>
      </c>
      <c r="Q30" t="s">
        <v>4</v>
      </c>
      <c r="R30" s="4" t="s">
        <v>87</v>
      </c>
      <c r="S30" t="s">
        <v>4</v>
      </c>
      <c r="T30" t="s">
        <v>2575</v>
      </c>
      <c r="U30" t="s">
        <v>2576</v>
      </c>
      <c r="V30" t="s">
        <v>2577</v>
      </c>
      <c r="W30" t="s">
        <v>507</v>
      </c>
      <c r="X30" t="s">
        <v>4</v>
      </c>
      <c r="Y30" t="s">
        <v>2578</v>
      </c>
      <c r="Z30" t="s">
        <v>2579</v>
      </c>
      <c r="AA30" t="s">
        <v>2580</v>
      </c>
      <c r="AB30" t="s">
        <v>4</v>
      </c>
      <c r="AC30" s="3" t="s">
        <v>2581</v>
      </c>
      <c r="AD30" t="s">
        <v>4</v>
      </c>
      <c r="AE30" t="s">
        <v>2582</v>
      </c>
      <c r="AF30" t="s">
        <v>2583</v>
      </c>
      <c r="AG30" t="s">
        <v>2584</v>
      </c>
      <c r="AH30" t="s">
        <v>386</v>
      </c>
      <c r="AU30" t="s">
        <v>112</v>
      </c>
      <c r="AV30" t="s">
        <v>2585</v>
      </c>
      <c r="AW30" t="s">
        <v>114</v>
      </c>
      <c r="AX30" t="s">
        <v>371</v>
      </c>
      <c r="AY30" t="s">
        <v>2586</v>
      </c>
      <c r="AZ30" t="s">
        <v>4</v>
      </c>
      <c r="BA30" s="3" t="s">
        <v>95</v>
      </c>
      <c r="BB30" s="6" t="s">
        <v>95</v>
      </c>
      <c r="BC30" s="3" t="s">
        <v>95</v>
      </c>
      <c r="BD30" t="s">
        <v>4</v>
      </c>
      <c r="BE30">
        <v>4466</v>
      </c>
      <c r="BF30" t="s">
        <v>112</v>
      </c>
      <c r="BG30">
        <v>95.307400000000001</v>
      </c>
      <c r="BH30">
        <v>21.359200000000001</v>
      </c>
      <c r="BI30">
        <v>68.608400000000003</v>
      </c>
      <c r="BJ30">
        <v>9.7087400000000006</v>
      </c>
      <c r="BK30">
        <v>58.737900000000003</v>
      </c>
      <c r="BL30">
        <v>16.1812</v>
      </c>
      <c r="BM30">
        <v>73.624600000000001</v>
      </c>
      <c r="BN30">
        <v>73.301000000000002</v>
      </c>
      <c r="BO30">
        <v>9.3851099999999992</v>
      </c>
      <c r="CK30">
        <v>5</v>
      </c>
      <c r="CL30" t="s">
        <v>4</v>
      </c>
      <c r="CM30" t="s">
        <v>98</v>
      </c>
      <c r="CN30" t="s">
        <v>98</v>
      </c>
      <c r="CO30" t="s">
        <v>99</v>
      </c>
      <c r="CP30" t="s">
        <v>100</v>
      </c>
      <c r="CQ30">
        <v>29</v>
      </c>
      <c r="CR30" t="s">
        <v>100</v>
      </c>
      <c r="CS30" t="s">
        <v>100</v>
      </c>
      <c r="CT30" t="s">
        <v>152</v>
      </c>
      <c r="CU30" t="s">
        <v>102</v>
      </c>
      <c r="CV30" t="s">
        <v>100</v>
      </c>
    </row>
    <row r="31" spans="1:100">
      <c r="A31" s="3" t="s">
        <v>2587</v>
      </c>
      <c r="B31" s="4" t="s">
        <v>2588</v>
      </c>
      <c r="C31">
        <v>1636.4599205647801</v>
      </c>
      <c r="D31">
        <v>17607.134241896802</v>
      </c>
      <c r="E31">
        <f>-3.42733278232122</f>
        <v>-3.4273327823212201</v>
      </c>
      <c r="F31" s="5">
        <v>1.13891006944482E-27</v>
      </c>
      <c r="G31" t="s">
        <v>4</v>
      </c>
      <c r="H31">
        <v>1636.4599205647801</v>
      </c>
      <c r="I31">
        <v>1051.03036381422</v>
      </c>
      <c r="J31">
        <v>0.63910498377026503</v>
      </c>
      <c r="K31">
        <v>6.0268373812834203E-2</v>
      </c>
      <c r="L31" t="s">
        <v>4</v>
      </c>
      <c r="M31">
        <v>17607.134241896802</v>
      </c>
      <c r="N31">
        <v>1051.03036381422</v>
      </c>
      <c r="O31">
        <v>4.0664377660914903</v>
      </c>
      <c r="P31" s="5">
        <v>1.9337702223610699E-39</v>
      </c>
      <c r="Q31" t="s">
        <v>4</v>
      </c>
      <c r="R31" s="4" t="s">
        <v>87</v>
      </c>
      <c r="S31" t="s">
        <v>4</v>
      </c>
      <c r="T31" t="s">
        <v>120</v>
      </c>
      <c r="U31" t="s">
        <v>121</v>
      </c>
      <c r="V31" t="s">
        <v>122</v>
      </c>
      <c r="W31" t="s">
        <v>123</v>
      </c>
      <c r="X31" t="s">
        <v>4</v>
      </c>
      <c r="Y31" t="s">
        <v>124</v>
      </c>
      <c r="Z31" t="s">
        <v>125</v>
      </c>
      <c r="AA31" t="s">
        <v>126</v>
      </c>
      <c r="AB31" t="s">
        <v>4</v>
      </c>
      <c r="AC31" s="3" t="s">
        <v>2589</v>
      </c>
      <c r="AD31" t="s">
        <v>4</v>
      </c>
      <c r="AE31" t="s">
        <v>2590</v>
      </c>
      <c r="AF31" t="s">
        <v>2591</v>
      </c>
      <c r="AG31" t="s">
        <v>2592</v>
      </c>
      <c r="AH31" t="s">
        <v>314</v>
      </c>
      <c r="AU31" t="s">
        <v>112</v>
      </c>
      <c r="AV31" t="s">
        <v>2593</v>
      </c>
      <c r="AW31" t="s">
        <v>114</v>
      </c>
      <c r="AX31" t="s">
        <v>2594</v>
      </c>
      <c r="AY31" t="s">
        <v>2595</v>
      </c>
      <c r="AZ31" t="s">
        <v>4</v>
      </c>
      <c r="BA31" s="3" t="s">
        <v>95</v>
      </c>
      <c r="BB31" t="s">
        <v>96</v>
      </c>
      <c r="BC31" s="3" t="s">
        <v>197</v>
      </c>
      <c r="BD31" t="s">
        <v>4</v>
      </c>
      <c r="BE31">
        <v>2909</v>
      </c>
      <c r="BF31" t="s">
        <v>97</v>
      </c>
      <c r="BG31">
        <v>94.059399999999997</v>
      </c>
      <c r="BH31">
        <v>87.788799999999995</v>
      </c>
      <c r="BI31">
        <v>81.600700000000003</v>
      </c>
      <c r="BJ31">
        <v>43.976900000000001</v>
      </c>
      <c r="BK31">
        <v>48.514899999999997</v>
      </c>
      <c r="BL31" t="s">
        <v>2596</v>
      </c>
      <c r="BM31">
        <v>43.069299999999998</v>
      </c>
      <c r="BN31">
        <v>47.772300000000001</v>
      </c>
      <c r="BO31">
        <v>50.082500000000003</v>
      </c>
      <c r="BP31">
        <v>6.3531399999999998</v>
      </c>
      <c r="CK31">
        <v>4</v>
      </c>
      <c r="CL31" t="s">
        <v>4</v>
      </c>
      <c r="CM31" t="s">
        <v>98</v>
      </c>
      <c r="CN31" t="s">
        <v>98</v>
      </c>
      <c r="CO31" t="s">
        <v>99</v>
      </c>
      <c r="CP31" t="s">
        <v>100</v>
      </c>
      <c r="CQ31">
        <v>30</v>
      </c>
      <c r="CR31" t="s">
        <v>100</v>
      </c>
      <c r="CS31" t="s">
        <v>100</v>
      </c>
      <c r="CT31" t="s">
        <v>152</v>
      </c>
      <c r="CU31" t="s">
        <v>102</v>
      </c>
      <c r="CV31" t="s">
        <v>100</v>
      </c>
    </row>
    <row r="32" spans="1:100">
      <c r="A32" s="3" t="s">
        <v>2597</v>
      </c>
      <c r="B32" s="4" t="s">
        <v>2598</v>
      </c>
      <c r="C32">
        <v>1524.2172054006301</v>
      </c>
      <c r="D32">
        <v>6845.8956398598002</v>
      </c>
      <c r="E32">
        <f>-2.16717576550351</f>
        <v>-2.1671757655035102</v>
      </c>
      <c r="F32" s="5">
        <v>2.48185234655809E-17</v>
      </c>
      <c r="G32" t="s">
        <v>4</v>
      </c>
      <c r="H32">
        <v>1524.2172054006301</v>
      </c>
      <c r="I32">
        <v>1368.3435595839101</v>
      </c>
      <c r="J32">
        <v>0.15789203982910399</v>
      </c>
      <c r="K32">
        <v>0.59146488434022004</v>
      </c>
      <c r="L32" t="s">
        <v>4</v>
      </c>
      <c r="M32">
        <v>6845.8956398598002</v>
      </c>
      <c r="N32">
        <v>1368.3435595839101</v>
      </c>
      <c r="O32">
        <v>2.3250678053326101</v>
      </c>
      <c r="P32" s="5">
        <v>1.98491242143083E-20</v>
      </c>
      <c r="Q32" t="s">
        <v>4</v>
      </c>
      <c r="R32" s="4" t="s">
        <v>87</v>
      </c>
      <c r="S32" t="s">
        <v>4</v>
      </c>
      <c r="T32" t="s">
        <v>92</v>
      </c>
      <c r="U32" t="s">
        <v>92</v>
      </c>
      <c r="V32" t="s">
        <v>92</v>
      </c>
      <c r="W32" t="s">
        <v>92</v>
      </c>
      <c r="X32" t="s">
        <v>4</v>
      </c>
      <c r="Y32" t="s">
        <v>92</v>
      </c>
      <c r="Z32" t="s">
        <v>92</v>
      </c>
      <c r="AA32" t="s">
        <v>92</v>
      </c>
      <c r="AB32" t="s">
        <v>4</v>
      </c>
      <c r="AC32" s="3" t="s">
        <v>93</v>
      </c>
      <c r="AD32" t="s">
        <v>4</v>
      </c>
      <c r="AE32" s="4" t="s">
        <v>94</v>
      </c>
      <c r="AZ32" t="s">
        <v>4</v>
      </c>
      <c r="BA32" s="3" t="s">
        <v>115</v>
      </c>
      <c r="BB32" s="6" t="s">
        <v>95</v>
      </c>
      <c r="BC32" s="3" t="s">
        <v>95</v>
      </c>
      <c r="BD32" t="s">
        <v>4</v>
      </c>
      <c r="BE32">
        <v>2229</v>
      </c>
      <c r="BF32" t="s">
        <v>148</v>
      </c>
      <c r="BG32">
        <v>92.846000000000004</v>
      </c>
      <c r="BH32">
        <v>63.6081</v>
      </c>
      <c r="BI32">
        <v>66.407499999999999</v>
      </c>
      <c r="BJ32">
        <v>71.384100000000004</v>
      </c>
      <c r="BK32">
        <v>52.099499999999999</v>
      </c>
      <c r="BL32" t="s">
        <v>2599</v>
      </c>
      <c r="BM32">
        <v>71.2286</v>
      </c>
      <c r="BN32">
        <v>71.384100000000004</v>
      </c>
      <c r="BO32">
        <v>66.407499999999999</v>
      </c>
      <c r="CK32">
        <v>3</v>
      </c>
      <c r="CL32" t="s">
        <v>4</v>
      </c>
      <c r="CM32" t="s">
        <v>98</v>
      </c>
      <c r="CN32" t="s">
        <v>98</v>
      </c>
      <c r="CO32" t="s">
        <v>99</v>
      </c>
      <c r="CP32" t="s">
        <v>100</v>
      </c>
      <c r="CQ32">
        <v>31</v>
      </c>
      <c r="CR32" t="s">
        <v>100</v>
      </c>
      <c r="CS32" t="s">
        <v>100</v>
      </c>
      <c r="CT32" t="s">
        <v>152</v>
      </c>
      <c r="CU32" t="s">
        <v>102</v>
      </c>
      <c r="CV32" t="s">
        <v>100</v>
      </c>
    </row>
    <row r="33" spans="1:100">
      <c r="A33" s="3" t="s">
        <v>2600</v>
      </c>
      <c r="B33" s="4" t="s">
        <v>2601</v>
      </c>
      <c r="C33">
        <v>57.380548620832897</v>
      </c>
      <c r="D33">
        <v>522.47773177346801</v>
      </c>
      <c r="E33">
        <f>-3.18301258480392</f>
        <v>-3.1830125848039201</v>
      </c>
      <c r="F33" s="5">
        <v>1.29360282374987E-10</v>
      </c>
      <c r="G33" t="s">
        <v>4</v>
      </c>
      <c r="H33">
        <v>57.380548620832897</v>
      </c>
      <c r="I33">
        <v>55.391714455322898</v>
      </c>
      <c r="J33">
        <v>5.5222440250704399E-2</v>
      </c>
      <c r="K33">
        <v>0.926678586196646</v>
      </c>
      <c r="L33" t="s">
        <v>4</v>
      </c>
      <c r="M33">
        <v>522.47773177346801</v>
      </c>
      <c r="N33">
        <v>55.391714455322898</v>
      </c>
      <c r="O33">
        <v>3.2382350250546201</v>
      </c>
      <c r="P33" s="5">
        <v>4.9342586464307601E-11</v>
      </c>
      <c r="Q33" t="s">
        <v>4</v>
      </c>
      <c r="R33" s="4" t="s">
        <v>87</v>
      </c>
      <c r="S33" t="s">
        <v>4</v>
      </c>
      <c r="T33" t="s">
        <v>92</v>
      </c>
      <c r="U33" t="s">
        <v>92</v>
      </c>
      <c r="V33" t="s">
        <v>92</v>
      </c>
      <c r="W33" t="s">
        <v>92</v>
      </c>
      <c r="X33" t="s">
        <v>4</v>
      </c>
      <c r="Y33" t="s">
        <v>92</v>
      </c>
      <c r="Z33" t="s">
        <v>92</v>
      </c>
      <c r="AA33" t="s">
        <v>92</v>
      </c>
      <c r="AB33" t="s">
        <v>4</v>
      </c>
      <c r="AC33" s="3" t="s">
        <v>93</v>
      </c>
      <c r="AD33" t="s">
        <v>4</v>
      </c>
      <c r="AE33" s="4" t="s">
        <v>94</v>
      </c>
      <c r="AZ33" t="s">
        <v>4</v>
      </c>
      <c r="BA33" s="3" t="s">
        <v>95</v>
      </c>
      <c r="BB33" s="6" t="s">
        <v>95</v>
      </c>
      <c r="BC33" s="3" t="s">
        <v>95</v>
      </c>
      <c r="BD33" t="s">
        <v>4</v>
      </c>
      <c r="BE33">
        <v>2461</v>
      </c>
      <c r="BF33" t="s">
        <v>97</v>
      </c>
      <c r="BG33">
        <v>94.904499999999999</v>
      </c>
      <c r="BH33">
        <v>94.267499999999998</v>
      </c>
      <c r="BI33" t="s">
        <v>2602</v>
      </c>
      <c r="BJ33">
        <v>39.490400000000001</v>
      </c>
      <c r="BK33">
        <v>18.471299999999999</v>
      </c>
      <c r="BL33">
        <v>28.662400000000002</v>
      </c>
      <c r="BM33">
        <v>63.057299999999998</v>
      </c>
      <c r="BN33">
        <v>63.694299999999998</v>
      </c>
      <c r="BO33">
        <v>35.031799999999997</v>
      </c>
      <c r="CK33">
        <v>4</v>
      </c>
      <c r="CL33" t="s">
        <v>4</v>
      </c>
      <c r="CM33" t="s">
        <v>98</v>
      </c>
      <c r="CN33" t="s">
        <v>98</v>
      </c>
      <c r="CO33" t="s">
        <v>99</v>
      </c>
      <c r="CP33" t="s">
        <v>100</v>
      </c>
      <c r="CQ33">
        <v>32</v>
      </c>
      <c r="CR33" t="s">
        <v>100</v>
      </c>
      <c r="CS33" t="s">
        <v>100</v>
      </c>
      <c r="CT33" t="s">
        <v>152</v>
      </c>
      <c r="CU33" t="s">
        <v>102</v>
      </c>
      <c r="CV33" t="s">
        <v>100</v>
      </c>
    </row>
    <row r="34" spans="1:100">
      <c r="A34" s="3" t="s">
        <v>2603</v>
      </c>
      <c r="B34" s="8" t="s">
        <v>811</v>
      </c>
      <c r="C34">
        <v>1592.7107576287499</v>
      </c>
      <c r="D34">
        <v>12520.9622297809</v>
      </c>
      <c r="E34">
        <f>-2.97468727414986</f>
        <v>-2.97468727414986</v>
      </c>
      <c r="F34" s="5">
        <v>4.7455189150720096E-13</v>
      </c>
      <c r="G34" t="s">
        <v>4</v>
      </c>
      <c r="H34">
        <v>1592.7107576287499</v>
      </c>
      <c r="I34">
        <v>2811.3009361566301</v>
      </c>
      <c r="J34">
        <f>0.819091704688141</f>
        <v>0.81909170468814096</v>
      </c>
      <c r="K34">
        <v>5.9997856636258902E-2</v>
      </c>
      <c r="L34" t="s">
        <v>4</v>
      </c>
      <c r="M34">
        <v>12520.9622297809</v>
      </c>
      <c r="N34">
        <v>2811.3009361566301</v>
      </c>
      <c r="O34">
        <v>2.1555955694617199</v>
      </c>
      <c r="P34" s="5">
        <v>1.15261375850431E-7</v>
      </c>
      <c r="Q34" t="s">
        <v>4</v>
      </c>
      <c r="R34" s="4" t="s">
        <v>95</v>
      </c>
      <c r="S34" t="s">
        <v>4</v>
      </c>
      <c r="T34" t="s">
        <v>92</v>
      </c>
      <c r="U34" t="s">
        <v>92</v>
      </c>
      <c r="V34" t="s">
        <v>92</v>
      </c>
      <c r="W34" t="s">
        <v>92</v>
      </c>
      <c r="X34" t="s">
        <v>4</v>
      </c>
      <c r="Y34" t="s">
        <v>92</v>
      </c>
      <c r="Z34" t="s">
        <v>92</v>
      </c>
      <c r="AA34" t="s">
        <v>92</v>
      </c>
      <c r="AB34" t="s">
        <v>4</v>
      </c>
      <c r="AC34" s="3" t="s">
        <v>93</v>
      </c>
      <c r="AD34" t="s">
        <v>4</v>
      </c>
      <c r="AE34" s="4" t="s">
        <v>94</v>
      </c>
      <c r="AZ34" t="s">
        <v>4</v>
      </c>
      <c r="BA34" s="3" t="s">
        <v>812</v>
      </c>
      <c r="BB34" s="3" t="s">
        <v>812</v>
      </c>
      <c r="BC34" s="3" t="s">
        <v>812</v>
      </c>
      <c r="BD34" t="s">
        <v>4</v>
      </c>
      <c r="BE34" s="3" t="s">
        <v>812</v>
      </c>
      <c r="BF34" s="3" t="s">
        <v>812</v>
      </c>
      <c r="BG34" s="3" t="s">
        <v>812</v>
      </c>
      <c r="BH34" s="3" t="s">
        <v>812</v>
      </c>
      <c r="BI34" s="3" t="s">
        <v>812</v>
      </c>
      <c r="BJ34" s="3" t="s">
        <v>812</v>
      </c>
      <c r="BK34" s="3" t="s">
        <v>812</v>
      </c>
      <c r="BL34" s="3" t="s">
        <v>812</v>
      </c>
      <c r="BM34" s="3" t="s">
        <v>812</v>
      </c>
      <c r="BN34" s="3" t="s">
        <v>812</v>
      </c>
      <c r="BO34" s="3" t="s">
        <v>812</v>
      </c>
      <c r="BP34" s="3" t="s">
        <v>812</v>
      </c>
      <c r="BQ34" s="3" t="s">
        <v>812</v>
      </c>
      <c r="BR34" s="3" t="s">
        <v>812</v>
      </c>
      <c r="BS34" s="3" t="s">
        <v>812</v>
      </c>
      <c r="BT34" s="3" t="s">
        <v>812</v>
      </c>
      <c r="BU34" s="3" t="s">
        <v>812</v>
      </c>
      <c r="BV34" s="3" t="s">
        <v>812</v>
      </c>
      <c r="BW34" s="3" t="s">
        <v>812</v>
      </c>
      <c r="BX34" s="3" t="s">
        <v>812</v>
      </c>
      <c r="BY34" s="3" t="s">
        <v>812</v>
      </c>
      <c r="BZ34" s="3" t="s">
        <v>812</v>
      </c>
      <c r="CA34" s="3" t="s">
        <v>812</v>
      </c>
      <c r="CB34" s="3" t="s">
        <v>812</v>
      </c>
      <c r="CC34" s="3" t="s">
        <v>812</v>
      </c>
      <c r="CD34" s="3" t="s">
        <v>812</v>
      </c>
      <c r="CE34" s="3" t="s">
        <v>812</v>
      </c>
      <c r="CF34" s="3" t="s">
        <v>812</v>
      </c>
      <c r="CG34" s="3" t="s">
        <v>812</v>
      </c>
      <c r="CH34" s="3" t="s">
        <v>812</v>
      </c>
      <c r="CI34" s="3" t="s">
        <v>812</v>
      </c>
      <c r="CJ34" s="3" t="s">
        <v>812</v>
      </c>
      <c r="CK34" s="3" t="s">
        <v>812</v>
      </c>
      <c r="CL34" t="s">
        <v>4</v>
      </c>
      <c r="CM34" s="3" t="s">
        <v>812</v>
      </c>
      <c r="CN34" s="3" t="s">
        <v>812</v>
      </c>
      <c r="CO34" s="3" t="s">
        <v>812</v>
      </c>
      <c r="CP34" t="s">
        <v>100</v>
      </c>
      <c r="CQ34">
        <v>33</v>
      </c>
      <c r="CR34" t="s">
        <v>100</v>
      </c>
      <c r="CS34" t="s">
        <v>100</v>
      </c>
      <c r="CT34" t="s">
        <v>152</v>
      </c>
      <c r="CU34" t="s">
        <v>102</v>
      </c>
      <c r="CV34" t="s">
        <v>100</v>
      </c>
    </row>
    <row r="35" spans="1:100">
      <c r="A35" s="3" t="s">
        <v>2604</v>
      </c>
      <c r="B35" s="4" t="s">
        <v>2605</v>
      </c>
      <c r="C35">
        <v>2437.59923762469</v>
      </c>
      <c r="D35">
        <v>25917.1538690327</v>
      </c>
      <c r="E35">
        <f>-3.41027945313796</f>
        <v>-3.4102794531379601</v>
      </c>
      <c r="F35" s="5">
        <v>1.75641981782645E-31</v>
      </c>
      <c r="G35" t="s">
        <v>4</v>
      </c>
      <c r="H35">
        <v>2437.59923762469</v>
      </c>
      <c r="I35">
        <v>888.20927883060403</v>
      </c>
      <c r="J35">
        <v>1.4561827777540599</v>
      </c>
      <c r="K35" s="5">
        <v>1.28327925908895E-6</v>
      </c>
      <c r="L35" t="s">
        <v>4</v>
      </c>
      <c r="M35">
        <v>25917.1538690327</v>
      </c>
      <c r="N35">
        <v>888.20927883060403</v>
      </c>
      <c r="O35">
        <v>4.8664622308920196</v>
      </c>
      <c r="P35" s="5">
        <v>2.6683133241474401E-64</v>
      </c>
      <c r="Q35" t="s">
        <v>4</v>
      </c>
      <c r="R35" s="4" t="s">
        <v>87</v>
      </c>
      <c r="S35" t="s">
        <v>4</v>
      </c>
      <c r="T35" t="s">
        <v>2606</v>
      </c>
      <c r="U35" t="s">
        <v>2607</v>
      </c>
      <c r="V35" t="s">
        <v>2608</v>
      </c>
      <c r="W35" t="s">
        <v>203</v>
      </c>
      <c r="X35" t="s">
        <v>4</v>
      </c>
      <c r="Y35" t="s">
        <v>2609</v>
      </c>
      <c r="Z35" t="s">
        <v>2610</v>
      </c>
      <c r="AA35" t="s">
        <v>2611</v>
      </c>
      <c r="AB35" t="s">
        <v>4</v>
      </c>
      <c r="AC35" s="3" t="s">
        <v>2612</v>
      </c>
      <c r="AD35" t="s">
        <v>4</v>
      </c>
      <c r="AE35" t="s">
        <v>2613</v>
      </c>
      <c r="AF35" t="s">
        <v>2614</v>
      </c>
      <c r="AG35" t="s">
        <v>765</v>
      </c>
      <c r="AH35" t="s">
        <v>2615</v>
      </c>
      <c r="AU35" t="s">
        <v>112</v>
      </c>
      <c r="AV35" t="s">
        <v>2616</v>
      </c>
      <c r="AW35" t="s">
        <v>114</v>
      </c>
      <c r="AX35" t="s">
        <v>536</v>
      </c>
      <c r="AY35" t="s">
        <v>2617</v>
      </c>
      <c r="AZ35" t="s">
        <v>4</v>
      </c>
      <c r="BA35" s="3" t="s">
        <v>95</v>
      </c>
      <c r="BB35" s="6" t="s">
        <v>95</v>
      </c>
      <c r="BC35" s="3" t="s">
        <v>95</v>
      </c>
      <c r="BD35" t="s">
        <v>4</v>
      </c>
      <c r="BE35">
        <v>2923</v>
      </c>
      <c r="BF35" t="s">
        <v>97</v>
      </c>
      <c r="BG35">
        <v>100</v>
      </c>
      <c r="BH35">
        <v>100</v>
      </c>
      <c r="BI35">
        <v>97.454499999999996</v>
      </c>
      <c r="BJ35">
        <v>92</v>
      </c>
      <c r="BK35">
        <v>82.181799999999996</v>
      </c>
      <c r="BL35">
        <v>70.909099999999995</v>
      </c>
      <c r="BM35">
        <v>77.454499999999996</v>
      </c>
      <c r="BN35">
        <v>77.454499999999996</v>
      </c>
      <c r="BO35">
        <v>81.454499999999996</v>
      </c>
      <c r="BP35" t="s">
        <v>2618</v>
      </c>
      <c r="CK35">
        <v>4</v>
      </c>
      <c r="CL35" t="s">
        <v>4</v>
      </c>
      <c r="CM35" t="s">
        <v>98</v>
      </c>
      <c r="CN35" t="s">
        <v>98</v>
      </c>
      <c r="CO35" t="s">
        <v>99</v>
      </c>
      <c r="CP35" t="s">
        <v>100</v>
      </c>
      <c r="CQ35">
        <v>34</v>
      </c>
      <c r="CR35" t="s">
        <v>100</v>
      </c>
      <c r="CS35" s="7" t="s">
        <v>101</v>
      </c>
      <c r="CT35" t="s">
        <v>152</v>
      </c>
      <c r="CU35" t="s">
        <v>102</v>
      </c>
      <c r="CV35" t="s">
        <v>100</v>
      </c>
    </row>
    <row r="36" spans="1:100">
      <c r="A36" s="3" t="s">
        <v>2619</v>
      </c>
      <c r="B36" s="4" t="s">
        <v>2620</v>
      </c>
      <c r="C36">
        <v>3379.4349135814</v>
      </c>
      <c r="D36">
        <v>25006.8805486294</v>
      </c>
      <c r="E36">
        <f>-2.88737834009367</f>
        <v>-2.8873783400936701</v>
      </c>
      <c r="F36" s="5">
        <v>5.3684729924679396E-38</v>
      </c>
      <c r="G36" t="s">
        <v>4</v>
      </c>
      <c r="H36">
        <v>3379.4349135814</v>
      </c>
      <c r="I36">
        <v>2606.2525349195398</v>
      </c>
      <c r="J36">
        <v>0.37407390545892599</v>
      </c>
      <c r="K36">
        <v>0.12846463455138499</v>
      </c>
      <c r="L36" t="s">
        <v>4</v>
      </c>
      <c r="M36">
        <v>25006.8805486294</v>
      </c>
      <c r="N36">
        <v>2606.2525349195398</v>
      </c>
      <c r="O36">
        <v>3.2614522455525998</v>
      </c>
      <c r="P36" s="5">
        <v>1.99608581641139E-49</v>
      </c>
      <c r="Q36" t="s">
        <v>4</v>
      </c>
      <c r="R36" s="4" t="s">
        <v>87</v>
      </c>
      <c r="S36" t="s">
        <v>4</v>
      </c>
      <c r="T36" t="s">
        <v>2621</v>
      </c>
      <c r="U36" t="s">
        <v>2622</v>
      </c>
      <c r="V36" t="s">
        <v>2623</v>
      </c>
      <c r="W36" t="s">
        <v>328</v>
      </c>
      <c r="X36" t="s">
        <v>4</v>
      </c>
      <c r="Y36" t="s">
        <v>2624</v>
      </c>
      <c r="Z36" t="s">
        <v>2625</v>
      </c>
      <c r="AA36" t="s">
        <v>2626</v>
      </c>
      <c r="AB36" t="s">
        <v>4</v>
      </c>
      <c r="AC36" s="3" t="s">
        <v>2627</v>
      </c>
      <c r="AD36" t="s">
        <v>4</v>
      </c>
      <c r="AE36" t="s">
        <v>2628</v>
      </c>
      <c r="AF36" t="s">
        <v>834</v>
      </c>
      <c r="AG36" t="s">
        <v>2629</v>
      </c>
      <c r="AH36" t="s">
        <v>112</v>
      </c>
      <c r="AI36" t="s">
        <v>2630</v>
      </c>
      <c r="AJ36" t="s">
        <v>2631</v>
      </c>
      <c r="AL36" t="s">
        <v>2632</v>
      </c>
      <c r="AM36" t="s">
        <v>2633</v>
      </c>
      <c r="AN36" t="s">
        <v>2634</v>
      </c>
      <c r="AQ36" t="s">
        <v>2635</v>
      </c>
      <c r="AU36" t="s">
        <v>112</v>
      </c>
      <c r="AV36" t="s">
        <v>2636</v>
      </c>
      <c r="AW36" t="s">
        <v>114</v>
      </c>
      <c r="AX36" t="s">
        <v>536</v>
      </c>
      <c r="AY36" t="s">
        <v>2637</v>
      </c>
      <c r="AZ36" t="s">
        <v>4</v>
      </c>
      <c r="BA36" s="3" t="s">
        <v>95</v>
      </c>
      <c r="BB36" s="6" t="s">
        <v>95</v>
      </c>
      <c r="BC36" s="3" t="s">
        <v>95</v>
      </c>
      <c r="BD36" t="s">
        <v>4</v>
      </c>
      <c r="BE36">
        <v>8134</v>
      </c>
      <c r="BF36" t="s">
        <v>213</v>
      </c>
      <c r="BG36">
        <v>97.75</v>
      </c>
      <c r="BH36">
        <v>76.875</v>
      </c>
      <c r="BI36" t="s">
        <v>2638</v>
      </c>
      <c r="BJ36">
        <v>90.5</v>
      </c>
      <c r="BK36">
        <v>88.375</v>
      </c>
      <c r="BL36" t="s">
        <v>2639</v>
      </c>
      <c r="BM36">
        <v>87.625</v>
      </c>
      <c r="BN36">
        <v>91.75</v>
      </c>
      <c r="BO36">
        <v>84.375</v>
      </c>
      <c r="BP36" t="s">
        <v>2640</v>
      </c>
      <c r="BQ36">
        <v>34.875</v>
      </c>
      <c r="BR36">
        <v>24</v>
      </c>
      <c r="BS36">
        <v>28.5</v>
      </c>
      <c r="BT36" t="s">
        <v>2641</v>
      </c>
      <c r="BU36">
        <v>11.75</v>
      </c>
      <c r="BV36" t="s">
        <v>2642</v>
      </c>
      <c r="BW36">
        <v>49.375</v>
      </c>
      <c r="BX36">
        <v>50.625</v>
      </c>
      <c r="BZ36">
        <v>30.75</v>
      </c>
      <c r="CA36">
        <v>50</v>
      </c>
      <c r="CB36" t="s">
        <v>2643</v>
      </c>
      <c r="CC36">
        <v>14.25</v>
      </c>
      <c r="CD36">
        <v>33.625</v>
      </c>
      <c r="CE36">
        <v>26.375</v>
      </c>
      <c r="CF36">
        <v>38.5</v>
      </c>
      <c r="CG36">
        <v>38.125</v>
      </c>
      <c r="CH36">
        <v>37.75</v>
      </c>
      <c r="CI36">
        <v>37.875</v>
      </c>
      <c r="CK36">
        <v>8</v>
      </c>
      <c r="CL36" t="s">
        <v>4</v>
      </c>
      <c r="CM36" t="s">
        <v>2644</v>
      </c>
      <c r="CN36">
        <v>50</v>
      </c>
      <c r="CO36" t="s">
        <v>219</v>
      </c>
      <c r="CP36" t="s">
        <v>100</v>
      </c>
      <c r="CQ36">
        <v>35</v>
      </c>
      <c r="CR36" t="s">
        <v>100</v>
      </c>
      <c r="CS36" t="s">
        <v>100</v>
      </c>
      <c r="CT36" t="s">
        <v>152</v>
      </c>
      <c r="CU36" t="s">
        <v>102</v>
      </c>
      <c r="CV36" t="s">
        <v>2182</v>
      </c>
    </row>
    <row r="37" spans="1:100">
      <c r="A37" s="3" t="s">
        <v>2645</v>
      </c>
      <c r="B37" s="4" t="s">
        <v>2646</v>
      </c>
      <c r="C37">
        <v>137.40679211020199</v>
      </c>
      <c r="D37">
        <v>681.92525681540201</v>
      </c>
      <c r="E37">
        <f>-2.31094866267612</f>
        <v>-2.31094866267612</v>
      </c>
      <c r="F37" s="5">
        <v>2.0135443493335601E-7</v>
      </c>
      <c r="G37" t="s">
        <v>4</v>
      </c>
      <c r="H37">
        <v>137.40679211020199</v>
      </c>
      <c r="I37">
        <v>112.44547056875</v>
      </c>
      <c r="J37">
        <v>0.287536870848357</v>
      </c>
      <c r="K37">
        <v>0.56894926212863495</v>
      </c>
      <c r="L37" t="s">
        <v>4</v>
      </c>
      <c r="M37">
        <v>681.92525681540201</v>
      </c>
      <c r="N37">
        <v>112.44547056875</v>
      </c>
      <c r="O37">
        <v>2.5984855335244799</v>
      </c>
      <c r="P37" s="5">
        <v>2.4576032514615902E-9</v>
      </c>
      <c r="Q37" t="s">
        <v>4</v>
      </c>
      <c r="R37" s="4" t="s">
        <v>87</v>
      </c>
      <c r="S37" t="s">
        <v>4</v>
      </c>
      <c r="T37" t="s">
        <v>2243</v>
      </c>
      <c r="U37" t="s">
        <v>2244</v>
      </c>
      <c r="V37" t="s">
        <v>2245</v>
      </c>
      <c r="W37" t="s">
        <v>123</v>
      </c>
      <c r="X37" t="s">
        <v>4</v>
      </c>
      <c r="Y37" t="s">
        <v>2647</v>
      </c>
      <c r="Z37" t="s">
        <v>2648</v>
      </c>
      <c r="AA37" t="s">
        <v>2649</v>
      </c>
      <c r="AB37" t="s">
        <v>4</v>
      </c>
      <c r="AC37" s="3" t="s">
        <v>2650</v>
      </c>
      <c r="AD37" t="s">
        <v>4</v>
      </c>
      <c r="AE37" t="s">
        <v>2651</v>
      </c>
      <c r="AF37" t="s">
        <v>2652</v>
      </c>
      <c r="AG37" t="s">
        <v>2653</v>
      </c>
      <c r="AH37" t="s">
        <v>386</v>
      </c>
      <c r="AU37" t="s">
        <v>112</v>
      </c>
      <c r="AV37" t="s">
        <v>2654</v>
      </c>
      <c r="AW37" t="s">
        <v>114</v>
      </c>
      <c r="AX37" t="s">
        <v>144</v>
      </c>
      <c r="AY37" t="s">
        <v>2655</v>
      </c>
      <c r="AZ37" t="s">
        <v>4</v>
      </c>
      <c r="BA37" s="3" t="s">
        <v>95</v>
      </c>
      <c r="BB37" s="6" t="s">
        <v>95</v>
      </c>
      <c r="BC37" s="3" t="s">
        <v>95</v>
      </c>
      <c r="BD37" t="s">
        <v>4</v>
      </c>
      <c r="BE37">
        <v>8139</v>
      </c>
      <c r="BF37" t="s">
        <v>213</v>
      </c>
      <c r="BG37">
        <v>97.603800000000007</v>
      </c>
      <c r="BH37">
        <v>99.680499999999995</v>
      </c>
      <c r="BI37">
        <v>79.233199999999997</v>
      </c>
      <c r="BJ37">
        <v>63.578299999999999</v>
      </c>
      <c r="BK37">
        <v>71.245999999999995</v>
      </c>
      <c r="BL37">
        <v>68.849800000000002</v>
      </c>
      <c r="BM37">
        <v>69.169300000000007</v>
      </c>
      <c r="BN37">
        <v>69.009600000000006</v>
      </c>
      <c r="BO37">
        <v>57.987200000000001</v>
      </c>
      <c r="BP37">
        <v>18.3706</v>
      </c>
      <c r="BQ37">
        <v>22.3642</v>
      </c>
      <c r="BR37" t="s">
        <v>2656</v>
      </c>
      <c r="BT37">
        <v>6.8690100000000003</v>
      </c>
      <c r="BV37">
        <v>16.1342</v>
      </c>
      <c r="BX37">
        <v>18.051100000000002</v>
      </c>
      <c r="CB37">
        <v>4.7923299999999998</v>
      </c>
      <c r="CG37" t="s">
        <v>2657</v>
      </c>
      <c r="CH37" t="s">
        <v>2658</v>
      </c>
      <c r="CI37" t="s">
        <v>2659</v>
      </c>
      <c r="CK37">
        <v>8</v>
      </c>
      <c r="CL37" t="s">
        <v>4</v>
      </c>
      <c r="CM37" t="s">
        <v>98</v>
      </c>
      <c r="CN37" t="s">
        <v>98</v>
      </c>
      <c r="CO37" t="s">
        <v>99</v>
      </c>
      <c r="CP37" t="s">
        <v>100</v>
      </c>
      <c r="CQ37">
        <v>36</v>
      </c>
      <c r="CR37" t="s">
        <v>100</v>
      </c>
      <c r="CS37" t="s">
        <v>100</v>
      </c>
      <c r="CT37" t="s">
        <v>152</v>
      </c>
      <c r="CU37" t="s">
        <v>102</v>
      </c>
      <c r="CV37" t="s">
        <v>100</v>
      </c>
    </row>
    <row r="38" spans="1:100">
      <c r="A38" s="3" t="s">
        <v>2660</v>
      </c>
      <c r="B38" s="4" t="s">
        <v>2661</v>
      </c>
      <c r="C38">
        <v>1110.1982600245899</v>
      </c>
      <c r="D38">
        <v>15453.7816068827</v>
      </c>
      <c r="E38">
        <f>-3.79888457523126</f>
        <v>-3.7988845752312601</v>
      </c>
      <c r="F38" s="5">
        <v>3.1051079100166502E-15</v>
      </c>
      <c r="G38" t="s">
        <v>4</v>
      </c>
      <c r="H38">
        <v>1110.1982600245899</v>
      </c>
      <c r="I38">
        <v>622.88309758225103</v>
      </c>
      <c r="J38">
        <v>0.83464648569735</v>
      </c>
      <c r="K38">
        <v>0.107340232737618</v>
      </c>
      <c r="L38" t="s">
        <v>4</v>
      </c>
      <c r="M38">
        <v>15453.7816068827</v>
      </c>
      <c r="N38">
        <v>622.88309758225103</v>
      </c>
      <c r="O38">
        <v>4.6335310609286102</v>
      </c>
      <c r="P38" s="5">
        <v>6.3595207478459096E-23</v>
      </c>
      <c r="Q38" t="s">
        <v>4</v>
      </c>
      <c r="R38" s="4" t="s">
        <v>87</v>
      </c>
      <c r="S38" t="s">
        <v>4</v>
      </c>
      <c r="T38" t="s">
        <v>92</v>
      </c>
      <c r="U38" t="s">
        <v>92</v>
      </c>
      <c r="V38" t="s">
        <v>92</v>
      </c>
      <c r="W38" t="s">
        <v>92</v>
      </c>
      <c r="X38" t="s">
        <v>4</v>
      </c>
      <c r="Y38" t="s">
        <v>2662</v>
      </c>
      <c r="Z38" t="s">
        <v>2663</v>
      </c>
      <c r="AA38" t="s">
        <v>2664</v>
      </c>
      <c r="AB38" t="s">
        <v>4</v>
      </c>
      <c r="AC38" s="3" t="s">
        <v>93</v>
      </c>
      <c r="AD38" t="s">
        <v>4</v>
      </c>
      <c r="AE38" t="s">
        <v>2665</v>
      </c>
      <c r="AF38" t="s">
        <v>2666</v>
      </c>
      <c r="AG38" t="s">
        <v>2667</v>
      </c>
      <c r="AH38" t="s">
        <v>314</v>
      </c>
      <c r="AU38" t="s">
        <v>112</v>
      </c>
      <c r="AV38" t="s">
        <v>2668</v>
      </c>
      <c r="AW38" t="s">
        <v>114</v>
      </c>
      <c r="AX38" t="s">
        <v>2669</v>
      </c>
      <c r="AY38" t="s">
        <v>2670</v>
      </c>
      <c r="AZ38" t="s">
        <v>4</v>
      </c>
      <c r="BA38" s="3" t="s">
        <v>95</v>
      </c>
      <c r="BB38" s="6" t="s">
        <v>95</v>
      </c>
      <c r="BC38" s="3" t="s">
        <v>95</v>
      </c>
      <c r="BD38" t="s">
        <v>4</v>
      </c>
      <c r="BE38">
        <v>2255</v>
      </c>
      <c r="BF38" t="s">
        <v>148</v>
      </c>
      <c r="BG38">
        <v>80</v>
      </c>
      <c r="BH38">
        <v>35.172400000000003</v>
      </c>
      <c r="BI38">
        <v>82.069000000000003</v>
      </c>
      <c r="BJ38">
        <v>88.275899999999993</v>
      </c>
      <c r="BK38">
        <v>87.586200000000005</v>
      </c>
      <c r="BL38">
        <v>80</v>
      </c>
      <c r="BM38">
        <v>80</v>
      </c>
      <c r="BN38">
        <v>80</v>
      </c>
      <c r="BO38">
        <v>80.689700000000002</v>
      </c>
      <c r="CK38">
        <v>3</v>
      </c>
      <c r="CL38" t="s">
        <v>4</v>
      </c>
      <c r="CM38" t="s">
        <v>98</v>
      </c>
      <c r="CN38" t="s">
        <v>98</v>
      </c>
      <c r="CO38" t="s">
        <v>99</v>
      </c>
      <c r="CP38" t="s">
        <v>100</v>
      </c>
      <c r="CQ38">
        <v>37</v>
      </c>
      <c r="CR38" t="s">
        <v>100</v>
      </c>
      <c r="CS38" t="s">
        <v>100</v>
      </c>
      <c r="CT38" t="s">
        <v>152</v>
      </c>
      <c r="CU38" t="s">
        <v>102</v>
      </c>
      <c r="CV38" t="s">
        <v>100</v>
      </c>
    </row>
    <row r="39" spans="1:100">
      <c r="A39" s="3" t="s">
        <v>2671</v>
      </c>
      <c r="B39" s="4" t="s">
        <v>2672</v>
      </c>
      <c r="C39">
        <v>134.190341555326</v>
      </c>
      <c r="D39">
        <v>895.53579262949597</v>
      </c>
      <c r="E39">
        <f>-2.73690211732793</f>
        <v>-2.7369021173279302</v>
      </c>
      <c r="F39" s="5">
        <v>4.1730341247651701E-11</v>
      </c>
      <c r="G39" t="s">
        <v>4</v>
      </c>
      <c r="H39">
        <v>134.190341555326</v>
      </c>
      <c r="I39">
        <v>29.135280976398299</v>
      </c>
      <c r="J39">
        <v>2.2035297678198802</v>
      </c>
      <c r="K39" s="5">
        <v>1.44154483485039E-6</v>
      </c>
      <c r="L39" t="s">
        <v>4</v>
      </c>
      <c r="M39">
        <v>895.53579262949597</v>
      </c>
      <c r="N39">
        <v>29.135280976398299</v>
      </c>
      <c r="O39">
        <v>4.9404318851478104</v>
      </c>
      <c r="P39" s="5">
        <v>1.0812760021238001E-29</v>
      </c>
      <c r="Q39" t="s">
        <v>4</v>
      </c>
      <c r="R39" s="4" t="s">
        <v>87</v>
      </c>
      <c r="S39" t="s">
        <v>4</v>
      </c>
      <c r="T39" t="s">
        <v>2673</v>
      </c>
      <c r="U39" t="s">
        <v>2674</v>
      </c>
      <c r="V39" t="s">
        <v>2675</v>
      </c>
      <c r="W39" t="s">
        <v>1845</v>
      </c>
      <c r="X39" t="s">
        <v>4</v>
      </c>
      <c r="Y39" t="s">
        <v>2676</v>
      </c>
      <c r="Z39" t="s">
        <v>2677</v>
      </c>
      <c r="AA39" t="s">
        <v>2678</v>
      </c>
      <c r="AB39" t="s">
        <v>4</v>
      </c>
      <c r="AC39" s="3" t="s">
        <v>93</v>
      </c>
      <c r="AD39" t="s">
        <v>4</v>
      </c>
      <c r="AE39" t="s">
        <v>2679</v>
      </c>
      <c r="AF39" t="s">
        <v>2680</v>
      </c>
      <c r="AG39" t="s">
        <v>2681</v>
      </c>
      <c r="AH39" t="s">
        <v>112</v>
      </c>
      <c r="AL39" t="s">
        <v>2682</v>
      </c>
      <c r="AQ39" t="s">
        <v>641</v>
      </c>
      <c r="AR39" t="s">
        <v>2683</v>
      </c>
      <c r="AU39" t="s">
        <v>112</v>
      </c>
      <c r="AV39" t="s">
        <v>2684</v>
      </c>
      <c r="AW39" t="s">
        <v>114</v>
      </c>
      <c r="AX39" t="s">
        <v>909</v>
      </c>
      <c r="AY39" t="s">
        <v>2685</v>
      </c>
      <c r="AZ39" t="s">
        <v>4</v>
      </c>
      <c r="BA39" s="3" t="s">
        <v>95</v>
      </c>
      <c r="BB39" t="s">
        <v>96</v>
      </c>
      <c r="BC39" s="3" t="s">
        <v>95</v>
      </c>
      <c r="BD39" t="s">
        <v>4</v>
      </c>
      <c r="BE39">
        <v>3159</v>
      </c>
      <c r="BF39" t="s">
        <v>112</v>
      </c>
      <c r="BG39">
        <v>43.133499999999998</v>
      </c>
      <c r="BH39">
        <v>46.421700000000001</v>
      </c>
      <c r="BI39" t="s">
        <v>2686</v>
      </c>
      <c r="BJ39">
        <v>45.454500000000003</v>
      </c>
      <c r="BN39" t="s">
        <v>2687</v>
      </c>
      <c r="BO39" t="s">
        <v>2688</v>
      </c>
      <c r="BP39">
        <v>23.017399999999999</v>
      </c>
      <c r="BQ39">
        <v>32.881999999999998</v>
      </c>
      <c r="BR39">
        <v>13.7331</v>
      </c>
      <c r="BS39" t="s">
        <v>2689</v>
      </c>
      <c r="BT39" t="s">
        <v>2690</v>
      </c>
      <c r="BU39">
        <v>10.058</v>
      </c>
      <c r="BV39" t="s">
        <v>2691</v>
      </c>
      <c r="BW39">
        <v>33.655700000000003</v>
      </c>
      <c r="BX39">
        <v>33.075400000000002</v>
      </c>
      <c r="BY39">
        <v>14.5068</v>
      </c>
      <c r="BZ39">
        <v>6.1895600000000002</v>
      </c>
      <c r="CA39">
        <v>32.1083</v>
      </c>
      <c r="CK39">
        <v>5</v>
      </c>
      <c r="CL39" t="s">
        <v>4</v>
      </c>
      <c r="CM39" t="s">
        <v>2692</v>
      </c>
      <c r="CN39" t="s">
        <v>2693</v>
      </c>
      <c r="CO39" t="s">
        <v>99</v>
      </c>
      <c r="CP39" t="s">
        <v>100</v>
      </c>
      <c r="CQ39">
        <v>38</v>
      </c>
      <c r="CR39" t="s">
        <v>100</v>
      </c>
      <c r="CS39" t="s">
        <v>101</v>
      </c>
      <c r="CT39" t="s">
        <v>152</v>
      </c>
      <c r="CU39" t="s">
        <v>102</v>
      </c>
      <c r="CV39" t="s">
        <v>100</v>
      </c>
    </row>
    <row r="40" spans="1:100">
      <c r="A40" s="3" t="s">
        <v>2694</v>
      </c>
      <c r="B40" s="4" t="s">
        <v>2695</v>
      </c>
      <c r="C40">
        <v>367.79048969508102</v>
      </c>
      <c r="D40">
        <v>2831.9945916704501</v>
      </c>
      <c r="E40">
        <f>-2.94392884073393</f>
        <v>-2.9439288407339301</v>
      </c>
      <c r="F40" s="5">
        <v>5.6807493025000105E-35</v>
      </c>
      <c r="G40" t="s">
        <v>4</v>
      </c>
      <c r="H40">
        <v>367.79048969508102</v>
      </c>
      <c r="I40">
        <v>449.766828811518</v>
      </c>
      <c r="J40">
        <f>0.288539541584422</f>
        <v>0.28853954158442202</v>
      </c>
      <c r="K40">
        <v>0.28639185105182002</v>
      </c>
      <c r="L40" t="s">
        <v>4</v>
      </c>
      <c r="M40">
        <v>2831.9945916704501</v>
      </c>
      <c r="N40">
        <v>449.766828811518</v>
      </c>
      <c r="O40">
        <v>2.6553892991495101</v>
      </c>
      <c r="P40" s="5">
        <v>3.91421566793613E-29</v>
      </c>
      <c r="Q40" t="s">
        <v>4</v>
      </c>
      <c r="R40" s="4" t="s">
        <v>87</v>
      </c>
      <c r="S40" t="s">
        <v>4</v>
      </c>
      <c r="T40" t="s">
        <v>88</v>
      </c>
      <c r="U40" t="s">
        <v>89</v>
      </c>
      <c r="V40" t="s">
        <v>90</v>
      </c>
      <c r="W40" t="s">
        <v>91</v>
      </c>
      <c r="X40" t="s">
        <v>4</v>
      </c>
      <c r="Y40" t="s">
        <v>92</v>
      </c>
      <c r="Z40" t="s">
        <v>92</v>
      </c>
      <c r="AA40" t="s">
        <v>92</v>
      </c>
      <c r="AB40" t="s">
        <v>4</v>
      </c>
      <c r="AC40" s="3" t="s">
        <v>93</v>
      </c>
      <c r="AD40" t="s">
        <v>4</v>
      </c>
      <c r="AE40" t="s">
        <v>2696</v>
      </c>
      <c r="AF40" t="s">
        <v>2697</v>
      </c>
      <c r="AG40" t="s">
        <v>2698</v>
      </c>
      <c r="AH40" t="s">
        <v>638</v>
      </c>
      <c r="AU40" t="s">
        <v>112</v>
      </c>
      <c r="AV40" t="s">
        <v>2699</v>
      </c>
      <c r="AW40" t="s">
        <v>114</v>
      </c>
      <c r="AZ40" t="s">
        <v>4</v>
      </c>
      <c r="BA40" s="3" t="s">
        <v>95</v>
      </c>
      <c r="BB40" t="s">
        <v>96</v>
      </c>
      <c r="BC40" s="3" t="s">
        <v>95</v>
      </c>
      <c r="BD40" t="s">
        <v>4</v>
      </c>
      <c r="BE40">
        <v>2951</v>
      </c>
      <c r="BF40" t="s">
        <v>97</v>
      </c>
      <c r="BG40">
        <v>93.156300000000002</v>
      </c>
      <c r="BH40">
        <v>32.482100000000003</v>
      </c>
      <c r="BI40">
        <v>84.576099999999997</v>
      </c>
      <c r="BJ40">
        <v>59.856999999999999</v>
      </c>
      <c r="BK40">
        <v>49.540300000000002</v>
      </c>
      <c r="BL40" t="s">
        <v>2700</v>
      </c>
      <c r="BM40">
        <v>62.410600000000002</v>
      </c>
      <c r="BN40">
        <v>62.512799999999999</v>
      </c>
      <c r="BP40">
        <v>20.020399999999999</v>
      </c>
      <c r="CK40">
        <v>4</v>
      </c>
      <c r="CL40" t="s">
        <v>4</v>
      </c>
      <c r="CM40" t="s">
        <v>98</v>
      </c>
      <c r="CN40" t="s">
        <v>98</v>
      </c>
      <c r="CO40" t="s">
        <v>99</v>
      </c>
      <c r="CP40" t="s">
        <v>100</v>
      </c>
      <c r="CQ40">
        <v>39</v>
      </c>
      <c r="CR40" t="s">
        <v>100</v>
      </c>
      <c r="CS40" t="s">
        <v>100</v>
      </c>
      <c r="CT40" t="s">
        <v>152</v>
      </c>
      <c r="CU40" t="s">
        <v>102</v>
      </c>
      <c r="CV40" t="s">
        <v>100</v>
      </c>
    </row>
    <row r="41" spans="1:100">
      <c r="A41" s="3" t="s">
        <v>2701</v>
      </c>
      <c r="B41" s="4" t="s">
        <v>2702</v>
      </c>
      <c r="C41">
        <v>149.743139106239</v>
      </c>
      <c r="D41">
        <v>2944.6844960369799</v>
      </c>
      <c r="E41">
        <f>-4.29693896173164</f>
        <v>-4.29693896173164</v>
      </c>
      <c r="F41" s="5">
        <v>1.1262282803671799E-11</v>
      </c>
      <c r="G41" t="s">
        <v>4</v>
      </c>
      <c r="H41">
        <v>149.743139106239</v>
      </c>
      <c r="I41">
        <v>100.172960330555</v>
      </c>
      <c r="J41">
        <v>0.58494857235393105</v>
      </c>
      <c r="K41">
        <v>0.40827955244289599</v>
      </c>
      <c r="L41" t="s">
        <v>4</v>
      </c>
      <c r="M41">
        <v>2944.6844960369799</v>
      </c>
      <c r="N41">
        <v>100.172960330555</v>
      </c>
      <c r="O41">
        <v>4.8818875340855703</v>
      </c>
      <c r="P41" s="5">
        <v>3.6974386171077896E-15</v>
      </c>
      <c r="Q41" t="s">
        <v>4</v>
      </c>
      <c r="R41" s="4" t="s">
        <v>87</v>
      </c>
      <c r="S41" t="s">
        <v>4</v>
      </c>
      <c r="T41" t="s">
        <v>2243</v>
      </c>
      <c r="U41" t="s">
        <v>2244</v>
      </c>
      <c r="V41" t="s">
        <v>2245</v>
      </c>
      <c r="W41" t="s">
        <v>123</v>
      </c>
      <c r="X41" t="s">
        <v>4</v>
      </c>
      <c r="Y41" t="s">
        <v>2703</v>
      </c>
      <c r="Z41" t="s">
        <v>2704</v>
      </c>
      <c r="AA41" t="s">
        <v>2705</v>
      </c>
      <c r="AB41" t="s">
        <v>4</v>
      </c>
      <c r="AC41" s="3" t="s">
        <v>2706</v>
      </c>
      <c r="AD41" t="s">
        <v>4</v>
      </c>
      <c r="AE41" t="s">
        <v>2707</v>
      </c>
      <c r="AF41" t="s">
        <v>2708</v>
      </c>
      <c r="AG41" t="s">
        <v>2709</v>
      </c>
      <c r="AH41" t="s">
        <v>112</v>
      </c>
      <c r="AU41" t="s">
        <v>112</v>
      </c>
      <c r="AV41" t="s">
        <v>2710</v>
      </c>
      <c r="AW41" t="s">
        <v>114</v>
      </c>
      <c r="AX41" t="s">
        <v>144</v>
      </c>
      <c r="AY41" t="s">
        <v>2255</v>
      </c>
      <c r="AZ41" t="s">
        <v>4</v>
      </c>
      <c r="BA41" s="3" t="s">
        <v>95</v>
      </c>
      <c r="BB41" s="6" t="s">
        <v>95</v>
      </c>
      <c r="BC41" s="3" t="s">
        <v>95</v>
      </c>
      <c r="BD41" t="s">
        <v>4</v>
      </c>
      <c r="BE41">
        <v>10357</v>
      </c>
      <c r="BF41" t="s">
        <v>169</v>
      </c>
      <c r="BG41">
        <v>25.252500000000001</v>
      </c>
      <c r="BH41">
        <v>60.353499999999997</v>
      </c>
      <c r="BI41">
        <v>92.6768</v>
      </c>
      <c r="BJ41">
        <v>61.1111</v>
      </c>
      <c r="BO41">
        <v>45.201999999999998</v>
      </c>
      <c r="CB41">
        <v>27.2727</v>
      </c>
      <c r="CC41">
        <v>11.3636</v>
      </c>
      <c r="CD41">
        <v>26.5152</v>
      </c>
      <c r="CE41">
        <v>26.010100000000001</v>
      </c>
      <c r="CF41">
        <v>24.747499999999999</v>
      </c>
      <c r="CG41">
        <v>28.0303</v>
      </c>
      <c r="CH41">
        <v>28.0303</v>
      </c>
      <c r="CI41">
        <v>28.7879</v>
      </c>
      <c r="CJ41">
        <v>20.959599999999998</v>
      </c>
      <c r="CK41">
        <v>9</v>
      </c>
      <c r="CL41" t="s">
        <v>4</v>
      </c>
      <c r="CM41" t="s">
        <v>98</v>
      </c>
      <c r="CN41" t="s">
        <v>98</v>
      </c>
      <c r="CO41" t="s">
        <v>99</v>
      </c>
      <c r="CP41" t="s">
        <v>100</v>
      </c>
      <c r="CQ41">
        <v>40</v>
      </c>
      <c r="CR41" t="s">
        <v>100</v>
      </c>
      <c r="CS41" t="s">
        <v>100</v>
      </c>
      <c r="CT41" t="s">
        <v>152</v>
      </c>
      <c r="CU41" t="s">
        <v>102</v>
      </c>
      <c r="CV41" t="s">
        <v>100</v>
      </c>
    </row>
    <row r="42" spans="1:100">
      <c r="A42" s="3" t="s">
        <v>2711</v>
      </c>
      <c r="B42" s="4" t="s">
        <v>2712</v>
      </c>
      <c r="C42">
        <v>28.8237498193905</v>
      </c>
      <c r="D42">
        <v>198.56872701819501</v>
      </c>
      <c r="E42">
        <f>-2.78203846445908</f>
        <v>-2.7820384644590801</v>
      </c>
      <c r="F42" s="5">
        <v>9.1263499257503093E-6</v>
      </c>
      <c r="G42" t="s">
        <v>4</v>
      </c>
      <c r="H42">
        <v>28.8237498193905</v>
      </c>
      <c r="I42">
        <v>8.4516169389554996</v>
      </c>
      <c r="J42">
        <v>1.7959931669656399</v>
      </c>
      <c r="K42">
        <v>1.45990119805276E-2</v>
      </c>
      <c r="L42" t="s">
        <v>4</v>
      </c>
      <c r="M42">
        <v>198.56872701819501</v>
      </c>
      <c r="N42">
        <v>8.4516169389554996</v>
      </c>
      <c r="O42">
        <v>4.5780316314247296</v>
      </c>
      <c r="P42" s="5">
        <v>1.6477494519466299E-11</v>
      </c>
      <c r="Q42" t="s">
        <v>4</v>
      </c>
      <c r="R42" s="4" t="s">
        <v>87</v>
      </c>
      <c r="S42" t="s">
        <v>4</v>
      </c>
      <c r="T42" t="s">
        <v>92</v>
      </c>
      <c r="U42" t="s">
        <v>92</v>
      </c>
      <c r="V42" t="s">
        <v>92</v>
      </c>
      <c r="W42" t="s">
        <v>92</v>
      </c>
      <c r="X42" t="s">
        <v>4</v>
      </c>
      <c r="Y42" t="s">
        <v>92</v>
      </c>
      <c r="Z42" t="s">
        <v>92</v>
      </c>
      <c r="AA42" t="s">
        <v>92</v>
      </c>
      <c r="AB42" t="s">
        <v>4</v>
      </c>
      <c r="AC42" s="3" t="s">
        <v>93</v>
      </c>
      <c r="AD42" t="s">
        <v>4</v>
      </c>
      <c r="AE42" s="4" t="s">
        <v>94</v>
      </c>
      <c r="AZ42" t="s">
        <v>4</v>
      </c>
      <c r="BA42" s="3" t="s">
        <v>95</v>
      </c>
      <c r="BB42" s="6" t="s">
        <v>95</v>
      </c>
      <c r="BC42" s="3" t="s">
        <v>95</v>
      </c>
      <c r="BD42" t="s">
        <v>4</v>
      </c>
      <c r="BE42">
        <v>1453</v>
      </c>
      <c r="BF42" t="s">
        <v>151</v>
      </c>
      <c r="BH42">
        <v>100</v>
      </c>
      <c r="BI42">
        <v>83.695700000000002</v>
      </c>
      <c r="BJ42">
        <v>65.217399999999998</v>
      </c>
      <c r="BK42">
        <v>55.434800000000003</v>
      </c>
      <c r="BN42">
        <v>46.739100000000001</v>
      </c>
      <c r="CK42">
        <v>2</v>
      </c>
      <c r="CL42" t="s">
        <v>4</v>
      </c>
      <c r="CM42" t="s">
        <v>98</v>
      </c>
      <c r="CN42" t="s">
        <v>98</v>
      </c>
      <c r="CO42" t="s">
        <v>99</v>
      </c>
      <c r="CP42" t="s">
        <v>100</v>
      </c>
      <c r="CQ42">
        <v>41</v>
      </c>
      <c r="CR42" t="s">
        <v>100</v>
      </c>
      <c r="CS42" s="7" t="s">
        <v>101</v>
      </c>
      <c r="CT42" t="s">
        <v>152</v>
      </c>
      <c r="CU42" t="s">
        <v>102</v>
      </c>
      <c r="CV42" t="s">
        <v>100</v>
      </c>
    </row>
    <row r="43" spans="1:100">
      <c r="A43" s="3" t="s">
        <v>2713</v>
      </c>
      <c r="B43" s="4" t="s">
        <v>2714</v>
      </c>
      <c r="C43">
        <v>119.707519570667</v>
      </c>
      <c r="D43">
        <v>1041.19823339408</v>
      </c>
      <c r="E43">
        <f>-3.11896880015995</f>
        <v>-3.11896880015995</v>
      </c>
      <c r="F43" s="5">
        <v>1.7740469803944999E-12</v>
      </c>
      <c r="G43" t="s">
        <v>4</v>
      </c>
      <c r="H43">
        <v>119.707519570667</v>
      </c>
      <c r="I43">
        <v>53.997691722759598</v>
      </c>
      <c r="J43">
        <v>1.1626829511437999</v>
      </c>
      <c r="K43">
        <v>1.6276577212188399E-2</v>
      </c>
      <c r="L43" t="s">
        <v>4</v>
      </c>
      <c r="M43">
        <v>1041.19823339408</v>
      </c>
      <c r="N43">
        <v>53.997691722759598</v>
      </c>
      <c r="O43">
        <v>4.2816517513037597</v>
      </c>
      <c r="P43" s="5">
        <v>7.3940133470944598E-22</v>
      </c>
      <c r="Q43" t="s">
        <v>4</v>
      </c>
      <c r="R43" s="4" t="s">
        <v>87</v>
      </c>
      <c r="S43" t="s">
        <v>4</v>
      </c>
      <c r="T43" t="s">
        <v>88</v>
      </c>
      <c r="U43" t="s">
        <v>89</v>
      </c>
      <c r="V43" t="s">
        <v>90</v>
      </c>
      <c r="W43" t="s">
        <v>91</v>
      </c>
      <c r="X43" t="s">
        <v>4</v>
      </c>
      <c r="Y43" t="s">
        <v>2715</v>
      </c>
      <c r="Z43" t="s">
        <v>2716</v>
      </c>
      <c r="AA43" t="s">
        <v>2717</v>
      </c>
      <c r="AB43" t="s">
        <v>4</v>
      </c>
      <c r="AC43" s="3" t="s">
        <v>93</v>
      </c>
      <c r="AD43" t="s">
        <v>4</v>
      </c>
      <c r="AE43" s="4" t="s">
        <v>94</v>
      </c>
      <c r="AZ43" t="s">
        <v>4</v>
      </c>
      <c r="BA43" s="3" t="s">
        <v>95</v>
      </c>
      <c r="BB43" t="s">
        <v>96</v>
      </c>
      <c r="BC43" s="3" t="s">
        <v>95</v>
      </c>
      <c r="BD43" t="s">
        <v>4</v>
      </c>
      <c r="BE43">
        <v>2272</v>
      </c>
      <c r="BF43" t="s">
        <v>148</v>
      </c>
      <c r="BG43">
        <v>74.094700000000003</v>
      </c>
      <c r="BH43">
        <v>100</v>
      </c>
      <c r="BI43">
        <v>77.994399999999999</v>
      </c>
      <c r="BJ43">
        <v>42.618400000000001</v>
      </c>
      <c r="BK43">
        <v>29.526499999999999</v>
      </c>
      <c r="BL43">
        <v>32.311999999999998</v>
      </c>
      <c r="BM43">
        <v>28.412299999999998</v>
      </c>
      <c r="BN43">
        <v>33.704700000000003</v>
      </c>
      <c r="BO43">
        <v>35.097499999999997</v>
      </c>
      <c r="CK43">
        <v>3</v>
      </c>
      <c r="CL43" t="s">
        <v>4</v>
      </c>
      <c r="CM43" t="s">
        <v>98</v>
      </c>
      <c r="CN43" t="s">
        <v>98</v>
      </c>
      <c r="CO43" t="s">
        <v>99</v>
      </c>
      <c r="CP43" t="s">
        <v>100</v>
      </c>
      <c r="CQ43">
        <v>42</v>
      </c>
      <c r="CR43" t="s">
        <v>100</v>
      </c>
      <c r="CS43" s="7" t="s">
        <v>101</v>
      </c>
      <c r="CT43" t="s">
        <v>152</v>
      </c>
      <c r="CU43" t="s">
        <v>102</v>
      </c>
      <c r="CV43" t="s">
        <v>100</v>
      </c>
    </row>
    <row r="44" spans="1:100">
      <c r="A44" s="3" t="s">
        <v>2718</v>
      </c>
      <c r="B44" s="4" t="s">
        <v>2719</v>
      </c>
      <c r="C44">
        <v>67.173679945575699</v>
      </c>
      <c r="D44">
        <v>740.90525703593903</v>
      </c>
      <c r="E44">
        <f>-3.46190131273257</f>
        <v>-3.4619013127325702</v>
      </c>
      <c r="F44" s="5">
        <v>4.3795706230379299E-7</v>
      </c>
      <c r="G44" t="s">
        <v>4</v>
      </c>
      <c r="H44">
        <v>67.173679945575699</v>
      </c>
      <c r="I44">
        <v>34.0960771500297</v>
      </c>
      <c r="J44">
        <v>1.00277904012542</v>
      </c>
      <c r="K44">
        <v>0.18066381925005401</v>
      </c>
      <c r="L44" t="s">
        <v>4</v>
      </c>
      <c r="M44">
        <v>740.90525703593903</v>
      </c>
      <c r="N44">
        <v>34.0960771500297</v>
      </c>
      <c r="O44">
        <v>4.4646803528580001</v>
      </c>
      <c r="P44" s="5">
        <v>3.9546396571633097E-11</v>
      </c>
      <c r="Q44" t="s">
        <v>4</v>
      </c>
      <c r="R44" s="4" t="s">
        <v>87</v>
      </c>
      <c r="S44" t="s">
        <v>4</v>
      </c>
      <c r="T44" t="s">
        <v>92</v>
      </c>
      <c r="U44" t="s">
        <v>92</v>
      </c>
      <c r="V44" t="s">
        <v>92</v>
      </c>
      <c r="W44" t="s">
        <v>92</v>
      </c>
      <c r="X44" t="s">
        <v>4</v>
      </c>
      <c r="Y44" t="s">
        <v>92</v>
      </c>
      <c r="Z44" t="s">
        <v>92</v>
      </c>
      <c r="AA44" t="s">
        <v>92</v>
      </c>
      <c r="AB44" t="s">
        <v>4</v>
      </c>
      <c r="AC44" s="3" t="s">
        <v>93</v>
      </c>
      <c r="AD44" t="s">
        <v>4</v>
      </c>
      <c r="AE44" s="4" t="s">
        <v>94</v>
      </c>
      <c r="AZ44" t="s">
        <v>4</v>
      </c>
      <c r="BA44" s="3" t="s">
        <v>95</v>
      </c>
      <c r="BB44" s="6" t="s">
        <v>95</v>
      </c>
      <c r="BC44" s="3" t="s">
        <v>95</v>
      </c>
      <c r="BD44" t="s">
        <v>4</v>
      </c>
      <c r="BE44">
        <v>1457</v>
      </c>
      <c r="BF44" t="s">
        <v>151</v>
      </c>
      <c r="BG44">
        <v>96.527799999999999</v>
      </c>
      <c r="BH44">
        <v>99.652799999999999</v>
      </c>
      <c r="BI44">
        <v>72.569400000000002</v>
      </c>
      <c r="BJ44" t="s">
        <v>2720</v>
      </c>
      <c r="BK44">
        <v>12.152799999999999</v>
      </c>
      <c r="CK44">
        <v>2</v>
      </c>
      <c r="CL44" t="s">
        <v>4</v>
      </c>
      <c r="CM44" t="s">
        <v>98</v>
      </c>
      <c r="CN44" t="s">
        <v>98</v>
      </c>
      <c r="CO44" t="s">
        <v>99</v>
      </c>
      <c r="CP44" t="s">
        <v>100</v>
      </c>
      <c r="CQ44">
        <v>43</v>
      </c>
      <c r="CR44" t="s">
        <v>100</v>
      </c>
      <c r="CS44" t="s">
        <v>100</v>
      </c>
      <c r="CT44" t="s">
        <v>152</v>
      </c>
      <c r="CU44" t="s">
        <v>102</v>
      </c>
      <c r="CV44" t="s">
        <v>100</v>
      </c>
    </row>
    <row r="45" spans="1:100">
      <c r="A45" s="3" t="s">
        <v>2721</v>
      </c>
      <c r="B45" s="4" t="s">
        <v>2722</v>
      </c>
      <c r="C45">
        <v>173.952835878743</v>
      </c>
      <c r="D45">
        <v>1592.22741634057</v>
      </c>
      <c r="E45">
        <f>-3.19338200544212</f>
        <v>-3.1933820054421198</v>
      </c>
      <c r="F45" s="5">
        <v>3.8956071744213102E-23</v>
      </c>
      <c r="G45" t="s">
        <v>4</v>
      </c>
      <c r="H45">
        <v>173.952835878743</v>
      </c>
      <c r="I45">
        <v>184.061800747381</v>
      </c>
      <c r="J45">
        <f>0.0819052840799752</f>
        <v>8.1905284079975202E-2</v>
      </c>
      <c r="K45">
        <v>0.83638264885178903</v>
      </c>
      <c r="L45" t="s">
        <v>4</v>
      </c>
      <c r="M45">
        <v>1592.22741634057</v>
      </c>
      <c r="N45">
        <v>184.061800747381</v>
      </c>
      <c r="O45">
        <v>3.1114767213621501</v>
      </c>
      <c r="P45" s="5">
        <v>3.1110241867242202E-22</v>
      </c>
      <c r="Q45" t="s">
        <v>4</v>
      </c>
      <c r="R45" s="4" t="s">
        <v>87</v>
      </c>
      <c r="S45" t="s">
        <v>4</v>
      </c>
      <c r="T45" t="s">
        <v>88</v>
      </c>
      <c r="U45" t="s">
        <v>89</v>
      </c>
      <c r="V45" t="s">
        <v>90</v>
      </c>
      <c r="W45" t="s">
        <v>91</v>
      </c>
      <c r="X45" t="s">
        <v>4</v>
      </c>
      <c r="Y45" t="s">
        <v>486</v>
      </c>
      <c r="Z45" t="s">
        <v>487</v>
      </c>
      <c r="AA45" t="s">
        <v>488</v>
      </c>
      <c r="AB45" t="s">
        <v>4</v>
      </c>
      <c r="AC45" s="3" t="s">
        <v>93</v>
      </c>
      <c r="AD45" t="s">
        <v>4</v>
      </c>
      <c r="AE45" t="s">
        <v>2723</v>
      </c>
      <c r="AF45" t="s">
        <v>2724</v>
      </c>
      <c r="AG45" t="s">
        <v>2725</v>
      </c>
      <c r="AH45" t="s">
        <v>386</v>
      </c>
      <c r="AU45" t="s">
        <v>112</v>
      </c>
      <c r="AV45" t="s">
        <v>2726</v>
      </c>
      <c r="AW45" t="s">
        <v>114</v>
      </c>
      <c r="AX45" t="s">
        <v>536</v>
      </c>
      <c r="AY45" t="s">
        <v>2727</v>
      </c>
      <c r="AZ45" t="s">
        <v>4</v>
      </c>
      <c r="BA45" s="3" t="s">
        <v>95</v>
      </c>
      <c r="BB45" t="s">
        <v>96</v>
      </c>
      <c r="BC45" s="3" t="s">
        <v>95</v>
      </c>
      <c r="BD45" t="s">
        <v>4</v>
      </c>
      <c r="BE45">
        <v>2276</v>
      </c>
      <c r="BF45" t="s">
        <v>148</v>
      </c>
      <c r="BG45" t="s">
        <v>2728</v>
      </c>
      <c r="BH45">
        <v>17.1296</v>
      </c>
      <c r="BI45">
        <v>60.648099999999999</v>
      </c>
      <c r="BJ45">
        <v>46.527799999999999</v>
      </c>
      <c r="BK45">
        <v>43.981499999999997</v>
      </c>
      <c r="BL45">
        <v>38.657400000000003</v>
      </c>
      <c r="BM45">
        <v>48.842599999999997</v>
      </c>
      <c r="BN45">
        <v>65.740700000000004</v>
      </c>
      <c r="BO45">
        <v>50</v>
      </c>
      <c r="CK45">
        <v>3</v>
      </c>
      <c r="CL45" t="s">
        <v>4</v>
      </c>
      <c r="CM45" t="s">
        <v>98</v>
      </c>
      <c r="CN45" t="s">
        <v>98</v>
      </c>
      <c r="CO45" t="s">
        <v>99</v>
      </c>
      <c r="CP45" t="s">
        <v>100</v>
      </c>
      <c r="CQ45">
        <v>44</v>
      </c>
      <c r="CR45" t="s">
        <v>100</v>
      </c>
      <c r="CS45" t="s">
        <v>100</v>
      </c>
      <c r="CT45" t="s">
        <v>152</v>
      </c>
      <c r="CU45" t="s">
        <v>102</v>
      </c>
      <c r="CV45" t="s">
        <v>100</v>
      </c>
    </row>
    <row r="46" spans="1:100">
      <c r="A46" s="3" t="s">
        <v>2729</v>
      </c>
      <c r="B46" s="4" t="s">
        <v>2730</v>
      </c>
      <c r="C46">
        <v>234.45660022403899</v>
      </c>
      <c r="D46">
        <v>1376.0379322742399</v>
      </c>
      <c r="E46">
        <f>-2.55088763667927</f>
        <v>-2.5508876366792701</v>
      </c>
      <c r="F46" s="5">
        <v>1.3923135221025001E-19</v>
      </c>
      <c r="G46" t="s">
        <v>4</v>
      </c>
      <c r="H46">
        <v>234.45660022403899</v>
      </c>
      <c r="I46">
        <v>62.228351496733801</v>
      </c>
      <c r="J46">
        <v>1.90943871643184</v>
      </c>
      <c r="K46" s="5">
        <v>7.5647063163893099E-10</v>
      </c>
      <c r="L46" t="s">
        <v>4</v>
      </c>
      <c r="M46">
        <v>1376.0379322742399</v>
      </c>
      <c r="N46">
        <v>62.228351496733801</v>
      </c>
      <c r="O46">
        <v>4.4603263531110997</v>
      </c>
      <c r="P46" s="5">
        <v>1.4354223566631301E-50</v>
      </c>
      <c r="Q46" t="s">
        <v>4</v>
      </c>
      <c r="R46" s="4" t="s">
        <v>87</v>
      </c>
      <c r="S46" t="s">
        <v>4</v>
      </c>
      <c r="T46" t="s">
        <v>92</v>
      </c>
      <c r="U46" t="s">
        <v>92</v>
      </c>
      <c r="V46" t="s">
        <v>92</v>
      </c>
      <c r="W46" t="s">
        <v>92</v>
      </c>
      <c r="X46" t="s">
        <v>4</v>
      </c>
      <c r="Y46" t="s">
        <v>2731</v>
      </c>
      <c r="Z46" t="s">
        <v>2732</v>
      </c>
      <c r="AA46" t="s">
        <v>2733</v>
      </c>
      <c r="AB46" t="s">
        <v>4</v>
      </c>
      <c r="AC46" s="3" t="s">
        <v>2734</v>
      </c>
      <c r="AD46" t="s">
        <v>4</v>
      </c>
      <c r="AE46" t="s">
        <v>2735</v>
      </c>
      <c r="AF46" t="s">
        <v>2736</v>
      </c>
      <c r="AG46" t="s">
        <v>2737</v>
      </c>
      <c r="AH46" t="s">
        <v>112</v>
      </c>
      <c r="AK46" t="s">
        <v>2738</v>
      </c>
      <c r="AL46" t="s">
        <v>2739</v>
      </c>
      <c r="AM46" t="s">
        <v>2740</v>
      </c>
      <c r="AN46" t="s">
        <v>2741</v>
      </c>
      <c r="AO46" t="s">
        <v>2742</v>
      </c>
      <c r="AP46" t="s">
        <v>2743</v>
      </c>
      <c r="AQ46" t="s">
        <v>2744</v>
      </c>
      <c r="AU46" t="s">
        <v>112</v>
      </c>
      <c r="AV46" t="s">
        <v>2745</v>
      </c>
      <c r="AW46" t="s">
        <v>114</v>
      </c>
      <c r="AX46" t="s">
        <v>2746</v>
      </c>
      <c r="AY46" t="s">
        <v>2747</v>
      </c>
      <c r="AZ46" t="s">
        <v>4</v>
      </c>
      <c r="BA46" s="3" t="s">
        <v>95</v>
      </c>
      <c r="BB46" s="6" t="s">
        <v>95</v>
      </c>
      <c r="BC46" s="3" t="s">
        <v>95</v>
      </c>
      <c r="BD46" t="s">
        <v>4</v>
      </c>
      <c r="BE46">
        <v>10362</v>
      </c>
      <c r="BF46" t="s">
        <v>169</v>
      </c>
      <c r="BG46">
        <v>65.811999999999998</v>
      </c>
      <c r="BI46">
        <v>70.085499999999996</v>
      </c>
      <c r="BJ46">
        <v>69.658100000000005</v>
      </c>
      <c r="BK46">
        <v>68.376099999999994</v>
      </c>
      <c r="BL46" t="s">
        <v>2748</v>
      </c>
      <c r="BM46">
        <v>68.376099999999994</v>
      </c>
      <c r="BN46">
        <v>67.5214</v>
      </c>
      <c r="BO46">
        <v>68.803399999999996</v>
      </c>
      <c r="BP46">
        <v>60.683799999999998</v>
      </c>
      <c r="BQ46">
        <v>55.1282</v>
      </c>
      <c r="BR46">
        <v>58.546999999999997</v>
      </c>
      <c r="BS46">
        <v>58.546999999999997</v>
      </c>
      <c r="BT46">
        <v>52.136800000000001</v>
      </c>
      <c r="BU46">
        <v>57.265000000000001</v>
      </c>
      <c r="BV46" t="s">
        <v>2749</v>
      </c>
      <c r="BW46">
        <v>55.1282</v>
      </c>
      <c r="BX46" t="s">
        <v>2750</v>
      </c>
      <c r="BZ46">
        <v>59.401699999999998</v>
      </c>
      <c r="CA46">
        <v>55.555599999999998</v>
      </c>
      <c r="CC46">
        <v>51.709400000000002</v>
      </c>
      <c r="CD46" t="s">
        <v>2751</v>
      </c>
      <c r="CE46">
        <v>50.427300000000002</v>
      </c>
      <c r="CF46" t="s">
        <v>2752</v>
      </c>
      <c r="CG46">
        <v>52.136800000000001</v>
      </c>
      <c r="CH46">
        <v>52.136800000000001</v>
      </c>
      <c r="CI46">
        <v>55.982900000000001</v>
      </c>
      <c r="CJ46">
        <v>46.153799999999997</v>
      </c>
      <c r="CK46">
        <v>9</v>
      </c>
      <c r="CL46" t="s">
        <v>4</v>
      </c>
      <c r="CM46" t="s">
        <v>2753</v>
      </c>
      <c r="CN46" t="s">
        <v>2754</v>
      </c>
      <c r="CO46" t="s">
        <v>219</v>
      </c>
      <c r="CP46" t="s">
        <v>100</v>
      </c>
      <c r="CQ46">
        <v>45</v>
      </c>
      <c r="CR46" t="s">
        <v>100</v>
      </c>
      <c r="CS46" s="7" t="s">
        <v>101</v>
      </c>
      <c r="CT46" t="s">
        <v>152</v>
      </c>
      <c r="CU46" t="s">
        <v>102</v>
      </c>
      <c r="CV46" t="s">
        <v>100</v>
      </c>
    </row>
    <row r="47" spans="1:100">
      <c r="A47" s="3" t="s">
        <v>2755</v>
      </c>
      <c r="B47" s="4" t="s">
        <v>2756</v>
      </c>
      <c r="C47">
        <v>833.75087779738305</v>
      </c>
      <c r="D47">
        <v>4007.1352677281202</v>
      </c>
      <c r="E47">
        <f>-2.26480005664218</f>
        <v>-2.26480005664218</v>
      </c>
      <c r="F47" s="5">
        <v>7.1388053261247005E-16</v>
      </c>
      <c r="G47" t="s">
        <v>4</v>
      </c>
      <c r="H47">
        <v>833.75087779738305</v>
      </c>
      <c r="I47">
        <v>731.26569639130798</v>
      </c>
      <c r="J47">
        <v>0.186989158007419</v>
      </c>
      <c r="K47">
        <v>0.56031637748763596</v>
      </c>
      <c r="L47" t="s">
        <v>4</v>
      </c>
      <c r="M47">
        <v>4007.1352677281202</v>
      </c>
      <c r="N47">
        <v>731.26569639130798</v>
      </c>
      <c r="O47">
        <v>2.4517892146496001</v>
      </c>
      <c r="P47" s="5">
        <v>5.7687904371297103E-19</v>
      </c>
      <c r="Q47" t="s">
        <v>4</v>
      </c>
      <c r="R47" s="4" t="s">
        <v>87</v>
      </c>
      <c r="S47" t="s">
        <v>4</v>
      </c>
      <c r="T47" t="s">
        <v>2757</v>
      </c>
      <c r="U47" t="s">
        <v>2758</v>
      </c>
      <c r="V47" t="s">
        <v>2759</v>
      </c>
      <c r="W47" t="s">
        <v>507</v>
      </c>
      <c r="X47" t="s">
        <v>4</v>
      </c>
      <c r="Y47" t="s">
        <v>2760</v>
      </c>
      <c r="Z47" t="s">
        <v>2761</v>
      </c>
      <c r="AA47" t="s">
        <v>2762</v>
      </c>
      <c r="AB47" t="s">
        <v>4</v>
      </c>
      <c r="AC47" s="3" t="s">
        <v>93</v>
      </c>
      <c r="AD47" t="s">
        <v>4</v>
      </c>
      <c r="AE47" t="s">
        <v>2763</v>
      </c>
      <c r="AF47" t="s">
        <v>2764</v>
      </c>
      <c r="AG47" t="s">
        <v>2765</v>
      </c>
      <c r="AH47" t="s">
        <v>112</v>
      </c>
      <c r="AJ47" t="s">
        <v>2766</v>
      </c>
      <c r="AL47" t="s">
        <v>2767</v>
      </c>
      <c r="AM47" t="s">
        <v>2768</v>
      </c>
      <c r="AQ47" t="s">
        <v>2769</v>
      </c>
      <c r="AU47" t="s">
        <v>112</v>
      </c>
      <c r="AV47" t="s">
        <v>2770</v>
      </c>
      <c r="AW47" t="s">
        <v>114</v>
      </c>
      <c r="AX47" t="s">
        <v>1938</v>
      </c>
      <c r="AY47" t="s">
        <v>2771</v>
      </c>
      <c r="AZ47" t="s">
        <v>4</v>
      </c>
      <c r="BA47" s="3" t="s">
        <v>115</v>
      </c>
      <c r="BB47" s="6" t="s">
        <v>95</v>
      </c>
      <c r="BC47" s="3" t="s">
        <v>95</v>
      </c>
      <c r="BD47" t="s">
        <v>4</v>
      </c>
      <c r="BE47">
        <v>8193</v>
      </c>
      <c r="BF47" t="s">
        <v>213</v>
      </c>
      <c r="BG47">
        <v>87.202399999999997</v>
      </c>
      <c r="BH47">
        <v>0.29761900000000002</v>
      </c>
      <c r="BI47">
        <v>67.261899999999997</v>
      </c>
      <c r="BJ47">
        <v>74.404799999999994</v>
      </c>
      <c r="BK47">
        <v>74.702399999999997</v>
      </c>
      <c r="BL47">
        <v>66.369</v>
      </c>
      <c r="BM47">
        <v>53.869</v>
      </c>
      <c r="BN47">
        <v>75</v>
      </c>
      <c r="BO47">
        <v>10.119</v>
      </c>
      <c r="BP47">
        <v>33.035699999999999</v>
      </c>
      <c r="BQ47">
        <v>50.595199999999998</v>
      </c>
      <c r="BR47" t="s">
        <v>2772</v>
      </c>
      <c r="BS47">
        <v>20.833300000000001</v>
      </c>
      <c r="BT47" t="s">
        <v>2773</v>
      </c>
      <c r="BU47">
        <v>51.1905</v>
      </c>
      <c r="BV47" t="s">
        <v>2774</v>
      </c>
      <c r="BX47" t="s">
        <v>2775</v>
      </c>
      <c r="BY47">
        <v>29.761900000000001</v>
      </c>
      <c r="BZ47">
        <v>52.678600000000003</v>
      </c>
      <c r="CA47">
        <v>47.619</v>
      </c>
      <c r="CB47" t="s">
        <v>2776</v>
      </c>
      <c r="CC47">
        <v>52.381</v>
      </c>
      <c r="CD47" t="s">
        <v>2777</v>
      </c>
      <c r="CE47">
        <v>30.654800000000002</v>
      </c>
      <c r="CF47">
        <v>46.428600000000003</v>
      </c>
      <c r="CG47" t="s">
        <v>2778</v>
      </c>
      <c r="CH47">
        <v>49.702399999999997</v>
      </c>
      <c r="CI47">
        <v>49.107100000000003</v>
      </c>
      <c r="CK47">
        <v>8</v>
      </c>
      <c r="CL47" t="s">
        <v>4</v>
      </c>
      <c r="CM47" t="s">
        <v>2779</v>
      </c>
      <c r="CN47" t="s">
        <v>2780</v>
      </c>
      <c r="CO47" t="s">
        <v>219</v>
      </c>
      <c r="CP47" t="s">
        <v>100</v>
      </c>
      <c r="CQ47">
        <v>46</v>
      </c>
      <c r="CR47" t="s">
        <v>100</v>
      </c>
      <c r="CS47" t="s">
        <v>100</v>
      </c>
      <c r="CT47" t="s">
        <v>152</v>
      </c>
      <c r="CU47" t="s">
        <v>102</v>
      </c>
      <c r="CV47" t="s">
        <v>2781</v>
      </c>
    </row>
    <row r="48" spans="1:100">
      <c r="A48" s="3" t="s">
        <v>2782</v>
      </c>
      <c r="B48" s="8" t="s">
        <v>811</v>
      </c>
      <c r="C48">
        <v>48.605997203706501</v>
      </c>
      <c r="D48">
        <v>345.01483292647202</v>
      </c>
      <c r="E48">
        <f>-2.82453712490058</f>
        <v>-2.82453712490058</v>
      </c>
      <c r="F48" s="5">
        <v>2.9372909143846001E-10</v>
      </c>
      <c r="G48" t="s">
        <v>4</v>
      </c>
      <c r="H48">
        <v>48.605997203706501</v>
      </c>
      <c r="I48">
        <v>21.538184938941701</v>
      </c>
      <c r="J48">
        <v>1.2189682927896699</v>
      </c>
      <c r="K48">
        <v>1.92763573064029E-2</v>
      </c>
      <c r="L48" t="s">
        <v>4</v>
      </c>
      <c r="M48">
        <v>345.01483292647202</v>
      </c>
      <c r="N48">
        <v>21.538184938941701</v>
      </c>
      <c r="O48">
        <v>4.0435054176902598</v>
      </c>
      <c r="P48" s="5">
        <v>1.8386628848206599E-17</v>
      </c>
      <c r="Q48" t="s">
        <v>4</v>
      </c>
      <c r="R48" s="4" t="s">
        <v>95</v>
      </c>
      <c r="S48" t="s">
        <v>4</v>
      </c>
      <c r="T48" t="s">
        <v>92</v>
      </c>
      <c r="U48" t="s">
        <v>92</v>
      </c>
      <c r="V48" t="s">
        <v>92</v>
      </c>
      <c r="W48" t="s">
        <v>92</v>
      </c>
      <c r="X48" t="s">
        <v>4</v>
      </c>
      <c r="Y48" t="s">
        <v>92</v>
      </c>
      <c r="Z48" t="s">
        <v>92</v>
      </c>
      <c r="AA48" t="s">
        <v>92</v>
      </c>
      <c r="AB48" t="s">
        <v>4</v>
      </c>
      <c r="AC48" s="3" t="s">
        <v>93</v>
      </c>
      <c r="AD48" t="s">
        <v>4</v>
      </c>
      <c r="AE48" t="s">
        <v>2783</v>
      </c>
      <c r="AF48" t="s">
        <v>2784</v>
      </c>
      <c r="AG48" t="s">
        <v>2785</v>
      </c>
      <c r="AH48" t="s">
        <v>112</v>
      </c>
      <c r="AI48" t="s">
        <v>2786</v>
      </c>
      <c r="AJ48" t="s">
        <v>2787</v>
      </c>
      <c r="AU48" t="s">
        <v>112</v>
      </c>
      <c r="AV48" t="s">
        <v>2788</v>
      </c>
      <c r="AW48" t="s">
        <v>114</v>
      </c>
      <c r="AX48" t="s">
        <v>2789</v>
      </c>
      <c r="AY48" t="s">
        <v>2790</v>
      </c>
      <c r="AZ48" t="s">
        <v>4</v>
      </c>
      <c r="BA48" s="3" t="s">
        <v>812</v>
      </c>
      <c r="BB48" s="3" t="s">
        <v>812</v>
      </c>
      <c r="BC48" s="3" t="s">
        <v>812</v>
      </c>
      <c r="BD48" t="s">
        <v>4</v>
      </c>
      <c r="BE48" s="3" t="s">
        <v>812</v>
      </c>
      <c r="BF48" s="3" t="s">
        <v>812</v>
      </c>
      <c r="BG48" s="3" t="s">
        <v>812</v>
      </c>
      <c r="BH48" s="3" t="s">
        <v>812</v>
      </c>
      <c r="BI48" s="3" t="s">
        <v>812</v>
      </c>
      <c r="BJ48" s="3" t="s">
        <v>812</v>
      </c>
      <c r="BK48" s="3" t="s">
        <v>812</v>
      </c>
      <c r="BL48" s="3" t="s">
        <v>812</v>
      </c>
      <c r="BM48" s="3" t="s">
        <v>812</v>
      </c>
      <c r="BN48" s="3" t="s">
        <v>812</v>
      </c>
      <c r="BO48" s="3" t="s">
        <v>812</v>
      </c>
      <c r="BP48" s="3" t="s">
        <v>812</v>
      </c>
      <c r="BQ48" s="3" t="s">
        <v>812</v>
      </c>
      <c r="BR48" s="3" t="s">
        <v>812</v>
      </c>
      <c r="BS48" s="3" t="s">
        <v>812</v>
      </c>
      <c r="BT48" s="3" t="s">
        <v>812</v>
      </c>
      <c r="BU48" s="3" t="s">
        <v>812</v>
      </c>
      <c r="BV48" s="3" t="s">
        <v>812</v>
      </c>
      <c r="BW48" s="3" t="s">
        <v>812</v>
      </c>
      <c r="BX48" s="3" t="s">
        <v>812</v>
      </c>
      <c r="BY48" s="3" t="s">
        <v>812</v>
      </c>
      <c r="BZ48" s="3" t="s">
        <v>812</v>
      </c>
      <c r="CA48" s="3" t="s">
        <v>812</v>
      </c>
      <c r="CB48" s="3" t="s">
        <v>812</v>
      </c>
      <c r="CC48" s="3" t="s">
        <v>812</v>
      </c>
      <c r="CD48" s="3" t="s">
        <v>812</v>
      </c>
      <c r="CE48" s="3" t="s">
        <v>812</v>
      </c>
      <c r="CF48" s="3" t="s">
        <v>812</v>
      </c>
      <c r="CG48" s="3" t="s">
        <v>812</v>
      </c>
      <c r="CH48" s="3" t="s">
        <v>812</v>
      </c>
      <c r="CI48" s="3" t="s">
        <v>812</v>
      </c>
      <c r="CJ48" s="3" t="s">
        <v>812</v>
      </c>
      <c r="CK48" s="3" t="s">
        <v>812</v>
      </c>
      <c r="CL48" t="s">
        <v>4</v>
      </c>
      <c r="CM48" s="3" t="s">
        <v>812</v>
      </c>
      <c r="CN48" s="3" t="s">
        <v>812</v>
      </c>
      <c r="CO48" s="3" t="s">
        <v>812</v>
      </c>
      <c r="CP48" t="s">
        <v>100</v>
      </c>
      <c r="CQ48">
        <v>47</v>
      </c>
      <c r="CR48" t="s">
        <v>100</v>
      </c>
      <c r="CS48" s="7" t="s">
        <v>101</v>
      </c>
      <c r="CT48" t="s">
        <v>152</v>
      </c>
      <c r="CU48" t="s">
        <v>102</v>
      </c>
      <c r="CV48" t="s">
        <v>100</v>
      </c>
    </row>
    <row r="49" spans="1:100">
      <c r="A49" s="3" t="s">
        <v>2791</v>
      </c>
      <c r="B49" s="4" t="s">
        <v>2792</v>
      </c>
      <c r="C49">
        <v>130.58222738207101</v>
      </c>
      <c r="D49">
        <v>1060.85294338009</v>
      </c>
      <c r="E49">
        <f>-3.02065467440648</f>
        <v>-3.0206546744064799</v>
      </c>
      <c r="F49" s="5">
        <v>1.5292969150285701E-14</v>
      </c>
      <c r="G49" t="s">
        <v>4</v>
      </c>
      <c r="H49">
        <v>130.58222738207101</v>
      </c>
      <c r="I49">
        <v>86.365845769264297</v>
      </c>
      <c r="J49">
        <v>0.60554030554391602</v>
      </c>
      <c r="K49">
        <v>0.16977867837479499</v>
      </c>
      <c r="L49" t="s">
        <v>4</v>
      </c>
      <c r="M49">
        <v>1060.85294338009</v>
      </c>
      <c r="N49">
        <v>86.365845769264297</v>
      </c>
      <c r="O49">
        <v>3.6261949799503901</v>
      </c>
      <c r="P49" s="5">
        <v>2.8891145811298602E-20</v>
      </c>
      <c r="Q49" t="s">
        <v>4</v>
      </c>
      <c r="R49" s="4" t="s">
        <v>87</v>
      </c>
      <c r="S49" t="s">
        <v>4</v>
      </c>
      <c r="T49" t="s">
        <v>92</v>
      </c>
      <c r="U49" t="s">
        <v>92</v>
      </c>
      <c r="V49" t="s">
        <v>92</v>
      </c>
      <c r="W49" t="s">
        <v>92</v>
      </c>
      <c r="X49" t="s">
        <v>4</v>
      </c>
      <c r="Y49" t="s">
        <v>92</v>
      </c>
      <c r="Z49" t="s">
        <v>92</v>
      </c>
      <c r="AA49" t="s">
        <v>92</v>
      </c>
      <c r="AB49" t="s">
        <v>4</v>
      </c>
      <c r="AC49" s="3" t="s">
        <v>93</v>
      </c>
      <c r="AD49" t="s">
        <v>4</v>
      </c>
      <c r="AE49" s="4" t="s">
        <v>94</v>
      </c>
      <c r="AZ49" t="s">
        <v>4</v>
      </c>
      <c r="BA49" s="3" t="s">
        <v>115</v>
      </c>
      <c r="BB49" s="6" t="s">
        <v>95</v>
      </c>
      <c r="BC49" s="3" t="s">
        <v>197</v>
      </c>
      <c r="BD49" t="s">
        <v>4</v>
      </c>
      <c r="BE49">
        <v>2966</v>
      </c>
      <c r="BF49" t="s">
        <v>97</v>
      </c>
      <c r="BG49">
        <v>87.6404</v>
      </c>
      <c r="BH49">
        <v>81.8352</v>
      </c>
      <c r="BI49" t="s">
        <v>2793</v>
      </c>
      <c r="BJ49">
        <v>69.288399999999996</v>
      </c>
      <c r="BK49">
        <v>39.887599999999999</v>
      </c>
      <c r="BL49">
        <v>59.176000000000002</v>
      </c>
      <c r="BM49">
        <v>59.9251</v>
      </c>
      <c r="BN49">
        <v>60.112400000000001</v>
      </c>
      <c r="BO49">
        <v>62.546799999999998</v>
      </c>
      <c r="CK49">
        <v>4</v>
      </c>
      <c r="CL49" t="s">
        <v>4</v>
      </c>
      <c r="CM49" t="s">
        <v>98</v>
      </c>
      <c r="CN49" t="s">
        <v>98</v>
      </c>
      <c r="CO49" t="s">
        <v>99</v>
      </c>
      <c r="CP49" t="s">
        <v>100</v>
      </c>
      <c r="CQ49">
        <v>48</v>
      </c>
      <c r="CR49" t="s">
        <v>100</v>
      </c>
      <c r="CS49" t="s">
        <v>100</v>
      </c>
      <c r="CT49" t="s">
        <v>152</v>
      </c>
      <c r="CU49" t="s">
        <v>102</v>
      </c>
      <c r="CV49" t="s">
        <v>100</v>
      </c>
    </row>
    <row r="50" spans="1:100">
      <c r="A50" s="3" t="s">
        <v>2794</v>
      </c>
      <c r="B50" s="4" t="s">
        <v>2795</v>
      </c>
      <c r="C50">
        <v>194.883397361704</v>
      </c>
      <c r="D50">
        <v>4004.5189946578798</v>
      </c>
      <c r="E50">
        <f>-4.36023774434609</f>
        <v>-4.3602377443460902</v>
      </c>
      <c r="F50" s="5">
        <v>1.2908653361678E-11</v>
      </c>
      <c r="G50" t="s">
        <v>4</v>
      </c>
      <c r="H50">
        <v>194.883397361704</v>
      </c>
      <c r="I50">
        <v>115.71402865228301</v>
      </c>
      <c r="J50">
        <v>0.75498687677072096</v>
      </c>
      <c r="K50">
        <v>0.286937105639609</v>
      </c>
      <c r="L50" t="s">
        <v>4</v>
      </c>
      <c r="M50">
        <v>4004.5189946578798</v>
      </c>
      <c r="N50">
        <v>115.71402865228301</v>
      </c>
      <c r="O50">
        <v>5.11522462111681</v>
      </c>
      <c r="P50" s="5">
        <v>4.93735482563067E-16</v>
      </c>
      <c r="Q50" t="s">
        <v>4</v>
      </c>
      <c r="R50" s="4" t="s">
        <v>87</v>
      </c>
      <c r="S50" t="s">
        <v>4</v>
      </c>
      <c r="T50" t="s">
        <v>2243</v>
      </c>
      <c r="U50" t="s">
        <v>2244</v>
      </c>
      <c r="V50" t="s">
        <v>2245</v>
      </c>
      <c r="W50" t="s">
        <v>123</v>
      </c>
      <c r="X50" t="s">
        <v>4</v>
      </c>
      <c r="Y50" t="s">
        <v>2796</v>
      </c>
      <c r="Z50" t="s">
        <v>2797</v>
      </c>
      <c r="AA50" t="s">
        <v>2798</v>
      </c>
      <c r="AB50" t="s">
        <v>4</v>
      </c>
      <c r="AC50" s="3" t="s">
        <v>2799</v>
      </c>
      <c r="AD50" t="s">
        <v>4</v>
      </c>
      <c r="AE50" t="s">
        <v>2800</v>
      </c>
      <c r="AF50" t="s">
        <v>2801</v>
      </c>
      <c r="AG50" t="s">
        <v>2802</v>
      </c>
      <c r="AH50" t="s">
        <v>112</v>
      </c>
      <c r="AU50" t="s">
        <v>112</v>
      </c>
      <c r="AV50" t="s">
        <v>2803</v>
      </c>
      <c r="AW50" t="s">
        <v>114</v>
      </c>
      <c r="AX50" t="s">
        <v>144</v>
      </c>
      <c r="AY50" t="s">
        <v>2804</v>
      </c>
      <c r="AZ50" t="s">
        <v>4</v>
      </c>
      <c r="BA50" s="3" t="s">
        <v>95</v>
      </c>
      <c r="BB50" s="6" t="s">
        <v>95</v>
      </c>
      <c r="BC50" s="3" t="s">
        <v>95</v>
      </c>
      <c r="BD50" t="s">
        <v>4</v>
      </c>
      <c r="BE50">
        <v>8199</v>
      </c>
      <c r="BF50" t="s">
        <v>213</v>
      </c>
      <c r="BG50">
        <v>91.914900000000003</v>
      </c>
      <c r="BH50">
        <v>35.319099999999999</v>
      </c>
      <c r="BI50">
        <v>32.340400000000002</v>
      </c>
      <c r="BJ50">
        <v>23.404299999999999</v>
      </c>
      <c r="BO50">
        <v>47.021299999999997</v>
      </c>
      <c r="BP50">
        <v>30.212800000000001</v>
      </c>
      <c r="BQ50">
        <v>27.872299999999999</v>
      </c>
      <c r="BR50">
        <v>27.659600000000001</v>
      </c>
      <c r="BS50">
        <v>28.297899999999998</v>
      </c>
      <c r="BT50">
        <v>29.148900000000001</v>
      </c>
      <c r="BU50">
        <v>29.361699999999999</v>
      </c>
      <c r="BV50" t="s">
        <v>2805</v>
      </c>
      <c r="BW50">
        <v>27.872299999999999</v>
      </c>
      <c r="BX50">
        <v>27.659600000000001</v>
      </c>
      <c r="BZ50">
        <v>28.5106</v>
      </c>
      <c r="CA50">
        <v>29.361699999999999</v>
      </c>
      <c r="CB50">
        <v>9.1489399999999996</v>
      </c>
      <c r="CC50">
        <v>24.255299999999998</v>
      </c>
      <c r="CD50">
        <v>25.319099999999999</v>
      </c>
      <c r="CF50">
        <v>24.4681</v>
      </c>
      <c r="CG50" t="s">
        <v>2806</v>
      </c>
      <c r="CH50" t="s">
        <v>2807</v>
      </c>
      <c r="CI50">
        <v>5.9574499999999997</v>
      </c>
      <c r="CJ50" t="s">
        <v>2808</v>
      </c>
      <c r="CK50">
        <v>8</v>
      </c>
      <c r="CL50" t="s">
        <v>4</v>
      </c>
      <c r="CM50" t="s">
        <v>2809</v>
      </c>
      <c r="CN50" t="s">
        <v>2810</v>
      </c>
      <c r="CO50" t="s">
        <v>1218</v>
      </c>
      <c r="CP50" t="s">
        <v>100</v>
      </c>
      <c r="CQ50">
        <v>49</v>
      </c>
      <c r="CR50" t="s">
        <v>100</v>
      </c>
      <c r="CS50" t="s">
        <v>100</v>
      </c>
      <c r="CT50" t="s">
        <v>152</v>
      </c>
      <c r="CU50" t="s">
        <v>102</v>
      </c>
      <c r="CV50" t="s">
        <v>100</v>
      </c>
    </row>
    <row r="51" spans="1:100">
      <c r="A51" s="3" t="s">
        <v>2811</v>
      </c>
      <c r="B51" s="4" t="s">
        <v>2812</v>
      </c>
      <c r="C51">
        <v>119.83976634027501</v>
      </c>
      <c r="D51">
        <v>994.74282954354999</v>
      </c>
      <c r="E51">
        <f>-3.05311992032169</f>
        <v>-3.0531199203216901</v>
      </c>
      <c r="F51" s="5">
        <v>1.4413352345051101E-13</v>
      </c>
      <c r="G51" t="s">
        <v>4</v>
      </c>
      <c r="H51">
        <v>119.83976634027501</v>
      </c>
      <c r="I51">
        <v>36.1414348802181</v>
      </c>
      <c r="J51">
        <v>1.73265638937719</v>
      </c>
      <c r="K51">
        <v>1.4545503255051701E-4</v>
      </c>
      <c r="L51" t="s">
        <v>4</v>
      </c>
      <c r="M51">
        <v>994.74282954354999</v>
      </c>
      <c r="N51">
        <v>36.1414348802181</v>
      </c>
      <c r="O51">
        <v>4.7857763096988801</v>
      </c>
      <c r="P51" s="5">
        <v>6.4156976650846203E-29</v>
      </c>
      <c r="Q51" t="s">
        <v>4</v>
      </c>
      <c r="R51" s="4" t="s">
        <v>87</v>
      </c>
      <c r="S51" t="s">
        <v>4</v>
      </c>
      <c r="T51" t="s">
        <v>360</v>
      </c>
      <c r="U51" t="s">
        <v>361</v>
      </c>
      <c r="V51" t="s">
        <v>362</v>
      </c>
      <c r="W51" t="s">
        <v>328</v>
      </c>
      <c r="X51" t="s">
        <v>4</v>
      </c>
      <c r="Y51" t="s">
        <v>994</v>
      </c>
      <c r="Z51" t="s">
        <v>995</v>
      </c>
      <c r="AA51" t="s">
        <v>996</v>
      </c>
      <c r="AB51" t="s">
        <v>4</v>
      </c>
      <c r="AC51" s="3" t="s">
        <v>93</v>
      </c>
      <c r="AD51" t="s">
        <v>4</v>
      </c>
      <c r="AE51" t="s">
        <v>2813</v>
      </c>
      <c r="AF51" t="s">
        <v>2814</v>
      </c>
      <c r="AG51" t="s">
        <v>2815</v>
      </c>
      <c r="AH51" t="s">
        <v>112</v>
      </c>
      <c r="AJ51" t="s">
        <v>2816</v>
      </c>
      <c r="AU51" t="s">
        <v>112</v>
      </c>
      <c r="AV51" t="s">
        <v>2817</v>
      </c>
      <c r="AW51" t="s">
        <v>114</v>
      </c>
      <c r="AX51" t="s">
        <v>371</v>
      </c>
      <c r="AY51" t="s">
        <v>2818</v>
      </c>
      <c r="AZ51" t="s">
        <v>4</v>
      </c>
      <c r="BA51" s="3" t="s">
        <v>95</v>
      </c>
      <c r="BB51" s="6" t="s">
        <v>95</v>
      </c>
      <c r="BC51" s="3" t="s">
        <v>95</v>
      </c>
      <c r="BD51" t="s">
        <v>4</v>
      </c>
      <c r="BE51">
        <v>5775</v>
      </c>
      <c r="BF51" t="s">
        <v>386</v>
      </c>
      <c r="BI51">
        <v>88.165700000000001</v>
      </c>
      <c r="BJ51">
        <v>82.840199999999996</v>
      </c>
      <c r="BK51">
        <v>78.994100000000003</v>
      </c>
      <c r="BQ51">
        <v>29.881699999999999</v>
      </c>
      <c r="BR51">
        <v>21.8935</v>
      </c>
      <c r="BV51" t="s">
        <v>2819</v>
      </c>
      <c r="BW51">
        <v>23.668600000000001</v>
      </c>
      <c r="BX51">
        <v>31.065100000000001</v>
      </c>
      <c r="BY51">
        <v>30.769200000000001</v>
      </c>
      <c r="BZ51">
        <v>23.668600000000001</v>
      </c>
      <c r="CA51">
        <v>28.1065</v>
      </c>
      <c r="CC51">
        <v>24.5562</v>
      </c>
      <c r="CD51">
        <v>29.289899999999999</v>
      </c>
      <c r="CF51">
        <v>26.923100000000002</v>
      </c>
      <c r="CG51" t="s">
        <v>2820</v>
      </c>
      <c r="CH51" t="s">
        <v>2821</v>
      </c>
      <c r="CI51" t="s">
        <v>2822</v>
      </c>
      <c r="CK51">
        <v>7</v>
      </c>
      <c r="CL51" t="s">
        <v>4</v>
      </c>
      <c r="CM51" t="s">
        <v>2823</v>
      </c>
      <c r="CN51" t="s">
        <v>2824</v>
      </c>
      <c r="CO51" t="s">
        <v>99</v>
      </c>
      <c r="CP51" t="s">
        <v>100</v>
      </c>
      <c r="CQ51">
        <v>50</v>
      </c>
      <c r="CR51" t="s">
        <v>100</v>
      </c>
      <c r="CS51" s="7" t="s">
        <v>101</v>
      </c>
      <c r="CT51" t="s">
        <v>152</v>
      </c>
      <c r="CU51" t="s">
        <v>102</v>
      </c>
      <c r="CV51" t="s">
        <v>100</v>
      </c>
    </row>
    <row r="52" spans="1:100">
      <c r="A52" s="3" t="s">
        <v>2825</v>
      </c>
      <c r="B52" s="4" t="s">
        <v>2826</v>
      </c>
      <c r="C52">
        <v>40.825198841208099</v>
      </c>
      <c r="D52">
        <v>405.66023063541502</v>
      </c>
      <c r="E52">
        <f>-3.30845750250902</f>
        <v>-3.3084575025090199</v>
      </c>
      <c r="F52" s="5">
        <v>6.6779817814552295E-8</v>
      </c>
      <c r="G52" t="s">
        <v>4</v>
      </c>
      <c r="H52">
        <v>40.825198841208099</v>
      </c>
      <c r="I52">
        <v>49.627633575887799</v>
      </c>
      <c r="J52">
        <f>0.275755819157934</f>
        <v>0.27575581915793401</v>
      </c>
      <c r="K52">
        <v>0.70008280921579702</v>
      </c>
      <c r="L52" t="s">
        <v>4</v>
      </c>
      <c r="M52">
        <v>405.66023063541502</v>
      </c>
      <c r="N52">
        <v>49.627633575887799</v>
      </c>
      <c r="O52">
        <v>3.0327016833510898</v>
      </c>
      <c r="P52" s="5">
        <v>5.1453915386614196E-7</v>
      </c>
      <c r="Q52" t="s">
        <v>4</v>
      </c>
      <c r="R52" s="4" t="s">
        <v>87</v>
      </c>
      <c r="S52" t="s">
        <v>4</v>
      </c>
      <c r="T52" t="s">
        <v>92</v>
      </c>
      <c r="U52" t="s">
        <v>92</v>
      </c>
      <c r="V52" t="s">
        <v>92</v>
      </c>
      <c r="W52" t="s">
        <v>92</v>
      </c>
      <c r="X52" t="s">
        <v>4</v>
      </c>
      <c r="Y52" t="s">
        <v>92</v>
      </c>
      <c r="Z52" t="s">
        <v>92</v>
      </c>
      <c r="AA52" t="s">
        <v>92</v>
      </c>
      <c r="AB52" t="s">
        <v>4</v>
      </c>
      <c r="AC52" s="3" t="s">
        <v>93</v>
      </c>
      <c r="AD52" t="s">
        <v>4</v>
      </c>
      <c r="AE52" s="4" t="s">
        <v>94</v>
      </c>
      <c r="AZ52" t="s">
        <v>4</v>
      </c>
      <c r="BA52" s="3" t="s">
        <v>115</v>
      </c>
      <c r="BB52" s="6" t="s">
        <v>95</v>
      </c>
      <c r="BC52" s="3" t="s">
        <v>95</v>
      </c>
      <c r="BD52" t="s">
        <v>4</v>
      </c>
      <c r="BE52">
        <v>2967</v>
      </c>
      <c r="BF52" t="s">
        <v>97</v>
      </c>
      <c r="BG52">
        <v>48.051900000000003</v>
      </c>
      <c r="BJ52">
        <v>44.805199999999999</v>
      </c>
      <c r="BK52">
        <v>52.5974</v>
      </c>
      <c r="BL52">
        <v>48.051900000000003</v>
      </c>
      <c r="BM52">
        <v>51.298699999999997</v>
      </c>
      <c r="BN52">
        <v>51.298699999999997</v>
      </c>
      <c r="BO52">
        <v>51.298699999999997</v>
      </c>
      <c r="CK52">
        <v>4</v>
      </c>
      <c r="CL52" t="s">
        <v>4</v>
      </c>
      <c r="CM52" t="s">
        <v>98</v>
      </c>
      <c r="CN52" t="s">
        <v>98</v>
      </c>
      <c r="CO52" t="s">
        <v>99</v>
      </c>
      <c r="CP52" t="s">
        <v>100</v>
      </c>
      <c r="CQ52">
        <v>51</v>
      </c>
      <c r="CR52" t="s">
        <v>100</v>
      </c>
      <c r="CS52" t="s">
        <v>100</v>
      </c>
      <c r="CT52" t="s">
        <v>152</v>
      </c>
      <c r="CU52" t="s">
        <v>102</v>
      </c>
      <c r="CV52" t="s">
        <v>100</v>
      </c>
    </row>
    <row r="53" spans="1:100">
      <c r="A53" s="3" t="s">
        <v>2827</v>
      </c>
      <c r="B53" s="4" t="s">
        <v>2828</v>
      </c>
      <c r="C53">
        <v>76.032911590445096</v>
      </c>
      <c r="D53">
        <v>470.34738251693199</v>
      </c>
      <c r="E53">
        <f>-2.62858815254241</f>
        <v>-2.62858815254241</v>
      </c>
      <c r="F53" s="5">
        <v>6.0060944963596302E-14</v>
      </c>
      <c r="G53" t="s">
        <v>4</v>
      </c>
      <c r="H53">
        <v>76.032911590445096</v>
      </c>
      <c r="I53">
        <v>18.4329003245414</v>
      </c>
      <c r="J53">
        <v>2.1158591152478401</v>
      </c>
      <c r="K53" s="5">
        <v>8.2421158722971997E-7</v>
      </c>
      <c r="L53" t="s">
        <v>4</v>
      </c>
      <c r="M53">
        <v>470.34738251693199</v>
      </c>
      <c r="N53">
        <v>18.4329003245414</v>
      </c>
      <c r="O53">
        <v>4.7444472677902603</v>
      </c>
      <c r="P53" s="5">
        <v>1.8540608555045599E-31</v>
      </c>
      <c r="Q53" t="s">
        <v>4</v>
      </c>
      <c r="R53" s="4" t="s">
        <v>87</v>
      </c>
      <c r="S53" t="s">
        <v>4</v>
      </c>
      <c r="T53" t="s">
        <v>2829</v>
      </c>
      <c r="U53" t="s">
        <v>2830</v>
      </c>
      <c r="V53" t="s">
        <v>2831</v>
      </c>
      <c r="W53" t="s">
        <v>328</v>
      </c>
      <c r="X53" t="s">
        <v>4</v>
      </c>
      <c r="Y53" t="s">
        <v>2832</v>
      </c>
      <c r="Z53" t="s">
        <v>2833</v>
      </c>
      <c r="AA53" t="s">
        <v>2834</v>
      </c>
      <c r="AB53" t="s">
        <v>4</v>
      </c>
      <c r="AC53" s="3" t="s">
        <v>2835</v>
      </c>
      <c r="AD53" t="s">
        <v>4</v>
      </c>
      <c r="AE53" t="s">
        <v>2836</v>
      </c>
      <c r="AF53" t="s">
        <v>2837</v>
      </c>
      <c r="AG53" t="s">
        <v>2838</v>
      </c>
      <c r="AH53" t="s">
        <v>112</v>
      </c>
      <c r="AI53" t="s">
        <v>2839</v>
      </c>
      <c r="AJ53" t="s">
        <v>2840</v>
      </c>
      <c r="AL53" t="s">
        <v>2841</v>
      </c>
      <c r="AQ53" t="s">
        <v>641</v>
      </c>
      <c r="AR53" t="s">
        <v>2842</v>
      </c>
      <c r="AU53" t="s">
        <v>112</v>
      </c>
      <c r="AV53" t="s">
        <v>2843</v>
      </c>
      <c r="AW53" t="s">
        <v>114</v>
      </c>
      <c r="AX53" t="s">
        <v>909</v>
      </c>
      <c r="AY53" t="s">
        <v>2844</v>
      </c>
      <c r="AZ53" t="s">
        <v>4</v>
      </c>
      <c r="BA53" s="3" t="s">
        <v>95</v>
      </c>
      <c r="BB53" t="s">
        <v>96</v>
      </c>
      <c r="BC53" s="3" t="s">
        <v>95</v>
      </c>
      <c r="BD53" t="s">
        <v>4</v>
      </c>
      <c r="BE53">
        <v>8211</v>
      </c>
      <c r="BF53" t="s">
        <v>213</v>
      </c>
      <c r="BG53">
        <v>100</v>
      </c>
      <c r="BH53">
        <v>61.3889</v>
      </c>
      <c r="BI53">
        <v>49.444400000000002</v>
      </c>
      <c r="BJ53">
        <v>87.777799999999999</v>
      </c>
      <c r="BK53">
        <v>48.055599999999998</v>
      </c>
      <c r="BL53">
        <v>28.6111</v>
      </c>
      <c r="BM53">
        <v>43.6111</v>
      </c>
      <c r="BN53">
        <v>87.222200000000001</v>
      </c>
      <c r="BO53">
        <v>29.444400000000002</v>
      </c>
      <c r="BP53">
        <v>43.8889</v>
      </c>
      <c r="BQ53">
        <v>56.944400000000002</v>
      </c>
      <c r="BR53">
        <v>53.333300000000001</v>
      </c>
      <c r="BS53">
        <v>55.555599999999998</v>
      </c>
      <c r="BT53">
        <v>54.166699999999999</v>
      </c>
      <c r="BU53">
        <v>36.944400000000002</v>
      </c>
      <c r="BV53" t="s">
        <v>2845</v>
      </c>
      <c r="BX53">
        <v>55.555599999999998</v>
      </c>
      <c r="CA53">
        <v>55.277799999999999</v>
      </c>
      <c r="CB53">
        <v>34.722200000000001</v>
      </c>
      <c r="CF53" t="s">
        <v>2846</v>
      </c>
      <c r="CG53" t="s">
        <v>2847</v>
      </c>
      <c r="CH53" t="s">
        <v>2848</v>
      </c>
      <c r="CI53" t="s">
        <v>2849</v>
      </c>
      <c r="CK53">
        <v>8</v>
      </c>
      <c r="CL53" t="s">
        <v>4</v>
      </c>
      <c r="CM53" t="s">
        <v>2850</v>
      </c>
      <c r="CN53" t="s">
        <v>2851</v>
      </c>
      <c r="CO53" t="s">
        <v>99</v>
      </c>
      <c r="CP53" t="s">
        <v>100</v>
      </c>
      <c r="CQ53">
        <v>52</v>
      </c>
      <c r="CR53" t="s">
        <v>100</v>
      </c>
      <c r="CS53" t="s">
        <v>101</v>
      </c>
      <c r="CT53" t="s">
        <v>152</v>
      </c>
      <c r="CU53" t="s">
        <v>102</v>
      </c>
      <c r="CV53" t="s">
        <v>100</v>
      </c>
    </row>
    <row r="54" spans="1:100">
      <c r="A54" s="3" t="s">
        <v>2852</v>
      </c>
      <c r="B54" s="4" t="s">
        <v>2853</v>
      </c>
      <c r="C54">
        <v>155.94197402586099</v>
      </c>
      <c r="D54">
        <v>933.43037913055298</v>
      </c>
      <c r="E54">
        <f>-2.58184005649826</f>
        <v>-2.58184005649826</v>
      </c>
      <c r="F54" s="5">
        <v>2.4532925870706398E-7</v>
      </c>
      <c r="G54" t="s">
        <v>4</v>
      </c>
      <c r="H54">
        <v>155.94197402586099</v>
      </c>
      <c r="I54">
        <v>72.256137308425394</v>
      </c>
      <c r="J54">
        <v>1.0965527507958801</v>
      </c>
      <c r="K54">
        <v>3.9200178779055801E-2</v>
      </c>
      <c r="L54" t="s">
        <v>4</v>
      </c>
      <c r="M54">
        <v>933.43037913055298</v>
      </c>
      <c r="N54">
        <v>72.256137308425394</v>
      </c>
      <c r="O54">
        <v>3.6783928072941401</v>
      </c>
      <c r="P54" s="5">
        <v>6.4795464849298097E-14</v>
      </c>
      <c r="Q54" t="s">
        <v>4</v>
      </c>
      <c r="R54" s="4" t="s">
        <v>87</v>
      </c>
      <c r="S54" t="s">
        <v>4</v>
      </c>
      <c r="T54" t="s">
        <v>2854</v>
      </c>
      <c r="U54" t="s">
        <v>2855</v>
      </c>
      <c r="V54" t="s">
        <v>2856</v>
      </c>
      <c r="W54" t="s">
        <v>328</v>
      </c>
      <c r="X54" t="s">
        <v>4</v>
      </c>
      <c r="Y54" t="s">
        <v>2857</v>
      </c>
      <c r="Z54" t="s">
        <v>2858</v>
      </c>
      <c r="AA54" t="s">
        <v>2859</v>
      </c>
      <c r="AB54" t="s">
        <v>4</v>
      </c>
      <c r="AC54" s="3" t="s">
        <v>2860</v>
      </c>
      <c r="AD54" t="s">
        <v>4</v>
      </c>
      <c r="AE54" t="s">
        <v>2861</v>
      </c>
      <c r="AF54" t="s">
        <v>2862</v>
      </c>
      <c r="AG54" t="s">
        <v>2863</v>
      </c>
      <c r="AH54" t="s">
        <v>112</v>
      </c>
      <c r="AK54" t="s">
        <v>2864</v>
      </c>
      <c r="AL54" t="s">
        <v>2865</v>
      </c>
      <c r="AQ54" t="s">
        <v>1458</v>
      </c>
      <c r="AU54" t="s">
        <v>112</v>
      </c>
      <c r="AV54" t="s">
        <v>2866</v>
      </c>
      <c r="AW54" t="s">
        <v>114</v>
      </c>
      <c r="AX54" t="s">
        <v>345</v>
      </c>
      <c r="AY54" t="s">
        <v>2867</v>
      </c>
      <c r="AZ54" t="s">
        <v>4</v>
      </c>
      <c r="BA54" s="3" t="s">
        <v>95</v>
      </c>
      <c r="BB54" s="6" t="s">
        <v>95</v>
      </c>
      <c r="BC54" s="3" t="s">
        <v>95</v>
      </c>
      <c r="BD54" t="s">
        <v>4</v>
      </c>
      <c r="BE54">
        <v>10398</v>
      </c>
      <c r="BF54" t="s">
        <v>169</v>
      </c>
      <c r="BG54" t="s">
        <v>2868</v>
      </c>
      <c r="BH54">
        <v>53.444200000000002</v>
      </c>
      <c r="BI54">
        <v>96.437100000000001</v>
      </c>
      <c r="BJ54">
        <v>88.836100000000002</v>
      </c>
      <c r="BK54">
        <v>85.748199999999997</v>
      </c>
      <c r="BL54" t="s">
        <v>2869</v>
      </c>
      <c r="BM54">
        <v>74.584299999999999</v>
      </c>
      <c r="BN54">
        <v>80.760099999999994</v>
      </c>
      <c r="BO54">
        <v>82.897900000000007</v>
      </c>
      <c r="BP54">
        <v>58.432299999999998</v>
      </c>
      <c r="BQ54">
        <v>47.981000000000002</v>
      </c>
      <c r="BR54">
        <v>38.0047</v>
      </c>
      <c r="BS54">
        <v>46.318300000000001</v>
      </c>
      <c r="BT54">
        <v>13.0641</v>
      </c>
      <c r="BU54" t="s">
        <v>2870</v>
      </c>
      <c r="BV54" t="s">
        <v>2871</v>
      </c>
      <c r="BW54">
        <v>37.529699999999998</v>
      </c>
      <c r="BX54" t="s">
        <v>2872</v>
      </c>
      <c r="BY54">
        <v>22.3278</v>
      </c>
      <c r="BZ54">
        <v>46.318300000000001</v>
      </c>
      <c r="CA54">
        <v>46.080800000000004</v>
      </c>
      <c r="CC54" t="s">
        <v>2873</v>
      </c>
      <c r="CD54" t="s">
        <v>2874</v>
      </c>
      <c r="CE54">
        <v>35.154400000000003</v>
      </c>
      <c r="CF54">
        <v>39.192399999999999</v>
      </c>
      <c r="CG54">
        <v>45.368200000000002</v>
      </c>
      <c r="CH54">
        <v>45.368200000000002</v>
      </c>
      <c r="CI54">
        <v>44.180500000000002</v>
      </c>
      <c r="CJ54" t="s">
        <v>2875</v>
      </c>
      <c r="CK54">
        <v>9</v>
      </c>
      <c r="CL54" t="s">
        <v>4</v>
      </c>
      <c r="CM54" t="s">
        <v>2876</v>
      </c>
      <c r="CN54" t="s">
        <v>2877</v>
      </c>
      <c r="CO54" t="s">
        <v>219</v>
      </c>
      <c r="CP54" t="s">
        <v>100</v>
      </c>
      <c r="CQ54">
        <v>53</v>
      </c>
      <c r="CR54" t="s">
        <v>100</v>
      </c>
      <c r="CS54" s="7" t="s">
        <v>101</v>
      </c>
      <c r="CT54" t="s">
        <v>152</v>
      </c>
      <c r="CU54" t="s">
        <v>102</v>
      </c>
      <c r="CV54" t="s">
        <v>100</v>
      </c>
    </row>
    <row r="55" spans="1:100">
      <c r="A55" s="3" t="s">
        <v>2878</v>
      </c>
      <c r="B55" s="4" t="s">
        <v>2879</v>
      </c>
      <c r="C55">
        <v>179.70445406358701</v>
      </c>
      <c r="D55">
        <v>745.96684125750301</v>
      </c>
      <c r="E55">
        <f>-2.05345910778388</f>
        <v>-2.0534591077838802</v>
      </c>
      <c r="F55" s="5">
        <v>1.29923901141046E-5</v>
      </c>
      <c r="G55" t="s">
        <v>4</v>
      </c>
      <c r="H55">
        <v>179.70445406358701</v>
      </c>
      <c r="I55">
        <v>140.30148388365001</v>
      </c>
      <c r="J55">
        <v>0.36493731080658998</v>
      </c>
      <c r="K55">
        <v>0.48237575725474202</v>
      </c>
      <c r="L55" t="s">
        <v>4</v>
      </c>
      <c r="M55">
        <v>745.96684125750301</v>
      </c>
      <c r="N55">
        <v>140.30148388365001</v>
      </c>
      <c r="O55">
        <v>2.4183964185904698</v>
      </c>
      <c r="P55" s="5">
        <v>1.1501941628825501E-7</v>
      </c>
      <c r="Q55" t="s">
        <v>4</v>
      </c>
      <c r="R55" s="4" t="s">
        <v>87</v>
      </c>
      <c r="S55" t="s">
        <v>4</v>
      </c>
      <c r="T55" t="s">
        <v>92</v>
      </c>
      <c r="U55" t="s">
        <v>92</v>
      </c>
      <c r="V55" t="s">
        <v>92</v>
      </c>
      <c r="W55" t="s">
        <v>92</v>
      </c>
      <c r="X55" t="s">
        <v>4</v>
      </c>
      <c r="Y55" t="s">
        <v>2880</v>
      </c>
      <c r="Z55" t="s">
        <v>2881</v>
      </c>
      <c r="AA55" t="s">
        <v>2882</v>
      </c>
      <c r="AB55" t="s">
        <v>4</v>
      </c>
      <c r="AC55" s="3" t="s">
        <v>93</v>
      </c>
      <c r="AD55" t="s">
        <v>4</v>
      </c>
      <c r="AE55" t="s">
        <v>2883</v>
      </c>
      <c r="AF55" t="s">
        <v>834</v>
      </c>
      <c r="AG55" t="s">
        <v>2884</v>
      </c>
      <c r="AH55" t="s">
        <v>112</v>
      </c>
      <c r="AU55" t="s">
        <v>112</v>
      </c>
      <c r="AV55" t="s">
        <v>2885</v>
      </c>
      <c r="AW55" t="s">
        <v>114</v>
      </c>
      <c r="AX55" t="s">
        <v>144</v>
      </c>
      <c r="AY55" t="s">
        <v>2886</v>
      </c>
      <c r="AZ55" t="s">
        <v>4</v>
      </c>
      <c r="BA55" s="3" t="s">
        <v>95</v>
      </c>
      <c r="BB55" s="6" t="s">
        <v>95</v>
      </c>
      <c r="BC55" s="3" t="s">
        <v>95</v>
      </c>
      <c r="BD55" t="s">
        <v>4</v>
      </c>
      <c r="BE55">
        <v>8221</v>
      </c>
      <c r="BF55" t="s">
        <v>213</v>
      </c>
      <c r="BG55">
        <v>92.236000000000004</v>
      </c>
      <c r="BH55">
        <v>42.779499999999999</v>
      </c>
      <c r="BI55">
        <v>69.2547</v>
      </c>
      <c r="BJ55">
        <v>11.2578</v>
      </c>
      <c r="BK55">
        <v>26.785699999999999</v>
      </c>
      <c r="BL55">
        <v>7.0652200000000001</v>
      </c>
      <c r="BM55" t="s">
        <v>2887</v>
      </c>
      <c r="BN55">
        <v>67.779499999999999</v>
      </c>
      <c r="BO55">
        <v>32.298099999999998</v>
      </c>
      <c r="BP55">
        <v>16.304300000000001</v>
      </c>
      <c r="BW55">
        <v>33.540399999999998</v>
      </c>
      <c r="BX55">
        <v>34.860199999999999</v>
      </c>
      <c r="BY55">
        <v>17.0031</v>
      </c>
      <c r="BZ55" t="s">
        <v>2888</v>
      </c>
      <c r="CA55">
        <v>31.7547</v>
      </c>
      <c r="CB55">
        <v>9.2391299999999994</v>
      </c>
      <c r="CE55">
        <v>9.0062099999999994</v>
      </c>
      <c r="CG55" t="s">
        <v>2889</v>
      </c>
      <c r="CH55" t="s">
        <v>2890</v>
      </c>
      <c r="CK55">
        <v>8</v>
      </c>
      <c r="CL55" t="s">
        <v>4</v>
      </c>
      <c r="CM55" t="s">
        <v>2891</v>
      </c>
      <c r="CN55" t="s">
        <v>2892</v>
      </c>
      <c r="CO55" t="s">
        <v>99</v>
      </c>
      <c r="CP55" t="s">
        <v>100</v>
      </c>
      <c r="CQ55">
        <v>54</v>
      </c>
      <c r="CR55" t="s">
        <v>100</v>
      </c>
      <c r="CS55" t="s">
        <v>100</v>
      </c>
      <c r="CT55" t="s">
        <v>152</v>
      </c>
      <c r="CU55" t="s">
        <v>102</v>
      </c>
      <c r="CV55" t="s">
        <v>100</v>
      </c>
    </row>
    <row r="56" spans="1:100">
      <c r="A56" s="3" t="s">
        <v>2893</v>
      </c>
      <c r="B56" s="4" t="s">
        <v>2894</v>
      </c>
      <c r="C56">
        <v>12.2664335696248</v>
      </c>
      <c r="D56">
        <v>125.06325095662299</v>
      </c>
      <c r="E56">
        <f>-3.34829156480268</f>
        <v>-3.3482915648026799</v>
      </c>
      <c r="F56" s="5">
        <v>2.4679008931809202E-6</v>
      </c>
      <c r="G56" t="s">
        <v>4</v>
      </c>
      <c r="H56">
        <v>12.2664335696248</v>
      </c>
      <c r="I56">
        <v>21.223867694172501</v>
      </c>
      <c r="J56">
        <f>0.74866010656767</f>
        <v>0.74866010656767001</v>
      </c>
      <c r="K56">
        <v>0.34827397423370399</v>
      </c>
      <c r="L56" t="s">
        <v>4</v>
      </c>
      <c r="M56">
        <v>125.06325095662299</v>
      </c>
      <c r="N56">
        <v>21.223867694172501</v>
      </c>
      <c r="O56">
        <v>2.59963145823501</v>
      </c>
      <c r="P56">
        <v>2.1037096152572301E-4</v>
      </c>
      <c r="Q56" t="s">
        <v>4</v>
      </c>
      <c r="R56" s="4" t="s">
        <v>87</v>
      </c>
      <c r="S56" t="s">
        <v>4</v>
      </c>
      <c r="T56" t="s">
        <v>92</v>
      </c>
      <c r="U56" t="s">
        <v>92</v>
      </c>
      <c r="V56" t="s">
        <v>92</v>
      </c>
      <c r="W56" t="s">
        <v>92</v>
      </c>
      <c r="X56" t="s">
        <v>4</v>
      </c>
      <c r="Y56" t="s">
        <v>2895</v>
      </c>
      <c r="Z56" t="s">
        <v>2896</v>
      </c>
      <c r="AA56" t="s">
        <v>2897</v>
      </c>
      <c r="AB56" t="s">
        <v>4</v>
      </c>
      <c r="AC56" s="3" t="s">
        <v>93</v>
      </c>
      <c r="AD56" t="s">
        <v>4</v>
      </c>
      <c r="AE56" t="s">
        <v>2898</v>
      </c>
      <c r="AF56" t="s">
        <v>2899</v>
      </c>
      <c r="AG56" t="s">
        <v>1903</v>
      </c>
      <c r="AH56" t="s">
        <v>112</v>
      </c>
      <c r="AU56" t="s">
        <v>112</v>
      </c>
      <c r="AV56" t="s">
        <v>2900</v>
      </c>
      <c r="AW56" t="s">
        <v>114</v>
      </c>
      <c r="AX56" t="s">
        <v>144</v>
      </c>
      <c r="AY56" t="s">
        <v>2901</v>
      </c>
      <c r="AZ56" t="s">
        <v>4</v>
      </c>
      <c r="BA56" s="3" t="s">
        <v>95</v>
      </c>
      <c r="BB56" s="6" t="s">
        <v>95</v>
      </c>
      <c r="BC56" s="3" t="s">
        <v>95</v>
      </c>
      <c r="BD56" t="s">
        <v>4</v>
      </c>
      <c r="BE56">
        <v>1469</v>
      </c>
      <c r="BF56" t="s">
        <v>151</v>
      </c>
      <c r="BK56">
        <v>37.209299999999999</v>
      </c>
      <c r="CK56">
        <v>2</v>
      </c>
      <c r="CL56" t="s">
        <v>4</v>
      </c>
      <c r="CM56" t="s">
        <v>98</v>
      </c>
      <c r="CN56" t="s">
        <v>98</v>
      </c>
      <c r="CO56" t="s">
        <v>99</v>
      </c>
      <c r="CP56" t="s">
        <v>100</v>
      </c>
      <c r="CQ56">
        <v>55</v>
      </c>
      <c r="CR56" t="s">
        <v>100</v>
      </c>
      <c r="CS56" t="s">
        <v>100</v>
      </c>
      <c r="CT56" t="s">
        <v>152</v>
      </c>
      <c r="CU56" t="s">
        <v>102</v>
      </c>
      <c r="CV56" t="s">
        <v>100</v>
      </c>
    </row>
    <row r="57" spans="1:100">
      <c r="A57" s="3" t="s">
        <v>2902</v>
      </c>
      <c r="B57" s="4" t="s">
        <v>2903</v>
      </c>
      <c r="C57">
        <v>289.58103971460298</v>
      </c>
      <c r="D57">
        <v>2272.0984462374499</v>
      </c>
      <c r="E57">
        <f>-2.97195786168354</f>
        <v>-2.9719578616835398</v>
      </c>
      <c r="F57" s="5">
        <v>2.5094966049456501E-7</v>
      </c>
      <c r="G57" t="s">
        <v>4</v>
      </c>
      <c r="H57">
        <v>289.58103971460298</v>
      </c>
      <c r="I57">
        <v>336.36896606699798</v>
      </c>
      <c r="J57">
        <f>0.221034568478524</f>
        <v>0.22103456847852401</v>
      </c>
      <c r="K57">
        <v>0.73782383943146101</v>
      </c>
      <c r="L57" t="s">
        <v>4</v>
      </c>
      <c r="M57">
        <v>2272.0984462374499</v>
      </c>
      <c r="N57">
        <v>336.36896606699798</v>
      </c>
      <c r="O57">
        <v>2.75092329320502</v>
      </c>
      <c r="P57" s="5">
        <v>9.77966790997491E-7</v>
      </c>
      <c r="Q57" t="s">
        <v>4</v>
      </c>
      <c r="R57" s="4" t="s">
        <v>87</v>
      </c>
      <c r="S57" t="s">
        <v>4</v>
      </c>
      <c r="T57" t="s">
        <v>2757</v>
      </c>
      <c r="U57" t="s">
        <v>2758</v>
      </c>
      <c r="V57" t="s">
        <v>2759</v>
      </c>
      <c r="W57" t="s">
        <v>507</v>
      </c>
      <c r="X57" t="s">
        <v>4</v>
      </c>
      <c r="Y57" t="s">
        <v>2904</v>
      </c>
      <c r="Z57" t="s">
        <v>2905</v>
      </c>
      <c r="AA57" t="s">
        <v>2906</v>
      </c>
      <c r="AB57" t="s">
        <v>4</v>
      </c>
      <c r="AC57" s="3" t="s">
        <v>2907</v>
      </c>
      <c r="AD57" t="s">
        <v>4</v>
      </c>
      <c r="AE57" t="s">
        <v>2763</v>
      </c>
      <c r="AF57" t="s">
        <v>2908</v>
      </c>
      <c r="AG57" t="s">
        <v>2909</v>
      </c>
      <c r="AH57" t="s">
        <v>112</v>
      </c>
      <c r="AJ57" t="s">
        <v>2766</v>
      </c>
      <c r="AL57" t="s">
        <v>2767</v>
      </c>
      <c r="AM57" t="s">
        <v>2768</v>
      </c>
      <c r="AQ57" t="s">
        <v>2769</v>
      </c>
      <c r="AU57" t="s">
        <v>112</v>
      </c>
      <c r="AV57" t="s">
        <v>2770</v>
      </c>
      <c r="AW57" t="s">
        <v>114</v>
      </c>
      <c r="AX57" t="s">
        <v>1938</v>
      </c>
      <c r="AY57" t="s">
        <v>2771</v>
      </c>
      <c r="AZ57" t="s">
        <v>4</v>
      </c>
      <c r="BA57" s="3" t="s">
        <v>115</v>
      </c>
      <c r="BB57" s="6" t="s">
        <v>95</v>
      </c>
      <c r="BC57" s="3" t="s">
        <v>95</v>
      </c>
      <c r="BD57" t="s">
        <v>4</v>
      </c>
      <c r="BE57">
        <v>8238</v>
      </c>
      <c r="BF57" t="s">
        <v>213</v>
      </c>
      <c r="BG57">
        <v>97.674400000000006</v>
      </c>
      <c r="BH57">
        <v>0</v>
      </c>
      <c r="BI57">
        <v>93.410899999999998</v>
      </c>
      <c r="BJ57">
        <v>96.123999999999995</v>
      </c>
      <c r="BK57">
        <v>94.186000000000007</v>
      </c>
      <c r="BL57">
        <v>93.798400000000001</v>
      </c>
      <c r="BM57">
        <v>78.682199999999995</v>
      </c>
      <c r="BN57">
        <v>93.798400000000001</v>
      </c>
      <c r="BO57">
        <v>6.5891500000000001</v>
      </c>
      <c r="BP57">
        <v>31.782900000000001</v>
      </c>
      <c r="BQ57">
        <v>65.503900000000002</v>
      </c>
      <c r="BR57" t="s">
        <v>2910</v>
      </c>
      <c r="BS57">
        <v>28.682200000000002</v>
      </c>
      <c r="BT57" t="s">
        <v>2911</v>
      </c>
      <c r="BU57">
        <v>60.4651</v>
      </c>
      <c r="BV57" t="s">
        <v>2912</v>
      </c>
      <c r="BX57" t="s">
        <v>2913</v>
      </c>
      <c r="BY57">
        <v>0</v>
      </c>
      <c r="BZ57">
        <v>63.565899999999999</v>
      </c>
      <c r="CA57">
        <v>58.139499999999998</v>
      </c>
      <c r="CB57" t="s">
        <v>2914</v>
      </c>
      <c r="CC57">
        <v>68.217100000000002</v>
      </c>
      <c r="CD57" t="s">
        <v>2915</v>
      </c>
      <c r="CE57">
        <v>38.759700000000002</v>
      </c>
      <c r="CF57">
        <v>57.3643</v>
      </c>
      <c r="CG57" t="s">
        <v>2916</v>
      </c>
      <c r="CH57">
        <v>61.627899999999997</v>
      </c>
      <c r="CI57">
        <v>60.4651</v>
      </c>
      <c r="CK57">
        <v>8</v>
      </c>
      <c r="CL57" t="s">
        <v>4</v>
      </c>
      <c r="CM57" t="s">
        <v>2779</v>
      </c>
      <c r="CN57" t="s">
        <v>2917</v>
      </c>
      <c r="CO57" t="s">
        <v>219</v>
      </c>
      <c r="CP57" t="s">
        <v>100</v>
      </c>
      <c r="CQ57">
        <v>56</v>
      </c>
      <c r="CR57" t="s">
        <v>100</v>
      </c>
      <c r="CS57" t="s">
        <v>100</v>
      </c>
      <c r="CT57" t="s">
        <v>152</v>
      </c>
      <c r="CU57" t="s">
        <v>102</v>
      </c>
      <c r="CV57" t="s">
        <v>2781</v>
      </c>
    </row>
    <row r="58" spans="1:100">
      <c r="A58" s="3" t="s">
        <v>2918</v>
      </c>
      <c r="B58" s="4" t="s">
        <v>2919</v>
      </c>
      <c r="C58">
        <v>440.54608985245602</v>
      </c>
      <c r="D58">
        <v>2898.4554083545499</v>
      </c>
      <c r="E58">
        <f>-2.71778007440842</f>
        <v>-2.7177800744084202</v>
      </c>
      <c r="F58" s="5">
        <v>5.6536867690279798E-8</v>
      </c>
      <c r="G58" t="s">
        <v>4</v>
      </c>
      <c r="H58">
        <v>440.54608985245602</v>
      </c>
      <c r="I58">
        <v>469.64982901551701</v>
      </c>
      <c r="J58">
        <f>0.0964807402531959</f>
        <v>9.6480740253195904E-2</v>
      </c>
      <c r="K58">
        <v>0.86827050723700905</v>
      </c>
      <c r="L58" t="s">
        <v>4</v>
      </c>
      <c r="M58">
        <v>2898.4554083545499</v>
      </c>
      <c r="N58">
        <v>469.64982901551701</v>
      </c>
      <c r="O58">
        <v>2.62129933415522</v>
      </c>
      <c r="P58" s="5">
        <v>7.7571953663563205E-8</v>
      </c>
      <c r="Q58" t="s">
        <v>4</v>
      </c>
      <c r="R58" s="4" t="s">
        <v>87</v>
      </c>
      <c r="S58" t="s">
        <v>4</v>
      </c>
      <c r="T58" t="s">
        <v>2920</v>
      </c>
      <c r="U58" t="s">
        <v>2921</v>
      </c>
      <c r="V58" t="s">
        <v>2922</v>
      </c>
      <c r="W58" t="s">
        <v>123</v>
      </c>
      <c r="X58" t="s">
        <v>4</v>
      </c>
      <c r="Y58" t="s">
        <v>2923</v>
      </c>
      <c r="Z58" t="s">
        <v>2924</v>
      </c>
      <c r="AA58" t="s">
        <v>2925</v>
      </c>
      <c r="AB58" t="s">
        <v>4</v>
      </c>
      <c r="AC58" s="3" t="s">
        <v>93</v>
      </c>
      <c r="AD58" t="s">
        <v>4</v>
      </c>
      <c r="AE58" s="4" t="s">
        <v>94</v>
      </c>
      <c r="AZ58" t="s">
        <v>4</v>
      </c>
      <c r="BA58" s="3" t="s">
        <v>115</v>
      </c>
      <c r="BB58" s="6" t="s">
        <v>95</v>
      </c>
      <c r="BC58" s="3" t="s">
        <v>95</v>
      </c>
      <c r="BD58" t="s">
        <v>4</v>
      </c>
      <c r="BE58">
        <v>2974</v>
      </c>
      <c r="BF58" t="s">
        <v>97</v>
      </c>
      <c r="BG58">
        <v>91.514700000000005</v>
      </c>
      <c r="BH58">
        <v>98.572599999999994</v>
      </c>
      <c r="BI58">
        <v>84.456800000000001</v>
      </c>
      <c r="BJ58">
        <v>29.262499999999999</v>
      </c>
      <c r="BK58">
        <v>59.476599999999998</v>
      </c>
      <c r="BL58" t="s">
        <v>2926</v>
      </c>
      <c r="BM58">
        <v>63.283099999999997</v>
      </c>
      <c r="BN58">
        <v>63.124499999999998</v>
      </c>
      <c r="BO58">
        <v>63.838200000000001</v>
      </c>
      <c r="BP58" t="s">
        <v>2927</v>
      </c>
      <c r="CK58">
        <v>4</v>
      </c>
      <c r="CL58" t="s">
        <v>4</v>
      </c>
      <c r="CM58" t="s">
        <v>98</v>
      </c>
      <c r="CN58" t="s">
        <v>98</v>
      </c>
      <c r="CO58" t="s">
        <v>99</v>
      </c>
      <c r="CP58" t="s">
        <v>100</v>
      </c>
      <c r="CQ58">
        <v>57</v>
      </c>
      <c r="CR58" t="s">
        <v>100</v>
      </c>
      <c r="CS58" t="s">
        <v>100</v>
      </c>
      <c r="CT58" t="s">
        <v>152</v>
      </c>
      <c r="CU58" t="s">
        <v>102</v>
      </c>
      <c r="CV58" t="s">
        <v>100</v>
      </c>
    </row>
    <row r="59" spans="1:100">
      <c r="A59" s="3" t="s">
        <v>2928</v>
      </c>
      <c r="B59" s="4" t="s">
        <v>2929</v>
      </c>
      <c r="C59">
        <v>352.999624526123</v>
      </c>
      <c r="D59">
        <v>6567.6294128914797</v>
      </c>
      <c r="E59">
        <f>-4.21718069334689</f>
        <v>-4.2171806933468901</v>
      </c>
      <c r="F59" s="5">
        <v>1.8710209432607701E-24</v>
      </c>
      <c r="G59" t="s">
        <v>4</v>
      </c>
      <c r="H59">
        <v>352.999624526123</v>
      </c>
      <c r="I59">
        <v>344.37490324626202</v>
      </c>
      <c r="J59">
        <v>3.43239058781597E-2</v>
      </c>
      <c r="K59">
        <v>0.94446960501486898</v>
      </c>
      <c r="L59" t="s">
        <v>4</v>
      </c>
      <c r="M59">
        <v>6567.6294128914797</v>
      </c>
      <c r="N59">
        <v>344.37490324626202</v>
      </c>
      <c r="O59">
        <v>4.2515045992250498</v>
      </c>
      <c r="P59" s="5">
        <v>2.0260107116022999E-25</v>
      </c>
      <c r="Q59" t="s">
        <v>4</v>
      </c>
      <c r="R59" s="4" t="s">
        <v>87</v>
      </c>
      <c r="S59" t="s">
        <v>4</v>
      </c>
      <c r="T59" t="s">
        <v>2930</v>
      </c>
      <c r="U59" t="s">
        <v>2931</v>
      </c>
      <c r="V59" t="s">
        <v>2932</v>
      </c>
      <c r="W59" t="s">
        <v>1915</v>
      </c>
      <c r="X59" t="s">
        <v>4</v>
      </c>
      <c r="Y59" t="s">
        <v>2933</v>
      </c>
      <c r="Z59" t="s">
        <v>2934</v>
      </c>
      <c r="AA59" t="s">
        <v>2935</v>
      </c>
      <c r="AB59" t="s">
        <v>4</v>
      </c>
      <c r="AC59" s="3" t="s">
        <v>93</v>
      </c>
      <c r="AD59" t="s">
        <v>4</v>
      </c>
      <c r="AE59" t="s">
        <v>2936</v>
      </c>
      <c r="AF59" t="s">
        <v>2937</v>
      </c>
      <c r="AG59" t="s">
        <v>2938</v>
      </c>
      <c r="AH59" t="s">
        <v>112</v>
      </c>
      <c r="AL59" t="s">
        <v>2939</v>
      </c>
      <c r="AM59" t="s">
        <v>2940</v>
      </c>
      <c r="AQ59" t="s">
        <v>2941</v>
      </c>
      <c r="AU59" t="s">
        <v>112</v>
      </c>
      <c r="AV59" t="s">
        <v>2942</v>
      </c>
      <c r="AW59" t="s">
        <v>114</v>
      </c>
      <c r="AX59" t="s">
        <v>132</v>
      </c>
      <c r="AY59" t="s">
        <v>2943</v>
      </c>
      <c r="AZ59" t="s">
        <v>4</v>
      </c>
      <c r="BA59" s="3" t="s">
        <v>115</v>
      </c>
      <c r="BB59" s="6" t="s">
        <v>95</v>
      </c>
      <c r="BC59" s="3" t="s">
        <v>95</v>
      </c>
      <c r="BD59" t="s">
        <v>4</v>
      </c>
      <c r="BE59">
        <v>8248</v>
      </c>
      <c r="BF59" t="s">
        <v>213</v>
      </c>
      <c r="BG59">
        <v>97.674400000000006</v>
      </c>
      <c r="BI59">
        <v>81.037599999999998</v>
      </c>
      <c r="BJ59">
        <v>79.069800000000001</v>
      </c>
      <c r="BK59">
        <v>81.753100000000003</v>
      </c>
      <c r="BL59">
        <v>71.556399999999996</v>
      </c>
      <c r="BM59">
        <v>79.248699999999999</v>
      </c>
      <c r="BN59">
        <v>81.395300000000006</v>
      </c>
      <c r="BR59">
        <v>44.007199999999997</v>
      </c>
      <c r="BS59">
        <v>42.933799999999998</v>
      </c>
      <c r="BY59">
        <v>33.452599999999997</v>
      </c>
      <c r="CF59" t="s">
        <v>2944</v>
      </c>
      <c r="CG59" t="s">
        <v>2945</v>
      </c>
      <c r="CH59" t="s">
        <v>2946</v>
      </c>
      <c r="CI59" t="s">
        <v>2947</v>
      </c>
      <c r="CK59">
        <v>8</v>
      </c>
      <c r="CL59" t="s">
        <v>4</v>
      </c>
      <c r="CM59" t="s">
        <v>98</v>
      </c>
      <c r="CN59" t="s">
        <v>98</v>
      </c>
      <c r="CO59" t="s">
        <v>99</v>
      </c>
      <c r="CP59" t="s">
        <v>100</v>
      </c>
      <c r="CQ59">
        <v>58</v>
      </c>
      <c r="CR59" t="s">
        <v>100</v>
      </c>
      <c r="CS59" t="s">
        <v>100</v>
      </c>
      <c r="CT59" t="s">
        <v>152</v>
      </c>
      <c r="CU59" t="s">
        <v>102</v>
      </c>
      <c r="CV59" t="s">
        <v>100</v>
      </c>
    </row>
    <row r="60" spans="1:100">
      <c r="A60" s="3" t="s">
        <v>2948</v>
      </c>
      <c r="B60" s="4" t="s">
        <v>2949</v>
      </c>
      <c r="C60">
        <v>125.607318314018</v>
      </c>
      <c r="D60">
        <v>795.63816090814703</v>
      </c>
      <c r="E60">
        <f>-2.66171569643846</f>
        <v>-2.6617156964384598</v>
      </c>
      <c r="F60" s="5">
        <v>1.6023773375318001E-15</v>
      </c>
      <c r="G60" t="s">
        <v>4</v>
      </c>
      <c r="H60">
        <v>125.607318314018</v>
      </c>
      <c r="I60">
        <v>134.390426899706</v>
      </c>
      <c r="J60">
        <f>0.10975009445196</f>
        <v>0.10975009445196</v>
      </c>
      <c r="K60">
        <v>0.78603705436648197</v>
      </c>
      <c r="L60" t="s">
        <v>4</v>
      </c>
      <c r="M60">
        <v>795.63816090814703</v>
      </c>
      <c r="N60">
        <v>134.390426899706</v>
      </c>
      <c r="O60">
        <v>2.5519656019864998</v>
      </c>
      <c r="P60" s="5">
        <v>1.6481602519417301E-14</v>
      </c>
      <c r="Q60" t="s">
        <v>4</v>
      </c>
      <c r="R60" s="4" t="s">
        <v>87</v>
      </c>
      <c r="S60" t="s">
        <v>4</v>
      </c>
      <c r="T60" t="s">
        <v>2950</v>
      </c>
      <c r="U60" t="s">
        <v>2951</v>
      </c>
      <c r="V60" t="s">
        <v>2952</v>
      </c>
      <c r="W60" t="s">
        <v>123</v>
      </c>
      <c r="X60" t="s">
        <v>4</v>
      </c>
      <c r="Y60" t="s">
        <v>2953</v>
      </c>
      <c r="Z60" t="s">
        <v>2954</v>
      </c>
      <c r="AA60" t="s">
        <v>2955</v>
      </c>
      <c r="AB60" t="s">
        <v>4</v>
      </c>
      <c r="AC60" s="3" t="s">
        <v>2956</v>
      </c>
      <c r="AD60" t="s">
        <v>4</v>
      </c>
      <c r="AE60" t="s">
        <v>2957</v>
      </c>
      <c r="AF60" t="s">
        <v>2958</v>
      </c>
      <c r="AG60" t="s">
        <v>2959</v>
      </c>
      <c r="AH60" t="s">
        <v>112</v>
      </c>
      <c r="AK60" t="s">
        <v>2960</v>
      </c>
      <c r="AL60" t="s">
        <v>2961</v>
      </c>
      <c r="AM60" t="s">
        <v>2962</v>
      </c>
      <c r="AN60" t="s">
        <v>2963</v>
      </c>
      <c r="AO60" t="s">
        <v>2964</v>
      </c>
      <c r="AP60" t="s">
        <v>2965</v>
      </c>
      <c r="AQ60" t="s">
        <v>2966</v>
      </c>
      <c r="AR60" t="s">
        <v>2967</v>
      </c>
      <c r="AU60" t="s">
        <v>112</v>
      </c>
      <c r="AV60" t="s">
        <v>2968</v>
      </c>
      <c r="AW60" t="s">
        <v>114</v>
      </c>
      <c r="AX60" t="s">
        <v>1096</v>
      </c>
      <c r="AY60" t="s">
        <v>2969</v>
      </c>
      <c r="AZ60" t="s">
        <v>4</v>
      </c>
      <c r="BA60" s="3" t="s">
        <v>95</v>
      </c>
      <c r="BB60" s="6" t="s">
        <v>95</v>
      </c>
      <c r="BC60" s="3" t="s">
        <v>95</v>
      </c>
      <c r="BD60" t="s">
        <v>4</v>
      </c>
      <c r="BE60">
        <v>4575</v>
      </c>
      <c r="BF60" t="s">
        <v>112</v>
      </c>
      <c r="BG60">
        <v>91.445400000000006</v>
      </c>
      <c r="BH60">
        <v>54.572299999999998</v>
      </c>
      <c r="BI60">
        <v>85.545699999999997</v>
      </c>
      <c r="BJ60" t="s">
        <v>2970</v>
      </c>
      <c r="BK60">
        <v>81.120900000000006</v>
      </c>
      <c r="BL60">
        <v>69.174000000000007</v>
      </c>
      <c r="BM60">
        <v>70.649000000000001</v>
      </c>
      <c r="BN60">
        <v>80.383499999999998</v>
      </c>
      <c r="BO60">
        <v>64.159300000000002</v>
      </c>
      <c r="BP60">
        <v>42.625399999999999</v>
      </c>
      <c r="BR60">
        <v>49.852499999999999</v>
      </c>
      <c r="BS60">
        <v>42.330399999999997</v>
      </c>
      <c r="BW60">
        <v>44.395299999999999</v>
      </c>
      <c r="BX60">
        <v>46.165199999999999</v>
      </c>
      <c r="BY60">
        <v>43.805300000000003</v>
      </c>
      <c r="BZ60">
        <v>36.873199999999997</v>
      </c>
      <c r="CA60">
        <v>41.887900000000002</v>
      </c>
      <c r="CB60">
        <v>13.8643</v>
      </c>
      <c r="CF60" t="s">
        <v>2971</v>
      </c>
      <c r="CG60" t="s">
        <v>2972</v>
      </c>
      <c r="CH60" t="s">
        <v>2973</v>
      </c>
      <c r="CI60" t="s">
        <v>2974</v>
      </c>
      <c r="CK60">
        <v>5</v>
      </c>
      <c r="CL60" t="s">
        <v>4</v>
      </c>
      <c r="CM60" t="s">
        <v>2975</v>
      </c>
      <c r="CN60" t="s">
        <v>2976</v>
      </c>
      <c r="CO60" t="s">
        <v>99</v>
      </c>
      <c r="CP60" t="s">
        <v>100</v>
      </c>
      <c r="CQ60">
        <v>59</v>
      </c>
      <c r="CR60" t="s">
        <v>100</v>
      </c>
      <c r="CS60" t="s">
        <v>100</v>
      </c>
      <c r="CT60" t="s">
        <v>152</v>
      </c>
      <c r="CU60" t="s">
        <v>102</v>
      </c>
      <c r="CV60" t="s">
        <v>100</v>
      </c>
    </row>
    <row r="61" spans="1:100">
      <c r="A61" s="3" t="s">
        <v>2977</v>
      </c>
      <c r="B61" s="4" t="s">
        <v>2978</v>
      </c>
      <c r="C61">
        <v>175.00593855640599</v>
      </c>
      <c r="D61">
        <v>1608.95531683374</v>
      </c>
      <c r="E61">
        <f>-3.20003309357188</f>
        <v>-3.2000330935718799</v>
      </c>
      <c r="F61" s="5">
        <v>1.8213020296632501E-9</v>
      </c>
      <c r="G61" t="s">
        <v>4</v>
      </c>
      <c r="H61">
        <v>175.00593855640599</v>
      </c>
      <c r="I61">
        <v>22.807185892726999</v>
      </c>
      <c r="J61">
        <v>2.8873664393593201</v>
      </c>
      <c r="K61" s="5">
        <v>4.0804981430723898E-7</v>
      </c>
      <c r="L61" t="s">
        <v>4</v>
      </c>
      <c r="M61">
        <v>1608.95531683374</v>
      </c>
      <c r="N61">
        <v>22.807185892726999</v>
      </c>
      <c r="O61">
        <v>6.0873995329312001</v>
      </c>
      <c r="P61" s="5">
        <v>1.22262807102032E-28</v>
      </c>
      <c r="Q61" t="s">
        <v>4</v>
      </c>
      <c r="R61" s="4" t="s">
        <v>87</v>
      </c>
      <c r="S61" t="s">
        <v>4</v>
      </c>
      <c r="T61" t="s">
        <v>92</v>
      </c>
      <c r="U61" t="s">
        <v>92</v>
      </c>
      <c r="V61" t="s">
        <v>92</v>
      </c>
      <c r="W61" t="s">
        <v>92</v>
      </c>
      <c r="X61" t="s">
        <v>4</v>
      </c>
      <c r="Y61" t="s">
        <v>2979</v>
      </c>
      <c r="Z61" t="s">
        <v>2980</v>
      </c>
      <c r="AA61" t="s">
        <v>2981</v>
      </c>
      <c r="AB61" t="s">
        <v>4</v>
      </c>
      <c r="AC61" s="3" t="s">
        <v>93</v>
      </c>
      <c r="AD61" t="s">
        <v>4</v>
      </c>
      <c r="AE61" s="4" t="s">
        <v>94</v>
      </c>
      <c r="AZ61" t="s">
        <v>4</v>
      </c>
      <c r="BA61" s="3" t="s">
        <v>95</v>
      </c>
      <c r="BB61" s="6" t="s">
        <v>95</v>
      </c>
      <c r="BC61" s="3" t="s">
        <v>95</v>
      </c>
      <c r="BD61" t="s">
        <v>4</v>
      </c>
      <c r="BE61">
        <v>357</v>
      </c>
      <c r="BF61" t="s">
        <v>322</v>
      </c>
      <c r="CK61">
        <v>1</v>
      </c>
      <c r="CL61" t="s">
        <v>4</v>
      </c>
      <c r="CM61" t="s">
        <v>98</v>
      </c>
      <c r="CN61" t="s">
        <v>98</v>
      </c>
      <c r="CO61" t="s">
        <v>99</v>
      </c>
      <c r="CP61" t="s">
        <v>100</v>
      </c>
      <c r="CQ61">
        <v>60</v>
      </c>
      <c r="CR61" t="s">
        <v>100</v>
      </c>
      <c r="CS61" t="s">
        <v>101</v>
      </c>
      <c r="CT61" t="s">
        <v>152</v>
      </c>
      <c r="CU61" t="s">
        <v>102</v>
      </c>
      <c r="CV61" t="s">
        <v>100</v>
      </c>
    </row>
    <row r="62" spans="1:100">
      <c r="A62" s="3" t="s">
        <v>2982</v>
      </c>
      <c r="B62" s="4" t="s">
        <v>2983</v>
      </c>
      <c r="C62">
        <v>638.04060111806302</v>
      </c>
      <c r="D62">
        <v>7278.2076313132202</v>
      </c>
      <c r="E62">
        <f>-3.51114410183725</f>
        <v>-3.51114410183725</v>
      </c>
      <c r="F62" s="5">
        <v>7.0641504829465699E-76</v>
      </c>
      <c r="G62" t="s">
        <v>4</v>
      </c>
      <c r="H62">
        <v>638.04060111806302</v>
      </c>
      <c r="I62">
        <v>202.470188698751</v>
      </c>
      <c r="J62">
        <v>1.6434280952140199</v>
      </c>
      <c r="K62" s="5">
        <v>9.5941722737387004E-16</v>
      </c>
      <c r="L62" t="s">
        <v>4</v>
      </c>
      <c r="M62">
        <v>7278.2076313132202</v>
      </c>
      <c r="N62">
        <v>202.470188698751</v>
      </c>
      <c r="O62">
        <v>5.1545721970512801</v>
      </c>
      <c r="P62" s="5">
        <v>2.2815600229330402E-149</v>
      </c>
      <c r="Q62" t="s">
        <v>4</v>
      </c>
      <c r="R62" s="4" t="s">
        <v>87</v>
      </c>
      <c r="S62" t="s">
        <v>4</v>
      </c>
      <c r="T62" t="s">
        <v>92</v>
      </c>
      <c r="U62" t="s">
        <v>92</v>
      </c>
      <c r="V62" t="s">
        <v>92</v>
      </c>
      <c r="W62" t="s">
        <v>92</v>
      </c>
      <c r="X62" t="s">
        <v>4</v>
      </c>
      <c r="Y62" t="s">
        <v>92</v>
      </c>
      <c r="Z62" t="s">
        <v>92</v>
      </c>
      <c r="AA62" t="s">
        <v>92</v>
      </c>
      <c r="AB62" t="s">
        <v>4</v>
      </c>
      <c r="AC62" s="3" t="s">
        <v>93</v>
      </c>
      <c r="AD62" t="s">
        <v>4</v>
      </c>
      <c r="AE62" s="4" t="s">
        <v>94</v>
      </c>
      <c r="AZ62" t="s">
        <v>4</v>
      </c>
      <c r="BA62" s="3" t="s">
        <v>95</v>
      </c>
      <c r="BB62" s="6" t="s">
        <v>95</v>
      </c>
      <c r="BC62" s="3" t="s">
        <v>95</v>
      </c>
      <c r="BD62" t="s">
        <v>4</v>
      </c>
      <c r="BE62">
        <v>2978</v>
      </c>
      <c r="BF62" t="s">
        <v>97</v>
      </c>
      <c r="BG62">
        <v>99.146799999999999</v>
      </c>
      <c r="BH62">
        <v>74.744</v>
      </c>
      <c r="BI62">
        <v>93.686000000000007</v>
      </c>
      <c r="BJ62" t="s">
        <v>2984</v>
      </c>
      <c r="BK62">
        <v>74.573400000000007</v>
      </c>
      <c r="BL62" t="s">
        <v>2985</v>
      </c>
      <c r="BM62">
        <v>69.1126</v>
      </c>
      <c r="BN62">
        <v>66.894199999999998</v>
      </c>
      <c r="BO62">
        <v>66.894199999999998</v>
      </c>
      <c r="BP62">
        <v>7.3378800000000002</v>
      </c>
      <c r="CK62">
        <v>4</v>
      </c>
      <c r="CL62" t="s">
        <v>4</v>
      </c>
      <c r="CM62" t="s">
        <v>98</v>
      </c>
      <c r="CN62" t="s">
        <v>98</v>
      </c>
      <c r="CO62" t="s">
        <v>99</v>
      </c>
      <c r="CP62" t="s">
        <v>100</v>
      </c>
      <c r="CQ62">
        <v>61</v>
      </c>
      <c r="CR62" t="s">
        <v>100</v>
      </c>
      <c r="CS62" s="7" t="s">
        <v>101</v>
      </c>
      <c r="CT62" t="s">
        <v>152</v>
      </c>
      <c r="CU62" t="s">
        <v>102</v>
      </c>
      <c r="CV62" t="s">
        <v>100</v>
      </c>
    </row>
    <row r="63" spans="1:100">
      <c r="A63" s="3" t="s">
        <v>2986</v>
      </c>
      <c r="B63" s="4" t="s">
        <v>2987</v>
      </c>
      <c r="C63">
        <v>42.558931328358497</v>
      </c>
      <c r="D63">
        <v>221.393411608924</v>
      </c>
      <c r="E63">
        <f>-2.37388301036133</f>
        <v>-2.3738830103613302</v>
      </c>
      <c r="F63" s="5">
        <v>4.00307955001258E-8</v>
      </c>
      <c r="G63" t="s">
        <v>4</v>
      </c>
      <c r="H63">
        <v>42.558931328358497</v>
      </c>
      <c r="I63">
        <v>9.7008392891586297</v>
      </c>
      <c r="J63">
        <v>2.1836176539168699</v>
      </c>
      <c r="K63" s="5">
        <v>7.1353839316323195E-5</v>
      </c>
      <c r="L63" t="s">
        <v>4</v>
      </c>
      <c r="M63">
        <v>221.393411608924</v>
      </c>
      <c r="N63">
        <v>9.7008392891586297</v>
      </c>
      <c r="O63">
        <v>4.5575006642782103</v>
      </c>
      <c r="P63" s="5">
        <v>1.2251882717157599E-18</v>
      </c>
      <c r="Q63" t="s">
        <v>4</v>
      </c>
      <c r="R63" s="4" t="s">
        <v>87</v>
      </c>
      <c r="S63" t="s">
        <v>4</v>
      </c>
      <c r="T63" t="s">
        <v>2988</v>
      </c>
      <c r="U63" t="s">
        <v>2989</v>
      </c>
      <c r="V63" t="s">
        <v>2990</v>
      </c>
      <c r="W63" t="s">
        <v>203</v>
      </c>
      <c r="X63" t="s">
        <v>4</v>
      </c>
      <c r="Y63" t="s">
        <v>2991</v>
      </c>
      <c r="Z63" t="s">
        <v>2992</v>
      </c>
      <c r="AA63" t="s">
        <v>2993</v>
      </c>
      <c r="AB63" t="s">
        <v>4</v>
      </c>
      <c r="AC63" s="3" t="s">
        <v>2994</v>
      </c>
      <c r="AD63" t="s">
        <v>4</v>
      </c>
      <c r="AE63" t="s">
        <v>2995</v>
      </c>
      <c r="AF63" t="s">
        <v>2996</v>
      </c>
      <c r="AG63" t="s">
        <v>2997</v>
      </c>
      <c r="AH63" t="s">
        <v>386</v>
      </c>
      <c r="AU63" t="s">
        <v>112</v>
      </c>
      <c r="AV63" t="s">
        <v>2998</v>
      </c>
      <c r="AW63" t="s">
        <v>114</v>
      </c>
      <c r="AX63" t="s">
        <v>536</v>
      </c>
      <c r="AY63" t="s">
        <v>2999</v>
      </c>
      <c r="AZ63" t="s">
        <v>4</v>
      </c>
      <c r="BA63" s="3" t="s">
        <v>95</v>
      </c>
      <c r="BB63" t="s">
        <v>96</v>
      </c>
      <c r="BC63" s="3" t="s">
        <v>95</v>
      </c>
      <c r="BD63" t="s">
        <v>4</v>
      </c>
      <c r="BE63">
        <v>8265</v>
      </c>
      <c r="BF63" t="s">
        <v>213</v>
      </c>
      <c r="BG63">
        <v>97.478999999999999</v>
      </c>
      <c r="BH63">
        <v>52.1008</v>
      </c>
      <c r="BJ63">
        <v>62.745100000000001</v>
      </c>
      <c r="BK63">
        <v>59.1036</v>
      </c>
      <c r="BQ63" t="s">
        <v>3000</v>
      </c>
      <c r="BS63">
        <v>21.848700000000001</v>
      </c>
      <c r="CG63" t="s">
        <v>3001</v>
      </c>
      <c r="CH63" t="s">
        <v>3002</v>
      </c>
      <c r="CK63">
        <v>8</v>
      </c>
      <c r="CL63" t="s">
        <v>4</v>
      </c>
      <c r="CM63" t="s">
        <v>98</v>
      </c>
      <c r="CN63" t="s">
        <v>98</v>
      </c>
      <c r="CO63" t="s">
        <v>99</v>
      </c>
      <c r="CP63" t="s">
        <v>100</v>
      </c>
      <c r="CQ63">
        <v>62</v>
      </c>
      <c r="CR63" t="s">
        <v>100</v>
      </c>
      <c r="CS63" t="s">
        <v>101</v>
      </c>
      <c r="CT63" t="s">
        <v>152</v>
      </c>
      <c r="CU63" t="s">
        <v>102</v>
      </c>
      <c r="CV63" t="s">
        <v>100</v>
      </c>
    </row>
    <row r="64" spans="1:100">
      <c r="A64" s="3" t="s">
        <v>3003</v>
      </c>
      <c r="B64" s="4" t="s">
        <v>3004</v>
      </c>
      <c r="C64">
        <v>3478.7293322332098</v>
      </c>
      <c r="D64">
        <v>18206.682179855001</v>
      </c>
      <c r="E64">
        <f>-2.38787897973513</f>
        <v>-2.3878789797351301</v>
      </c>
      <c r="F64" s="5">
        <v>2.9926152238231702E-27</v>
      </c>
      <c r="G64" t="s">
        <v>4</v>
      </c>
      <c r="H64">
        <v>3478.7293322332098</v>
      </c>
      <c r="I64">
        <v>818.01661711156396</v>
      </c>
      <c r="J64">
        <v>2.0877048290969298</v>
      </c>
      <c r="K64" s="5">
        <v>4.6287049973738501E-21</v>
      </c>
      <c r="L64" t="s">
        <v>4</v>
      </c>
      <c r="M64">
        <v>18206.682179855001</v>
      </c>
      <c r="N64">
        <v>818.01661711156396</v>
      </c>
      <c r="O64">
        <v>4.4755838088320603</v>
      </c>
      <c r="P64" s="5">
        <v>8.3004615551015096E-94</v>
      </c>
      <c r="Q64" t="s">
        <v>4</v>
      </c>
      <c r="R64" s="4" t="s">
        <v>87</v>
      </c>
      <c r="S64" t="s">
        <v>4</v>
      </c>
      <c r="T64" t="s">
        <v>3005</v>
      </c>
      <c r="U64" t="s">
        <v>3006</v>
      </c>
      <c r="V64" t="s">
        <v>3007</v>
      </c>
      <c r="W64" t="s">
        <v>203</v>
      </c>
      <c r="X64" t="s">
        <v>4</v>
      </c>
      <c r="Y64" t="s">
        <v>3008</v>
      </c>
      <c r="Z64" t="s">
        <v>3009</v>
      </c>
      <c r="AA64" t="s">
        <v>3010</v>
      </c>
      <c r="AB64" t="s">
        <v>4</v>
      </c>
      <c r="AC64" s="3" t="s">
        <v>3011</v>
      </c>
      <c r="AD64" t="s">
        <v>4</v>
      </c>
      <c r="AE64" t="s">
        <v>3012</v>
      </c>
      <c r="AF64" t="s">
        <v>834</v>
      </c>
      <c r="AG64" t="s">
        <v>3013</v>
      </c>
      <c r="AH64" t="s">
        <v>282</v>
      </c>
      <c r="AU64" t="s">
        <v>112</v>
      </c>
      <c r="AV64" t="s">
        <v>3014</v>
      </c>
      <c r="AW64" t="s">
        <v>114</v>
      </c>
      <c r="AX64" t="s">
        <v>536</v>
      </c>
      <c r="AY64" t="s">
        <v>3015</v>
      </c>
      <c r="AZ64" t="s">
        <v>4</v>
      </c>
      <c r="BA64" s="3" t="s">
        <v>95</v>
      </c>
      <c r="BB64" s="6" t="s">
        <v>95</v>
      </c>
      <c r="BC64" s="3" t="s">
        <v>95</v>
      </c>
      <c r="BD64" t="s">
        <v>4</v>
      </c>
      <c r="BE64">
        <v>8277</v>
      </c>
      <c r="BF64" t="s">
        <v>213</v>
      </c>
      <c r="BH64">
        <v>58.6629</v>
      </c>
      <c r="BI64">
        <v>89.171400000000006</v>
      </c>
      <c r="BJ64">
        <v>61.0169</v>
      </c>
      <c r="BK64">
        <v>62.7119</v>
      </c>
      <c r="BM64">
        <v>32.485900000000001</v>
      </c>
      <c r="BN64">
        <v>52.259900000000002</v>
      </c>
      <c r="BO64">
        <v>64.218500000000006</v>
      </c>
      <c r="BP64">
        <v>22.316400000000002</v>
      </c>
      <c r="BX64">
        <v>5.4613899999999997</v>
      </c>
      <c r="CA64" t="s">
        <v>3016</v>
      </c>
      <c r="CB64">
        <v>9.4161999999999999</v>
      </c>
      <c r="CC64">
        <v>11.4878</v>
      </c>
      <c r="CD64">
        <v>13.371</v>
      </c>
      <c r="CF64" t="s">
        <v>3017</v>
      </c>
      <c r="CG64">
        <v>16.572500000000002</v>
      </c>
      <c r="CH64">
        <v>16.101700000000001</v>
      </c>
      <c r="CI64">
        <v>15.5367</v>
      </c>
      <c r="CJ64" t="s">
        <v>3018</v>
      </c>
      <c r="CK64">
        <v>8</v>
      </c>
      <c r="CL64" t="s">
        <v>4</v>
      </c>
      <c r="CM64" t="s">
        <v>3019</v>
      </c>
      <c r="CN64" t="s">
        <v>3020</v>
      </c>
      <c r="CO64" t="s">
        <v>3021</v>
      </c>
      <c r="CP64" t="s">
        <v>100</v>
      </c>
      <c r="CQ64">
        <v>63</v>
      </c>
      <c r="CR64" t="s">
        <v>100</v>
      </c>
      <c r="CS64" t="s">
        <v>101</v>
      </c>
      <c r="CT64" t="s">
        <v>152</v>
      </c>
      <c r="CU64" t="s">
        <v>102</v>
      </c>
      <c r="CV64" t="s">
        <v>100</v>
      </c>
    </row>
    <row r="65" spans="1:100">
      <c r="A65" s="3" t="s">
        <v>3022</v>
      </c>
      <c r="B65" s="4" t="s">
        <v>3023</v>
      </c>
      <c r="C65">
        <v>268.94045211311499</v>
      </c>
      <c r="D65">
        <v>1641.42999505329</v>
      </c>
      <c r="E65">
        <f>-2.60969284283708</f>
        <v>-2.60969284283708</v>
      </c>
      <c r="F65" s="5">
        <v>1.0351699471458301E-15</v>
      </c>
      <c r="G65" t="s">
        <v>4</v>
      </c>
      <c r="H65">
        <v>268.94045211311499</v>
      </c>
      <c r="I65">
        <v>293.06862840624802</v>
      </c>
      <c r="J65">
        <f>0.131111471297678</f>
        <v>0.131111471297678</v>
      </c>
      <c r="K65">
        <v>0.73414930424583102</v>
      </c>
      <c r="L65" t="s">
        <v>4</v>
      </c>
      <c r="M65">
        <v>1641.42999505329</v>
      </c>
      <c r="N65">
        <v>293.06862840624802</v>
      </c>
      <c r="O65">
        <v>2.4785813715393998</v>
      </c>
      <c r="P65" s="5">
        <v>1.2030477864095E-14</v>
      </c>
      <c r="Q65" t="s">
        <v>4</v>
      </c>
      <c r="R65" s="4" t="s">
        <v>87</v>
      </c>
      <c r="S65" t="s">
        <v>4</v>
      </c>
      <c r="T65" t="s">
        <v>92</v>
      </c>
      <c r="U65" t="s">
        <v>92</v>
      </c>
      <c r="V65" t="s">
        <v>92</v>
      </c>
      <c r="W65" t="s">
        <v>92</v>
      </c>
      <c r="X65" t="s">
        <v>4</v>
      </c>
      <c r="Y65" t="s">
        <v>92</v>
      </c>
      <c r="Z65" t="s">
        <v>92</v>
      </c>
      <c r="AA65" t="s">
        <v>92</v>
      </c>
      <c r="AB65" t="s">
        <v>4</v>
      </c>
      <c r="AC65" s="3" t="s">
        <v>93</v>
      </c>
      <c r="AD65" t="s">
        <v>4</v>
      </c>
      <c r="AE65" s="4" t="s">
        <v>94</v>
      </c>
      <c r="AZ65" t="s">
        <v>4</v>
      </c>
      <c r="BA65" s="3" t="s">
        <v>115</v>
      </c>
      <c r="BB65" s="6" t="s">
        <v>95</v>
      </c>
      <c r="BC65" s="3" t="s">
        <v>95</v>
      </c>
      <c r="BD65" t="s">
        <v>4</v>
      </c>
      <c r="BE65">
        <v>2993</v>
      </c>
      <c r="BF65" t="s">
        <v>97</v>
      </c>
      <c r="BG65">
        <v>97.572800000000001</v>
      </c>
      <c r="BH65">
        <v>31.5534</v>
      </c>
      <c r="BI65">
        <v>93.932000000000002</v>
      </c>
      <c r="BJ65">
        <v>83.737899999999996</v>
      </c>
      <c r="BK65">
        <v>76.698999999999998</v>
      </c>
      <c r="BL65">
        <v>33.009700000000002</v>
      </c>
      <c r="BN65">
        <v>78.155299999999997</v>
      </c>
      <c r="BO65">
        <v>76.456299999999999</v>
      </c>
      <c r="BP65">
        <v>44.174799999999998</v>
      </c>
      <c r="CK65">
        <v>4</v>
      </c>
      <c r="CL65" t="s">
        <v>4</v>
      </c>
      <c r="CM65" t="s">
        <v>98</v>
      </c>
      <c r="CN65" t="s">
        <v>98</v>
      </c>
      <c r="CO65" t="s">
        <v>99</v>
      </c>
      <c r="CP65" t="s">
        <v>100</v>
      </c>
      <c r="CQ65">
        <v>64</v>
      </c>
      <c r="CR65" t="s">
        <v>100</v>
      </c>
      <c r="CS65" t="s">
        <v>100</v>
      </c>
      <c r="CT65" t="s">
        <v>152</v>
      </c>
      <c r="CU65" t="s">
        <v>102</v>
      </c>
      <c r="CV65" t="s">
        <v>100</v>
      </c>
    </row>
    <row r="66" spans="1:100">
      <c r="A66" s="3" t="s">
        <v>3024</v>
      </c>
      <c r="B66" s="4" t="s">
        <v>3025</v>
      </c>
      <c r="C66">
        <v>89.209295806779807</v>
      </c>
      <c r="D66">
        <v>364.31802461165302</v>
      </c>
      <c r="E66">
        <f>-2.02796846676827</f>
        <v>-2.0279684667682698</v>
      </c>
      <c r="F66" s="5">
        <v>8.0486816772823503E-5</v>
      </c>
      <c r="G66" t="s">
        <v>4</v>
      </c>
      <c r="H66">
        <v>89.209295806779807</v>
      </c>
      <c r="I66">
        <v>29.2932699709757</v>
      </c>
      <c r="J66">
        <v>1.5688358999067999</v>
      </c>
      <c r="K66">
        <v>4.0772187961337202E-3</v>
      </c>
      <c r="L66" t="s">
        <v>4</v>
      </c>
      <c r="M66">
        <v>364.31802461165302</v>
      </c>
      <c r="N66">
        <v>29.2932699709757</v>
      </c>
      <c r="O66">
        <v>3.59680436667507</v>
      </c>
      <c r="P66" s="5">
        <v>2.4301516930215799E-12</v>
      </c>
      <c r="Q66" t="s">
        <v>4</v>
      </c>
      <c r="R66" s="4" t="s">
        <v>87</v>
      </c>
      <c r="S66" t="s">
        <v>4</v>
      </c>
      <c r="T66" t="s">
        <v>88</v>
      </c>
      <c r="U66" t="s">
        <v>89</v>
      </c>
      <c r="V66" t="s">
        <v>90</v>
      </c>
      <c r="W66" t="s">
        <v>91</v>
      </c>
      <c r="X66" t="s">
        <v>4</v>
      </c>
      <c r="Y66" t="s">
        <v>3026</v>
      </c>
      <c r="Z66" t="s">
        <v>3027</v>
      </c>
      <c r="AA66" t="s">
        <v>3028</v>
      </c>
      <c r="AB66" t="s">
        <v>4</v>
      </c>
      <c r="AC66" s="3" t="s">
        <v>3029</v>
      </c>
      <c r="AD66" t="s">
        <v>4</v>
      </c>
      <c r="AE66" t="s">
        <v>3030</v>
      </c>
      <c r="AF66" t="s">
        <v>3031</v>
      </c>
      <c r="AG66" t="s">
        <v>3032</v>
      </c>
      <c r="AH66" t="s">
        <v>386</v>
      </c>
      <c r="AU66" t="s">
        <v>112</v>
      </c>
      <c r="AV66" t="s">
        <v>3033</v>
      </c>
      <c r="AW66" t="s">
        <v>114</v>
      </c>
      <c r="AX66" t="s">
        <v>132</v>
      </c>
      <c r="AY66" t="s">
        <v>3034</v>
      </c>
      <c r="AZ66" t="s">
        <v>4</v>
      </c>
      <c r="BA66" s="3" t="s">
        <v>95</v>
      </c>
      <c r="BB66" t="s">
        <v>96</v>
      </c>
      <c r="BC66" s="3" t="s">
        <v>95</v>
      </c>
      <c r="BD66" t="s">
        <v>4</v>
      </c>
      <c r="BE66">
        <v>2310</v>
      </c>
      <c r="BF66" t="s">
        <v>148</v>
      </c>
      <c r="BG66">
        <v>95.987700000000004</v>
      </c>
      <c r="BH66">
        <v>72.530900000000003</v>
      </c>
      <c r="BI66">
        <v>71.296300000000002</v>
      </c>
      <c r="BK66">
        <v>51.851900000000001</v>
      </c>
      <c r="BL66">
        <v>45.987699999999997</v>
      </c>
      <c r="BM66">
        <v>42.592599999999997</v>
      </c>
      <c r="BN66">
        <v>59.259300000000003</v>
      </c>
      <c r="CK66">
        <v>3</v>
      </c>
      <c r="CL66" t="s">
        <v>4</v>
      </c>
      <c r="CM66" t="s">
        <v>98</v>
      </c>
      <c r="CN66" t="s">
        <v>98</v>
      </c>
      <c r="CO66" t="s">
        <v>99</v>
      </c>
      <c r="CP66" t="s">
        <v>100</v>
      </c>
      <c r="CQ66">
        <v>65</v>
      </c>
      <c r="CR66" t="s">
        <v>100</v>
      </c>
      <c r="CS66" s="7" t="s">
        <v>101</v>
      </c>
      <c r="CT66" t="s">
        <v>152</v>
      </c>
      <c r="CU66" t="s">
        <v>102</v>
      </c>
      <c r="CV66" t="s">
        <v>100</v>
      </c>
    </row>
    <row r="67" spans="1:100">
      <c r="A67" s="3" t="s">
        <v>3035</v>
      </c>
      <c r="B67" s="4" t="s">
        <v>3036</v>
      </c>
      <c r="C67">
        <v>761.30507271047202</v>
      </c>
      <c r="D67">
        <v>4681.99871421853</v>
      </c>
      <c r="E67">
        <f>-2.62032455437279</f>
        <v>-2.62032455437279</v>
      </c>
      <c r="F67" s="5">
        <v>5.07364526930008E-15</v>
      </c>
      <c r="G67" t="s">
        <v>4</v>
      </c>
      <c r="H67">
        <v>761.30507271047202</v>
      </c>
      <c r="I67">
        <v>199.951423319284</v>
      </c>
      <c r="J67">
        <v>1.9349034429002201</v>
      </c>
      <c r="K67" s="5">
        <v>1.5620312638749799E-8</v>
      </c>
      <c r="L67" t="s">
        <v>4</v>
      </c>
      <c r="M67">
        <v>4681.99871421853</v>
      </c>
      <c r="N67">
        <v>199.951423319284</v>
      </c>
      <c r="O67">
        <v>4.5552279972729997</v>
      </c>
      <c r="P67" s="5">
        <v>3.19230787476699E-43</v>
      </c>
      <c r="Q67" t="s">
        <v>4</v>
      </c>
      <c r="R67" s="4" t="s">
        <v>87</v>
      </c>
      <c r="S67" t="s">
        <v>4</v>
      </c>
      <c r="T67" t="s">
        <v>92</v>
      </c>
      <c r="U67" t="s">
        <v>92</v>
      </c>
      <c r="V67" t="s">
        <v>92</v>
      </c>
      <c r="W67" t="s">
        <v>92</v>
      </c>
      <c r="X67" t="s">
        <v>4</v>
      </c>
      <c r="Y67" t="s">
        <v>3037</v>
      </c>
      <c r="Z67" t="s">
        <v>3038</v>
      </c>
      <c r="AA67" t="s">
        <v>3039</v>
      </c>
      <c r="AB67" t="s">
        <v>4</v>
      </c>
      <c r="AC67" s="3" t="s">
        <v>3040</v>
      </c>
      <c r="AD67" t="s">
        <v>4</v>
      </c>
      <c r="AE67" t="s">
        <v>3041</v>
      </c>
      <c r="AF67" t="s">
        <v>3042</v>
      </c>
      <c r="AG67" t="s">
        <v>3043</v>
      </c>
      <c r="AH67" t="s">
        <v>314</v>
      </c>
      <c r="AU67" t="s">
        <v>112</v>
      </c>
      <c r="AV67" t="s">
        <v>3044</v>
      </c>
      <c r="AW67" t="s">
        <v>114</v>
      </c>
      <c r="AX67" t="s">
        <v>167</v>
      </c>
      <c r="AY67" t="s">
        <v>3045</v>
      </c>
      <c r="AZ67" t="s">
        <v>4</v>
      </c>
      <c r="BA67" s="3" t="s">
        <v>95</v>
      </c>
      <c r="BB67" s="6" t="s">
        <v>95</v>
      </c>
      <c r="BC67" s="3" t="s">
        <v>95</v>
      </c>
      <c r="BD67" t="s">
        <v>4</v>
      </c>
      <c r="BE67">
        <v>2311</v>
      </c>
      <c r="BF67" t="s">
        <v>148</v>
      </c>
      <c r="BG67">
        <v>98.874799999999993</v>
      </c>
      <c r="BH67">
        <v>96.624499999999998</v>
      </c>
      <c r="BI67">
        <v>93.670900000000003</v>
      </c>
      <c r="BJ67">
        <v>64.697599999999994</v>
      </c>
      <c r="BK67">
        <v>51.898699999999998</v>
      </c>
      <c r="CK67">
        <v>3</v>
      </c>
      <c r="CL67" t="s">
        <v>4</v>
      </c>
      <c r="CM67" t="s">
        <v>98</v>
      </c>
      <c r="CN67" t="s">
        <v>98</v>
      </c>
      <c r="CO67" t="s">
        <v>99</v>
      </c>
      <c r="CP67" t="s">
        <v>100</v>
      </c>
      <c r="CQ67">
        <v>66</v>
      </c>
      <c r="CR67" t="s">
        <v>100</v>
      </c>
      <c r="CS67" s="7" t="s">
        <v>101</v>
      </c>
      <c r="CT67" t="s">
        <v>152</v>
      </c>
      <c r="CU67" t="s">
        <v>102</v>
      </c>
      <c r="CV67" t="s">
        <v>100</v>
      </c>
    </row>
    <row r="68" spans="1:100">
      <c r="A68" s="3" t="s">
        <v>3046</v>
      </c>
      <c r="B68" s="4" t="s">
        <v>3047</v>
      </c>
      <c r="C68">
        <v>246.38528159597399</v>
      </c>
      <c r="D68">
        <v>4382.3979721321102</v>
      </c>
      <c r="E68">
        <f>-4.15172827330151</f>
        <v>-4.1517282733015097</v>
      </c>
      <c r="F68" s="5">
        <v>2.8427645409193998E-23</v>
      </c>
      <c r="G68" t="s">
        <v>4</v>
      </c>
      <c r="H68">
        <v>246.38528159597399</v>
      </c>
      <c r="I68">
        <v>743.10524365170102</v>
      </c>
      <c r="J68">
        <f>-1.5912054387749</f>
        <v>-1.5912054387748999</v>
      </c>
      <c r="K68">
        <v>2.4188208233426599E-4</v>
      </c>
      <c r="L68" t="s">
        <v>4</v>
      </c>
      <c r="M68">
        <v>4382.3979721321102</v>
      </c>
      <c r="N68">
        <v>743.10524365170102</v>
      </c>
      <c r="O68">
        <v>2.56052283452662</v>
      </c>
      <c r="P68" s="5">
        <v>7.0326447524741705E-10</v>
      </c>
      <c r="Q68" t="s">
        <v>4</v>
      </c>
      <c r="R68" s="4" t="s">
        <v>87</v>
      </c>
      <c r="S68" t="s">
        <v>4</v>
      </c>
      <c r="T68" t="s">
        <v>2243</v>
      </c>
      <c r="U68" t="s">
        <v>2244</v>
      </c>
      <c r="V68" t="s">
        <v>2245</v>
      </c>
      <c r="W68" t="s">
        <v>123</v>
      </c>
      <c r="X68" t="s">
        <v>4</v>
      </c>
      <c r="Y68" t="s">
        <v>3048</v>
      </c>
      <c r="Z68" t="s">
        <v>3049</v>
      </c>
      <c r="AA68" t="s">
        <v>3050</v>
      </c>
      <c r="AB68" t="s">
        <v>4</v>
      </c>
      <c r="AC68" s="3" t="s">
        <v>3051</v>
      </c>
      <c r="AD68" t="s">
        <v>4</v>
      </c>
      <c r="AE68" s="4" t="s">
        <v>94</v>
      </c>
      <c r="AZ68" t="s">
        <v>4</v>
      </c>
      <c r="BA68" s="3" t="s">
        <v>115</v>
      </c>
      <c r="BB68" s="6" t="s">
        <v>95</v>
      </c>
      <c r="BC68" s="3" t="s">
        <v>95</v>
      </c>
      <c r="BD68" t="s">
        <v>4</v>
      </c>
      <c r="BE68">
        <v>2313</v>
      </c>
      <c r="BF68" t="s">
        <v>148</v>
      </c>
      <c r="BG68">
        <v>87.930999999999997</v>
      </c>
      <c r="BH68">
        <v>88.793099999999995</v>
      </c>
      <c r="BI68">
        <v>91.379300000000001</v>
      </c>
      <c r="BJ68">
        <v>62.356299999999997</v>
      </c>
      <c r="BK68">
        <v>64.080500000000001</v>
      </c>
      <c r="BL68">
        <v>40.229900000000001</v>
      </c>
      <c r="BM68">
        <v>46.264400000000002</v>
      </c>
      <c r="BN68">
        <v>54.310299999999998</v>
      </c>
      <c r="BO68">
        <v>63.793100000000003</v>
      </c>
      <c r="CK68">
        <v>3</v>
      </c>
      <c r="CL68" t="s">
        <v>4</v>
      </c>
      <c r="CM68" t="s">
        <v>98</v>
      </c>
      <c r="CN68" t="s">
        <v>98</v>
      </c>
      <c r="CO68" t="s">
        <v>99</v>
      </c>
      <c r="CP68" t="s">
        <v>100</v>
      </c>
      <c r="CQ68">
        <v>67</v>
      </c>
      <c r="CR68" t="s">
        <v>100</v>
      </c>
      <c r="CS68" t="s">
        <v>100</v>
      </c>
      <c r="CT68" t="s">
        <v>152</v>
      </c>
      <c r="CU68" t="s">
        <v>102</v>
      </c>
      <c r="CV68" t="s">
        <v>100</v>
      </c>
    </row>
    <row r="69" spans="1:100">
      <c r="A69" s="3" t="s">
        <v>3052</v>
      </c>
      <c r="B69" s="4" t="s">
        <v>3053</v>
      </c>
      <c r="C69">
        <v>119.25157881558501</v>
      </c>
      <c r="D69">
        <v>1289.6679542105401</v>
      </c>
      <c r="E69">
        <f>-3.43358029519669</f>
        <v>-3.4335802951966898</v>
      </c>
      <c r="F69" s="5">
        <v>9.3409955603986005E-14</v>
      </c>
      <c r="G69" t="s">
        <v>4</v>
      </c>
      <c r="H69">
        <v>119.25157881558501</v>
      </c>
      <c r="I69">
        <v>53.373080547657999</v>
      </c>
      <c r="J69">
        <v>1.1726440611804401</v>
      </c>
      <c r="K69">
        <v>2.0204717586470699E-2</v>
      </c>
      <c r="L69" t="s">
        <v>4</v>
      </c>
      <c r="M69">
        <v>1289.6679542105401</v>
      </c>
      <c r="N69">
        <v>53.373080547657999</v>
      </c>
      <c r="O69">
        <v>4.6062243563771297</v>
      </c>
      <c r="P69" s="5">
        <v>3.1588723170982001E-23</v>
      </c>
      <c r="Q69" t="s">
        <v>4</v>
      </c>
      <c r="R69" s="4" t="s">
        <v>87</v>
      </c>
      <c r="S69" t="s">
        <v>4</v>
      </c>
      <c r="T69" t="s">
        <v>92</v>
      </c>
      <c r="U69" t="s">
        <v>92</v>
      </c>
      <c r="V69" t="s">
        <v>92</v>
      </c>
      <c r="W69" t="s">
        <v>92</v>
      </c>
      <c r="X69" t="s">
        <v>4</v>
      </c>
      <c r="Y69" t="s">
        <v>92</v>
      </c>
      <c r="Z69" t="s">
        <v>92</v>
      </c>
      <c r="AA69" t="s">
        <v>92</v>
      </c>
      <c r="AB69" t="s">
        <v>4</v>
      </c>
      <c r="AC69" s="3" t="s">
        <v>93</v>
      </c>
      <c r="AD69" t="s">
        <v>4</v>
      </c>
      <c r="AE69" s="4" t="s">
        <v>94</v>
      </c>
      <c r="AZ69" t="s">
        <v>4</v>
      </c>
      <c r="BA69" s="3" t="s">
        <v>95</v>
      </c>
      <c r="BB69" s="6" t="s">
        <v>95</v>
      </c>
      <c r="BC69" s="3" t="s">
        <v>95</v>
      </c>
      <c r="BD69" t="s">
        <v>4</v>
      </c>
      <c r="BE69">
        <v>1487</v>
      </c>
      <c r="BF69" t="s">
        <v>151</v>
      </c>
      <c r="BG69">
        <v>95.977000000000004</v>
      </c>
      <c r="BH69">
        <v>97.126400000000004</v>
      </c>
      <c r="BI69">
        <v>79.310299999999998</v>
      </c>
      <c r="BJ69">
        <v>8.6206899999999997</v>
      </c>
      <c r="BK69">
        <v>32.183900000000001</v>
      </c>
      <c r="BL69">
        <v>36.206899999999997</v>
      </c>
      <c r="BM69">
        <v>27.011500000000002</v>
      </c>
      <c r="BN69">
        <v>26.436800000000002</v>
      </c>
      <c r="BO69" t="s">
        <v>3054</v>
      </c>
      <c r="CK69">
        <v>2</v>
      </c>
      <c r="CL69" t="s">
        <v>4</v>
      </c>
      <c r="CM69" t="s">
        <v>98</v>
      </c>
      <c r="CN69" t="s">
        <v>98</v>
      </c>
      <c r="CO69" t="s">
        <v>99</v>
      </c>
      <c r="CP69" t="s">
        <v>100</v>
      </c>
      <c r="CQ69">
        <v>68</v>
      </c>
      <c r="CR69" t="s">
        <v>100</v>
      </c>
      <c r="CS69" s="7" t="s">
        <v>101</v>
      </c>
      <c r="CT69" t="s">
        <v>152</v>
      </c>
      <c r="CU69" t="s">
        <v>102</v>
      </c>
      <c r="CV69" t="s">
        <v>100</v>
      </c>
    </row>
    <row r="70" spans="1:100">
      <c r="A70" s="3" t="s">
        <v>3055</v>
      </c>
      <c r="B70" s="4" t="s">
        <v>3056</v>
      </c>
      <c r="C70">
        <v>49.316143932318397</v>
      </c>
      <c r="D70">
        <v>239.686180098943</v>
      </c>
      <c r="E70">
        <f>-2.28242674182562</f>
        <v>-2.2824267418256201</v>
      </c>
      <c r="F70" s="5">
        <v>7.6665563424919606E-5</v>
      </c>
      <c r="G70" t="s">
        <v>4</v>
      </c>
      <c r="H70">
        <v>49.316143932318397</v>
      </c>
      <c r="I70">
        <v>12.1286157883765</v>
      </c>
      <c r="J70">
        <v>1.9693626840430301</v>
      </c>
      <c r="K70">
        <v>2.2701973972507898E-3</v>
      </c>
      <c r="L70" t="s">
        <v>4</v>
      </c>
      <c r="M70">
        <v>239.686180098943</v>
      </c>
      <c r="N70">
        <v>12.1286157883765</v>
      </c>
      <c r="O70">
        <v>4.2517894258686502</v>
      </c>
      <c r="P70" s="5">
        <v>2.35906189422874E-12</v>
      </c>
      <c r="Q70" t="s">
        <v>4</v>
      </c>
      <c r="R70" s="4" t="s">
        <v>87</v>
      </c>
      <c r="S70" t="s">
        <v>4</v>
      </c>
      <c r="T70" t="s">
        <v>92</v>
      </c>
      <c r="U70" t="s">
        <v>92</v>
      </c>
      <c r="V70" t="s">
        <v>92</v>
      </c>
      <c r="W70" t="s">
        <v>92</v>
      </c>
      <c r="X70" t="s">
        <v>4</v>
      </c>
      <c r="Y70" t="s">
        <v>92</v>
      </c>
      <c r="Z70" t="s">
        <v>92</v>
      </c>
      <c r="AA70" t="s">
        <v>92</v>
      </c>
      <c r="AB70" t="s">
        <v>4</v>
      </c>
      <c r="AC70" s="3" t="s">
        <v>93</v>
      </c>
      <c r="AD70" t="s">
        <v>4</v>
      </c>
      <c r="AE70" s="4" t="s">
        <v>94</v>
      </c>
      <c r="AZ70" t="s">
        <v>4</v>
      </c>
      <c r="BA70" s="3" t="s">
        <v>95</v>
      </c>
      <c r="BB70" t="s">
        <v>96</v>
      </c>
      <c r="BC70" s="3" t="s">
        <v>95</v>
      </c>
      <c r="BD70" t="s">
        <v>4</v>
      </c>
      <c r="BE70">
        <v>1493</v>
      </c>
      <c r="BF70" t="s">
        <v>151</v>
      </c>
      <c r="BH70">
        <v>65.273300000000006</v>
      </c>
      <c r="BJ70">
        <v>59.807099999999998</v>
      </c>
      <c r="BN70" t="s">
        <v>3057</v>
      </c>
      <c r="BO70">
        <v>31.511299999999999</v>
      </c>
      <c r="CK70">
        <v>2</v>
      </c>
      <c r="CL70" t="s">
        <v>4</v>
      </c>
      <c r="CM70" t="s">
        <v>98</v>
      </c>
      <c r="CN70" t="s">
        <v>98</v>
      </c>
      <c r="CO70" t="s">
        <v>99</v>
      </c>
      <c r="CP70" t="s">
        <v>100</v>
      </c>
      <c r="CQ70">
        <v>69</v>
      </c>
      <c r="CR70" t="s">
        <v>100</v>
      </c>
      <c r="CS70" s="7" t="s">
        <v>101</v>
      </c>
      <c r="CT70" t="s">
        <v>152</v>
      </c>
      <c r="CU70" t="s">
        <v>102</v>
      </c>
      <c r="CV70" t="s">
        <v>100</v>
      </c>
    </row>
    <row r="71" spans="1:100">
      <c r="A71" s="3" t="s">
        <v>3058</v>
      </c>
      <c r="B71" s="4" t="s">
        <v>3059</v>
      </c>
      <c r="C71">
        <v>60.3465895218892</v>
      </c>
      <c r="D71">
        <v>712.18668983110194</v>
      </c>
      <c r="E71">
        <f>-3.55961449006824</f>
        <v>-3.55961449006824</v>
      </c>
      <c r="F71" s="5">
        <v>2.0199166725089601E-7</v>
      </c>
      <c r="G71" t="s">
        <v>4</v>
      </c>
      <c r="H71">
        <v>60.3465895218892</v>
      </c>
      <c r="I71">
        <v>26.836202972306101</v>
      </c>
      <c r="J71">
        <v>1.1821296347643699</v>
      </c>
      <c r="K71">
        <v>0.11508247859579999</v>
      </c>
      <c r="L71" t="s">
        <v>4</v>
      </c>
      <c r="M71">
        <v>712.18668983110194</v>
      </c>
      <c r="N71">
        <v>26.836202972306101</v>
      </c>
      <c r="O71">
        <v>4.7417441248326098</v>
      </c>
      <c r="P71" s="5">
        <v>3.30789021905105E-12</v>
      </c>
      <c r="Q71" t="s">
        <v>4</v>
      </c>
      <c r="R71" s="4" t="s">
        <v>87</v>
      </c>
      <c r="S71" t="s">
        <v>4</v>
      </c>
      <c r="T71" t="s">
        <v>92</v>
      </c>
      <c r="U71" t="s">
        <v>92</v>
      </c>
      <c r="V71" t="s">
        <v>92</v>
      </c>
      <c r="W71" t="s">
        <v>92</v>
      </c>
      <c r="X71" t="s">
        <v>4</v>
      </c>
      <c r="Y71" t="s">
        <v>92</v>
      </c>
      <c r="Z71" t="s">
        <v>92</v>
      </c>
      <c r="AA71" t="s">
        <v>92</v>
      </c>
      <c r="AB71" t="s">
        <v>4</v>
      </c>
      <c r="AC71" s="3" t="s">
        <v>93</v>
      </c>
      <c r="AD71" t="s">
        <v>4</v>
      </c>
      <c r="AE71" s="4" t="s">
        <v>94</v>
      </c>
      <c r="AZ71" t="s">
        <v>4</v>
      </c>
      <c r="BA71" s="3" t="s">
        <v>95</v>
      </c>
      <c r="BB71" s="6" t="s">
        <v>95</v>
      </c>
      <c r="BC71" s="3" t="s">
        <v>95</v>
      </c>
      <c r="BD71" t="s">
        <v>4</v>
      </c>
      <c r="BE71">
        <v>383</v>
      </c>
      <c r="BF71" t="s">
        <v>322</v>
      </c>
      <c r="CK71">
        <v>1</v>
      </c>
      <c r="CL71" t="s">
        <v>4</v>
      </c>
      <c r="CM71" t="s">
        <v>98</v>
      </c>
      <c r="CN71" t="s">
        <v>98</v>
      </c>
      <c r="CO71" t="s">
        <v>99</v>
      </c>
      <c r="CP71" t="s">
        <v>100</v>
      </c>
      <c r="CQ71">
        <v>70</v>
      </c>
      <c r="CR71" t="s">
        <v>100</v>
      </c>
      <c r="CS71" t="s">
        <v>100</v>
      </c>
      <c r="CT71" t="s">
        <v>152</v>
      </c>
      <c r="CU71" t="s">
        <v>102</v>
      </c>
      <c r="CV71" t="s">
        <v>100</v>
      </c>
    </row>
    <row r="72" spans="1:100">
      <c r="A72" s="3" t="s">
        <v>3060</v>
      </c>
      <c r="B72" s="4" t="s">
        <v>3061</v>
      </c>
      <c r="C72">
        <v>0.78823188686948098</v>
      </c>
      <c r="D72">
        <v>24.875746918082399</v>
      </c>
      <c r="E72">
        <f>-5.02343954296254</f>
        <v>-5.0234395429625396</v>
      </c>
      <c r="F72">
        <v>3.9615590473962499E-4</v>
      </c>
      <c r="G72" t="s">
        <v>4</v>
      </c>
      <c r="H72">
        <v>0.78823188686948098</v>
      </c>
      <c r="I72">
        <v>0.337017752855924</v>
      </c>
      <c r="J72">
        <v>0.60175892100009698</v>
      </c>
      <c r="K72">
        <v>0.77790566591658405</v>
      </c>
      <c r="L72" t="s">
        <v>4</v>
      </c>
      <c r="M72">
        <v>24.875746918082399</v>
      </c>
      <c r="N72">
        <v>0.337017752855924</v>
      </c>
      <c r="O72">
        <v>5.62519846396264</v>
      </c>
      <c r="P72">
        <v>5.7626834304824704E-4</v>
      </c>
      <c r="Q72" t="s">
        <v>4</v>
      </c>
      <c r="R72" s="4" t="s">
        <v>87</v>
      </c>
      <c r="S72" t="s">
        <v>4</v>
      </c>
      <c r="T72" t="s">
        <v>92</v>
      </c>
      <c r="U72" t="s">
        <v>92</v>
      </c>
      <c r="V72" t="s">
        <v>92</v>
      </c>
      <c r="W72" t="s">
        <v>92</v>
      </c>
      <c r="X72" t="s">
        <v>4</v>
      </c>
      <c r="Y72" t="s">
        <v>92</v>
      </c>
      <c r="Z72" t="s">
        <v>92</v>
      </c>
      <c r="AA72" t="s">
        <v>92</v>
      </c>
      <c r="AB72" t="s">
        <v>4</v>
      </c>
      <c r="AC72" s="3" t="s">
        <v>93</v>
      </c>
      <c r="AD72" t="s">
        <v>4</v>
      </c>
      <c r="AE72" s="4" t="s">
        <v>94</v>
      </c>
      <c r="AZ72" t="s">
        <v>4</v>
      </c>
      <c r="BA72" s="3" t="s">
        <v>95</v>
      </c>
      <c r="BB72" s="6" t="s">
        <v>95</v>
      </c>
      <c r="BC72" s="3" t="s">
        <v>95</v>
      </c>
      <c r="BD72" t="s">
        <v>4</v>
      </c>
      <c r="BE72">
        <v>389</v>
      </c>
      <c r="BF72" t="s">
        <v>322</v>
      </c>
      <c r="CK72">
        <v>1</v>
      </c>
      <c r="CL72" t="s">
        <v>4</v>
      </c>
      <c r="CM72" t="s">
        <v>98</v>
      </c>
      <c r="CN72" t="s">
        <v>98</v>
      </c>
      <c r="CO72" t="s">
        <v>99</v>
      </c>
      <c r="CP72" t="s">
        <v>100</v>
      </c>
      <c r="CQ72">
        <v>71</v>
      </c>
      <c r="CR72" t="s">
        <v>100</v>
      </c>
      <c r="CS72" t="s">
        <v>100</v>
      </c>
      <c r="CT72" t="s">
        <v>152</v>
      </c>
      <c r="CU72" t="s">
        <v>102</v>
      </c>
      <c r="CV72" t="s">
        <v>100</v>
      </c>
    </row>
    <row r="73" spans="1:100">
      <c r="A73" s="3" t="s">
        <v>3062</v>
      </c>
      <c r="B73" s="4" t="s">
        <v>3063</v>
      </c>
      <c r="C73">
        <v>107.94807796024701</v>
      </c>
      <c r="D73">
        <v>961.27926512362103</v>
      </c>
      <c r="E73">
        <f>-3.15195457612882</f>
        <v>-3.1519545761288201</v>
      </c>
      <c r="F73" s="5">
        <v>7.8505447683298605E-16</v>
      </c>
      <c r="G73" t="s">
        <v>4</v>
      </c>
      <c r="H73">
        <v>107.94807796024701</v>
      </c>
      <c r="I73">
        <v>91.973243170931397</v>
      </c>
      <c r="J73">
        <v>0.218027131914838</v>
      </c>
      <c r="K73">
        <v>0.64061492862745795</v>
      </c>
      <c r="L73" t="s">
        <v>4</v>
      </c>
      <c r="M73">
        <v>961.27926512362103</v>
      </c>
      <c r="N73">
        <v>91.973243170931397</v>
      </c>
      <c r="O73">
        <v>3.3699817080436598</v>
      </c>
      <c r="P73" s="5">
        <v>6.0931963794120999E-18</v>
      </c>
      <c r="Q73" t="s">
        <v>4</v>
      </c>
      <c r="R73" s="4" t="s">
        <v>87</v>
      </c>
      <c r="S73" t="s">
        <v>4</v>
      </c>
      <c r="T73" t="s">
        <v>92</v>
      </c>
      <c r="U73" t="s">
        <v>92</v>
      </c>
      <c r="V73" t="s">
        <v>92</v>
      </c>
      <c r="W73" t="s">
        <v>92</v>
      </c>
      <c r="X73" t="s">
        <v>4</v>
      </c>
      <c r="Y73" t="s">
        <v>92</v>
      </c>
      <c r="Z73" t="s">
        <v>92</v>
      </c>
      <c r="AA73" t="s">
        <v>92</v>
      </c>
      <c r="AB73" t="s">
        <v>4</v>
      </c>
      <c r="AC73" s="3" t="s">
        <v>93</v>
      </c>
      <c r="AD73" t="s">
        <v>4</v>
      </c>
      <c r="AE73" t="s">
        <v>3064</v>
      </c>
      <c r="AF73" t="s">
        <v>3065</v>
      </c>
      <c r="AG73" t="s">
        <v>903</v>
      </c>
      <c r="AH73" t="s">
        <v>112</v>
      </c>
      <c r="AL73" t="s">
        <v>3066</v>
      </c>
      <c r="AM73" t="s">
        <v>302</v>
      </c>
      <c r="AQ73" t="s">
        <v>303</v>
      </c>
      <c r="AU73" t="s">
        <v>112</v>
      </c>
      <c r="AV73" t="s">
        <v>3067</v>
      </c>
      <c r="AW73" t="s">
        <v>114</v>
      </c>
      <c r="AX73" t="s">
        <v>144</v>
      </c>
      <c r="AY73" t="s">
        <v>3068</v>
      </c>
      <c r="AZ73" t="s">
        <v>4</v>
      </c>
      <c r="BA73" s="3" t="s">
        <v>95</v>
      </c>
      <c r="BB73" s="6" t="s">
        <v>95</v>
      </c>
      <c r="BC73" s="3" t="s">
        <v>95</v>
      </c>
      <c r="BD73" t="s">
        <v>4</v>
      </c>
      <c r="BE73">
        <v>1519</v>
      </c>
      <c r="BF73" t="s">
        <v>151</v>
      </c>
      <c r="BG73">
        <v>81.981999999999999</v>
      </c>
      <c r="BL73">
        <v>45.945900000000002</v>
      </c>
      <c r="CK73">
        <v>2</v>
      </c>
      <c r="CL73" t="s">
        <v>4</v>
      </c>
      <c r="CM73" t="s">
        <v>98</v>
      </c>
      <c r="CN73" t="s">
        <v>98</v>
      </c>
      <c r="CO73" t="s">
        <v>99</v>
      </c>
      <c r="CP73" t="s">
        <v>100</v>
      </c>
      <c r="CQ73">
        <v>72</v>
      </c>
      <c r="CR73" t="s">
        <v>100</v>
      </c>
      <c r="CS73" t="s">
        <v>100</v>
      </c>
      <c r="CT73" t="s">
        <v>152</v>
      </c>
      <c r="CU73" t="s">
        <v>102</v>
      </c>
      <c r="CV73" t="s">
        <v>100</v>
      </c>
    </row>
    <row r="74" spans="1:100">
      <c r="A74" s="3" t="s">
        <v>3069</v>
      </c>
      <c r="B74" s="4" t="s">
        <v>3070</v>
      </c>
      <c r="C74">
        <v>1217.0885026973999</v>
      </c>
      <c r="D74">
        <v>20514.851929746201</v>
      </c>
      <c r="E74">
        <f>-4.07497340637507</f>
        <v>-4.0749734063750704</v>
      </c>
      <c r="F74" s="5">
        <v>9.2125914265597504E-21</v>
      </c>
      <c r="G74" t="s">
        <v>4</v>
      </c>
      <c r="H74">
        <v>1217.0885026973999</v>
      </c>
      <c r="I74">
        <v>1153.10020277535</v>
      </c>
      <c r="J74">
        <v>7.8154837356235005E-2</v>
      </c>
      <c r="K74">
        <v>0.88047969884978705</v>
      </c>
      <c r="L74" t="s">
        <v>4</v>
      </c>
      <c r="M74">
        <v>20514.851929746201</v>
      </c>
      <c r="N74">
        <v>1153.10020277535</v>
      </c>
      <c r="O74">
        <v>4.1531282437313104</v>
      </c>
      <c r="P74" s="5">
        <v>3.1915953068895598E-22</v>
      </c>
      <c r="Q74" t="s">
        <v>4</v>
      </c>
      <c r="R74" s="4" t="s">
        <v>87</v>
      </c>
      <c r="S74" t="s">
        <v>4</v>
      </c>
      <c r="T74" t="s">
        <v>2243</v>
      </c>
      <c r="U74" t="s">
        <v>2244</v>
      </c>
      <c r="V74" t="s">
        <v>2245</v>
      </c>
      <c r="W74" t="s">
        <v>123</v>
      </c>
      <c r="X74" t="s">
        <v>4</v>
      </c>
      <c r="Y74" t="s">
        <v>3071</v>
      </c>
      <c r="Z74" t="s">
        <v>3072</v>
      </c>
      <c r="AA74" t="s">
        <v>3073</v>
      </c>
      <c r="AB74" t="s">
        <v>4</v>
      </c>
      <c r="AC74" s="3" t="s">
        <v>3074</v>
      </c>
      <c r="AD74" t="s">
        <v>4</v>
      </c>
      <c r="AE74" s="4" t="s">
        <v>94</v>
      </c>
      <c r="AZ74" t="s">
        <v>4</v>
      </c>
      <c r="BA74" s="3" t="s">
        <v>95</v>
      </c>
      <c r="BB74" s="6" t="s">
        <v>95</v>
      </c>
      <c r="BC74" s="3" t="s">
        <v>95</v>
      </c>
      <c r="BD74" t="s">
        <v>4</v>
      </c>
      <c r="BE74">
        <v>1520</v>
      </c>
      <c r="BF74" t="s">
        <v>151</v>
      </c>
      <c r="BG74">
        <v>99.305599999999998</v>
      </c>
      <c r="BH74" t="s">
        <v>3075</v>
      </c>
      <c r="BI74">
        <v>75.347200000000001</v>
      </c>
      <c r="BJ74" t="s">
        <v>3076</v>
      </c>
      <c r="BK74">
        <v>68.75</v>
      </c>
      <c r="BL74">
        <v>35.9375</v>
      </c>
      <c r="BM74">
        <v>66.493099999999998</v>
      </c>
      <c r="BN74" t="s">
        <v>3077</v>
      </c>
      <c r="BO74" t="s">
        <v>3078</v>
      </c>
      <c r="CK74">
        <v>2</v>
      </c>
      <c r="CL74" t="s">
        <v>4</v>
      </c>
      <c r="CM74" t="s">
        <v>98</v>
      </c>
      <c r="CN74" t="s">
        <v>98</v>
      </c>
      <c r="CO74" t="s">
        <v>99</v>
      </c>
      <c r="CP74" t="s">
        <v>100</v>
      </c>
      <c r="CQ74">
        <v>73</v>
      </c>
      <c r="CR74" t="s">
        <v>100</v>
      </c>
      <c r="CS74" t="s">
        <v>100</v>
      </c>
      <c r="CT74" t="s">
        <v>152</v>
      </c>
      <c r="CU74" t="s">
        <v>102</v>
      </c>
      <c r="CV74" t="s">
        <v>100</v>
      </c>
    </row>
    <row r="75" spans="1:100">
      <c r="A75" s="3" t="s">
        <v>3079</v>
      </c>
      <c r="B75" s="4" t="s">
        <v>3080</v>
      </c>
      <c r="C75">
        <v>306.44385077647797</v>
      </c>
      <c r="D75">
        <v>1243.09292854812</v>
      </c>
      <c r="E75">
        <f>-2.02054304216387</f>
        <v>-2.0205430421638702</v>
      </c>
      <c r="F75" s="5">
        <v>7.3982854263629598E-15</v>
      </c>
      <c r="G75" t="s">
        <v>4</v>
      </c>
      <c r="H75">
        <v>306.44385077647797</v>
      </c>
      <c r="I75">
        <v>180.82504685404999</v>
      </c>
      <c r="J75">
        <v>0.76725539013191502</v>
      </c>
      <c r="K75">
        <v>6.2615804407116903E-3</v>
      </c>
      <c r="L75" t="s">
        <v>4</v>
      </c>
      <c r="M75">
        <v>1243.09292854812</v>
      </c>
      <c r="N75">
        <v>180.82504685404999</v>
      </c>
      <c r="O75">
        <v>2.7877984322957801</v>
      </c>
      <c r="P75" s="5">
        <v>8.0102545258181899E-27</v>
      </c>
      <c r="Q75" t="s">
        <v>4</v>
      </c>
      <c r="R75" s="4" t="s">
        <v>87</v>
      </c>
      <c r="S75" t="s">
        <v>4</v>
      </c>
      <c r="T75" t="s">
        <v>3081</v>
      </c>
      <c r="U75" t="s">
        <v>3082</v>
      </c>
      <c r="V75" t="s">
        <v>3083</v>
      </c>
      <c r="W75" t="s">
        <v>328</v>
      </c>
      <c r="X75" t="s">
        <v>4</v>
      </c>
      <c r="Y75" t="s">
        <v>3084</v>
      </c>
      <c r="Z75" t="s">
        <v>3085</v>
      </c>
      <c r="AA75" t="s">
        <v>3086</v>
      </c>
      <c r="AB75" t="s">
        <v>4</v>
      </c>
      <c r="AC75" s="3" t="s">
        <v>1558</v>
      </c>
      <c r="AD75" t="s">
        <v>4</v>
      </c>
      <c r="AE75" t="s">
        <v>3087</v>
      </c>
      <c r="AF75" t="s">
        <v>3088</v>
      </c>
      <c r="AG75" t="s">
        <v>3089</v>
      </c>
      <c r="AH75" t="s">
        <v>638</v>
      </c>
      <c r="AI75" t="s">
        <v>3090</v>
      </c>
      <c r="AJ75" t="s">
        <v>3091</v>
      </c>
      <c r="AL75" t="s">
        <v>3092</v>
      </c>
      <c r="AM75" t="s">
        <v>3093</v>
      </c>
      <c r="AQ75" t="s">
        <v>1343</v>
      </c>
      <c r="AU75" t="s">
        <v>112</v>
      </c>
      <c r="AV75" t="s">
        <v>3094</v>
      </c>
      <c r="AW75" t="s">
        <v>114</v>
      </c>
      <c r="AX75" t="s">
        <v>132</v>
      </c>
      <c r="AY75" t="s">
        <v>3095</v>
      </c>
      <c r="AZ75" t="s">
        <v>4</v>
      </c>
      <c r="BA75" s="3" t="s">
        <v>115</v>
      </c>
      <c r="BB75" t="s">
        <v>96</v>
      </c>
      <c r="BC75" s="3" t="s">
        <v>95</v>
      </c>
      <c r="BD75" t="s">
        <v>4</v>
      </c>
      <c r="BE75">
        <v>5799</v>
      </c>
      <c r="BF75" t="s">
        <v>386</v>
      </c>
      <c r="BG75">
        <v>76.871899999999997</v>
      </c>
      <c r="BH75">
        <v>51.747100000000003</v>
      </c>
      <c r="BI75">
        <v>49.251199999999997</v>
      </c>
      <c r="BJ75">
        <v>21.9634</v>
      </c>
      <c r="BK75">
        <v>33.111499999999999</v>
      </c>
      <c r="BL75">
        <v>38.269599999999997</v>
      </c>
      <c r="BM75">
        <v>62.895200000000003</v>
      </c>
      <c r="BN75">
        <v>70.881900000000002</v>
      </c>
      <c r="BO75">
        <v>13.1448</v>
      </c>
      <c r="BP75">
        <v>29.450900000000001</v>
      </c>
      <c r="BQ75">
        <v>37.936799999999998</v>
      </c>
      <c r="BR75">
        <v>38.269599999999997</v>
      </c>
      <c r="BS75">
        <v>37.603999999999999</v>
      </c>
      <c r="BT75">
        <v>32.445900000000002</v>
      </c>
      <c r="BV75">
        <v>12.811999999999999</v>
      </c>
      <c r="BW75">
        <v>40.099800000000002</v>
      </c>
      <c r="BX75">
        <v>39.767099999999999</v>
      </c>
      <c r="BY75">
        <v>24.2928</v>
      </c>
      <c r="BZ75">
        <v>38.103200000000001</v>
      </c>
      <c r="CA75">
        <v>40.598999999999997</v>
      </c>
      <c r="CB75" t="s">
        <v>3096</v>
      </c>
      <c r="CC75">
        <v>31.114799999999999</v>
      </c>
      <c r="CD75">
        <v>30.782</v>
      </c>
      <c r="CF75">
        <v>30.948399999999999</v>
      </c>
      <c r="CG75" t="s">
        <v>3097</v>
      </c>
      <c r="CH75" t="s">
        <v>3098</v>
      </c>
      <c r="CI75" t="s">
        <v>3099</v>
      </c>
      <c r="CK75">
        <v>7</v>
      </c>
      <c r="CL75" t="s">
        <v>4</v>
      </c>
      <c r="CM75" t="s">
        <v>3100</v>
      </c>
      <c r="CN75" t="s">
        <v>3101</v>
      </c>
      <c r="CO75" t="s">
        <v>99</v>
      </c>
      <c r="CP75" t="s">
        <v>100</v>
      </c>
      <c r="CQ75">
        <v>74</v>
      </c>
      <c r="CR75" t="s">
        <v>100</v>
      </c>
      <c r="CS75" t="s">
        <v>100</v>
      </c>
      <c r="CT75" t="s">
        <v>152</v>
      </c>
      <c r="CU75" t="s">
        <v>102</v>
      </c>
      <c r="CV75" t="s">
        <v>100</v>
      </c>
    </row>
    <row r="76" spans="1:100">
      <c r="A76" s="3" t="s">
        <v>3102</v>
      </c>
      <c r="B76" s="4" t="s">
        <v>3103</v>
      </c>
      <c r="C76">
        <v>47.381681357431297</v>
      </c>
      <c r="D76">
        <v>588.88031899347504</v>
      </c>
      <c r="E76">
        <f>-3.63480256173119</f>
        <v>-3.6348025617311901</v>
      </c>
      <c r="F76">
        <v>8.8158212099337992E-3</v>
      </c>
      <c r="G76" t="s">
        <v>4</v>
      </c>
      <c r="H76">
        <v>47.381681357431297</v>
      </c>
      <c r="I76">
        <v>14.0168904565299</v>
      </c>
      <c r="J76">
        <v>1.77384509492779</v>
      </c>
      <c r="K76">
        <v>0.21787466575117001</v>
      </c>
      <c r="L76" t="s">
        <v>4</v>
      </c>
      <c r="M76">
        <v>588.88031899347504</v>
      </c>
      <c r="N76">
        <v>14.0168904565299</v>
      </c>
      <c r="O76">
        <v>5.4086476566589798</v>
      </c>
      <c r="P76" s="5">
        <v>4.4470221586216599E-5</v>
      </c>
      <c r="Q76" t="s">
        <v>4</v>
      </c>
      <c r="R76" s="4" t="s">
        <v>87</v>
      </c>
      <c r="S76" t="s">
        <v>4</v>
      </c>
      <c r="T76" t="s">
        <v>3104</v>
      </c>
      <c r="U76" t="s">
        <v>3105</v>
      </c>
      <c r="V76" t="s">
        <v>3106</v>
      </c>
      <c r="W76" t="s">
        <v>328</v>
      </c>
      <c r="X76" t="s">
        <v>4</v>
      </c>
      <c r="Y76" t="s">
        <v>3107</v>
      </c>
      <c r="Z76" t="s">
        <v>3108</v>
      </c>
      <c r="AA76" t="s">
        <v>3109</v>
      </c>
      <c r="AB76" t="s">
        <v>4</v>
      </c>
      <c r="AC76" s="3" t="s">
        <v>3110</v>
      </c>
      <c r="AD76" t="s">
        <v>4</v>
      </c>
      <c r="AE76" t="s">
        <v>3111</v>
      </c>
      <c r="AF76" t="s">
        <v>3112</v>
      </c>
      <c r="AG76" t="s">
        <v>3113</v>
      </c>
      <c r="AH76" t="s">
        <v>112</v>
      </c>
      <c r="AK76" t="s">
        <v>3114</v>
      </c>
      <c r="AL76" t="s">
        <v>3115</v>
      </c>
      <c r="AQ76" t="s">
        <v>3116</v>
      </c>
      <c r="AU76" t="s">
        <v>112</v>
      </c>
      <c r="AV76" t="s">
        <v>3117</v>
      </c>
      <c r="AW76" t="s">
        <v>114</v>
      </c>
      <c r="AX76" t="s">
        <v>536</v>
      </c>
      <c r="AY76" t="s">
        <v>3118</v>
      </c>
      <c r="AZ76" t="s">
        <v>4</v>
      </c>
      <c r="BA76" s="3" t="s">
        <v>115</v>
      </c>
      <c r="BB76" s="6" t="s">
        <v>95</v>
      </c>
      <c r="BC76" s="3" t="s">
        <v>95</v>
      </c>
      <c r="BD76" t="s">
        <v>4</v>
      </c>
      <c r="BE76">
        <v>1843</v>
      </c>
      <c r="BF76" t="s">
        <v>148</v>
      </c>
      <c r="BI76">
        <v>83.673500000000004</v>
      </c>
      <c r="BJ76">
        <v>40.816299999999998</v>
      </c>
      <c r="BK76">
        <v>66.666700000000006</v>
      </c>
      <c r="BM76">
        <v>37.414999999999999</v>
      </c>
      <c r="BN76">
        <v>63.265300000000003</v>
      </c>
      <c r="CK76">
        <v>3</v>
      </c>
      <c r="CL76" t="s">
        <v>4</v>
      </c>
      <c r="CM76" t="s">
        <v>98</v>
      </c>
      <c r="CN76" t="s">
        <v>98</v>
      </c>
      <c r="CO76" t="s">
        <v>99</v>
      </c>
      <c r="CP76" t="s">
        <v>100</v>
      </c>
      <c r="CQ76">
        <v>75</v>
      </c>
      <c r="CR76" t="s">
        <v>100</v>
      </c>
      <c r="CS76" t="s">
        <v>100</v>
      </c>
      <c r="CT76" t="s">
        <v>152</v>
      </c>
      <c r="CU76" t="s">
        <v>102</v>
      </c>
      <c r="CV76" t="s">
        <v>100</v>
      </c>
    </row>
    <row r="77" spans="1:100">
      <c r="A77" s="3" t="s">
        <v>3119</v>
      </c>
      <c r="B77" s="4" t="s">
        <v>3120</v>
      </c>
      <c r="C77">
        <v>10.768249858033901</v>
      </c>
      <c r="D77">
        <v>173.11077429119101</v>
      </c>
      <c r="E77">
        <f>-3.99912711896092</f>
        <v>-3.9991271189609199</v>
      </c>
      <c r="F77" s="5">
        <v>7.5012468646841401E-12</v>
      </c>
      <c r="G77" t="s">
        <v>4</v>
      </c>
      <c r="H77">
        <v>10.768249858033901</v>
      </c>
      <c r="I77">
        <v>10.3269071017688</v>
      </c>
      <c r="J77">
        <v>4.24832595182289E-2</v>
      </c>
      <c r="K77">
        <v>0.95641699922212198</v>
      </c>
      <c r="L77" t="s">
        <v>4</v>
      </c>
      <c r="M77">
        <v>173.11077429119101</v>
      </c>
      <c r="N77">
        <v>10.3269071017688</v>
      </c>
      <c r="O77">
        <v>4.0416103784791497</v>
      </c>
      <c r="P77" s="5">
        <v>3.8629654066813899E-11</v>
      </c>
      <c r="Q77" t="s">
        <v>4</v>
      </c>
      <c r="R77" s="4" t="s">
        <v>87</v>
      </c>
      <c r="S77" t="s">
        <v>4</v>
      </c>
      <c r="T77" t="s">
        <v>3121</v>
      </c>
      <c r="U77" t="s">
        <v>3122</v>
      </c>
      <c r="V77" t="s">
        <v>3123</v>
      </c>
      <c r="W77" t="s">
        <v>328</v>
      </c>
      <c r="X77" t="s">
        <v>4</v>
      </c>
      <c r="Y77" t="s">
        <v>3124</v>
      </c>
      <c r="Z77" t="s">
        <v>3125</v>
      </c>
      <c r="AA77" t="s">
        <v>3126</v>
      </c>
      <c r="AB77" t="s">
        <v>4</v>
      </c>
      <c r="AC77" s="3" t="s">
        <v>93</v>
      </c>
      <c r="AD77" t="s">
        <v>4</v>
      </c>
      <c r="AE77" t="s">
        <v>3127</v>
      </c>
      <c r="AF77" t="s">
        <v>3128</v>
      </c>
      <c r="AG77" t="s">
        <v>3129</v>
      </c>
      <c r="AH77" t="s">
        <v>112</v>
      </c>
      <c r="AJ77" t="s">
        <v>3130</v>
      </c>
      <c r="AL77" t="s">
        <v>3131</v>
      </c>
      <c r="AM77" t="s">
        <v>3132</v>
      </c>
      <c r="AQ77" t="s">
        <v>3133</v>
      </c>
      <c r="AR77" t="s">
        <v>3134</v>
      </c>
      <c r="AU77" t="s">
        <v>112</v>
      </c>
      <c r="AV77" t="s">
        <v>3135</v>
      </c>
      <c r="AW77" t="s">
        <v>114</v>
      </c>
      <c r="AX77" t="s">
        <v>1345</v>
      </c>
      <c r="AY77" t="s">
        <v>3136</v>
      </c>
      <c r="AZ77" t="s">
        <v>4</v>
      </c>
      <c r="BA77" s="3" t="s">
        <v>115</v>
      </c>
      <c r="BB77" t="s">
        <v>96</v>
      </c>
      <c r="BC77" s="3" t="s">
        <v>95</v>
      </c>
      <c r="BD77" t="s">
        <v>4</v>
      </c>
      <c r="BE77">
        <v>5253</v>
      </c>
      <c r="BF77" t="s">
        <v>282</v>
      </c>
      <c r="BG77">
        <v>0</v>
      </c>
      <c r="BJ77">
        <v>0</v>
      </c>
      <c r="BK77">
        <v>69.642899999999997</v>
      </c>
      <c r="BM77">
        <v>0.89285700000000001</v>
      </c>
      <c r="BN77">
        <v>72.544600000000003</v>
      </c>
      <c r="BO77">
        <v>33.258899999999997</v>
      </c>
      <c r="BQ77" t="s">
        <v>3137</v>
      </c>
      <c r="BR77">
        <v>44.866100000000003</v>
      </c>
      <c r="BS77" t="s">
        <v>3138</v>
      </c>
      <c r="BT77">
        <v>43.973199999999999</v>
      </c>
      <c r="BU77">
        <v>37.053600000000003</v>
      </c>
      <c r="BV77" t="s">
        <v>3139</v>
      </c>
      <c r="BW77" t="s">
        <v>3140</v>
      </c>
      <c r="BX77" t="s">
        <v>3141</v>
      </c>
      <c r="BY77" t="s">
        <v>3142</v>
      </c>
      <c r="BZ77" t="s">
        <v>3143</v>
      </c>
      <c r="CA77">
        <v>39.508899999999997</v>
      </c>
      <c r="CB77">
        <v>26.785699999999999</v>
      </c>
      <c r="CC77">
        <v>14.955399999999999</v>
      </c>
      <c r="CD77">
        <v>27.455400000000001</v>
      </c>
      <c r="CG77" t="s">
        <v>3144</v>
      </c>
      <c r="CH77" t="s">
        <v>3145</v>
      </c>
      <c r="CI77" t="s">
        <v>3146</v>
      </c>
      <c r="CK77">
        <v>6</v>
      </c>
      <c r="CL77" t="s">
        <v>4</v>
      </c>
      <c r="CM77" t="s">
        <v>3147</v>
      </c>
      <c r="CN77" t="s">
        <v>3148</v>
      </c>
      <c r="CO77" t="s">
        <v>663</v>
      </c>
      <c r="CP77" t="s">
        <v>100</v>
      </c>
      <c r="CQ77">
        <v>76</v>
      </c>
      <c r="CR77" t="s">
        <v>100</v>
      </c>
      <c r="CS77" t="s">
        <v>100</v>
      </c>
      <c r="CT77" t="s">
        <v>152</v>
      </c>
      <c r="CU77" t="s">
        <v>102</v>
      </c>
      <c r="CV77" t="s">
        <v>100</v>
      </c>
    </row>
    <row r="78" spans="1:100">
      <c r="A78" s="3" t="s">
        <v>3149</v>
      </c>
      <c r="B78" s="4" t="s">
        <v>3150</v>
      </c>
      <c r="C78">
        <v>90.867559911610101</v>
      </c>
      <c r="D78">
        <v>791.59441525894397</v>
      </c>
      <c r="E78">
        <f>-3.11795853806688</f>
        <v>-3.1179585380668802</v>
      </c>
      <c r="F78" s="5">
        <v>9.6208704618719405E-29</v>
      </c>
      <c r="G78" t="s">
        <v>4</v>
      </c>
      <c r="H78">
        <v>90.867559911610101</v>
      </c>
      <c r="I78">
        <v>13.8413343077221</v>
      </c>
      <c r="J78">
        <v>2.7397562475010999</v>
      </c>
      <c r="K78" s="5">
        <v>3.2541129958681701E-12</v>
      </c>
      <c r="L78" t="s">
        <v>4</v>
      </c>
      <c r="M78">
        <v>791.59441525894397</v>
      </c>
      <c r="N78">
        <v>13.8413343077221</v>
      </c>
      <c r="O78">
        <v>5.8577147855679703</v>
      </c>
      <c r="P78" s="5">
        <v>2.0215152293056099E-54</v>
      </c>
      <c r="Q78" t="s">
        <v>4</v>
      </c>
      <c r="R78" s="4" t="s">
        <v>87</v>
      </c>
      <c r="S78" t="s">
        <v>4</v>
      </c>
      <c r="T78" t="s">
        <v>92</v>
      </c>
      <c r="U78" t="s">
        <v>92</v>
      </c>
      <c r="V78" t="s">
        <v>92</v>
      </c>
      <c r="W78" t="s">
        <v>92</v>
      </c>
      <c r="X78" t="s">
        <v>4</v>
      </c>
      <c r="Y78" t="s">
        <v>92</v>
      </c>
      <c r="Z78" t="s">
        <v>92</v>
      </c>
      <c r="AA78" t="s">
        <v>92</v>
      </c>
      <c r="AB78" t="s">
        <v>4</v>
      </c>
      <c r="AC78" s="3" t="s">
        <v>93</v>
      </c>
      <c r="AD78" t="s">
        <v>4</v>
      </c>
      <c r="AE78" s="4" t="s">
        <v>94</v>
      </c>
      <c r="AZ78" t="s">
        <v>4</v>
      </c>
      <c r="BA78" s="3" t="s">
        <v>95</v>
      </c>
      <c r="BB78" s="6" t="s">
        <v>95</v>
      </c>
      <c r="BC78" s="3" t="s">
        <v>95</v>
      </c>
      <c r="BD78" t="s">
        <v>4</v>
      </c>
      <c r="BE78">
        <v>486</v>
      </c>
      <c r="BF78" t="s">
        <v>322</v>
      </c>
      <c r="CK78">
        <v>1</v>
      </c>
      <c r="CL78" t="s">
        <v>4</v>
      </c>
      <c r="CM78" t="s">
        <v>98</v>
      </c>
      <c r="CN78" t="s">
        <v>98</v>
      </c>
      <c r="CO78" t="s">
        <v>99</v>
      </c>
      <c r="CP78" t="s">
        <v>100</v>
      </c>
      <c r="CQ78">
        <v>77</v>
      </c>
      <c r="CR78" t="s">
        <v>100</v>
      </c>
      <c r="CS78" t="s">
        <v>101</v>
      </c>
      <c r="CT78" t="s">
        <v>152</v>
      </c>
      <c r="CU78" t="s">
        <v>102</v>
      </c>
      <c r="CV78" t="s">
        <v>100</v>
      </c>
    </row>
    <row r="79" spans="1:100">
      <c r="A79" s="3" t="s">
        <v>3151</v>
      </c>
      <c r="B79" s="4" t="s">
        <v>3152</v>
      </c>
      <c r="C79">
        <v>505.42794579774102</v>
      </c>
      <c r="D79">
        <v>2655.0739329686398</v>
      </c>
      <c r="E79">
        <f>-2.39228452009841</f>
        <v>-2.3922845200984102</v>
      </c>
      <c r="F79" s="5">
        <v>6.39144877748671E-15</v>
      </c>
      <c r="G79" t="s">
        <v>4</v>
      </c>
      <c r="H79">
        <v>505.42794579774102</v>
      </c>
      <c r="I79">
        <v>335.18742718855998</v>
      </c>
      <c r="J79">
        <v>0.59632049201967197</v>
      </c>
      <c r="K79">
        <v>7.2275219857053999E-2</v>
      </c>
      <c r="L79" t="s">
        <v>4</v>
      </c>
      <c r="M79">
        <v>2655.0739329686398</v>
      </c>
      <c r="N79">
        <v>335.18742718855998</v>
      </c>
      <c r="O79">
        <v>2.9886050121180801</v>
      </c>
      <c r="P79" s="5">
        <v>4.1513651443361498E-23</v>
      </c>
      <c r="Q79" t="s">
        <v>4</v>
      </c>
      <c r="R79" s="4" t="s">
        <v>87</v>
      </c>
      <c r="S79" t="s">
        <v>4</v>
      </c>
      <c r="T79" t="s">
        <v>88</v>
      </c>
      <c r="U79" t="s">
        <v>89</v>
      </c>
      <c r="V79" t="s">
        <v>90</v>
      </c>
      <c r="W79" t="s">
        <v>91</v>
      </c>
      <c r="X79" t="s">
        <v>4</v>
      </c>
      <c r="Y79" t="s">
        <v>92</v>
      </c>
      <c r="Z79" t="s">
        <v>92</v>
      </c>
      <c r="AA79" t="s">
        <v>92</v>
      </c>
      <c r="AB79" t="s">
        <v>4</v>
      </c>
      <c r="AC79" s="3" t="s">
        <v>93</v>
      </c>
      <c r="AD79" t="s">
        <v>4</v>
      </c>
      <c r="AE79" s="4" t="s">
        <v>94</v>
      </c>
      <c r="AZ79" t="s">
        <v>4</v>
      </c>
      <c r="BA79" s="3" t="s">
        <v>95</v>
      </c>
      <c r="BB79" t="s">
        <v>96</v>
      </c>
      <c r="BC79" s="3" t="s">
        <v>95</v>
      </c>
      <c r="BD79" t="s">
        <v>4</v>
      </c>
      <c r="BE79">
        <v>881</v>
      </c>
      <c r="BF79" t="s">
        <v>604</v>
      </c>
      <c r="BH79">
        <v>100</v>
      </c>
      <c r="CK79">
        <v>1.5</v>
      </c>
      <c r="CL79" t="s">
        <v>4</v>
      </c>
      <c r="CM79" t="s">
        <v>98</v>
      </c>
      <c r="CN79" t="s">
        <v>98</v>
      </c>
      <c r="CO79" t="s">
        <v>99</v>
      </c>
      <c r="CP79" t="s">
        <v>100</v>
      </c>
      <c r="CQ79">
        <v>78</v>
      </c>
      <c r="CR79" t="s">
        <v>100</v>
      </c>
      <c r="CS79" t="s">
        <v>100</v>
      </c>
      <c r="CT79" t="s">
        <v>152</v>
      </c>
      <c r="CU79" t="s">
        <v>102</v>
      </c>
      <c r="CV79" t="s">
        <v>100</v>
      </c>
    </row>
    <row r="80" spans="1:100">
      <c r="A80" s="3" t="s">
        <v>3153</v>
      </c>
      <c r="B80" s="4" t="s">
        <v>3154</v>
      </c>
      <c r="C80">
        <v>396.11274741132797</v>
      </c>
      <c r="D80">
        <v>5945.1504247170897</v>
      </c>
      <c r="E80">
        <f>-3.90703691194339</f>
        <v>-3.9070369119433899</v>
      </c>
      <c r="F80" s="5">
        <v>2.6643301811162199E-17</v>
      </c>
      <c r="G80" t="s">
        <v>4</v>
      </c>
      <c r="H80">
        <v>396.11274741132797</v>
      </c>
      <c r="I80">
        <v>368.48256494386197</v>
      </c>
      <c r="J80">
        <v>0.10572777643700899</v>
      </c>
      <c r="K80">
        <v>0.847553596756212</v>
      </c>
      <c r="L80" t="s">
        <v>4</v>
      </c>
      <c r="M80">
        <v>5945.1504247170897</v>
      </c>
      <c r="N80">
        <v>368.48256494386197</v>
      </c>
      <c r="O80">
        <v>4.0127646883803996</v>
      </c>
      <c r="P80" s="5">
        <v>9.1409512793694502E-19</v>
      </c>
      <c r="Q80" t="s">
        <v>4</v>
      </c>
      <c r="R80" s="4" t="s">
        <v>87</v>
      </c>
      <c r="S80" t="s">
        <v>4</v>
      </c>
      <c r="T80" t="s">
        <v>92</v>
      </c>
      <c r="U80" t="s">
        <v>92</v>
      </c>
      <c r="V80" t="s">
        <v>92</v>
      </c>
      <c r="W80" t="s">
        <v>92</v>
      </c>
      <c r="X80" t="s">
        <v>4</v>
      </c>
      <c r="Y80" t="s">
        <v>2546</v>
      </c>
      <c r="Z80" t="s">
        <v>2547</v>
      </c>
      <c r="AA80" t="s">
        <v>2548</v>
      </c>
      <c r="AB80" t="s">
        <v>4</v>
      </c>
      <c r="AC80" s="3" t="s">
        <v>3155</v>
      </c>
      <c r="AD80" t="s">
        <v>4</v>
      </c>
      <c r="AE80" t="s">
        <v>2550</v>
      </c>
      <c r="AF80" t="s">
        <v>3156</v>
      </c>
      <c r="AG80" t="s">
        <v>3157</v>
      </c>
      <c r="AH80" t="s">
        <v>112</v>
      </c>
      <c r="AU80" t="s">
        <v>112</v>
      </c>
      <c r="AV80" t="s">
        <v>2553</v>
      </c>
      <c r="AW80" t="s">
        <v>114</v>
      </c>
      <c r="AX80" t="s">
        <v>144</v>
      </c>
      <c r="AY80" t="s">
        <v>2554</v>
      </c>
      <c r="AZ80" t="s">
        <v>4</v>
      </c>
      <c r="BA80" s="3" t="s">
        <v>95</v>
      </c>
      <c r="BB80" s="6" t="s">
        <v>95</v>
      </c>
      <c r="BC80" s="3" t="s">
        <v>197</v>
      </c>
      <c r="BD80" t="s">
        <v>4</v>
      </c>
      <c r="BE80">
        <v>2347</v>
      </c>
      <c r="BF80" t="s">
        <v>148</v>
      </c>
      <c r="BG80">
        <v>73.480699999999999</v>
      </c>
      <c r="BH80">
        <v>100</v>
      </c>
      <c r="BI80">
        <v>89.778999999999996</v>
      </c>
      <c r="BJ80">
        <v>40.331499999999998</v>
      </c>
      <c r="BK80">
        <v>65.4696</v>
      </c>
      <c r="BO80">
        <v>61.326000000000001</v>
      </c>
      <c r="CK80">
        <v>3</v>
      </c>
      <c r="CL80" t="s">
        <v>4</v>
      </c>
      <c r="CM80" t="s">
        <v>98</v>
      </c>
      <c r="CN80" t="s">
        <v>98</v>
      </c>
      <c r="CO80" t="s">
        <v>99</v>
      </c>
      <c r="CP80" t="s">
        <v>100</v>
      </c>
      <c r="CQ80">
        <v>79</v>
      </c>
      <c r="CR80" t="s">
        <v>100</v>
      </c>
      <c r="CS80" t="s">
        <v>100</v>
      </c>
      <c r="CT80" t="s">
        <v>152</v>
      </c>
      <c r="CU80" t="s">
        <v>102</v>
      </c>
      <c r="CV80" t="s">
        <v>100</v>
      </c>
    </row>
    <row r="81" spans="1:100">
      <c r="A81" s="3" t="s">
        <v>3158</v>
      </c>
      <c r="B81" s="4" t="s">
        <v>3159</v>
      </c>
      <c r="C81">
        <v>152.903016111222</v>
      </c>
      <c r="D81">
        <v>1674.1397747544299</v>
      </c>
      <c r="E81">
        <f>-3.45200242056154</f>
        <v>-3.4520024205615401</v>
      </c>
      <c r="F81" s="5">
        <v>3.1109971627649702E-13</v>
      </c>
      <c r="G81" t="s">
        <v>4</v>
      </c>
      <c r="H81">
        <v>152.903016111222</v>
      </c>
      <c r="I81">
        <v>74.808944215908497</v>
      </c>
      <c r="J81">
        <v>1.0386138156515901</v>
      </c>
      <c r="K81">
        <v>4.3886616091229298E-2</v>
      </c>
      <c r="L81" t="s">
        <v>4</v>
      </c>
      <c r="M81">
        <v>1674.1397747544299</v>
      </c>
      <c r="N81">
        <v>74.808944215908497</v>
      </c>
      <c r="O81">
        <v>4.4906162362131301</v>
      </c>
      <c r="P81" s="5">
        <v>1.50796768411682E-21</v>
      </c>
      <c r="Q81" t="s">
        <v>4</v>
      </c>
      <c r="R81" s="4" t="s">
        <v>87</v>
      </c>
      <c r="S81" t="s">
        <v>4</v>
      </c>
      <c r="T81" t="s">
        <v>92</v>
      </c>
      <c r="U81" t="s">
        <v>92</v>
      </c>
      <c r="V81" t="s">
        <v>92</v>
      </c>
      <c r="W81" t="s">
        <v>92</v>
      </c>
      <c r="X81" t="s">
        <v>4</v>
      </c>
      <c r="Y81" t="s">
        <v>92</v>
      </c>
      <c r="Z81" t="s">
        <v>92</v>
      </c>
      <c r="AA81" t="s">
        <v>92</v>
      </c>
      <c r="AB81" t="s">
        <v>4</v>
      </c>
      <c r="AC81" s="3" t="s">
        <v>93</v>
      </c>
      <c r="AD81" t="s">
        <v>4</v>
      </c>
      <c r="AE81" s="4" t="s">
        <v>94</v>
      </c>
      <c r="AZ81" t="s">
        <v>4</v>
      </c>
      <c r="BA81" s="3" t="s">
        <v>95</v>
      </c>
      <c r="BB81" s="6" t="s">
        <v>95</v>
      </c>
      <c r="BC81" s="3" t="s">
        <v>95</v>
      </c>
      <c r="BD81" t="s">
        <v>4</v>
      </c>
      <c r="BE81">
        <v>1553</v>
      </c>
      <c r="BF81" t="s">
        <v>151</v>
      </c>
      <c r="BG81">
        <v>94.955500000000001</v>
      </c>
      <c r="BH81">
        <v>63.798200000000001</v>
      </c>
      <c r="BI81">
        <v>77.448099999999997</v>
      </c>
      <c r="BJ81">
        <v>4.74777</v>
      </c>
      <c r="BK81">
        <v>33.8279</v>
      </c>
      <c r="BL81">
        <v>37.982199999999999</v>
      </c>
      <c r="BM81">
        <v>32.640900000000002</v>
      </c>
      <c r="BN81">
        <v>32.344200000000001</v>
      </c>
      <c r="BO81" t="s">
        <v>3160</v>
      </c>
      <c r="CK81">
        <v>2</v>
      </c>
      <c r="CL81" t="s">
        <v>4</v>
      </c>
      <c r="CM81" t="s">
        <v>98</v>
      </c>
      <c r="CN81" t="s">
        <v>98</v>
      </c>
      <c r="CO81" t="s">
        <v>99</v>
      </c>
      <c r="CP81" t="s">
        <v>100</v>
      </c>
      <c r="CQ81">
        <v>80</v>
      </c>
      <c r="CR81" t="s">
        <v>100</v>
      </c>
      <c r="CS81" s="7" t="s">
        <v>101</v>
      </c>
      <c r="CT81" t="s">
        <v>152</v>
      </c>
      <c r="CU81" t="s">
        <v>102</v>
      </c>
      <c r="CV81" t="s">
        <v>100</v>
      </c>
    </row>
    <row r="82" spans="1:100">
      <c r="A82" s="3" t="s">
        <v>3161</v>
      </c>
      <c r="B82" s="4" t="s">
        <v>3162</v>
      </c>
      <c r="C82">
        <v>908.11570867196895</v>
      </c>
      <c r="D82">
        <v>11798.3714345384</v>
      </c>
      <c r="E82">
        <f>-3.69947301478869</f>
        <v>-3.6994730147886901</v>
      </c>
      <c r="F82" s="5">
        <v>4.0396157582185099E-31</v>
      </c>
      <c r="G82" t="s">
        <v>4</v>
      </c>
      <c r="H82">
        <v>908.11570867196895</v>
      </c>
      <c r="I82">
        <v>333.74696564646302</v>
      </c>
      <c r="J82">
        <v>1.4488691394562401</v>
      </c>
      <c r="K82" s="5">
        <v>1.36663670817687E-5</v>
      </c>
      <c r="L82" t="s">
        <v>4</v>
      </c>
      <c r="M82">
        <v>11798.3714345384</v>
      </c>
      <c r="N82">
        <v>333.74696564646302</v>
      </c>
      <c r="O82">
        <v>5.1483421542449301</v>
      </c>
      <c r="P82" s="5">
        <v>1.21441358337971E-59</v>
      </c>
      <c r="Q82" t="s">
        <v>4</v>
      </c>
      <c r="R82" s="4" t="s">
        <v>87</v>
      </c>
      <c r="S82" t="s">
        <v>4</v>
      </c>
      <c r="T82" t="s">
        <v>684</v>
      </c>
      <c r="U82" t="s">
        <v>685</v>
      </c>
      <c r="V82" t="s">
        <v>686</v>
      </c>
      <c r="W82" t="s">
        <v>123</v>
      </c>
      <c r="X82" t="s">
        <v>4</v>
      </c>
      <c r="Y82" t="s">
        <v>3163</v>
      </c>
      <c r="Z82" t="s">
        <v>3164</v>
      </c>
      <c r="AA82" t="s">
        <v>3165</v>
      </c>
      <c r="AB82" t="s">
        <v>4</v>
      </c>
      <c r="AC82" s="3" t="s">
        <v>3166</v>
      </c>
      <c r="AD82" t="s">
        <v>4</v>
      </c>
      <c r="AE82" s="4" t="s">
        <v>94</v>
      </c>
      <c r="AZ82" t="s">
        <v>4</v>
      </c>
      <c r="BA82" s="3" t="s">
        <v>95</v>
      </c>
      <c r="BB82" s="6" t="s">
        <v>95</v>
      </c>
      <c r="BC82" s="3" t="s">
        <v>95</v>
      </c>
      <c r="BD82" t="s">
        <v>4</v>
      </c>
      <c r="BE82">
        <v>3028</v>
      </c>
      <c r="BF82" t="s">
        <v>97</v>
      </c>
      <c r="BI82">
        <v>91.105099999999993</v>
      </c>
      <c r="BJ82">
        <v>66.307299999999998</v>
      </c>
      <c r="BK82">
        <v>78.436700000000002</v>
      </c>
      <c r="BL82" t="s">
        <v>3167</v>
      </c>
      <c r="BM82" t="s">
        <v>3168</v>
      </c>
      <c r="BN82" t="s">
        <v>3169</v>
      </c>
      <c r="BO82">
        <v>68.4636</v>
      </c>
      <c r="BP82">
        <v>22.911100000000001</v>
      </c>
      <c r="CK82">
        <v>4</v>
      </c>
      <c r="CL82" t="s">
        <v>4</v>
      </c>
      <c r="CM82" t="s">
        <v>98</v>
      </c>
      <c r="CN82" t="s">
        <v>98</v>
      </c>
      <c r="CO82" t="s">
        <v>99</v>
      </c>
      <c r="CP82" t="s">
        <v>100</v>
      </c>
      <c r="CQ82">
        <v>81</v>
      </c>
      <c r="CR82" t="s">
        <v>100</v>
      </c>
      <c r="CS82" s="7" t="s">
        <v>101</v>
      </c>
      <c r="CT82" t="s">
        <v>152</v>
      </c>
      <c r="CU82" t="s">
        <v>102</v>
      </c>
      <c r="CV82" t="s">
        <v>100</v>
      </c>
    </row>
    <row r="83" spans="1:100">
      <c r="A83" s="3" t="s">
        <v>3170</v>
      </c>
      <c r="B83" s="4" t="s">
        <v>3171</v>
      </c>
      <c r="C83">
        <v>111.05648115626499</v>
      </c>
      <c r="D83">
        <v>880.91937780619799</v>
      </c>
      <c r="E83">
        <f>-2.98414899939847</f>
        <v>-2.98414899939847</v>
      </c>
      <c r="F83" s="5">
        <v>9.3046761794621003E-26</v>
      </c>
      <c r="G83" t="s">
        <v>4</v>
      </c>
      <c r="H83">
        <v>111.05648115626499</v>
      </c>
      <c r="I83">
        <v>54.908990387564302</v>
      </c>
      <c r="J83">
        <v>1.0127225115382399</v>
      </c>
      <c r="K83">
        <v>2.12535835619195E-3</v>
      </c>
      <c r="L83" t="s">
        <v>4</v>
      </c>
      <c r="M83">
        <v>880.91937780619799</v>
      </c>
      <c r="N83">
        <v>54.908990387564302</v>
      </c>
      <c r="O83">
        <v>3.9968715109367201</v>
      </c>
      <c r="P83" s="5">
        <v>5.4146517166651303E-40</v>
      </c>
      <c r="Q83" t="s">
        <v>4</v>
      </c>
      <c r="R83" s="4" t="s">
        <v>87</v>
      </c>
      <c r="S83" t="s">
        <v>4</v>
      </c>
      <c r="T83" t="s">
        <v>3172</v>
      </c>
      <c r="U83" t="s">
        <v>3173</v>
      </c>
      <c r="V83" t="s">
        <v>3174</v>
      </c>
      <c r="W83" t="s">
        <v>328</v>
      </c>
      <c r="X83" t="s">
        <v>4</v>
      </c>
      <c r="Y83" t="s">
        <v>1998</v>
      </c>
      <c r="Z83" t="s">
        <v>1999</v>
      </c>
      <c r="AA83" t="s">
        <v>2000</v>
      </c>
      <c r="AB83" t="s">
        <v>4</v>
      </c>
      <c r="AC83" s="3" t="s">
        <v>2001</v>
      </c>
      <c r="AD83" t="s">
        <v>4</v>
      </c>
      <c r="AE83" t="s">
        <v>3175</v>
      </c>
      <c r="AF83" t="s">
        <v>3176</v>
      </c>
      <c r="AG83" t="s">
        <v>3177</v>
      </c>
      <c r="AH83" t="s">
        <v>112</v>
      </c>
      <c r="AI83" t="s">
        <v>3178</v>
      </c>
      <c r="AK83" t="s">
        <v>2005</v>
      </c>
      <c r="AL83" t="s">
        <v>2006</v>
      </c>
      <c r="AM83" t="s">
        <v>2007</v>
      </c>
      <c r="AO83" t="s">
        <v>2008</v>
      </c>
      <c r="AP83" t="s">
        <v>2009</v>
      </c>
      <c r="AQ83" t="s">
        <v>2010</v>
      </c>
      <c r="AS83" t="s">
        <v>2011</v>
      </c>
      <c r="AU83" t="s">
        <v>112</v>
      </c>
      <c r="AV83" t="s">
        <v>2012</v>
      </c>
      <c r="AW83" t="s">
        <v>114</v>
      </c>
      <c r="AX83" t="s">
        <v>345</v>
      </c>
      <c r="AY83" t="s">
        <v>2013</v>
      </c>
      <c r="AZ83" t="s">
        <v>4</v>
      </c>
      <c r="BA83" s="3" t="s">
        <v>95</v>
      </c>
      <c r="BB83" t="s">
        <v>96</v>
      </c>
      <c r="BC83" s="3" t="s">
        <v>197</v>
      </c>
      <c r="BD83" t="s">
        <v>4</v>
      </c>
      <c r="BE83">
        <v>8546</v>
      </c>
      <c r="BF83" t="s">
        <v>169</v>
      </c>
      <c r="BG83">
        <v>97.584500000000006</v>
      </c>
      <c r="BH83">
        <v>99.194800000000001</v>
      </c>
      <c r="BI83">
        <v>92.592600000000004</v>
      </c>
      <c r="BJ83">
        <v>82.125600000000006</v>
      </c>
      <c r="BL83">
        <v>70.048299999999998</v>
      </c>
      <c r="BM83">
        <v>71.1755</v>
      </c>
      <c r="BN83">
        <v>70.692400000000006</v>
      </c>
      <c r="BO83">
        <v>75.201300000000003</v>
      </c>
      <c r="BP83" t="s">
        <v>3179</v>
      </c>
      <c r="BQ83" t="s">
        <v>3180</v>
      </c>
      <c r="BR83" t="s">
        <v>3181</v>
      </c>
      <c r="BW83">
        <v>45.893700000000003</v>
      </c>
      <c r="BX83">
        <v>42.512099999999997</v>
      </c>
      <c r="CA83">
        <v>45.732700000000001</v>
      </c>
      <c r="CB83" t="s">
        <v>3182</v>
      </c>
      <c r="CF83" t="s">
        <v>3183</v>
      </c>
      <c r="CG83">
        <v>34.621600000000001</v>
      </c>
      <c r="CH83">
        <v>34.943600000000004</v>
      </c>
      <c r="CI83">
        <v>25.764900000000001</v>
      </c>
      <c r="CJ83" t="s">
        <v>3184</v>
      </c>
      <c r="CK83">
        <v>9</v>
      </c>
      <c r="CL83" t="s">
        <v>4</v>
      </c>
      <c r="CM83" t="s">
        <v>3185</v>
      </c>
      <c r="CN83" t="s">
        <v>3186</v>
      </c>
      <c r="CO83" t="s">
        <v>663</v>
      </c>
      <c r="CP83" t="s">
        <v>100</v>
      </c>
      <c r="CQ83">
        <v>82</v>
      </c>
      <c r="CR83" t="s">
        <v>100</v>
      </c>
      <c r="CS83" s="7" t="s">
        <v>101</v>
      </c>
      <c r="CT83" t="s">
        <v>152</v>
      </c>
      <c r="CU83" t="s">
        <v>102</v>
      </c>
      <c r="CV83" t="s">
        <v>100</v>
      </c>
    </row>
    <row r="84" spans="1:100">
      <c r="A84" s="3" t="s">
        <v>3187</v>
      </c>
      <c r="B84" s="4" t="s">
        <v>3188</v>
      </c>
      <c r="C84">
        <v>513.68465134067901</v>
      </c>
      <c r="D84">
        <v>3732.7519274040301</v>
      </c>
      <c r="E84">
        <f>-2.86096186969666</f>
        <v>-2.8609618696966601</v>
      </c>
      <c r="F84" s="5">
        <v>2.0150081248173E-11</v>
      </c>
      <c r="G84" t="s">
        <v>4</v>
      </c>
      <c r="H84">
        <v>513.68465134067901</v>
      </c>
      <c r="I84">
        <v>162.35298890661099</v>
      </c>
      <c r="J84">
        <v>1.6597760476916501</v>
      </c>
      <c r="K84">
        <v>1.66089418894623E-4</v>
      </c>
      <c r="L84" t="s">
        <v>4</v>
      </c>
      <c r="M84">
        <v>3732.7519274040301</v>
      </c>
      <c r="N84">
        <v>162.35298890661099</v>
      </c>
      <c r="O84">
        <v>4.5207379173883098</v>
      </c>
      <c r="P84" s="5">
        <v>2.7304975047103499E-27</v>
      </c>
      <c r="Q84" t="s">
        <v>4</v>
      </c>
      <c r="R84" s="4" t="s">
        <v>87</v>
      </c>
      <c r="S84" t="s">
        <v>4</v>
      </c>
      <c r="T84" t="s">
        <v>92</v>
      </c>
      <c r="U84" t="s">
        <v>92</v>
      </c>
      <c r="V84" t="s">
        <v>92</v>
      </c>
      <c r="W84" t="s">
        <v>92</v>
      </c>
      <c r="X84" t="s">
        <v>4</v>
      </c>
      <c r="Y84" t="s">
        <v>2107</v>
      </c>
      <c r="Z84" t="s">
        <v>2108</v>
      </c>
      <c r="AA84" t="s">
        <v>2109</v>
      </c>
      <c r="AB84" t="s">
        <v>4</v>
      </c>
      <c r="AC84" s="3" t="s">
        <v>3189</v>
      </c>
      <c r="AD84" t="s">
        <v>4</v>
      </c>
      <c r="AE84" t="s">
        <v>3190</v>
      </c>
      <c r="AF84" t="s">
        <v>3191</v>
      </c>
      <c r="AG84" t="s">
        <v>3192</v>
      </c>
      <c r="AH84" t="s">
        <v>112</v>
      </c>
      <c r="AJ84" t="s">
        <v>3193</v>
      </c>
      <c r="AK84" t="s">
        <v>3194</v>
      </c>
      <c r="AL84" t="s">
        <v>3195</v>
      </c>
      <c r="AM84" t="s">
        <v>3196</v>
      </c>
      <c r="AQ84" t="s">
        <v>3197</v>
      </c>
      <c r="AU84" t="s">
        <v>112</v>
      </c>
      <c r="AV84" t="s">
        <v>3198</v>
      </c>
      <c r="AW84" t="s">
        <v>114</v>
      </c>
      <c r="AX84" t="s">
        <v>2157</v>
      </c>
      <c r="AY84" t="s">
        <v>3199</v>
      </c>
      <c r="AZ84" t="s">
        <v>4</v>
      </c>
      <c r="BA84" s="3" t="s">
        <v>95</v>
      </c>
      <c r="BB84" s="6" t="s">
        <v>95</v>
      </c>
      <c r="BC84" s="3" t="s">
        <v>95</v>
      </c>
      <c r="BD84" t="s">
        <v>4</v>
      </c>
      <c r="BE84">
        <v>1853</v>
      </c>
      <c r="BF84" t="s">
        <v>148</v>
      </c>
      <c r="BG84">
        <v>68.181799999999996</v>
      </c>
      <c r="BJ84">
        <v>91.818200000000004</v>
      </c>
      <c r="CK84">
        <v>3</v>
      </c>
      <c r="CL84" t="s">
        <v>4</v>
      </c>
      <c r="CM84" t="s">
        <v>98</v>
      </c>
      <c r="CN84" t="s">
        <v>98</v>
      </c>
      <c r="CO84" t="s">
        <v>99</v>
      </c>
      <c r="CP84" t="s">
        <v>100</v>
      </c>
      <c r="CQ84">
        <v>83</v>
      </c>
      <c r="CR84" t="s">
        <v>100</v>
      </c>
      <c r="CS84" s="7" t="s">
        <v>101</v>
      </c>
      <c r="CT84" t="s">
        <v>152</v>
      </c>
      <c r="CU84" t="s">
        <v>102</v>
      </c>
      <c r="CV84" t="s">
        <v>100</v>
      </c>
    </row>
    <row r="85" spans="1:100">
      <c r="A85" s="3" t="s">
        <v>3200</v>
      </c>
      <c r="B85" s="4" t="s">
        <v>3201</v>
      </c>
      <c r="C85">
        <v>40.823986500373003</v>
      </c>
      <c r="D85">
        <v>306.89916079797399</v>
      </c>
      <c r="E85">
        <f>-2.89952699345019</f>
        <v>-2.8995269934501899</v>
      </c>
      <c r="F85" s="5">
        <v>1.93700096972384E-16</v>
      </c>
      <c r="G85" t="s">
        <v>4</v>
      </c>
      <c r="H85">
        <v>40.823986500373003</v>
      </c>
      <c r="I85">
        <v>40.622624367985303</v>
      </c>
      <c r="J85">
        <f>0.0107878984954875</f>
        <v>1.0787898495487501E-2</v>
      </c>
      <c r="K85">
        <v>0.98082975689637197</v>
      </c>
      <c r="L85" t="s">
        <v>4</v>
      </c>
      <c r="M85">
        <v>306.89916079797399</v>
      </c>
      <c r="N85">
        <v>40.622624367985303</v>
      </c>
      <c r="O85">
        <v>2.88873909495471</v>
      </c>
      <c r="P85" s="5">
        <v>1.49236281068557E-15</v>
      </c>
      <c r="Q85" t="s">
        <v>4</v>
      </c>
      <c r="R85" s="4" t="s">
        <v>87</v>
      </c>
      <c r="S85" t="s">
        <v>4</v>
      </c>
      <c r="T85" t="s">
        <v>3202</v>
      </c>
      <c r="U85" t="s">
        <v>3203</v>
      </c>
      <c r="V85" t="s">
        <v>3204</v>
      </c>
      <c r="W85" t="s">
        <v>328</v>
      </c>
      <c r="X85" t="s">
        <v>4</v>
      </c>
      <c r="Y85" t="s">
        <v>3205</v>
      </c>
      <c r="Z85" t="s">
        <v>3206</v>
      </c>
      <c r="AA85" t="s">
        <v>3207</v>
      </c>
      <c r="AB85" t="s">
        <v>4</v>
      </c>
      <c r="AC85" s="3" t="s">
        <v>93</v>
      </c>
      <c r="AD85" t="s">
        <v>4</v>
      </c>
      <c r="AE85" t="s">
        <v>3208</v>
      </c>
      <c r="AF85" t="s">
        <v>3209</v>
      </c>
      <c r="AG85" t="s">
        <v>3210</v>
      </c>
      <c r="AH85" t="s">
        <v>638</v>
      </c>
      <c r="AI85" t="s">
        <v>3211</v>
      </c>
      <c r="AU85" t="s">
        <v>112</v>
      </c>
      <c r="AV85" t="s">
        <v>3212</v>
      </c>
      <c r="AW85" t="s">
        <v>114</v>
      </c>
      <c r="AX85" t="s">
        <v>909</v>
      </c>
      <c r="AY85" t="s">
        <v>3213</v>
      </c>
      <c r="AZ85" t="s">
        <v>4</v>
      </c>
      <c r="BA85" s="3" t="s">
        <v>95</v>
      </c>
      <c r="BB85" t="s">
        <v>96</v>
      </c>
      <c r="BC85" s="3" t="s">
        <v>95</v>
      </c>
      <c r="BD85" t="s">
        <v>4</v>
      </c>
      <c r="BE85">
        <v>3182</v>
      </c>
      <c r="BF85" t="s">
        <v>112</v>
      </c>
      <c r="BG85" t="s">
        <v>3214</v>
      </c>
      <c r="BJ85" t="s">
        <v>3215</v>
      </c>
      <c r="BK85">
        <v>51.034500000000001</v>
      </c>
      <c r="BL85">
        <v>41.379300000000001</v>
      </c>
      <c r="BM85" t="s">
        <v>3216</v>
      </c>
      <c r="BN85" t="s">
        <v>3217</v>
      </c>
      <c r="BO85">
        <v>65.517200000000003</v>
      </c>
      <c r="BW85">
        <v>43.103400000000001</v>
      </c>
      <c r="BX85">
        <v>42.069000000000003</v>
      </c>
      <c r="BZ85">
        <v>3.7930999999999999</v>
      </c>
      <c r="CA85">
        <v>37.241399999999999</v>
      </c>
      <c r="CK85">
        <v>5</v>
      </c>
      <c r="CL85" t="s">
        <v>4</v>
      </c>
      <c r="CM85" t="s">
        <v>3218</v>
      </c>
      <c r="CN85" t="s">
        <v>3219</v>
      </c>
      <c r="CO85" t="s">
        <v>663</v>
      </c>
      <c r="CP85" t="s">
        <v>100</v>
      </c>
      <c r="CQ85">
        <v>84</v>
      </c>
      <c r="CR85" t="s">
        <v>100</v>
      </c>
      <c r="CS85" t="s">
        <v>100</v>
      </c>
      <c r="CT85" t="s">
        <v>152</v>
      </c>
      <c r="CU85" t="s">
        <v>102</v>
      </c>
      <c r="CV85" t="s">
        <v>100</v>
      </c>
    </row>
    <row r="86" spans="1:100">
      <c r="A86" s="3" t="s">
        <v>3220</v>
      </c>
      <c r="B86" s="4" t="s">
        <v>3221</v>
      </c>
      <c r="C86">
        <v>113.412329106051</v>
      </c>
      <c r="D86">
        <v>596.53359690596301</v>
      </c>
      <c r="E86">
        <f>-2.39415164495763</f>
        <v>-2.3941516449576299</v>
      </c>
      <c r="F86" s="5">
        <v>3.9607610096119998E-16</v>
      </c>
      <c r="G86" t="s">
        <v>4</v>
      </c>
      <c r="H86">
        <v>113.412329106051</v>
      </c>
      <c r="I86">
        <v>96.463047251512805</v>
      </c>
      <c r="J86">
        <v>0.22187486327997299</v>
      </c>
      <c r="K86">
        <v>0.52717036011701301</v>
      </c>
      <c r="L86" t="s">
        <v>4</v>
      </c>
      <c r="M86">
        <v>596.53359690596301</v>
      </c>
      <c r="N86">
        <v>96.463047251512805</v>
      </c>
      <c r="O86">
        <v>2.6160265082376002</v>
      </c>
      <c r="P86" s="5">
        <v>1.4960216290528299E-18</v>
      </c>
      <c r="Q86" t="s">
        <v>4</v>
      </c>
      <c r="R86" s="4" t="s">
        <v>87</v>
      </c>
      <c r="S86" t="s">
        <v>4</v>
      </c>
      <c r="T86" t="s">
        <v>88</v>
      </c>
      <c r="U86" t="s">
        <v>89</v>
      </c>
      <c r="V86" t="s">
        <v>90</v>
      </c>
      <c r="W86" t="s">
        <v>91</v>
      </c>
      <c r="X86" t="s">
        <v>4</v>
      </c>
      <c r="Y86" t="s">
        <v>92</v>
      </c>
      <c r="Z86" t="s">
        <v>92</v>
      </c>
      <c r="AA86" t="s">
        <v>92</v>
      </c>
      <c r="AB86" t="s">
        <v>4</v>
      </c>
      <c r="AC86" s="3" t="s">
        <v>93</v>
      </c>
      <c r="AD86" t="s">
        <v>4</v>
      </c>
      <c r="AE86" s="4" t="s">
        <v>94</v>
      </c>
      <c r="AZ86" t="s">
        <v>4</v>
      </c>
      <c r="BA86" s="3" t="s">
        <v>95</v>
      </c>
      <c r="BB86" t="s">
        <v>96</v>
      </c>
      <c r="BC86" s="3" t="s">
        <v>95</v>
      </c>
      <c r="BD86" t="s">
        <v>4</v>
      </c>
      <c r="BE86">
        <v>3033</v>
      </c>
      <c r="BF86" t="s">
        <v>97</v>
      </c>
      <c r="BI86">
        <v>85.542199999999994</v>
      </c>
      <c r="BO86">
        <v>62.650599999999997</v>
      </c>
      <c r="CK86">
        <v>4</v>
      </c>
      <c r="CL86" t="s">
        <v>4</v>
      </c>
      <c r="CM86" t="s">
        <v>98</v>
      </c>
      <c r="CN86" t="s">
        <v>98</v>
      </c>
      <c r="CO86" t="s">
        <v>99</v>
      </c>
      <c r="CP86" t="s">
        <v>100</v>
      </c>
      <c r="CQ86">
        <v>85</v>
      </c>
      <c r="CR86" t="s">
        <v>100</v>
      </c>
      <c r="CS86" t="s">
        <v>100</v>
      </c>
      <c r="CT86" t="s">
        <v>152</v>
      </c>
      <c r="CU86" t="s">
        <v>102</v>
      </c>
      <c r="CV86" t="s">
        <v>100</v>
      </c>
    </row>
    <row r="87" spans="1:100">
      <c r="A87" s="3" t="s">
        <v>3222</v>
      </c>
      <c r="B87" s="4" t="s">
        <v>3223</v>
      </c>
      <c r="C87">
        <v>16.557647774228101</v>
      </c>
      <c r="D87">
        <v>168.407029076029</v>
      </c>
      <c r="E87">
        <f>-3.34882048891943</f>
        <v>-3.3488204889194302</v>
      </c>
      <c r="F87">
        <v>1.09289366356908E-4</v>
      </c>
      <c r="G87" t="s">
        <v>4</v>
      </c>
      <c r="H87">
        <v>16.557647774228101</v>
      </c>
      <c r="I87">
        <v>7.4537522926049702</v>
      </c>
      <c r="J87">
        <v>1.14749901971154</v>
      </c>
      <c r="K87">
        <v>0.248310075371901</v>
      </c>
      <c r="L87" t="s">
        <v>4</v>
      </c>
      <c r="M87">
        <v>168.407029076029</v>
      </c>
      <c r="N87">
        <v>7.4537522926049702</v>
      </c>
      <c r="O87">
        <v>4.49631950863097</v>
      </c>
      <c r="P87" s="5">
        <v>4.1310959919164999E-7</v>
      </c>
      <c r="Q87" t="s">
        <v>4</v>
      </c>
      <c r="R87" s="4" t="s">
        <v>87</v>
      </c>
      <c r="S87" t="s">
        <v>4</v>
      </c>
      <c r="T87" t="s">
        <v>2325</v>
      </c>
      <c r="U87" t="s">
        <v>2326</v>
      </c>
      <c r="V87" t="s">
        <v>2327</v>
      </c>
      <c r="W87" t="s">
        <v>203</v>
      </c>
      <c r="X87" t="s">
        <v>4</v>
      </c>
      <c r="Y87" t="s">
        <v>3224</v>
      </c>
      <c r="Z87" t="s">
        <v>3225</v>
      </c>
      <c r="AA87" t="s">
        <v>3226</v>
      </c>
      <c r="AB87" t="s">
        <v>4</v>
      </c>
      <c r="AC87" s="3" t="s">
        <v>207</v>
      </c>
      <c r="AD87" t="s">
        <v>4</v>
      </c>
      <c r="AE87" t="s">
        <v>3227</v>
      </c>
      <c r="AF87" t="s">
        <v>3228</v>
      </c>
      <c r="AG87" t="s">
        <v>3229</v>
      </c>
      <c r="AH87" t="s">
        <v>386</v>
      </c>
      <c r="AU87" t="s">
        <v>112</v>
      </c>
      <c r="AV87" t="s">
        <v>3230</v>
      </c>
      <c r="AW87" t="s">
        <v>114</v>
      </c>
      <c r="AX87" t="s">
        <v>132</v>
      </c>
      <c r="AY87" t="s">
        <v>3231</v>
      </c>
      <c r="AZ87" t="s">
        <v>4</v>
      </c>
      <c r="BA87" s="3" t="s">
        <v>95</v>
      </c>
      <c r="BB87" s="6" t="s">
        <v>95</v>
      </c>
      <c r="BC87" s="3" t="s">
        <v>95</v>
      </c>
      <c r="BD87" t="s">
        <v>4</v>
      </c>
      <c r="BE87">
        <v>4744</v>
      </c>
      <c r="BF87" t="s">
        <v>282</v>
      </c>
      <c r="BG87">
        <v>97.343000000000004</v>
      </c>
      <c r="BH87">
        <v>70.772900000000007</v>
      </c>
      <c r="BI87">
        <v>85.990300000000005</v>
      </c>
      <c r="BJ87">
        <v>12.8019</v>
      </c>
      <c r="BK87">
        <v>50</v>
      </c>
      <c r="BM87">
        <v>66.4251</v>
      </c>
      <c r="BN87">
        <v>68.115899999999996</v>
      </c>
      <c r="BO87">
        <v>70.048299999999998</v>
      </c>
      <c r="BP87">
        <v>37.922699999999999</v>
      </c>
      <c r="BR87">
        <v>39.8551</v>
      </c>
      <c r="BS87">
        <v>38.8889</v>
      </c>
      <c r="BW87">
        <v>15.2174</v>
      </c>
      <c r="BX87">
        <v>39.372</v>
      </c>
      <c r="BY87">
        <v>27.777799999999999</v>
      </c>
      <c r="CA87">
        <v>31.642499999999998</v>
      </c>
      <c r="CD87">
        <v>23.188400000000001</v>
      </c>
      <c r="CK87">
        <v>6</v>
      </c>
      <c r="CL87" t="s">
        <v>4</v>
      </c>
      <c r="CM87" t="s">
        <v>3232</v>
      </c>
      <c r="CN87" t="s">
        <v>3233</v>
      </c>
      <c r="CO87" t="s">
        <v>663</v>
      </c>
      <c r="CP87" t="s">
        <v>100</v>
      </c>
      <c r="CQ87">
        <v>86</v>
      </c>
      <c r="CR87" t="s">
        <v>100</v>
      </c>
      <c r="CS87" t="s">
        <v>100</v>
      </c>
      <c r="CT87" t="s">
        <v>152</v>
      </c>
      <c r="CU87" t="s">
        <v>102</v>
      </c>
      <c r="CV87" t="s">
        <v>100</v>
      </c>
    </row>
    <row r="88" spans="1:100">
      <c r="A88" s="3" t="s">
        <v>3234</v>
      </c>
      <c r="B88" s="4" t="s">
        <v>3235</v>
      </c>
      <c r="C88">
        <v>142.60049082223699</v>
      </c>
      <c r="D88">
        <v>781.84746959719598</v>
      </c>
      <c r="E88">
        <f>-2.4563243847117</f>
        <v>-2.4563243847116998</v>
      </c>
      <c r="F88" s="5">
        <v>2.74817717519726E-21</v>
      </c>
      <c r="G88" t="s">
        <v>4</v>
      </c>
      <c r="H88">
        <v>142.60049082223699</v>
      </c>
      <c r="I88">
        <v>48.241310874108997</v>
      </c>
      <c r="J88">
        <v>1.5358636279964399</v>
      </c>
      <c r="K88" s="5">
        <v>3.2082942710842798E-7</v>
      </c>
      <c r="L88" t="s">
        <v>4</v>
      </c>
      <c r="M88">
        <v>781.84746959719598</v>
      </c>
      <c r="N88">
        <v>48.241310874108997</v>
      </c>
      <c r="O88">
        <v>3.9921880127081302</v>
      </c>
      <c r="P88" s="5">
        <v>7.6048195765490195E-45</v>
      </c>
      <c r="Q88" t="s">
        <v>4</v>
      </c>
      <c r="R88" s="4" t="s">
        <v>87</v>
      </c>
      <c r="S88" t="s">
        <v>4</v>
      </c>
      <c r="T88" t="s">
        <v>92</v>
      </c>
      <c r="U88" t="s">
        <v>92</v>
      </c>
      <c r="V88" t="s">
        <v>92</v>
      </c>
      <c r="W88" t="s">
        <v>92</v>
      </c>
      <c r="X88" t="s">
        <v>4</v>
      </c>
      <c r="Y88" t="s">
        <v>3236</v>
      </c>
      <c r="Z88" t="s">
        <v>3237</v>
      </c>
      <c r="AA88" t="s">
        <v>3238</v>
      </c>
      <c r="AB88" t="s">
        <v>4</v>
      </c>
      <c r="AC88" s="3" t="s">
        <v>93</v>
      </c>
      <c r="AD88" t="s">
        <v>4</v>
      </c>
      <c r="AE88" t="s">
        <v>3111</v>
      </c>
      <c r="AF88" t="s">
        <v>3239</v>
      </c>
      <c r="AG88" t="s">
        <v>3240</v>
      </c>
      <c r="AH88" t="s">
        <v>112</v>
      </c>
      <c r="AK88" t="s">
        <v>3114</v>
      </c>
      <c r="AL88" t="s">
        <v>3115</v>
      </c>
      <c r="AQ88" t="s">
        <v>3116</v>
      </c>
      <c r="AU88" t="s">
        <v>112</v>
      </c>
      <c r="AV88" t="s">
        <v>3117</v>
      </c>
      <c r="AW88" t="s">
        <v>114</v>
      </c>
      <c r="AX88" t="s">
        <v>536</v>
      </c>
      <c r="AY88" t="s">
        <v>3118</v>
      </c>
      <c r="AZ88" t="s">
        <v>4</v>
      </c>
      <c r="BA88" s="3" t="s">
        <v>115</v>
      </c>
      <c r="BB88" s="6" t="s">
        <v>95</v>
      </c>
      <c r="BC88" s="3" t="s">
        <v>95</v>
      </c>
      <c r="BD88" t="s">
        <v>4</v>
      </c>
      <c r="BE88">
        <v>1574</v>
      </c>
      <c r="BF88" t="s">
        <v>151</v>
      </c>
      <c r="BG88">
        <v>92.682900000000004</v>
      </c>
      <c r="BI88">
        <v>39.430900000000001</v>
      </c>
      <c r="BJ88">
        <v>26.422799999999999</v>
      </c>
      <c r="BO88" t="s">
        <v>3241</v>
      </c>
      <c r="CK88">
        <v>2</v>
      </c>
      <c r="CL88" t="s">
        <v>4</v>
      </c>
      <c r="CM88" t="s">
        <v>98</v>
      </c>
      <c r="CN88" t="s">
        <v>98</v>
      </c>
      <c r="CO88" t="s">
        <v>99</v>
      </c>
      <c r="CP88" t="s">
        <v>100</v>
      </c>
      <c r="CQ88">
        <v>87</v>
      </c>
      <c r="CR88" t="s">
        <v>100</v>
      </c>
      <c r="CS88" s="7" t="s">
        <v>101</v>
      </c>
      <c r="CT88" t="s">
        <v>152</v>
      </c>
      <c r="CU88" t="s">
        <v>102</v>
      </c>
      <c r="CV88" t="s">
        <v>100</v>
      </c>
    </row>
    <row r="89" spans="1:100">
      <c r="A89" s="3" t="s">
        <v>3242</v>
      </c>
      <c r="B89" s="4" t="s">
        <v>3243</v>
      </c>
      <c r="C89">
        <v>92.265321700825496</v>
      </c>
      <c r="D89">
        <v>957.97327527842504</v>
      </c>
      <c r="E89">
        <f>-3.37355180105356</f>
        <v>-3.3735518010535599</v>
      </c>
      <c r="F89" s="5">
        <v>1.8419540967674901E-8</v>
      </c>
      <c r="G89" t="s">
        <v>4</v>
      </c>
      <c r="H89">
        <v>92.265321700825496</v>
      </c>
      <c r="I89">
        <v>66.310114395694498</v>
      </c>
      <c r="J89">
        <v>0.46557507803103398</v>
      </c>
      <c r="K89">
        <v>0.49262157560466402</v>
      </c>
      <c r="L89" t="s">
        <v>4</v>
      </c>
      <c r="M89">
        <v>957.97327527842504</v>
      </c>
      <c r="N89">
        <v>66.310114395694498</v>
      </c>
      <c r="O89">
        <v>3.8391268790845898</v>
      </c>
      <c r="P89" s="5">
        <v>7.0398378740532104E-11</v>
      </c>
      <c r="Q89" t="s">
        <v>4</v>
      </c>
      <c r="R89" s="4" t="s">
        <v>87</v>
      </c>
      <c r="S89" t="s">
        <v>4</v>
      </c>
      <c r="T89" t="s">
        <v>92</v>
      </c>
      <c r="U89" t="s">
        <v>92</v>
      </c>
      <c r="V89" t="s">
        <v>92</v>
      </c>
      <c r="W89" t="s">
        <v>92</v>
      </c>
      <c r="X89" t="s">
        <v>4</v>
      </c>
      <c r="Y89" t="s">
        <v>92</v>
      </c>
      <c r="Z89" t="s">
        <v>92</v>
      </c>
      <c r="AA89" t="s">
        <v>92</v>
      </c>
      <c r="AB89" t="s">
        <v>4</v>
      </c>
      <c r="AC89" s="3" t="s">
        <v>93</v>
      </c>
      <c r="AD89" t="s">
        <v>4</v>
      </c>
      <c r="AE89" s="4" t="s">
        <v>94</v>
      </c>
      <c r="AZ89" t="s">
        <v>4</v>
      </c>
      <c r="BA89" s="3" t="s">
        <v>95</v>
      </c>
      <c r="BB89" s="6" t="s">
        <v>95</v>
      </c>
      <c r="BC89" s="3" t="s">
        <v>95</v>
      </c>
      <c r="BD89" t="s">
        <v>4</v>
      </c>
      <c r="BE89">
        <v>524</v>
      </c>
      <c r="BF89" t="s">
        <v>322</v>
      </c>
      <c r="CK89">
        <v>1</v>
      </c>
      <c r="CL89" t="s">
        <v>4</v>
      </c>
      <c r="CM89" t="s">
        <v>98</v>
      </c>
      <c r="CN89" t="s">
        <v>98</v>
      </c>
      <c r="CO89" t="s">
        <v>99</v>
      </c>
      <c r="CP89" t="s">
        <v>100</v>
      </c>
      <c r="CQ89">
        <v>88</v>
      </c>
      <c r="CR89" t="s">
        <v>100</v>
      </c>
      <c r="CS89" t="s">
        <v>100</v>
      </c>
      <c r="CT89" t="s">
        <v>152</v>
      </c>
      <c r="CU89" t="s">
        <v>102</v>
      </c>
      <c r="CV89" t="s">
        <v>100</v>
      </c>
    </row>
    <row r="90" spans="1:100">
      <c r="A90" s="3" t="s">
        <v>3244</v>
      </c>
      <c r="B90" s="4" t="s">
        <v>3245</v>
      </c>
      <c r="C90">
        <v>42.941987679995997</v>
      </c>
      <c r="D90">
        <v>654.84925013616305</v>
      </c>
      <c r="E90">
        <f>-3.92698635733158</f>
        <v>-3.9269863573315802</v>
      </c>
      <c r="F90" s="5">
        <v>4.7909649657699902E-23</v>
      </c>
      <c r="G90" t="s">
        <v>4</v>
      </c>
      <c r="H90">
        <v>42.941987679995997</v>
      </c>
      <c r="I90">
        <v>36.5956232603682</v>
      </c>
      <c r="J90">
        <v>0.18397150119691899</v>
      </c>
      <c r="K90">
        <v>0.71553216451915402</v>
      </c>
      <c r="L90" t="s">
        <v>4</v>
      </c>
      <c r="M90">
        <v>654.84925013616305</v>
      </c>
      <c r="N90">
        <v>36.5956232603682</v>
      </c>
      <c r="O90">
        <v>4.11095785852849</v>
      </c>
      <c r="P90" s="5">
        <v>7.8360769451478007E-24</v>
      </c>
      <c r="Q90" t="s">
        <v>4</v>
      </c>
      <c r="R90" s="4" t="s">
        <v>87</v>
      </c>
      <c r="S90" t="s">
        <v>4</v>
      </c>
      <c r="T90" t="s">
        <v>92</v>
      </c>
      <c r="U90" t="s">
        <v>92</v>
      </c>
      <c r="V90" t="s">
        <v>92</v>
      </c>
      <c r="W90" t="s">
        <v>92</v>
      </c>
      <c r="X90" t="s">
        <v>4</v>
      </c>
      <c r="Y90" t="s">
        <v>92</v>
      </c>
      <c r="Z90" t="s">
        <v>92</v>
      </c>
      <c r="AA90" t="s">
        <v>92</v>
      </c>
      <c r="AB90" t="s">
        <v>4</v>
      </c>
      <c r="AC90" s="3" t="s">
        <v>93</v>
      </c>
      <c r="AD90" t="s">
        <v>4</v>
      </c>
      <c r="AE90" s="4" t="s">
        <v>94</v>
      </c>
      <c r="AZ90" t="s">
        <v>4</v>
      </c>
      <c r="BA90" s="3" t="s">
        <v>115</v>
      </c>
      <c r="BB90" s="6" t="s">
        <v>95</v>
      </c>
      <c r="BC90" s="3" t="s">
        <v>95</v>
      </c>
      <c r="BD90" t="s">
        <v>4</v>
      </c>
      <c r="BE90">
        <v>3048</v>
      </c>
      <c r="BF90" t="s">
        <v>97</v>
      </c>
      <c r="BG90">
        <v>47.933900000000001</v>
      </c>
      <c r="BJ90">
        <v>46.694200000000002</v>
      </c>
      <c r="BK90">
        <v>52.479300000000002</v>
      </c>
      <c r="BL90">
        <v>48.347099999999998</v>
      </c>
      <c r="BM90">
        <v>49.586799999999997</v>
      </c>
      <c r="BN90">
        <v>49.586799999999997</v>
      </c>
      <c r="BO90">
        <v>51.239699999999999</v>
      </c>
      <c r="CK90">
        <v>4</v>
      </c>
      <c r="CL90" t="s">
        <v>4</v>
      </c>
      <c r="CM90" t="s">
        <v>98</v>
      </c>
      <c r="CN90" t="s">
        <v>98</v>
      </c>
      <c r="CO90" t="s">
        <v>99</v>
      </c>
      <c r="CP90" t="s">
        <v>100</v>
      </c>
      <c r="CQ90">
        <v>89</v>
      </c>
      <c r="CR90" t="s">
        <v>100</v>
      </c>
      <c r="CS90" t="s">
        <v>100</v>
      </c>
      <c r="CT90" t="s">
        <v>152</v>
      </c>
      <c r="CU90" t="s">
        <v>102</v>
      </c>
      <c r="CV90" t="s">
        <v>100</v>
      </c>
    </row>
    <row r="91" spans="1:100">
      <c r="A91" s="3" t="s">
        <v>3246</v>
      </c>
      <c r="B91" s="4" t="s">
        <v>3247</v>
      </c>
      <c r="C91">
        <v>68.787751223407795</v>
      </c>
      <c r="D91">
        <v>729.77199866352998</v>
      </c>
      <c r="E91">
        <f>-3.40493146699129</f>
        <v>-3.40493146699129</v>
      </c>
      <c r="F91" s="5">
        <v>3.6386757400848198E-30</v>
      </c>
      <c r="G91" t="s">
        <v>4</v>
      </c>
      <c r="H91">
        <v>68.787751223407795</v>
      </c>
      <c r="I91">
        <v>46.963348729420296</v>
      </c>
      <c r="J91">
        <v>0.51365212471474597</v>
      </c>
      <c r="K91">
        <v>0.157034351938135</v>
      </c>
      <c r="L91" t="s">
        <v>4</v>
      </c>
      <c r="M91">
        <v>729.77199866352998</v>
      </c>
      <c r="N91">
        <v>46.963348729420296</v>
      </c>
      <c r="O91">
        <v>3.9185835917060401</v>
      </c>
      <c r="P91" s="5">
        <v>1.5772975141023301E-35</v>
      </c>
      <c r="Q91" t="s">
        <v>4</v>
      </c>
      <c r="R91" s="4" t="s">
        <v>87</v>
      </c>
      <c r="S91" t="s">
        <v>4</v>
      </c>
      <c r="T91" t="s">
        <v>92</v>
      </c>
      <c r="U91" t="s">
        <v>92</v>
      </c>
      <c r="V91" t="s">
        <v>92</v>
      </c>
      <c r="W91" t="s">
        <v>92</v>
      </c>
      <c r="X91" t="s">
        <v>4</v>
      </c>
      <c r="Y91" t="s">
        <v>92</v>
      </c>
      <c r="Z91" t="s">
        <v>92</v>
      </c>
      <c r="AA91" t="s">
        <v>92</v>
      </c>
      <c r="AB91" t="s">
        <v>4</v>
      </c>
      <c r="AC91" s="3" t="s">
        <v>93</v>
      </c>
      <c r="AD91" t="s">
        <v>4</v>
      </c>
      <c r="AE91" s="4" t="s">
        <v>94</v>
      </c>
      <c r="AZ91" t="s">
        <v>4</v>
      </c>
      <c r="BA91" s="3" t="s">
        <v>115</v>
      </c>
      <c r="BB91" s="6" t="s">
        <v>95</v>
      </c>
      <c r="BC91" s="3" t="s">
        <v>95</v>
      </c>
      <c r="BD91" t="s">
        <v>4</v>
      </c>
      <c r="BE91">
        <v>3052</v>
      </c>
      <c r="BF91" t="s">
        <v>97</v>
      </c>
      <c r="BG91">
        <v>47.933900000000001</v>
      </c>
      <c r="BJ91">
        <v>46.694200000000002</v>
      </c>
      <c r="BK91">
        <v>52.479300000000002</v>
      </c>
      <c r="BL91">
        <v>48.347099999999998</v>
      </c>
      <c r="BM91">
        <v>49.586799999999997</v>
      </c>
      <c r="BN91">
        <v>49.586799999999997</v>
      </c>
      <c r="BO91">
        <v>51.239699999999999</v>
      </c>
      <c r="CK91">
        <v>4</v>
      </c>
      <c r="CL91" t="s">
        <v>4</v>
      </c>
      <c r="CM91" t="s">
        <v>98</v>
      </c>
      <c r="CN91" t="s">
        <v>98</v>
      </c>
      <c r="CO91" t="s">
        <v>99</v>
      </c>
      <c r="CP91" t="s">
        <v>100</v>
      </c>
      <c r="CQ91">
        <v>90</v>
      </c>
      <c r="CR91" t="s">
        <v>100</v>
      </c>
      <c r="CS91" t="s">
        <v>100</v>
      </c>
      <c r="CT91" t="s">
        <v>152</v>
      </c>
      <c r="CU91" t="s">
        <v>102</v>
      </c>
      <c r="CV91" t="s">
        <v>100</v>
      </c>
    </row>
    <row r="92" spans="1:100">
      <c r="A92" s="3" t="s">
        <v>3248</v>
      </c>
      <c r="B92" s="4" t="s">
        <v>3249</v>
      </c>
      <c r="C92">
        <v>13.8232127749444</v>
      </c>
      <c r="D92">
        <v>97.0729377447486</v>
      </c>
      <c r="E92">
        <f>-2.81287692803033</f>
        <v>-2.8128769280303301</v>
      </c>
      <c r="F92" s="5">
        <v>3.6012624430056599E-8</v>
      </c>
      <c r="G92" t="s">
        <v>4</v>
      </c>
      <c r="H92">
        <v>13.8232127749444</v>
      </c>
      <c r="I92">
        <v>3.2460616823237398</v>
      </c>
      <c r="J92">
        <v>2.1041703106660901</v>
      </c>
      <c r="K92">
        <v>7.6279484676517297E-3</v>
      </c>
      <c r="L92" t="s">
        <v>4</v>
      </c>
      <c r="M92">
        <v>97.0729377447486</v>
      </c>
      <c r="N92">
        <v>3.2460616823237398</v>
      </c>
      <c r="O92">
        <v>4.9170472386964104</v>
      </c>
      <c r="P92" s="5">
        <v>1.00142748737646E-11</v>
      </c>
      <c r="Q92" t="s">
        <v>4</v>
      </c>
      <c r="R92" s="4" t="s">
        <v>87</v>
      </c>
      <c r="S92" t="s">
        <v>4</v>
      </c>
      <c r="T92" t="s">
        <v>92</v>
      </c>
      <c r="U92" t="s">
        <v>92</v>
      </c>
      <c r="V92" t="s">
        <v>92</v>
      </c>
      <c r="W92" t="s">
        <v>92</v>
      </c>
      <c r="X92" t="s">
        <v>4</v>
      </c>
      <c r="Y92" t="s">
        <v>92</v>
      </c>
      <c r="Z92" t="s">
        <v>92</v>
      </c>
      <c r="AA92" t="s">
        <v>92</v>
      </c>
      <c r="AB92" t="s">
        <v>4</v>
      </c>
      <c r="AC92" s="3" t="s">
        <v>93</v>
      </c>
      <c r="AD92" t="s">
        <v>4</v>
      </c>
      <c r="AE92" s="4" t="s">
        <v>94</v>
      </c>
      <c r="AZ92" t="s">
        <v>4</v>
      </c>
      <c r="BA92" s="3" t="s">
        <v>115</v>
      </c>
      <c r="BB92" s="6" t="s">
        <v>95</v>
      </c>
      <c r="BC92" s="3" t="s">
        <v>95</v>
      </c>
      <c r="BD92" t="s">
        <v>4</v>
      </c>
      <c r="BE92">
        <v>3053</v>
      </c>
      <c r="BF92" t="s">
        <v>97</v>
      </c>
      <c r="BG92">
        <v>47.933900000000001</v>
      </c>
      <c r="BJ92">
        <v>46.694200000000002</v>
      </c>
      <c r="BK92">
        <v>52.479300000000002</v>
      </c>
      <c r="BL92">
        <v>48.347099999999998</v>
      </c>
      <c r="BM92">
        <v>49.586799999999997</v>
      </c>
      <c r="BN92">
        <v>49.586799999999997</v>
      </c>
      <c r="BO92">
        <v>51.239699999999999</v>
      </c>
      <c r="CK92">
        <v>4</v>
      </c>
      <c r="CL92" t="s">
        <v>4</v>
      </c>
      <c r="CM92" t="s">
        <v>98</v>
      </c>
      <c r="CN92" t="s">
        <v>98</v>
      </c>
      <c r="CO92" t="s">
        <v>99</v>
      </c>
      <c r="CP92" t="s">
        <v>100</v>
      </c>
      <c r="CQ92">
        <v>91</v>
      </c>
      <c r="CR92" t="s">
        <v>100</v>
      </c>
      <c r="CS92" t="s">
        <v>101</v>
      </c>
      <c r="CT92" t="s">
        <v>152</v>
      </c>
      <c r="CU92" t="s">
        <v>102</v>
      </c>
      <c r="CV92" t="s">
        <v>100</v>
      </c>
    </row>
    <row r="93" spans="1:100">
      <c r="A93" s="3" t="s">
        <v>3250</v>
      </c>
      <c r="B93" s="4" t="s">
        <v>3251</v>
      </c>
      <c r="C93">
        <v>88.527567413471104</v>
      </c>
      <c r="D93">
        <v>1488.78060063203</v>
      </c>
      <c r="E93">
        <f>-4.07043967695217</f>
        <v>-4.0704396769521702</v>
      </c>
      <c r="F93" s="5">
        <v>4.3434134247604902E-19</v>
      </c>
      <c r="G93" t="s">
        <v>4</v>
      </c>
      <c r="H93">
        <v>88.527567413471104</v>
      </c>
      <c r="I93">
        <v>78.062350701440394</v>
      </c>
      <c r="J93">
        <v>0.159996507460617</v>
      </c>
      <c r="K93">
        <v>0.77263672088822599</v>
      </c>
      <c r="L93" t="s">
        <v>4</v>
      </c>
      <c r="M93">
        <v>1488.78060063203</v>
      </c>
      <c r="N93">
        <v>78.062350701440394</v>
      </c>
      <c r="O93">
        <v>4.2304361844127802</v>
      </c>
      <c r="P93" s="5">
        <v>1.3469228389318E-20</v>
      </c>
      <c r="Q93" t="s">
        <v>4</v>
      </c>
      <c r="R93" s="4" t="s">
        <v>87</v>
      </c>
      <c r="S93" t="s">
        <v>4</v>
      </c>
      <c r="T93" t="s">
        <v>92</v>
      </c>
      <c r="U93" t="s">
        <v>92</v>
      </c>
      <c r="V93" t="s">
        <v>92</v>
      </c>
      <c r="W93" t="s">
        <v>92</v>
      </c>
      <c r="X93" t="s">
        <v>4</v>
      </c>
      <c r="Y93" t="s">
        <v>92</v>
      </c>
      <c r="Z93" t="s">
        <v>92</v>
      </c>
      <c r="AA93" t="s">
        <v>92</v>
      </c>
      <c r="AB93" t="s">
        <v>4</v>
      </c>
      <c r="AC93" s="3" t="s">
        <v>93</v>
      </c>
      <c r="AD93" t="s">
        <v>4</v>
      </c>
      <c r="AE93" s="4" t="s">
        <v>94</v>
      </c>
      <c r="AZ93" t="s">
        <v>4</v>
      </c>
      <c r="BA93" s="3" t="s">
        <v>115</v>
      </c>
      <c r="BB93" s="6" t="s">
        <v>95</v>
      </c>
      <c r="BC93" s="3" t="s">
        <v>95</v>
      </c>
      <c r="BD93" t="s">
        <v>4</v>
      </c>
      <c r="BE93">
        <v>3054</v>
      </c>
      <c r="BF93" t="s">
        <v>97</v>
      </c>
      <c r="BG93">
        <v>47.933900000000001</v>
      </c>
      <c r="BJ93">
        <v>46.694200000000002</v>
      </c>
      <c r="BK93">
        <v>52.479300000000002</v>
      </c>
      <c r="BL93">
        <v>48.347099999999998</v>
      </c>
      <c r="BM93">
        <v>49.586799999999997</v>
      </c>
      <c r="BN93">
        <v>49.586799999999997</v>
      </c>
      <c r="BO93">
        <v>51.239699999999999</v>
      </c>
      <c r="CK93">
        <v>4</v>
      </c>
      <c r="CL93" t="s">
        <v>4</v>
      </c>
      <c r="CM93" t="s">
        <v>98</v>
      </c>
      <c r="CN93" t="s">
        <v>98</v>
      </c>
      <c r="CO93" t="s">
        <v>99</v>
      </c>
      <c r="CP93" t="s">
        <v>100</v>
      </c>
      <c r="CQ93">
        <v>92</v>
      </c>
      <c r="CR93" t="s">
        <v>100</v>
      </c>
      <c r="CS93" t="s">
        <v>100</v>
      </c>
      <c r="CT93" t="s">
        <v>152</v>
      </c>
      <c r="CU93" t="s">
        <v>102</v>
      </c>
      <c r="CV93" t="s">
        <v>100</v>
      </c>
    </row>
    <row r="94" spans="1:100">
      <c r="A94" s="3" t="s">
        <v>3252</v>
      </c>
      <c r="B94" s="4" t="s">
        <v>3253</v>
      </c>
      <c r="C94">
        <v>100.662108414583</v>
      </c>
      <c r="D94">
        <v>1402.0993537132099</v>
      </c>
      <c r="E94">
        <f>-3.79934332295337</f>
        <v>-3.7993433229533702</v>
      </c>
      <c r="F94" s="5">
        <v>1.0840470073486401E-27</v>
      </c>
      <c r="G94" t="s">
        <v>4</v>
      </c>
      <c r="H94">
        <v>100.662108414583</v>
      </c>
      <c r="I94">
        <v>345.58606938349999</v>
      </c>
      <c r="J94">
        <f>-1.78479191698786</f>
        <v>-1.7847919169878601</v>
      </c>
      <c r="K94" s="5">
        <v>6.6197512726811203E-7</v>
      </c>
      <c r="L94" t="s">
        <v>4</v>
      </c>
      <c r="M94">
        <v>1402.0993537132099</v>
      </c>
      <c r="N94">
        <v>345.58606938349999</v>
      </c>
      <c r="O94">
        <v>2.0145514059655101</v>
      </c>
      <c r="P94" s="5">
        <v>5.5574090511361998E-9</v>
      </c>
      <c r="Q94" t="s">
        <v>4</v>
      </c>
      <c r="R94" s="4" t="s">
        <v>87</v>
      </c>
      <c r="S94" t="s">
        <v>4</v>
      </c>
      <c r="T94" t="s">
        <v>92</v>
      </c>
      <c r="U94" t="s">
        <v>92</v>
      </c>
      <c r="V94" t="s">
        <v>92</v>
      </c>
      <c r="W94" t="s">
        <v>92</v>
      </c>
      <c r="X94" t="s">
        <v>4</v>
      </c>
      <c r="Y94" t="s">
        <v>92</v>
      </c>
      <c r="Z94" t="s">
        <v>92</v>
      </c>
      <c r="AA94" t="s">
        <v>92</v>
      </c>
      <c r="AB94" t="s">
        <v>4</v>
      </c>
      <c r="AC94" s="3" t="s">
        <v>93</v>
      </c>
      <c r="AD94" t="s">
        <v>4</v>
      </c>
      <c r="AE94" s="4" t="s">
        <v>94</v>
      </c>
      <c r="AZ94" t="s">
        <v>4</v>
      </c>
      <c r="BA94" s="3" t="s">
        <v>115</v>
      </c>
      <c r="BB94" s="6" t="s">
        <v>95</v>
      </c>
      <c r="BC94" s="3" t="s">
        <v>95</v>
      </c>
      <c r="BD94" t="s">
        <v>4</v>
      </c>
      <c r="BE94">
        <v>3056</v>
      </c>
      <c r="BF94" t="s">
        <v>97</v>
      </c>
      <c r="BG94">
        <v>41.603099999999998</v>
      </c>
      <c r="BJ94">
        <v>45.801499999999997</v>
      </c>
      <c r="BK94">
        <v>49.618299999999998</v>
      </c>
      <c r="BL94">
        <v>48.473300000000002</v>
      </c>
      <c r="BM94">
        <v>50</v>
      </c>
      <c r="BN94">
        <v>50</v>
      </c>
      <c r="BO94">
        <v>49.618299999999998</v>
      </c>
      <c r="CK94">
        <v>4</v>
      </c>
      <c r="CL94" t="s">
        <v>4</v>
      </c>
      <c r="CM94" t="s">
        <v>98</v>
      </c>
      <c r="CN94" t="s">
        <v>98</v>
      </c>
      <c r="CO94" t="s">
        <v>99</v>
      </c>
      <c r="CP94" t="s">
        <v>100</v>
      </c>
      <c r="CQ94">
        <v>93</v>
      </c>
      <c r="CR94" t="s">
        <v>100</v>
      </c>
      <c r="CS94" t="s">
        <v>100</v>
      </c>
      <c r="CT94" t="s">
        <v>152</v>
      </c>
      <c r="CU94" t="s">
        <v>102</v>
      </c>
      <c r="CV94" t="s">
        <v>100</v>
      </c>
    </row>
    <row r="95" spans="1:100">
      <c r="A95" s="3" t="s">
        <v>3254</v>
      </c>
      <c r="B95" s="4" t="s">
        <v>3255</v>
      </c>
      <c r="C95">
        <v>86.043714295264195</v>
      </c>
      <c r="D95">
        <v>1518.92303793979</v>
      </c>
      <c r="E95">
        <f>-4.14018452458008</f>
        <v>-4.1401845245800803</v>
      </c>
      <c r="F95" s="5">
        <v>1.2467296810906901E-19</v>
      </c>
      <c r="G95" t="s">
        <v>4</v>
      </c>
      <c r="H95">
        <v>86.043714295264195</v>
      </c>
      <c r="I95">
        <v>57.204595782185699</v>
      </c>
      <c r="J95">
        <v>0.57396943639700004</v>
      </c>
      <c r="K95">
        <v>0.27382974276774402</v>
      </c>
      <c r="L95" t="s">
        <v>4</v>
      </c>
      <c r="M95">
        <v>1518.92303793979</v>
      </c>
      <c r="N95">
        <v>57.204595782185699</v>
      </c>
      <c r="O95">
        <v>4.7141539609770797</v>
      </c>
      <c r="P95" s="5">
        <v>1.14381789873948E-24</v>
      </c>
      <c r="Q95" t="s">
        <v>4</v>
      </c>
      <c r="R95" s="4" t="s">
        <v>87</v>
      </c>
      <c r="S95" t="s">
        <v>4</v>
      </c>
      <c r="T95" t="s">
        <v>92</v>
      </c>
      <c r="U95" t="s">
        <v>92</v>
      </c>
      <c r="V95" t="s">
        <v>92</v>
      </c>
      <c r="W95" t="s">
        <v>92</v>
      </c>
      <c r="X95" t="s">
        <v>4</v>
      </c>
      <c r="Y95" t="s">
        <v>92</v>
      </c>
      <c r="Z95" t="s">
        <v>92</v>
      </c>
      <c r="AA95" t="s">
        <v>92</v>
      </c>
      <c r="AB95" t="s">
        <v>4</v>
      </c>
      <c r="AC95" s="3" t="s">
        <v>93</v>
      </c>
      <c r="AD95" t="s">
        <v>4</v>
      </c>
      <c r="AE95" s="4" t="s">
        <v>94</v>
      </c>
      <c r="AZ95" t="s">
        <v>4</v>
      </c>
      <c r="BA95" s="3" t="s">
        <v>115</v>
      </c>
      <c r="BB95" s="6" t="s">
        <v>95</v>
      </c>
      <c r="BC95" s="3" t="s">
        <v>95</v>
      </c>
      <c r="BD95" t="s">
        <v>4</v>
      </c>
      <c r="BE95">
        <v>3065</v>
      </c>
      <c r="BF95" t="s">
        <v>97</v>
      </c>
      <c r="BG95">
        <v>49.785400000000003</v>
      </c>
      <c r="BJ95">
        <v>46.351900000000001</v>
      </c>
      <c r="BK95">
        <v>51.9313</v>
      </c>
      <c r="BL95">
        <v>48.927</v>
      </c>
      <c r="BM95">
        <v>50.214599999999997</v>
      </c>
      <c r="BN95">
        <v>50.214599999999997</v>
      </c>
      <c r="BO95">
        <v>51.502099999999999</v>
      </c>
      <c r="CK95">
        <v>4</v>
      </c>
      <c r="CL95" t="s">
        <v>4</v>
      </c>
      <c r="CM95" t="s">
        <v>98</v>
      </c>
      <c r="CN95" t="s">
        <v>98</v>
      </c>
      <c r="CO95" t="s">
        <v>99</v>
      </c>
      <c r="CP95" t="s">
        <v>100</v>
      </c>
      <c r="CQ95">
        <v>94</v>
      </c>
      <c r="CR95" t="s">
        <v>100</v>
      </c>
      <c r="CS95" t="s">
        <v>100</v>
      </c>
      <c r="CT95" t="s">
        <v>152</v>
      </c>
      <c r="CU95" t="s">
        <v>102</v>
      </c>
      <c r="CV95" t="s">
        <v>100</v>
      </c>
    </row>
    <row r="96" spans="1:100">
      <c r="A96" s="3" t="s">
        <v>3256</v>
      </c>
      <c r="B96" s="4" t="s">
        <v>3257</v>
      </c>
      <c r="C96">
        <v>258.03366626726898</v>
      </c>
      <c r="D96">
        <v>1428.0127463261899</v>
      </c>
      <c r="E96">
        <f>-2.46706760057666</f>
        <v>-2.4670676005766601</v>
      </c>
      <c r="F96" s="5">
        <v>1.0203820145660301E-12</v>
      </c>
      <c r="G96" t="s">
        <v>4</v>
      </c>
      <c r="H96">
        <v>258.03366626726898</v>
      </c>
      <c r="I96">
        <v>50.995279084016602</v>
      </c>
      <c r="J96">
        <v>2.33609886431314</v>
      </c>
      <c r="K96" s="5">
        <v>3.09707924413988E-10</v>
      </c>
      <c r="L96" t="s">
        <v>4</v>
      </c>
      <c r="M96">
        <v>1428.0127463261899</v>
      </c>
      <c r="N96">
        <v>50.995279084016602</v>
      </c>
      <c r="O96">
        <v>4.8031664648897996</v>
      </c>
      <c r="P96" s="5">
        <v>8.9152843764244005E-41</v>
      </c>
      <c r="Q96" t="s">
        <v>4</v>
      </c>
      <c r="R96" s="4" t="s">
        <v>87</v>
      </c>
      <c r="S96" t="s">
        <v>4</v>
      </c>
      <c r="T96" t="s">
        <v>92</v>
      </c>
      <c r="U96" t="s">
        <v>92</v>
      </c>
      <c r="V96" t="s">
        <v>92</v>
      </c>
      <c r="W96" t="s">
        <v>92</v>
      </c>
      <c r="X96" t="s">
        <v>4</v>
      </c>
      <c r="Y96" t="s">
        <v>2731</v>
      </c>
      <c r="Z96" t="s">
        <v>2732</v>
      </c>
      <c r="AA96" t="s">
        <v>2733</v>
      </c>
      <c r="AB96" t="s">
        <v>4</v>
      </c>
      <c r="AC96" s="3" t="s">
        <v>93</v>
      </c>
      <c r="AD96" t="s">
        <v>4</v>
      </c>
      <c r="AE96" t="s">
        <v>2735</v>
      </c>
      <c r="AF96" t="s">
        <v>2736</v>
      </c>
      <c r="AG96" t="s">
        <v>2737</v>
      </c>
      <c r="AH96" t="s">
        <v>112</v>
      </c>
      <c r="AK96" t="s">
        <v>2738</v>
      </c>
      <c r="AL96" t="s">
        <v>2739</v>
      </c>
      <c r="AM96" t="s">
        <v>2740</v>
      </c>
      <c r="AN96" t="s">
        <v>2741</v>
      </c>
      <c r="AO96" t="s">
        <v>2742</v>
      </c>
      <c r="AP96" t="s">
        <v>2743</v>
      </c>
      <c r="AQ96" t="s">
        <v>2744</v>
      </c>
      <c r="AU96" t="s">
        <v>112</v>
      </c>
      <c r="AV96" t="s">
        <v>2745</v>
      </c>
      <c r="AW96" t="s">
        <v>114</v>
      </c>
      <c r="AX96" t="s">
        <v>2746</v>
      </c>
      <c r="AY96" t="s">
        <v>2747</v>
      </c>
      <c r="AZ96" t="s">
        <v>4</v>
      </c>
      <c r="BA96" s="3" t="s">
        <v>95</v>
      </c>
      <c r="BB96" s="6" t="s">
        <v>95</v>
      </c>
      <c r="BC96" s="3" t="s">
        <v>95</v>
      </c>
      <c r="BD96" t="s">
        <v>4</v>
      </c>
      <c r="BE96">
        <v>10871</v>
      </c>
      <c r="BF96" t="s">
        <v>169</v>
      </c>
      <c r="BG96">
        <v>65.811999999999998</v>
      </c>
      <c r="BI96">
        <v>70.085499999999996</v>
      </c>
      <c r="BJ96">
        <v>69.658100000000005</v>
      </c>
      <c r="BK96">
        <v>68.376099999999994</v>
      </c>
      <c r="BL96" t="s">
        <v>2748</v>
      </c>
      <c r="BM96">
        <v>68.376099999999994</v>
      </c>
      <c r="BN96">
        <v>67.5214</v>
      </c>
      <c r="BO96">
        <v>68.803399999999996</v>
      </c>
      <c r="BP96">
        <v>60.683799999999998</v>
      </c>
      <c r="BQ96">
        <v>55.1282</v>
      </c>
      <c r="BR96">
        <v>58.546999999999997</v>
      </c>
      <c r="BS96">
        <v>58.546999999999997</v>
      </c>
      <c r="BT96">
        <v>52.136800000000001</v>
      </c>
      <c r="BU96">
        <v>57.265000000000001</v>
      </c>
      <c r="BV96" t="s">
        <v>2749</v>
      </c>
      <c r="BW96">
        <v>55.1282</v>
      </c>
      <c r="BX96" t="s">
        <v>2750</v>
      </c>
      <c r="BZ96">
        <v>59.401699999999998</v>
      </c>
      <c r="CA96">
        <v>55.555599999999998</v>
      </c>
      <c r="CC96">
        <v>51.709400000000002</v>
      </c>
      <c r="CD96" t="s">
        <v>2751</v>
      </c>
      <c r="CE96">
        <v>50.427300000000002</v>
      </c>
      <c r="CF96" t="s">
        <v>2752</v>
      </c>
      <c r="CG96">
        <v>52.136800000000001</v>
      </c>
      <c r="CH96">
        <v>52.136800000000001</v>
      </c>
      <c r="CI96">
        <v>55.982900000000001</v>
      </c>
      <c r="CJ96">
        <v>46.153799999999997</v>
      </c>
      <c r="CK96">
        <v>9</v>
      </c>
      <c r="CL96" t="s">
        <v>4</v>
      </c>
      <c r="CM96" t="s">
        <v>2753</v>
      </c>
      <c r="CN96" t="s">
        <v>2754</v>
      </c>
      <c r="CO96" t="s">
        <v>219</v>
      </c>
      <c r="CP96" t="s">
        <v>100</v>
      </c>
      <c r="CQ96">
        <v>95</v>
      </c>
      <c r="CR96" t="s">
        <v>100</v>
      </c>
      <c r="CS96" t="s">
        <v>101</v>
      </c>
      <c r="CT96" t="s">
        <v>152</v>
      </c>
      <c r="CU96" t="s">
        <v>102</v>
      </c>
      <c r="CV96" t="s">
        <v>100</v>
      </c>
    </row>
    <row r="97" spans="1:100">
      <c r="A97" s="3" t="s">
        <v>3258</v>
      </c>
      <c r="B97" s="4" t="s">
        <v>3259</v>
      </c>
      <c r="C97">
        <v>188.68041867130901</v>
      </c>
      <c r="D97">
        <v>1666.7720359459199</v>
      </c>
      <c r="E97">
        <f>-3.14021358023499</f>
        <v>-3.14021358023499</v>
      </c>
      <c r="F97" s="5">
        <v>4.3988357831986003E-22</v>
      </c>
      <c r="G97" t="s">
        <v>4</v>
      </c>
      <c r="H97">
        <v>188.68041867130901</v>
      </c>
      <c r="I97">
        <v>31.0312556753363</v>
      </c>
      <c r="J97">
        <v>2.56291324955754</v>
      </c>
      <c r="K97" s="5">
        <v>5.4063197373027903E-12</v>
      </c>
      <c r="L97" t="s">
        <v>4</v>
      </c>
      <c r="M97">
        <v>1666.7720359459199</v>
      </c>
      <c r="N97">
        <v>31.0312556753363</v>
      </c>
      <c r="O97">
        <v>5.7031268297925299</v>
      </c>
      <c r="P97" s="5">
        <v>8.1254975340525704E-57</v>
      </c>
      <c r="Q97" t="s">
        <v>4</v>
      </c>
      <c r="R97" s="4" t="s">
        <v>87</v>
      </c>
      <c r="S97" t="s">
        <v>4</v>
      </c>
      <c r="T97" t="s">
        <v>92</v>
      </c>
      <c r="U97" t="s">
        <v>92</v>
      </c>
      <c r="V97" t="s">
        <v>92</v>
      </c>
      <c r="W97" t="s">
        <v>92</v>
      </c>
      <c r="X97" t="s">
        <v>4</v>
      </c>
      <c r="Y97" t="s">
        <v>3260</v>
      </c>
      <c r="Z97" t="s">
        <v>3261</v>
      </c>
      <c r="AA97" t="s">
        <v>3262</v>
      </c>
      <c r="AB97" t="s">
        <v>4</v>
      </c>
      <c r="AC97" s="3" t="s">
        <v>93</v>
      </c>
      <c r="AD97" t="s">
        <v>4</v>
      </c>
      <c r="AE97" t="s">
        <v>2735</v>
      </c>
      <c r="AF97" t="s">
        <v>3263</v>
      </c>
      <c r="AG97" t="s">
        <v>3264</v>
      </c>
      <c r="AH97" t="s">
        <v>112</v>
      </c>
      <c r="AK97" t="s">
        <v>2738</v>
      </c>
      <c r="AL97" t="s">
        <v>2739</v>
      </c>
      <c r="AM97" t="s">
        <v>2740</v>
      </c>
      <c r="AN97" t="s">
        <v>2741</v>
      </c>
      <c r="AO97" t="s">
        <v>2742</v>
      </c>
      <c r="AP97" t="s">
        <v>2743</v>
      </c>
      <c r="AQ97" t="s">
        <v>2744</v>
      </c>
      <c r="AU97" t="s">
        <v>112</v>
      </c>
      <c r="AV97" t="s">
        <v>2745</v>
      </c>
      <c r="AW97" t="s">
        <v>114</v>
      </c>
      <c r="AX97" t="s">
        <v>2746</v>
      </c>
      <c r="AY97" t="s">
        <v>2747</v>
      </c>
      <c r="AZ97" t="s">
        <v>4</v>
      </c>
      <c r="BA97" s="3" t="s">
        <v>95</v>
      </c>
      <c r="BB97" s="6" t="s">
        <v>95</v>
      </c>
      <c r="BC97" s="3" t="s">
        <v>95</v>
      </c>
      <c r="BD97" t="s">
        <v>4</v>
      </c>
      <c r="BE97">
        <v>2359</v>
      </c>
      <c r="BF97" t="s">
        <v>148</v>
      </c>
      <c r="CK97">
        <v>3</v>
      </c>
      <c r="CL97" t="s">
        <v>4</v>
      </c>
      <c r="CM97" t="s">
        <v>98</v>
      </c>
      <c r="CN97" t="s">
        <v>98</v>
      </c>
      <c r="CO97" t="s">
        <v>99</v>
      </c>
      <c r="CP97" t="s">
        <v>100</v>
      </c>
      <c r="CQ97">
        <v>96</v>
      </c>
      <c r="CR97" t="s">
        <v>100</v>
      </c>
      <c r="CS97" t="s">
        <v>101</v>
      </c>
      <c r="CT97" t="s">
        <v>152</v>
      </c>
      <c r="CU97" t="s">
        <v>102</v>
      </c>
      <c r="CV97" t="s">
        <v>100</v>
      </c>
    </row>
    <row r="98" spans="1:100">
      <c r="A98" s="3" t="s">
        <v>3265</v>
      </c>
      <c r="B98" s="4" t="s">
        <v>3266</v>
      </c>
      <c r="C98">
        <v>10.9141680286239</v>
      </c>
      <c r="D98">
        <v>151.85763550114601</v>
      </c>
      <c r="E98">
        <f>-3.79496219967861</f>
        <v>-3.79496219967861</v>
      </c>
      <c r="F98" s="5">
        <v>3.8617405550981699E-10</v>
      </c>
      <c r="G98" t="s">
        <v>4</v>
      </c>
      <c r="H98">
        <v>10.9141680286239</v>
      </c>
      <c r="I98">
        <v>26.7388109485942</v>
      </c>
      <c r="J98">
        <f>-1.27594909997457</f>
        <v>-1.27594909997457</v>
      </c>
      <c r="K98">
        <v>5.6242886902901801E-2</v>
      </c>
      <c r="L98" t="s">
        <v>4</v>
      </c>
      <c r="M98">
        <v>151.85763550114601</v>
      </c>
      <c r="N98">
        <v>26.7388109485942</v>
      </c>
      <c r="O98">
        <v>2.5190130997040301</v>
      </c>
      <c r="P98" s="5">
        <v>2.0382374821051799E-5</v>
      </c>
      <c r="Q98" t="s">
        <v>4</v>
      </c>
      <c r="R98" s="4" t="s">
        <v>87</v>
      </c>
      <c r="S98" t="s">
        <v>4</v>
      </c>
      <c r="T98" t="s">
        <v>92</v>
      </c>
      <c r="U98" t="s">
        <v>92</v>
      </c>
      <c r="V98" t="s">
        <v>92</v>
      </c>
      <c r="W98" t="s">
        <v>92</v>
      </c>
      <c r="X98" t="s">
        <v>4</v>
      </c>
      <c r="Y98" t="s">
        <v>3267</v>
      </c>
      <c r="Z98" t="s">
        <v>3268</v>
      </c>
      <c r="AA98" t="s">
        <v>3269</v>
      </c>
      <c r="AB98" t="s">
        <v>4</v>
      </c>
      <c r="AC98" s="3" t="s">
        <v>93</v>
      </c>
      <c r="AD98" t="s">
        <v>4</v>
      </c>
      <c r="AE98" s="4" t="s">
        <v>94</v>
      </c>
      <c r="AZ98" t="s">
        <v>4</v>
      </c>
      <c r="BA98" s="3" t="s">
        <v>95</v>
      </c>
      <c r="BB98" s="6" t="s">
        <v>95</v>
      </c>
      <c r="BC98" s="3" t="s">
        <v>95</v>
      </c>
      <c r="BD98" t="s">
        <v>4</v>
      </c>
      <c r="BE98">
        <v>3068</v>
      </c>
      <c r="BF98" t="s">
        <v>97</v>
      </c>
      <c r="BG98">
        <v>85</v>
      </c>
      <c r="BH98">
        <v>95</v>
      </c>
      <c r="BI98">
        <v>85</v>
      </c>
      <c r="BJ98">
        <v>53.333300000000001</v>
      </c>
      <c r="BL98">
        <v>31.1111</v>
      </c>
      <c r="BM98">
        <v>31.666699999999999</v>
      </c>
      <c r="BN98">
        <v>70.555599999999998</v>
      </c>
      <c r="BO98">
        <v>72.777799999999999</v>
      </c>
      <c r="BP98">
        <v>26.1111</v>
      </c>
      <c r="CK98">
        <v>4</v>
      </c>
      <c r="CL98" t="s">
        <v>4</v>
      </c>
      <c r="CM98" t="s">
        <v>98</v>
      </c>
      <c r="CN98" t="s">
        <v>98</v>
      </c>
      <c r="CO98" t="s">
        <v>99</v>
      </c>
      <c r="CP98" t="s">
        <v>100</v>
      </c>
      <c r="CQ98">
        <v>97</v>
      </c>
      <c r="CR98" t="s">
        <v>100</v>
      </c>
      <c r="CS98" t="s">
        <v>100</v>
      </c>
      <c r="CT98" t="s">
        <v>152</v>
      </c>
      <c r="CU98" t="s">
        <v>102</v>
      </c>
      <c r="CV98" t="s">
        <v>100</v>
      </c>
    </row>
    <row r="99" spans="1:100">
      <c r="A99" s="3" t="s">
        <v>3270</v>
      </c>
      <c r="B99" s="4" t="s">
        <v>3271</v>
      </c>
      <c r="C99">
        <v>90.538184283160504</v>
      </c>
      <c r="D99">
        <v>478.32569493410699</v>
      </c>
      <c r="E99">
        <f>-2.39956829821043</f>
        <v>-2.3995682982104301</v>
      </c>
      <c r="F99" s="5">
        <v>1.14102857487033E-14</v>
      </c>
      <c r="G99" t="s">
        <v>4</v>
      </c>
      <c r="H99">
        <v>90.538184283160504</v>
      </c>
      <c r="I99">
        <v>16.983964679935099</v>
      </c>
      <c r="J99">
        <v>2.4073690293831498</v>
      </c>
      <c r="K99" s="5">
        <v>1.11986971140518E-9</v>
      </c>
      <c r="L99" t="s">
        <v>4</v>
      </c>
      <c r="M99">
        <v>478.32569493410699</v>
      </c>
      <c r="N99">
        <v>16.983964679935099</v>
      </c>
      <c r="O99">
        <v>4.8069373275935803</v>
      </c>
      <c r="P99" s="5">
        <v>6.0751628405056201E-37</v>
      </c>
      <c r="Q99" t="s">
        <v>4</v>
      </c>
      <c r="R99" s="4" t="s">
        <v>87</v>
      </c>
      <c r="S99" t="s">
        <v>4</v>
      </c>
      <c r="T99" t="s">
        <v>460</v>
      </c>
      <c r="U99" t="s">
        <v>461</v>
      </c>
      <c r="V99" t="s">
        <v>462</v>
      </c>
      <c r="W99" t="s">
        <v>123</v>
      </c>
      <c r="X99" t="s">
        <v>4</v>
      </c>
      <c r="Y99" t="s">
        <v>3272</v>
      </c>
      <c r="Z99" t="s">
        <v>3273</v>
      </c>
      <c r="AA99" t="s">
        <v>3274</v>
      </c>
      <c r="AB99" t="s">
        <v>4</v>
      </c>
      <c r="AC99" s="3" t="s">
        <v>93</v>
      </c>
      <c r="AD99" t="s">
        <v>4</v>
      </c>
      <c r="AE99" s="4" t="s">
        <v>94</v>
      </c>
      <c r="AZ99" t="s">
        <v>4</v>
      </c>
      <c r="BA99" s="3" t="s">
        <v>95</v>
      </c>
      <c r="BB99" s="6" t="s">
        <v>95</v>
      </c>
      <c r="BC99" s="3" t="s">
        <v>95</v>
      </c>
      <c r="BD99" t="s">
        <v>4</v>
      </c>
      <c r="BE99">
        <v>8407</v>
      </c>
      <c r="BF99" t="s">
        <v>213</v>
      </c>
      <c r="BG99">
        <v>64.7727</v>
      </c>
      <c r="BK99">
        <v>48.4848</v>
      </c>
      <c r="BM99">
        <v>74.621200000000002</v>
      </c>
      <c r="BN99">
        <v>57.197000000000003</v>
      </c>
      <c r="BP99">
        <v>34.469700000000003</v>
      </c>
      <c r="BQ99">
        <v>31.060600000000001</v>
      </c>
      <c r="BR99">
        <v>24.2424</v>
      </c>
      <c r="BS99">
        <v>28.0303</v>
      </c>
      <c r="BW99">
        <v>23.863600000000002</v>
      </c>
      <c r="BX99">
        <v>35.9848</v>
      </c>
      <c r="CA99">
        <v>29.924199999999999</v>
      </c>
      <c r="CC99">
        <v>32.197000000000003</v>
      </c>
      <c r="CF99">
        <v>29.924199999999999</v>
      </c>
      <c r="CJ99" t="s">
        <v>3275</v>
      </c>
      <c r="CK99">
        <v>8</v>
      </c>
      <c r="CL99" t="s">
        <v>4</v>
      </c>
      <c r="CM99" t="s">
        <v>3276</v>
      </c>
      <c r="CN99" t="s">
        <v>3277</v>
      </c>
      <c r="CO99" t="s">
        <v>99</v>
      </c>
      <c r="CP99" t="s">
        <v>100</v>
      </c>
      <c r="CQ99">
        <v>98</v>
      </c>
      <c r="CR99" t="s">
        <v>100</v>
      </c>
      <c r="CS99" t="s">
        <v>101</v>
      </c>
      <c r="CT99" t="s">
        <v>152</v>
      </c>
      <c r="CU99" t="s">
        <v>102</v>
      </c>
      <c r="CV99" t="s">
        <v>100</v>
      </c>
    </row>
    <row r="100" spans="1:100">
      <c r="A100" s="3" t="s">
        <v>3278</v>
      </c>
      <c r="B100" s="4" t="s">
        <v>3279</v>
      </c>
      <c r="C100">
        <v>20.828091756643801</v>
      </c>
      <c r="D100">
        <v>636.79946707259603</v>
      </c>
      <c r="E100">
        <f>-4.93400468128984</f>
        <v>-4.9340046812898404</v>
      </c>
      <c r="F100">
        <v>5.9930512800259296E-3</v>
      </c>
      <c r="G100" t="s">
        <v>4</v>
      </c>
      <c r="H100">
        <v>20.828091756643801</v>
      </c>
      <c r="I100">
        <v>4.2691935136892001</v>
      </c>
      <c r="J100">
        <v>2.27869715008694</v>
      </c>
      <c r="K100">
        <v>0.232657541781598</v>
      </c>
      <c r="L100" t="s">
        <v>4</v>
      </c>
      <c r="M100">
        <v>636.79946707259603</v>
      </c>
      <c r="N100">
        <v>4.2691935136892001</v>
      </c>
      <c r="O100">
        <v>7.2127018313767799</v>
      </c>
      <c r="P100" s="5">
        <v>3.8179510670361E-5</v>
      </c>
      <c r="Q100" t="s">
        <v>4</v>
      </c>
      <c r="R100" s="4" t="s">
        <v>87</v>
      </c>
      <c r="S100" t="s">
        <v>4</v>
      </c>
      <c r="T100" t="s">
        <v>92</v>
      </c>
      <c r="U100" t="s">
        <v>92</v>
      </c>
      <c r="V100" t="s">
        <v>92</v>
      </c>
      <c r="W100" t="s">
        <v>92</v>
      </c>
      <c r="X100" t="s">
        <v>4</v>
      </c>
      <c r="Y100" t="s">
        <v>1513</v>
      </c>
      <c r="Z100" t="s">
        <v>1514</v>
      </c>
      <c r="AA100" t="s">
        <v>1515</v>
      </c>
      <c r="AB100" t="s">
        <v>4</v>
      </c>
      <c r="AC100" s="3" t="s">
        <v>93</v>
      </c>
      <c r="AD100" t="s">
        <v>4</v>
      </c>
      <c r="AE100" t="s">
        <v>3280</v>
      </c>
      <c r="AF100" t="s">
        <v>3281</v>
      </c>
      <c r="AG100" t="s">
        <v>3282</v>
      </c>
      <c r="AH100" t="s">
        <v>112</v>
      </c>
      <c r="AU100" t="s">
        <v>112</v>
      </c>
      <c r="AV100" t="s">
        <v>3283</v>
      </c>
      <c r="AW100" t="s">
        <v>114</v>
      </c>
      <c r="AZ100" t="s">
        <v>4</v>
      </c>
      <c r="BA100" s="3" t="s">
        <v>95</v>
      </c>
      <c r="BB100" s="6" t="s">
        <v>95</v>
      </c>
      <c r="BC100" s="3" t="s">
        <v>197</v>
      </c>
      <c r="BD100" t="s">
        <v>4</v>
      </c>
      <c r="BE100">
        <v>2361</v>
      </c>
      <c r="BF100" t="s">
        <v>148</v>
      </c>
      <c r="BG100">
        <v>99.212599999999995</v>
      </c>
      <c r="BI100">
        <v>90.551199999999994</v>
      </c>
      <c r="BJ100">
        <v>65.354299999999995</v>
      </c>
      <c r="BK100">
        <v>38.582700000000003</v>
      </c>
      <c r="BL100">
        <v>33.8583</v>
      </c>
      <c r="BM100">
        <v>38.582700000000003</v>
      </c>
      <c r="BN100">
        <v>66.929100000000005</v>
      </c>
      <c r="CK100">
        <v>3</v>
      </c>
      <c r="CL100" t="s">
        <v>4</v>
      </c>
      <c r="CM100" t="s">
        <v>98</v>
      </c>
      <c r="CN100" t="s">
        <v>98</v>
      </c>
      <c r="CO100" t="s">
        <v>99</v>
      </c>
      <c r="CP100" t="s">
        <v>100</v>
      </c>
      <c r="CQ100">
        <v>99</v>
      </c>
      <c r="CR100" t="s">
        <v>100</v>
      </c>
      <c r="CS100" t="s">
        <v>100</v>
      </c>
      <c r="CT100" t="s">
        <v>152</v>
      </c>
      <c r="CU100" t="s">
        <v>102</v>
      </c>
      <c r="CV100" t="s">
        <v>100</v>
      </c>
    </row>
    <row r="101" spans="1:100">
      <c r="A101" s="3" t="s">
        <v>3284</v>
      </c>
      <c r="B101" s="4" t="s">
        <v>3285</v>
      </c>
      <c r="C101">
        <v>671.22860171882496</v>
      </c>
      <c r="D101">
        <v>4793.3888479199304</v>
      </c>
      <c r="E101">
        <f>-2.83613510092691</f>
        <v>-2.83613510092691</v>
      </c>
      <c r="F101" s="5">
        <v>1.01316999616266E-14</v>
      </c>
      <c r="G101" t="s">
        <v>4</v>
      </c>
      <c r="H101">
        <v>671.22860171882496</v>
      </c>
      <c r="I101">
        <v>390.349392876926</v>
      </c>
      <c r="J101">
        <v>0.77687789748156999</v>
      </c>
      <c r="K101">
        <v>4.7388610048554401E-2</v>
      </c>
      <c r="L101" t="s">
        <v>4</v>
      </c>
      <c r="M101">
        <v>4793.3888479199304</v>
      </c>
      <c r="N101">
        <v>390.349392876926</v>
      </c>
      <c r="O101">
        <v>3.6130129984084798</v>
      </c>
      <c r="P101" s="5">
        <v>7.7948976479748702E-24</v>
      </c>
      <c r="Q101" t="s">
        <v>4</v>
      </c>
      <c r="R101" s="4" t="s">
        <v>87</v>
      </c>
      <c r="S101" t="s">
        <v>4</v>
      </c>
      <c r="T101" t="s">
        <v>88</v>
      </c>
      <c r="U101" t="s">
        <v>89</v>
      </c>
      <c r="V101" t="s">
        <v>90</v>
      </c>
      <c r="W101" t="s">
        <v>91</v>
      </c>
      <c r="X101" t="s">
        <v>4</v>
      </c>
      <c r="Y101" t="s">
        <v>3286</v>
      </c>
      <c r="Z101" t="s">
        <v>3287</v>
      </c>
      <c r="AA101" t="s">
        <v>3288</v>
      </c>
      <c r="AB101" t="s">
        <v>4</v>
      </c>
      <c r="AC101" s="3" t="s">
        <v>93</v>
      </c>
      <c r="AD101" t="s">
        <v>4</v>
      </c>
      <c r="AE101" t="s">
        <v>3289</v>
      </c>
      <c r="AF101" t="s">
        <v>3290</v>
      </c>
      <c r="AG101" t="s">
        <v>3291</v>
      </c>
      <c r="AH101" t="s">
        <v>314</v>
      </c>
      <c r="AU101" t="s">
        <v>112</v>
      </c>
      <c r="AV101" t="s">
        <v>3292</v>
      </c>
      <c r="AW101" t="s">
        <v>114</v>
      </c>
      <c r="AX101" t="s">
        <v>144</v>
      </c>
      <c r="AY101" t="s">
        <v>3293</v>
      </c>
      <c r="AZ101" t="s">
        <v>4</v>
      </c>
      <c r="BA101" s="3" t="s">
        <v>95</v>
      </c>
      <c r="BB101" t="s">
        <v>96</v>
      </c>
      <c r="BC101" s="3" t="s">
        <v>197</v>
      </c>
      <c r="BD101" t="s">
        <v>4</v>
      </c>
      <c r="BE101">
        <v>5820</v>
      </c>
      <c r="BF101" t="s">
        <v>386</v>
      </c>
      <c r="BG101">
        <v>65.016499999999994</v>
      </c>
      <c r="BH101">
        <v>67.986800000000002</v>
      </c>
      <c r="BI101">
        <v>88.778899999999993</v>
      </c>
      <c r="BJ101">
        <v>28.3828</v>
      </c>
      <c r="BK101">
        <v>54.455399999999997</v>
      </c>
      <c r="BM101">
        <v>31.023099999999999</v>
      </c>
      <c r="BN101">
        <v>63.036299999999997</v>
      </c>
      <c r="BO101">
        <v>30.363</v>
      </c>
      <c r="BQ101">
        <v>29.372900000000001</v>
      </c>
      <c r="BR101">
        <v>35.313499999999998</v>
      </c>
      <c r="BS101">
        <v>36.303600000000003</v>
      </c>
      <c r="BT101">
        <v>29.042899999999999</v>
      </c>
      <c r="BU101">
        <v>28.3828</v>
      </c>
      <c r="BW101">
        <v>31.353100000000001</v>
      </c>
      <c r="BX101">
        <v>37.293700000000001</v>
      </c>
      <c r="CA101">
        <v>34.653500000000001</v>
      </c>
      <c r="CD101" t="s">
        <v>3294</v>
      </c>
      <c r="CF101">
        <v>20.462</v>
      </c>
      <c r="CK101">
        <v>7</v>
      </c>
      <c r="CL101" t="s">
        <v>4</v>
      </c>
      <c r="CM101" t="s">
        <v>3295</v>
      </c>
      <c r="CN101" t="s">
        <v>3296</v>
      </c>
      <c r="CO101" t="s">
        <v>99</v>
      </c>
      <c r="CP101" t="s">
        <v>100</v>
      </c>
      <c r="CQ101">
        <v>100</v>
      </c>
      <c r="CR101" t="s">
        <v>100</v>
      </c>
      <c r="CS101" t="s">
        <v>100</v>
      </c>
      <c r="CT101" t="s">
        <v>152</v>
      </c>
      <c r="CU101" t="s">
        <v>102</v>
      </c>
      <c r="CV101" t="s">
        <v>100</v>
      </c>
    </row>
    <row r="102" spans="1:100">
      <c r="A102" s="3" t="s">
        <v>3297</v>
      </c>
      <c r="B102" s="4" t="s">
        <v>3298</v>
      </c>
      <c r="C102">
        <v>240.195349673945</v>
      </c>
      <c r="D102">
        <v>4490.9077396953498</v>
      </c>
      <c r="E102">
        <f>-4.22389534228036</f>
        <v>-4.2238953422803602</v>
      </c>
      <c r="F102" s="5">
        <v>4.3090100377148595E-22</v>
      </c>
      <c r="G102" t="s">
        <v>4</v>
      </c>
      <c r="H102">
        <v>240.195349673945</v>
      </c>
      <c r="I102">
        <v>213.83870934814601</v>
      </c>
      <c r="J102">
        <v>0.17098761598305701</v>
      </c>
      <c r="K102">
        <v>0.74268780267062795</v>
      </c>
      <c r="L102" t="s">
        <v>4</v>
      </c>
      <c r="M102">
        <v>4490.9077396953498</v>
      </c>
      <c r="N102">
        <v>213.83870934814601</v>
      </c>
      <c r="O102">
        <v>4.3948829582634197</v>
      </c>
      <c r="P102" s="5">
        <v>2.6145659213065001E-24</v>
      </c>
      <c r="Q102" t="s">
        <v>4</v>
      </c>
      <c r="R102" s="4" t="s">
        <v>87</v>
      </c>
      <c r="S102" t="s">
        <v>4</v>
      </c>
      <c r="T102" t="s">
        <v>3299</v>
      </c>
      <c r="U102" t="s">
        <v>3300</v>
      </c>
      <c r="V102" t="s">
        <v>3301</v>
      </c>
      <c r="W102" t="s">
        <v>328</v>
      </c>
      <c r="X102" t="s">
        <v>4</v>
      </c>
      <c r="Y102" t="s">
        <v>3302</v>
      </c>
      <c r="Z102" t="s">
        <v>3303</v>
      </c>
      <c r="AA102" t="s">
        <v>3304</v>
      </c>
      <c r="AB102" t="s">
        <v>4</v>
      </c>
      <c r="AC102" s="3" t="s">
        <v>3305</v>
      </c>
      <c r="AD102" t="s">
        <v>4</v>
      </c>
      <c r="AE102" t="s">
        <v>3306</v>
      </c>
      <c r="AF102" t="s">
        <v>3307</v>
      </c>
      <c r="AG102" t="s">
        <v>3308</v>
      </c>
      <c r="AH102" t="s">
        <v>112</v>
      </c>
      <c r="AL102" t="s">
        <v>3309</v>
      </c>
      <c r="AQ102" t="s">
        <v>3310</v>
      </c>
      <c r="AU102" t="s">
        <v>112</v>
      </c>
      <c r="AV102" t="s">
        <v>3311</v>
      </c>
      <c r="AW102" t="s">
        <v>114</v>
      </c>
      <c r="AX102" t="s">
        <v>3312</v>
      </c>
      <c r="AY102" t="s">
        <v>3313</v>
      </c>
      <c r="AZ102" t="s">
        <v>4</v>
      </c>
      <c r="BA102" s="3" t="s">
        <v>95</v>
      </c>
      <c r="BB102" t="s">
        <v>96</v>
      </c>
      <c r="BC102" s="3" t="s">
        <v>95</v>
      </c>
      <c r="BD102" t="s">
        <v>4</v>
      </c>
      <c r="BE102">
        <v>3198</v>
      </c>
      <c r="BF102" t="s">
        <v>112</v>
      </c>
      <c r="BG102">
        <v>93.358599999999996</v>
      </c>
      <c r="BH102">
        <v>94.117599999999996</v>
      </c>
      <c r="BI102">
        <v>96.204899999999995</v>
      </c>
      <c r="BJ102">
        <v>90.702100000000002</v>
      </c>
      <c r="BK102">
        <v>80.645200000000003</v>
      </c>
      <c r="BL102">
        <v>71.537000000000006</v>
      </c>
      <c r="BM102">
        <v>83.491500000000002</v>
      </c>
      <c r="BN102">
        <v>83.491500000000002</v>
      </c>
      <c r="BO102">
        <v>79.696399999999997</v>
      </c>
      <c r="BP102">
        <v>50.853900000000003</v>
      </c>
      <c r="BQ102">
        <v>48.387099999999997</v>
      </c>
      <c r="BR102">
        <v>50.094900000000003</v>
      </c>
      <c r="BS102">
        <v>18.595800000000001</v>
      </c>
      <c r="BT102">
        <v>45.350999999999999</v>
      </c>
      <c r="BU102">
        <v>38.5199</v>
      </c>
      <c r="BV102" t="s">
        <v>3314</v>
      </c>
      <c r="BW102">
        <v>37.381399999999999</v>
      </c>
      <c r="BX102">
        <v>52.751399999999997</v>
      </c>
      <c r="BY102" t="s">
        <v>3315</v>
      </c>
      <c r="BZ102">
        <v>20.872900000000001</v>
      </c>
      <c r="CA102">
        <v>48.387099999999997</v>
      </c>
      <c r="CG102" t="s">
        <v>3316</v>
      </c>
      <c r="CH102" t="s">
        <v>3317</v>
      </c>
      <c r="CI102" t="s">
        <v>3318</v>
      </c>
      <c r="CK102">
        <v>5</v>
      </c>
      <c r="CL102" t="s">
        <v>4</v>
      </c>
      <c r="CM102" t="s">
        <v>3319</v>
      </c>
      <c r="CN102" t="s">
        <v>3320</v>
      </c>
      <c r="CO102" t="s">
        <v>99</v>
      </c>
      <c r="CP102" t="s">
        <v>100</v>
      </c>
      <c r="CQ102">
        <v>101</v>
      </c>
      <c r="CR102" t="s">
        <v>100</v>
      </c>
      <c r="CS102" t="s">
        <v>100</v>
      </c>
      <c r="CT102" t="s">
        <v>152</v>
      </c>
      <c r="CU102" t="s">
        <v>102</v>
      </c>
      <c r="CV102" t="s">
        <v>100</v>
      </c>
    </row>
    <row r="103" spans="1:100">
      <c r="A103" s="3" t="s">
        <v>3321</v>
      </c>
      <c r="B103" s="4" t="s">
        <v>3322</v>
      </c>
      <c r="C103">
        <v>14.3212432663125</v>
      </c>
      <c r="D103">
        <v>86.356445567736003</v>
      </c>
      <c r="E103">
        <f>-2.58161628874852</f>
        <v>-2.5816162887485201</v>
      </c>
      <c r="F103" s="5">
        <v>1.5296560912125301E-5</v>
      </c>
      <c r="G103" t="s">
        <v>4</v>
      </c>
      <c r="H103">
        <v>14.3212432663125</v>
      </c>
      <c r="I103">
        <v>9.6094865518455101</v>
      </c>
      <c r="J103">
        <v>0.59437628049540403</v>
      </c>
      <c r="K103">
        <v>0.418530593810509</v>
      </c>
      <c r="L103" t="s">
        <v>4</v>
      </c>
      <c r="M103">
        <v>86.356445567736003</v>
      </c>
      <c r="N103">
        <v>9.6094865518455101</v>
      </c>
      <c r="O103">
        <v>3.1759925692439301</v>
      </c>
      <c r="P103" s="5">
        <v>5.22012823104905E-7</v>
      </c>
      <c r="Q103" t="s">
        <v>4</v>
      </c>
      <c r="R103" s="4" t="s">
        <v>87</v>
      </c>
      <c r="S103" t="s">
        <v>4</v>
      </c>
      <c r="T103" t="s">
        <v>88</v>
      </c>
      <c r="U103" t="s">
        <v>89</v>
      </c>
      <c r="V103" t="s">
        <v>90</v>
      </c>
      <c r="W103" t="s">
        <v>91</v>
      </c>
      <c r="X103" t="s">
        <v>4</v>
      </c>
      <c r="Y103" t="s">
        <v>92</v>
      </c>
      <c r="Z103" t="s">
        <v>92</v>
      </c>
      <c r="AA103" t="s">
        <v>92</v>
      </c>
      <c r="AB103" t="s">
        <v>4</v>
      </c>
      <c r="AC103" s="3" t="s">
        <v>93</v>
      </c>
      <c r="AD103" t="s">
        <v>4</v>
      </c>
      <c r="AE103" t="s">
        <v>3323</v>
      </c>
      <c r="AF103" t="s">
        <v>3324</v>
      </c>
      <c r="AG103" t="s">
        <v>564</v>
      </c>
      <c r="AH103" t="s">
        <v>112</v>
      </c>
      <c r="AI103" t="s">
        <v>3325</v>
      </c>
      <c r="AU103" t="s">
        <v>112</v>
      </c>
      <c r="AV103" t="s">
        <v>3326</v>
      </c>
      <c r="AW103" t="s">
        <v>114</v>
      </c>
      <c r="AZ103" t="s">
        <v>4</v>
      </c>
      <c r="BA103" s="3" t="s">
        <v>95</v>
      </c>
      <c r="BB103" t="s">
        <v>96</v>
      </c>
      <c r="BC103" s="3" t="s">
        <v>95</v>
      </c>
      <c r="BD103" t="s">
        <v>4</v>
      </c>
      <c r="BE103">
        <v>2378</v>
      </c>
      <c r="BF103" t="s">
        <v>148</v>
      </c>
      <c r="BH103">
        <v>67.7273</v>
      </c>
      <c r="BI103">
        <v>64.545500000000004</v>
      </c>
      <c r="BJ103">
        <v>52.2727</v>
      </c>
      <c r="BL103">
        <v>65</v>
      </c>
      <c r="BM103">
        <v>57.7273</v>
      </c>
      <c r="BO103">
        <v>72.2727</v>
      </c>
      <c r="CK103">
        <v>3</v>
      </c>
      <c r="CL103" t="s">
        <v>4</v>
      </c>
      <c r="CM103" t="s">
        <v>98</v>
      </c>
      <c r="CN103" t="s">
        <v>98</v>
      </c>
      <c r="CO103" t="s">
        <v>99</v>
      </c>
      <c r="CP103" t="s">
        <v>100</v>
      </c>
      <c r="CQ103">
        <v>102</v>
      </c>
      <c r="CR103" t="s">
        <v>100</v>
      </c>
      <c r="CS103" t="s">
        <v>100</v>
      </c>
      <c r="CT103" t="s">
        <v>152</v>
      </c>
      <c r="CU103" t="s">
        <v>102</v>
      </c>
      <c r="CV103" t="s">
        <v>100</v>
      </c>
    </row>
    <row r="104" spans="1:100">
      <c r="A104" s="3" t="s">
        <v>3327</v>
      </c>
      <c r="B104" s="4" t="s">
        <v>3328</v>
      </c>
      <c r="C104">
        <v>39.091385207181403</v>
      </c>
      <c r="D104">
        <v>179.292226135128</v>
      </c>
      <c r="E104">
        <f>-2.19201272460607</f>
        <v>-2.1920127246060699</v>
      </c>
      <c r="F104" s="5">
        <v>7.9226904172716696E-5</v>
      </c>
      <c r="G104" t="s">
        <v>4</v>
      </c>
      <c r="H104">
        <v>39.091385207181403</v>
      </c>
      <c r="I104">
        <v>5.56180090810376</v>
      </c>
      <c r="J104">
        <v>2.7625832802179402</v>
      </c>
      <c r="K104" s="5">
        <v>7.0318482718593396E-5</v>
      </c>
      <c r="L104" t="s">
        <v>4</v>
      </c>
      <c r="M104">
        <v>179.292226135128</v>
      </c>
      <c r="N104">
        <v>5.56180090810376</v>
      </c>
      <c r="O104">
        <v>4.9545960048240101</v>
      </c>
      <c r="P104" s="5">
        <v>6.4712958945530997E-14</v>
      </c>
      <c r="Q104" t="s">
        <v>4</v>
      </c>
      <c r="R104" s="4" t="s">
        <v>87</v>
      </c>
      <c r="S104" t="s">
        <v>4</v>
      </c>
      <c r="T104" t="s">
        <v>92</v>
      </c>
      <c r="U104" t="s">
        <v>92</v>
      </c>
      <c r="V104" t="s">
        <v>92</v>
      </c>
      <c r="W104" t="s">
        <v>92</v>
      </c>
      <c r="X104" t="s">
        <v>4</v>
      </c>
      <c r="Y104" t="s">
        <v>92</v>
      </c>
      <c r="Z104" t="s">
        <v>92</v>
      </c>
      <c r="AA104" t="s">
        <v>92</v>
      </c>
      <c r="AB104" t="s">
        <v>4</v>
      </c>
      <c r="AC104" s="3" t="s">
        <v>93</v>
      </c>
      <c r="AD104" t="s">
        <v>4</v>
      </c>
      <c r="AE104" s="4" t="s">
        <v>94</v>
      </c>
      <c r="AZ104" t="s">
        <v>4</v>
      </c>
      <c r="BA104" s="3" t="s">
        <v>115</v>
      </c>
      <c r="BB104" s="6" t="s">
        <v>95</v>
      </c>
      <c r="BC104" s="3" t="s">
        <v>95</v>
      </c>
      <c r="BD104" t="s">
        <v>4</v>
      </c>
      <c r="BE104">
        <v>920</v>
      </c>
      <c r="BF104" t="s">
        <v>604</v>
      </c>
      <c r="BG104">
        <v>83.802800000000005</v>
      </c>
      <c r="BH104">
        <v>67.605599999999995</v>
      </c>
      <c r="CK104">
        <v>1.5</v>
      </c>
      <c r="CL104" t="s">
        <v>4</v>
      </c>
      <c r="CM104" t="s">
        <v>98</v>
      </c>
      <c r="CN104" t="s">
        <v>98</v>
      </c>
      <c r="CO104" t="s">
        <v>99</v>
      </c>
      <c r="CP104" t="s">
        <v>100</v>
      </c>
      <c r="CQ104">
        <v>103</v>
      </c>
      <c r="CR104" t="s">
        <v>100</v>
      </c>
      <c r="CS104" t="s">
        <v>101</v>
      </c>
      <c r="CT104" t="s">
        <v>152</v>
      </c>
      <c r="CU104" t="s">
        <v>102</v>
      </c>
      <c r="CV104" t="s">
        <v>100</v>
      </c>
    </row>
    <row r="105" spans="1:100">
      <c r="A105" s="3" t="s">
        <v>3329</v>
      </c>
      <c r="B105" s="4" t="s">
        <v>3330</v>
      </c>
      <c r="C105">
        <v>524.65006547731502</v>
      </c>
      <c r="D105">
        <v>4380.5288430160499</v>
      </c>
      <c r="E105">
        <f>-3.0614705167509</f>
        <v>-3.0614705167509002</v>
      </c>
      <c r="F105" s="5">
        <v>6.9929441454648602E-12</v>
      </c>
      <c r="G105" t="s">
        <v>4</v>
      </c>
      <c r="H105">
        <v>524.65006547731502</v>
      </c>
      <c r="I105">
        <v>162.60559914109501</v>
      </c>
      <c r="J105">
        <v>1.69000564087017</v>
      </c>
      <c r="K105">
        <v>2.5082656626073698E-4</v>
      </c>
      <c r="L105" t="s">
        <v>4</v>
      </c>
      <c r="M105">
        <v>4380.5288430160499</v>
      </c>
      <c r="N105">
        <v>162.60559914109501</v>
      </c>
      <c r="O105">
        <v>4.7514761576210596</v>
      </c>
      <c r="P105" s="5">
        <v>1.49308309820755E-27</v>
      </c>
      <c r="Q105" t="s">
        <v>4</v>
      </c>
      <c r="R105" s="4" t="s">
        <v>87</v>
      </c>
      <c r="S105" t="s">
        <v>4</v>
      </c>
      <c r="T105" t="s">
        <v>460</v>
      </c>
      <c r="U105" t="s">
        <v>461</v>
      </c>
      <c r="V105" t="s">
        <v>462</v>
      </c>
      <c r="W105" t="s">
        <v>123</v>
      </c>
      <c r="X105" t="s">
        <v>4</v>
      </c>
      <c r="Y105" t="s">
        <v>3331</v>
      </c>
      <c r="Z105" t="s">
        <v>3332</v>
      </c>
      <c r="AA105" t="s">
        <v>3333</v>
      </c>
      <c r="AB105" t="s">
        <v>4</v>
      </c>
      <c r="AC105" s="3" t="s">
        <v>93</v>
      </c>
      <c r="AD105" t="s">
        <v>4</v>
      </c>
      <c r="AE105" t="s">
        <v>3190</v>
      </c>
      <c r="AF105" t="s">
        <v>3334</v>
      </c>
      <c r="AG105" t="s">
        <v>3192</v>
      </c>
      <c r="AH105" t="s">
        <v>112</v>
      </c>
      <c r="AJ105" t="s">
        <v>3193</v>
      </c>
      <c r="AK105" t="s">
        <v>3194</v>
      </c>
      <c r="AL105" t="s">
        <v>3195</v>
      </c>
      <c r="AM105" t="s">
        <v>3196</v>
      </c>
      <c r="AQ105" t="s">
        <v>3197</v>
      </c>
      <c r="AU105" t="s">
        <v>112</v>
      </c>
      <c r="AV105" t="s">
        <v>3198</v>
      </c>
      <c r="AW105" t="s">
        <v>114</v>
      </c>
      <c r="AX105" t="s">
        <v>2157</v>
      </c>
      <c r="AY105" t="s">
        <v>3199</v>
      </c>
      <c r="AZ105" t="s">
        <v>4</v>
      </c>
      <c r="BA105" s="3" t="s">
        <v>95</v>
      </c>
      <c r="BB105" s="6" t="s">
        <v>95</v>
      </c>
      <c r="BC105" s="3" t="s">
        <v>95</v>
      </c>
      <c r="BD105" t="s">
        <v>4</v>
      </c>
      <c r="BE105">
        <v>1684</v>
      </c>
      <c r="BF105" t="s">
        <v>151</v>
      </c>
      <c r="BI105">
        <v>48.337600000000002</v>
      </c>
      <c r="BJ105" t="s">
        <v>3335</v>
      </c>
      <c r="CK105">
        <v>2</v>
      </c>
      <c r="CL105" t="s">
        <v>4</v>
      </c>
      <c r="CM105" t="s">
        <v>98</v>
      </c>
      <c r="CN105" t="s">
        <v>98</v>
      </c>
      <c r="CO105" t="s">
        <v>99</v>
      </c>
      <c r="CP105" t="s">
        <v>100</v>
      </c>
      <c r="CQ105">
        <v>104</v>
      </c>
      <c r="CR105" t="s">
        <v>100</v>
      </c>
      <c r="CS105" s="7" t="s">
        <v>101</v>
      </c>
      <c r="CT105" t="s">
        <v>152</v>
      </c>
      <c r="CU105" t="s">
        <v>102</v>
      </c>
      <c r="CV105" t="s">
        <v>100</v>
      </c>
    </row>
    <row r="106" spans="1:100">
      <c r="A106" s="3" t="s">
        <v>3336</v>
      </c>
      <c r="B106" s="4" t="s">
        <v>3337</v>
      </c>
      <c r="C106">
        <v>116.65861536138399</v>
      </c>
      <c r="D106">
        <v>977.46471565427498</v>
      </c>
      <c r="E106">
        <f>-3.06585171205593</f>
        <v>-3.0658517120559301</v>
      </c>
      <c r="F106" s="5">
        <v>2.3491791995137102E-13</v>
      </c>
      <c r="G106" t="s">
        <v>4</v>
      </c>
      <c r="H106">
        <v>116.65861536138399</v>
      </c>
      <c r="I106">
        <v>61.7562493642642</v>
      </c>
      <c r="J106">
        <v>0.91560960377172296</v>
      </c>
      <c r="K106">
        <v>4.7980218177479897E-2</v>
      </c>
      <c r="L106" t="s">
        <v>4</v>
      </c>
      <c r="M106">
        <v>977.46471565427498</v>
      </c>
      <c r="N106">
        <v>61.7562493642642</v>
      </c>
      <c r="O106">
        <v>3.9814613158276599</v>
      </c>
      <c r="P106" s="5">
        <v>3.2314259687114399E-21</v>
      </c>
      <c r="Q106" t="s">
        <v>4</v>
      </c>
      <c r="R106" s="4" t="s">
        <v>87</v>
      </c>
      <c r="S106" t="s">
        <v>4</v>
      </c>
      <c r="T106" t="s">
        <v>1261</v>
      </c>
      <c r="U106" t="s">
        <v>1262</v>
      </c>
      <c r="V106" t="s">
        <v>1263</v>
      </c>
      <c r="W106" t="s">
        <v>328</v>
      </c>
      <c r="X106" t="s">
        <v>4</v>
      </c>
      <c r="Y106" t="s">
        <v>3338</v>
      </c>
      <c r="Z106" t="s">
        <v>3339</v>
      </c>
      <c r="AA106" t="s">
        <v>3340</v>
      </c>
      <c r="AB106" t="s">
        <v>4</v>
      </c>
      <c r="AC106" s="3" t="s">
        <v>93</v>
      </c>
      <c r="AD106" t="s">
        <v>4</v>
      </c>
      <c r="AE106" t="s">
        <v>3341</v>
      </c>
      <c r="AF106" t="s">
        <v>834</v>
      </c>
      <c r="AG106" t="s">
        <v>3342</v>
      </c>
      <c r="AH106" t="s">
        <v>112</v>
      </c>
      <c r="AJ106" t="s">
        <v>1001</v>
      </c>
      <c r="AU106" t="s">
        <v>112</v>
      </c>
      <c r="AV106" t="s">
        <v>3343</v>
      </c>
      <c r="AW106" t="s">
        <v>114</v>
      </c>
      <c r="AX106" t="s">
        <v>371</v>
      </c>
      <c r="AY106" t="s">
        <v>1275</v>
      </c>
      <c r="AZ106" t="s">
        <v>4</v>
      </c>
      <c r="BA106" s="3" t="s">
        <v>115</v>
      </c>
      <c r="BB106" s="6" t="s">
        <v>95</v>
      </c>
      <c r="BC106" s="3" t="s">
        <v>95</v>
      </c>
      <c r="BD106" t="s">
        <v>4</v>
      </c>
      <c r="BE106">
        <v>1688</v>
      </c>
      <c r="BF106" t="s">
        <v>151</v>
      </c>
      <c r="CK106">
        <v>2</v>
      </c>
      <c r="CL106" t="s">
        <v>4</v>
      </c>
      <c r="CM106" t="s">
        <v>98</v>
      </c>
      <c r="CN106" t="s">
        <v>98</v>
      </c>
      <c r="CO106" t="s">
        <v>99</v>
      </c>
      <c r="CP106" t="s">
        <v>100</v>
      </c>
      <c r="CQ106">
        <v>105</v>
      </c>
      <c r="CR106" t="s">
        <v>100</v>
      </c>
      <c r="CS106" t="s">
        <v>100</v>
      </c>
      <c r="CT106" t="s">
        <v>152</v>
      </c>
      <c r="CU106" t="s">
        <v>102</v>
      </c>
      <c r="CV106" t="s">
        <v>100</v>
      </c>
    </row>
    <row r="107" spans="1:100">
      <c r="A107" s="3" t="s">
        <v>3344</v>
      </c>
      <c r="B107" s="4" t="s">
        <v>3345</v>
      </c>
      <c r="C107">
        <v>54.7093051044845</v>
      </c>
      <c r="D107">
        <v>595.01144978469995</v>
      </c>
      <c r="E107">
        <f>-3.44033587963656</f>
        <v>-3.4403358796365602</v>
      </c>
      <c r="F107" s="5">
        <v>1.2526874920894499E-16</v>
      </c>
      <c r="G107" t="s">
        <v>4</v>
      </c>
      <c r="H107">
        <v>54.7093051044845</v>
      </c>
      <c r="I107">
        <v>24.6253516941455</v>
      </c>
      <c r="J107">
        <v>1.1842347383610901</v>
      </c>
      <c r="K107">
        <v>1.5218067562812699E-2</v>
      </c>
      <c r="L107" t="s">
        <v>4</v>
      </c>
      <c r="M107">
        <v>595.01144978469995</v>
      </c>
      <c r="N107">
        <v>24.6253516941455</v>
      </c>
      <c r="O107">
        <v>4.6245706179976498</v>
      </c>
      <c r="P107" s="5">
        <v>1.7970331036501501E-25</v>
      </c>
      <c r="Q107" t="s">
        <v>4</v>
      </c>
      <c r="R107" s="4" t="s">
        <v>87</v>
      </c>
      <c r="S107" t="s">
        <v>4</v>
      </c>
      <c r="T107" t="s">
        <v>1261</v>
      </c>
      <c r="U107" t="s">
        <v>1262</v>
      </c>
      <c r="V107" t="s">
        <v>1263</v>
      </c>
      <c r="W107" t="s">
        <v>328</v>
      </c>
      <c r="X107" t="s">
        <v>4</v>
      </c>
      <c r="Y107" t="s">
        <v>1264</v>
      </c>
      <c r="Z107" t="s">
        <v>1265</v>
      </c>
      <c r="AA107" t="s">
        <v>1266</v>
      </c>
      <c r="AB107" t="s">
        <v>4</v>
      </c>
      <c r="AC107" s="3" t="s">
        <v>93</v>
      </c>
      <c r="AD107" t="s">
        <v>4</v>
      </c>
      <c r="AE107" t="s">
        <v>3346</v>
      </c>
      <c r="AF107" t="s">
        <v>3347</v>
      </c>
      <c r="AG107" t="s">
        <v>3348</v>
      </c>
      <c r="AH107" t="s">
        <v>2253</v>
      </c>
      <c r="AU107" t="s">
        <v>112</v>
      </c>
      <c r="AV107" t="s">
        <v>3349</v>
      </c>
      <c r="AW107" t="s">
        <v>114</v>
      </c>
      <c r="AX107" t="s">
        <v>371</v>
      </c>
      <c r="AY107" t="s">
        <v>3350</v>
      </c>
      <c r="AZ107" t="s">
        <v>4</v>
      </c>
      <c r="BA107" s="3" t="s">
        <v>95</v>
      </c>
      <c r="BB107" s="6" t="s">
        <v>95</v>
      </c>
      <c r="BC107" s="3" t="s">
        <v>95</v>
      </c>
      <c r="BD107" t="s">
        <v>4</v>
      </c>
      <c r="BE107">
        <v>5833</v>
      </c>
      <c r="BF107" t="s">
        <v>386</v>
      </c>
      <c r="BG107">
        <v>18.789100000000001</v>
      </c>
      <c r="BH107">
        <v>18.997900000000001</v>
      </c>
      <c r="BI107">
        <v>10.020899999999999</v>
      </c>
      <c r="BJ107">
        <v>10.4384</v>
      </c>
      <c r="BK107">
        <v>13.3612</v>
      </c>
      <c r="BL107">
        <v>17.119</v>
      </c>
      <c r="BM107">
        <v>17.9541</v>
      </c>
      <c r="BN107">
        <v>19.206700000000001</v>
      </c>
      <c r="BO107">
        <v>2.50522</v>
      </c>
      <c r="BP107">
        <v>1.67015</v>
      </c>
      <c r="BR107">
        <v>10.020899999999999</v>
      </c>
      <c r="BT107">
        <v>14.196199999999999</v>
      </c>
      <c r="BV107" t="s">
        <v>3351</v>
      </c>
      <c r="BW107">
        <v>12.5261</v>
      </c>
      <c r="BX107">
        <v>9.6033399999999993</v>
      </c>
      <c r="BY107">
        <v>6.2630499999999998</v>
      </c>
      <c r="BZ107">
        <v>9.6033399999999993</v>
      </c>
      <c r="CB107">
        <v>7.9331899999999997</v>
      </c>
      <c r="CC107">
        <v>10.2296</v>
      </c>
      <c r="CD107" t="s">
        <v>3352</v>
      </c>
      <c r="CF107">
        <v>11.899800000000001</v>
      </c>
      <c r="CK107">
        <v>7</v>
      </c>
      <c r="CL107" t="s">
        <v>4</v>
      </c>
      <c r="CM107" t="s">
        <v>98</v>
      </c>
      <c r="CN107" t="s">
        <v>98</v>
      </c>
      <c r="CO107" t="s">
        <v>99</v>
      </c>
      <c r="CP107" t="s">
        <v>100</v>
      </c>
      <c r="CQ107">
        <v>106</v>
      </c>
      <c r="CR107" t="s">
        <v>100</v>
      </c>
      <c r="CS107" s="7" t="s">
        <v>101</v>
      </c>
      <c r="CT107" t="s">
        <v>152</v>
      </c>
      <c r="CU107" t="s">
        <v>102</v>
      </c>
      <c r="CV107" t="s">
        <v>100</v>
      </c>
    </row>
    <row r="108" spans="1:100">
      <c r="A108" s="3" t="s">
        <v>3353</v>
      </c>
      <c r="B108" s="4" t="s">
        <v>3354</v>
      </c>
      <c r="C108">
        <v>152.97249400273799</v>
      </c>
      <c r="D108">
        <v>1612.8873564574001</v>
      </c>
      <c r="E108">
        <f>-3.39778098729885</f>
        <v>-3.3977809872988498</v>
      </c>
      <c r="F108" s="5">
        <v>1.41526388058458E-18</v>
      </c>
      <c r="G108" t="s">
        <v>4</v>
      </c>
      <c r="H108">
        <v>152.97249400273799</v>
      </c>
      <c r="I108">
        <v>127.534713080378</v>
      </c>
      <c r="J108">
        <v>0.26794749986705801</v>
      </c>
      <c r="K108">
        <v>0.55272150186336</v>
      </c>
      <c r="L108" t="s">
        <v>4</v>
      </c>
      <c r="M108">
        <v>1612.8873564574001</v>
      </c>
      <c r="N108">
        <v>127.534713080378</v>
      </c>
      <c r="O108">
        <v>3.6657284871659099</v>
      </c>
      <c r="P108" s="5">
        <v>1.42441510902763E-21</v>
      </c>
      <c r="Q108" t="s">
        <v>4</v>
      </c>
      <c r="R108" s="4" t="s">
        <v>87</v>
      </c>
      <c r="S108" t="s">
        <v>4</v>
      </c>
      <c r="T108" t="s">
        <v>1261</v>
      </c>
      <c r="U108" t="s">
        <v>1262</v>
      </c>
      <c r="V108" t="s">
        <v>1263</v>
      </c>
      <c r="W108" t="s">
        <v>328</v>
      </c>
      <c r="X108" t="s">
        <v>4</v>
      </c>
      <c r="Y108" t="s">
        <v>3338</v>
      </c>
      <c r="Z108" t="s">
        <v>3339</v>
      </c>
      <c r="AA108" t="s">
        <v>3340</v>
      </c>
      <c r="AB108" t="s">
        <v>4</v>
      </c>
      <c r="AC108" s="3" t="s">
        <v>93</v>
      </c>
      <c r="AD108" t="s">
        <v>4</v>
      </c>
      <c r="AE108" t="s">
        <v>3341</v>
      </c>
      <c r="AF108" t="s">
        <v>834</v>
      </c>
      <c r="AG108" t="s">
        <v>3355</v>
      </c>
      <c r="AH108" t="s">
        <v>112</v>
      </c>
      <c r="AJ108" t="s">
        <v>1001</v>
      </c>
      <c r="AU108" t="s">
        <v>112</v>
      </c>
      <c r="AV108" t="s">
        <v>3343</v>
      </c>
      <c r="AW108" t="s">
        <v>114</v>
      </c>
      <c r="AX108" t="s">
        <v>371</v>
      </c>
      <c r="AY108" t="s">
        <v>1275</v>
      </c>
      <c r="AZ108" t="s">
        <v>4</v>
      </c>
      <c r="BA108" s="3" t="s">
        <v>115</v>
      </c>
      <c r="BB108" s="6" t="s">
        <v>95</v>
      </c>
      <c r="BC108" s="3" t="s">
        <v>95</v>
      </c>
      <c r="BD108" t="s">
        <v>4</v>
      </c>
      <c r="BE108">
        <v>5834</v>
      </c>
      <c r="BF108" t="s">
        <v>386</v>
      </c>
      <c r="BG108">
        <v>97.855500000000006</v>
      </c>
      <c r="BH108">
        <v>99.548500000000004</v>
      </c>
      <c r="BI108">
        <v>91.7607</v>
      </c>
      <c r="BJ108">
        <v>4.5146699999999997</v>
      </c>
      <c r="BK108">
        <v>44.356699999999996</v>
      </c>
      <c r="BM108">
        <v>8.6907499999999995</v>
      </c>
      <c r="BN108">
        <v>6.8848799999999999</v>
      </c>
      <c r="BO108">
        <v>67.494399999999999</v>
      </c>
      <c r="BP108">
        <v>12.979699999999999</v>
      </c>
      <c r="BS108">
        <v>9.5936800000000009</v>
      </c>
      <c r="BV108">
        <v>3.9503400000000002</v>
      </c>
      <c r="BW108">
        <v>7.9006800000000004</v>
      </c>
      <c r="BZ108">
        <v>8.1264099999999999</v>
      </c>
      <c r="CA108">
        <v>11.625299999999999</v>
      </c>
      <c r="CB108">
        <v>9.0293500000000009</v>
      </c>
      <c r="CK108">
        <v>7</v>
      </c>
      <c r="CL108" t="s">
        <v>4</v>
      </c>
      <c r="CM108" t="s">
        <v>3356</v>
      </c>
      <c r="CN108" t="s">
        <v>3357</v>
      </c>
      <c r="CO108" t="s">
        <v>1218</v>
      </c>
      <c r="CP108" t="s">
        <v>100</v>
      </c>
      <c r="CQ108">
        <v>107</v>
      </c>
      <c r="CR108" t="s">
        <v>100</v>
      </c>
      <c r="CS108" t="s">
        <v>100</v>
      </c>
      <c r="CT108" t="s">
        <v>152</v>
      </c>
      <c r="CU108" t="s">
        <v>102</v>
      </c>
      <c r="CV108" t="s">
        <v>100</v>
      </c>
    </row>
    <row r="109" spans="1:100">
      <c r="A109" s="3" t="s">
        <v>3358</v>
      </c>
      <c r="B109" s="4" t="s">
        <v>3359</v>
      </c>
      <c r="C109">
        <v>33.2738676830839</v>
      </c>
      <c r="D109">
        <v>286.66397942467302</v>
      </c>
      <c r="E109">
        <f>-3.10568193504237</f>
        <v>-3.1056819350423699</v>
      </c>
      <c r="F109" s="5">
        <v>8.3303133714866796E-11</v>
      </c>
      <c r="G109" t="s">
        <v>4</v>
      </c>
      <c r="H109">
        <v>33.2738676830839</v>
      </c>
      <c r="I109">
        <v>18.380003384460402</v>
      </c>
      <c r="J109">
        <v>0.86129469779924706</v>
      </c>
      <c r="K109">
        <v>0.13120297953520799</v>
      </c>
      <c r="L109" t="s">
        <v>4</v>
      </c>
      <c r="M109">
        <v>286.66397942467302</v>
      </c>
      <c r="N109">
        <v>18.380003384460402</v>
      </c>
      <c r="O109">
        <v>3.9669766328416198</v>
      </c>
      <c r="P109" s="5">
        <v>4.2290108754351896E-15</v>
      </c>
      <c r="Q109" t="s">
        <v>4</v>
      </c>
      <c r="R109" s="4" t="s">
        <v>87</v>
      </c>
      <c r="S109" t="s">
        <v>4</v>
      </c>
      <c r="T109" t="s">
        <v>92</v>
      </c>
      <c r="U109" t="s">
        <v>92</v>
      </c>
      <c r="V109" t="s">
        <v>92</v>
      </c>
      <c r="W109" t="s">
        <v>92</v>
      </c>
      <c r="X109" t="s">
        <v>4</v>
      </c>
      <c r="Y109" t="s">
        <v>92</v>
      </c>
      <c r="Z109" t="s">
        <v>92</v>
      </c>
      <c r="AA109" t="s">
        <v>92</v>
      </c>
      <c r="AB109" t="s">
        <v>4</v>
      </c>
      <c r="AC109" s="3" t="s">
        <v>93</v>
      </c>
      <c r="AD109" t="s">
        <v>4</v>
      </c>
      <c r="AE109" s="4" t="s">
        <v>94</v>
      </c>
      <c r="AZ109" t="s">
        <v>4</v>
      </c>
      <c r="BA109" s="3" t="s">
        <v>95</v>
      </c>
      <c r="BB109" s="6" t="s">
        <v>95</v>
      </c>
      <c r="BC109" s="3" t="s">
        <v>95</v>
      </c>
      <c r="BD109" t="s">
        <v>4</v>
      </c>
      <c r="BE109">
        <v>1690</v>
      </c>
      <c r="BF109" t="s">
        <v>151</v>
      </c>
      <c r="BG109">
        <v>93.714299999999994</v>
      </c>
      <c r="BH109">
        <v>83.142899999999997</v>
      </c>
      <c r="BJ109" t="s">
        <v>3360</v>
      </c>
      <c r="BK109">
        <v>24.857099999999999</v>
      </c>
      <c r="BL109">
        <v>22.285699999999999</v>
      </c>
      <c r="CK109">
        <v>2</v>
      </c>
      <c r="CL109" t="s">
        <v>4</v>
      </c>
      <c r="CM109" t="s">
        <v>98</v>
      </c>
      <c r="CN109" t="s">
        <v>98</v>
      </c>
      <c r="CO109" t="s">
        <v>99</v>
      </c>
      <c r="CP109" t="s">
        <v>100</v>
      </c>
      <c r="CQ109">
        <v>108</v>
      </c>
      <c r="CR109" t="s">
        <v>100</v>
      </c>
      <c r="CS109" t="s">
        <v>100</v>
      </c>
      <c r="CT109" t="s">
        <v>152</v>
      </c>
      <c r="CU109" t="s">
        <v>102</v>
      </c>
      <c r="CV109" t="s">
        <v>100</v>
      </c>
    </row>
    <row r="110" spans="1:100">
      <c r="A110" s="3" t="s">
        <v>3361</v>
      </c>
      <c r="B110" s="4" t="s">
        <v>3362</v>
      </c>
      <c r="C110">
        <v>161.20042101618199</v>
      </c>
      <c r="D110">
        <v>1573.8536951393</v>
      </c>
      <c r="E110">
        <f>-3.28749847902709</f>
        <v>-3.2874984790270898</v>
      </c>
      <c r="F110" s="5">
        <v>2.5578568968031801E-16</v>
      </c>
      <c r="G110" t="s">
        <v>4</v>
      </c>
      <c r="H110">
        <v>161.20042101618199</v>
      </c>
      <c r="I110">
        <v>128.734511099971</v>
      </c>
      <c r="J110">
        <v>0.32924179996594899</v>
      </c>
      <c r="K110">
        <v>0.47664521182637898</v>
      </c>
      <c r="L110" t="s">
        <v>4</v>
      </c>
      <c r="M110">
        <v>1573.8536951393</v>
      </c>
      <c r="N110">
        <v>128.734511099971</v>
      </c>
      <c r="O110">
        <v>3.6167402789930398</v>
      </c>
      <c r="P110" s="5">
        <v>1.03052667069909E-19</v>
      </c>
      <c r="Q110" t="s">
        <v>4</v>
      </c>
      <c r="R110" s="4" t="s">
        <v>87</v>
      </c>
      <c r="S110" t="s">
        <v>4</v>
      </c>
      <c r="T110" t="s">
        <v>1261</v>
      </c>
      <c r="U110" t="s">
        <v>1262</v>
      </c>
      <c r="V110" t="s">
        <v>1263</v>
      </c>
      <c r="W110" t="s">
        <v>328</v>
      </c>
      <c r="X110" t="s">
        <v>4</v>
      </c>
      <c r="Y110" t="s">
        <v>3338</v>
      </c>
      <c r="Z110" t="s">
        <v>3339</v>
      </c>
      <c r="AA110" t="s">
        <v>3340</v>
      </c>
      <c r="AB110" t="s">
        <v>4</v>
      </c>
      <c r="AC110" s="3" t="s">
        <v>93</v>
      </c>
      <c r="AD110" t="s">
        <v>4</v>
      </c>
      <c r="AE110" t="s">
        <v>3341</v>
      </c>
      <c r="AF110" t="s">
        <v>834</v>
      </c>
      <c r="AG110" t="s">
        <v>3363</v>
      </c>
      <c r="AH110" t="s">
        <v>112</v>
      </c>
      <c r="AJ110" t="s">
        <v>1001</v>
      </c>
      <c r="AU110" t="s">
        <v>112</v>
      </c>
      <c r="AV110" t="s">
        <v>3343</v>
      </c>
      <c r="AW110" t="s">
        <v>114</v>
      </c>
      <c r="AX110" t="s">
        <v>371</v>
      </c>
      <c r="AY110" t="s">
        <v>1275</v>
      </c>
      <c r="AZ110" t="s">
        <v>4</v>
      </c>
      <c r="BA110" s="3" t="s">
        <v>115</v>
      </c>
      <c r="BB110" s="6" t="s">
        <v>95</v>
      </c>
      <c r="BC110" s="3" t="s">
        <v>95</v>
      </c>
      <c r="BD110" t="s">
        <v>4</v>
      </c>
      <c r="BE110">
        <v>5835</v>
      </c>
      <c r="BF110" t="s">
        <v>386</v>
      </c>
      <c r="BG110">
        <v>97.569400000000002</v>
      </c>
      <c r="BH110">
        <v>99.305599999999998</v>
      </c>
      <c r="BI110">
        <v>91.319400000000002</v>
      </c>
      <c r="BJ110">
        <v>4.6296299999999997</v>
      </c>
      <c r="BK110">
        <v>45.4861</v>
      </c>
      <c r="BM110">
        <v>8.9120399999999993</v>
      </c>
      <c r="BN110">
        <v>7.0601799999999999</v>
      </c>
      <c r="BO110">
        <v>67.361099999999993</v>
      </c>
      <c r="BP110">
        <v>13.3102</v>
      </c>
      <c r="BS110">
        <v>9.7222200000000001</v>
      </c>
      <c r="BV110">
        <v>4.0509300000000001</v>
      </c>
      <c r="BW110">
        <v>7.98611</v>
      </c>
      <c r="BZ110">
        <v>8.3333300000000001</v>
      </c>
      <c r="CA110">
        <v>11.5741</v>
      </c>
      <c r="CB110">
        <v>9.375</v>
      </c>
      <c r="CK110">
        <v>7</v>
      </c>
      <c r="CL110" t="s">
        <v>4</v>
      </c>
      <c r="CM110" t="s">
        <v>3356</v>
      </c>
      <c r="CN110" t="s">
        <v>3364</v>
      </c>
      <c r="CO110" t="s">
        <v>1218</v>
      </c>
      <c r="CP110" t="s">
        <v>100</v>
      </c>
      <c r="CQ110">
        <v>109</v>
      </c>
      <c r="CR110" t="s">
        <v>100</v>
      </c>
      <c r="CS110" t="s">
        <v>100</v>
      </c>
      <c r="CT110" t="s">
        <v>152</v>
      </c>
      <c r="CU110" t="s">
        <v>102</v>
      </c>
      <c r="CV110" t="s">
        <v>100</v>
      </c>
    </row>
    <row r="111" spans="1:100">
      <c r="A111" s="3" t="s">
        <v>3365</v>
      </c>
      <c r="B111" s="4" t="s">
        <v>3366</v>
      </c>
      <c r="C111">
        <v>67.930795574328201</v>
      </c>
      <c r="D111">
        <v>1101.19391126604</v>
      </c>
      <c r="E111">
        <f>-4.01504928483667</f>
        <v>-4.0150492848366701</v>
      </c>
      <c r="F111" s="5">
        <v>2.7161552210277698E-30</v>
      </c>
      <c r="G111" t="s">
        <v>4</v>
      </c>
      <c r="H111">
        <v>67.930795574328201</v>
      </c>
      <c r="I111">
        <v>147.89288723279699</v>
      </c>
      <c r="J111">
        <f>-1.10906551650087</f>
        <v>-1.10906551650087</v>
      </c>
      <c r="K111">
        <v>3.4036378738195598E-3</v>
      </c>
      <c r="L111" t="s">
        <v>4</v>
      </c>
      <c r="M111">
        <v>1101.19391126604</v>
      </c>
      <c r="N111">
        <v>147.89288723279699</v>
      </c>
      <c r="O111">
        <v>2.9059837683357901</v>
      </c>
      <c r="P111" s="5">
        <v>5.2092195419959001E-17</v>
      </c>
      <c r="Q111" t="s">
        <v>4</v>
      </c>
      <c r="R111" s="4" t="s">
        <v>87</v>
      </c>
      <c r="S111" t="s">
        <v>4</v>
      </c>
      <c r="T111" t="s">
        <v>3367</v>
      </c>
      <c r="U111" t="s">
        <v>3368</v>
      </c>
      <c r="V111" t="s">
        <v>3369</v>
      </c>
      <c r="W111" t="s">
        <v>328</v>
      </c>
      <c r="X111" t="s">
        <v>4</v>
      </c>
      <c r="Y111" t="s">
        <v>3370</v>
      </c>
      <c r="Z111" t="s">
        <v>3371</v>
      </c>
      <c r="AA111" t="s">
        <v>3372</v>
      </c>
      <c r="AB111" t="s">
        <v>4</v>
      </c>
      <c r="AC111" s="3" t="s">
        <v>93</v>
      </c>
      <c r="AD111" t="s">
        <v>4</v>
      </c>
      <c r="AE111" t="s">
        <v>3373</v>
      </c>
      <c r="AF111" t="s">
        <v>3374</v>
      </c>
      <c r="AG111" t="s">
        <v>3375</v>
      </c>
      <c r="AH111" t="s">
        <v>386</v>
      </c>
      <c r="AU111" t="s">
        <v>112</v>
      </c>
      <c r="AV111" t="s">
        <v>3376</v>
      </c>
      <c r="AW111" t="s">
        <v>114</v>
      </c>
      <c r="AX111" t="s">
        <v>371</v>
      </c>
      <c r="AY111" t="s">
        <v>3377</v>
      </c>
      <c r="AZ111" t="s">
        <v>4</v>
      </c>
      <c r="BA111" s="3" t="s">
        <v>95</v>
      </c>
      <c r="BB111" s="6" t="s">
        <v>95</v>
      </c>
      <c r="BC111" s="3" t="s">
        <v>95</v>
      </c>
      <c r="BD111" t="s">
        <v>4</v>
      </c>
      <c r="BE111">
        <v>5836</v>
      </c>
      <c r="BF111" t="s">
        <v>386</v>
      </c>
      <c r="BG111">
        <v>99.259299999999996</v>
      </c>
      <c r="BH111">
        <v>99.629599999999996</v>
      </c>
      <c r="BK111">
        <v>82.222200000000001</v>
      </c>
      <c r="BQ111">
        <v>39.259300000000003</v>
      </c>
      <c r="BV111" t="s">
        <v>3378</v>
      </c>
      <c r="BX111">
        <v>39.629600000000003</v>
      </c>
      <c r="CB111">
        <v>30</v>
      </c>
      <c r="CE111">
        <v>29.6296</v>
      </c>
      <c r="CK111">
        <v>7</v>
      </c>
      <c r="CL111" t="s">
        <v>4</v>
      </c>
      <c r="CM111" t="s">
        <v>98</v>
      </c>
      <c r="CN111" t="s">
        <v>98</v>
      </c>
      <c r="CO111" t="s">
        <v>99</v>
      </c>
      <c r="CP111" t="s">
        <v>100</v>
      </c>
      <c r="CQ111">
        <v>110</v>
      </c>
      <c r="CR111" t="s">
        <v>100</v>
      </c>
      <c r="CS111" t="s">
        <v>100</v>
      </c>
      <c r="CT111" t="s">
        <v>152</v>
      </c>
      <c r="CU111" t="s">
        <v>102</v>
      </c>
      <c r="CV111" t="s">
        <v>100</v>
      </c>
    </row>
    <row r="112" spans="1:100">
      <c r="A112" s="3" t="s">
        <v>3379</v>
      </c>
      <c r="B112" s="4" t="s">
        <v>3380</v>
      </c>
      <c r="C112">
        <v>10.4831125967732</v>
      </c>
      <c r="D112">
        <v>104.583886547375</v>
      </c>
      <c r="E112">
        <f>-3.31314897489642</f>
        <v>-3.31314897489642</v>
      </c>
      <c r="F112">
        <v>3.4132922382695899E-3</v>
      </c>
      <c r="G112" t="s">
        <v>4</v>
      </c>
      <c r="H112">
        <v>10.4831125967732</v>
      </c>
      <c r="I112">
        <v>12.343880265048</v>
      </c>
      <c r="J112">
        <f>0.187650650498105</f>
        <v>0.187650650498105</v>
      </c>
      <c r="K112">
        <v>0.88494341928200904</v>
      </c>
      <c r="L112" t="s">
        <v>4</v>
      </c>
      <c r="M112">
        <v>104.583886547375</v>
      </c>
      <c r="N112">
        <v>12.343880265048</v>
      </c>
      <c r="O112">
        <v>3.1254983243983201</v>
      </c>
      <c r="P112">
        <v>4.78566676999708E-3</v>
      </c>
      <c r="Q112" t="s">
        <v>4</v>
      </c>
      <c r="R112" s="4" t="s">
        <v>87</v>
      </c>
      <c r="S112" t="s">
        <v>4</v>
      </c>
      <c r="T112" t="s">
        <v>92</v>
      </c>
      <c r="U112" t="s">
        <v>92</v>
      </c>
      <c r="V112" t="s">
        <v>92</v>
      </c>
      <c r="W112" t="s">
        <v>92</v>
      </c>
      <c r="X112" t="s">
        <v>4</v>
      </c>
      <c r="Y112" t="s">
        <v>92</v>
      </c>
      <c r="Z112" t="s">
        <v>92</v>
      </c>
      <c r="AA112" t="s">
        <v>92</v>
      </c>
      <c r="AB112" t="s">
        <v>4</v>
      </c>
      <c r="AC112" s="3" t="s">
        <v>93</v>
      </c>
      <c r="AD112" t="s">
        <v>4</v>
      </c>
      <c r="AE112" s="4" t="s">
        <v>94</v>
      </c>
      <c r="AZ112" t="s">
        <v>4</v>
      </c>
      <c r="BA112" s="3" t="s">
        <v>95</v>
      </c>
      <c r="BB112" s="6" t="s">
        <v>95</v>
      </c>
      <c r="BC112" s="3" t="s">
        <v>95</v>
      </c>
      <c r="BD112" t="s">
        <v>4</v>
      </c>
      <c r="BE112">
        <v>1713</v>
      </c>
      <c r="BF112" t="s">
        <v>151</v>
      </c>
      <c r="BG112">
        <v>95.945899999999995</v>
      </c>
      <c r="BJ112">
        <v>51.351399999999998</v>
      </c>
      <c r="BK112">
        <v>25.675699999999999</v>
      </c>
      <c r="BL112" t="s">
        <v>3381</v>
      </c>
      <c r="BM112">
        <v>32.432400000000001</v>
      </c>
      <c r="BN112">
        <v>33.1081</v>
      </c>
      <c r="BO112">
        <v>49.324300000000001</v>
      </c>
      <c r="CK112">
        <v>2</v>
      </c>
      <c r="CL112" t="s">
        <v>4</v>
      </c>
      <c r="CM112" t="s">
        <v>98</v>
      </c>
      <c r="CN112" t="s">
        <v>98</v>
      </c>
      <c r="CO112" t="s">
        <v>99</v>
      </c>
      <c r="CP112" t="s">
        <v>100</v>
      </c>
      <c r="CQ112">
        <v>111</v>
      </c>
      <c r="CR112" t="s">
        <v>100</v>
      </c>
      <c r="CS112" t="s">
        <v>100</v>
      </c>
      <c r="CT112" t="s">
        <v>152</v>
      </c>
      <c r="CU112" t="s">
        <v>102</v>
      </c>
      <c r="CV112" t="s">
        <v>100</v>
      </c>
    </row>
    <row r="113" spans="1:100">
      <c r="A113" s="3" t="s">
        <v>3382</v>
      </c>
      <c r="B113" s="4" t="s">
        <v>3383</v>
      </c>
      <c r="C113">
        <v>50.555093142825001</v>
      </c>
      <c r="D113">
        <v>543.21981026035701</v>
      </c>
      <c r="E113">
        <f>-3.42321201042475</f>
        <v>-3.4232120104247499</v>
      </c>
      <c r="F113" s="5">
        <v>4.1276436591073802E-6</v>
      </c>
      <c r="G113" t="s">
        <v>4</v>
      </c>
      <c r="H113">
        <v>50.555093142825001</v>
      </c>
      <c r="I113">
        <v>26.881044654026201</v>
      </c>
      <c r="J113">
        <v>0.915442484294962</v>
      </c>
      <c r="K113">
        <v>0.262692820839108</v>
      </c>
      <c r="L113" t="s">
        <v>4</v>
      </c>
      <c r="M113">
        <v>543.21981026035701</v>
      </c>
      <c r="N113">
        <v>26.881044654026201</v>
      </c>
      <c r="O113">
        <v>4.3386544947197097</v>
      </c>
      <c r="P113" s="5">
        <v>3.11243688321649E-9</v>
      </c>
      <c r="Q113" t="s">
        <v>4</v>
      </c>
      <c r="R113" s="4" t="s">
        <v>87</v>
      </c>
      <c r="S113" t="s">
        <v>4</v>
      </c>
      <c r="T113" t="s">
        <v>92</v>
      </c>
      <c r="U113" t="s">
        <v>92</v>
      </c>
      <c r="V113" t="s">
        <v>92</v>
      </c>
      <c r="W113" t="s">
        <v>92</v>
      </c>
      <c r="X113" t="s">
        <v>4</v>
      </c>
      <c r="Y113" t="s">
        <v>92</v>
      </c>
      <c r="Z113" t="s">
        <v>92</v>
      </c>
      <c r="AA113" t="s">
        <v>92</v>
      </c>
      <c r="AB113" t="s">
        <v>4</v>
      </c>
      <c r="AC113" s="3" t="s">
        <v>93</v>
      </c>
      <c r="AD113" t="s">
        <v>4</v>
      </c>
      <c r="AE113" s="4" t="s">
        <v>94</v>
      </c>
      <c r="AZ113" t="s">
        <v>4</v>
      </c>
      <c r="BA113" s="3" t="s">
        <v>95</v>
      </c>
      <c r="BB113" s="6" t="s">
        <v>95</v>
      </c>
      <c r="BC113" s="3" t="s">
        <v>95</v>
      </c>
      <c r="BD113" t="s">
        <v>4</v>
      </c>
      <c r="BE113">
        <v>1723</v>
      </c>
      <c r="BF113" t="s">
        <v>151</v>
      </c>
      <c r="BI113">
        <v>65.573800000000006</v>
      </c>
      <c r="BJ113">
        <v>54.508200000000002</v>
      </c>
      <c r="BK113">
        <v>38.114800000000002</v>
      </c>
      <c r="BM113">
        <v>43.032800000000002</v>
      </c>
      <c r="BN113">
        <v>51.639299999999999</v>
      </c>
      <c r="BO113">
        <v>22.1311</v>
      </c>
      <c r="CK113">
        <v>2</v>
      </c>
      <c r="CL113" t="s">
        <v>4</v>
      </c>
      <c r="CM113" t="s">
        <v>98</v>
      </c>
      <c r="CN113" t="s">
        <v>98</v>
      </c>
      <c r="CO113" t="s">
        <v>99</v>
      </c>
      <c r="CP113" t="s">
        <v>100</v>
      </c>
      <c r="CQ113">
        <v>112</v>
      </c>
      <c r="CR113" t="s">
        <v>100</v>
      </c>
      <c r="CS113" t="s">
        <v>100</v>
      </c>
      <c r="CT113" t="s">
        <v>152</v>
      </c>
      <c r="CU113" t="s">
        <v>102</v>
      </c>
      <c r="CV113" t="s">
        <v>100</v>
      </c>
    </row>
    <row r="114" spans="1:100">
      <c r="A114" s="3" t="s">
        <v>3384</v>
      </c>
      <c r="B114" s="4" t="s">
        <v>3385</v>
      </c>
      <c r="C114">
        <v>25.968190892367499</v>
      </c>
      <c r="D114">
        <v>404.129389781405</v>
      </c>
      <c r="E114">
        <f>-3.95544021629139</f>
        <v>-3.95544021629139</v>
      </c>
      <c r="F114" s="5">
        <v>9.2572136267207897E-12</v>
      </c>
      <c r="G114" t="s">
        <v>4</v>
      </c>
      <c r="H114">
        <v>25.968190892367499</v>
      </c>
      <c r="I114">
        <v>12.865060130038801</v>
      </c>
      <c r="J114">
        <v>1.1045997203372</v>
      </c>
      <c r="K114">
        <v>0.112129240724485</v>
      </c>
      <c r="L114" t="s">
        <v>4</v>
      </c>
      <c r="M114">
        <v>404.129389781405</v>
      </c>
      <c r="N114">
        <v>12.865060130038801</v>
      </c>
      <c r="O114">
        <v>5.0600399366285904</v>
      </c>
      <c r="P114" s="5">
        <v>2.7018740529741499E-16</v>
      </c>
      <c r="Q114" t="s">
        <v>4</v>
      </c>
      <c r="R114" s="4" t="s">
        <v>87</v>
      </c>
      <c r="S114" t="s">
        <v>4</v>
      </c>
      <c r="T114" t="s">
        <v>88</v>
      </c>
      <c r="U114" t="s">
        <v>89</v>
      </c>
      <c r="V114" t="s">
        <v>90</v>
      </c>
      <c r="W114" t="s">
        <v>91</v>
      </c>
      <c r="X114" t="s">
        <v>4</v>
      </c>
      <c r="Y114" t="s">
        <v>92</v>
      </c>
      <c r="Z114" t="s">
        <v>92</v>
      </c>
      <c r="AA114" t="s">
        <v>92</v>
      </c>
      <c r="AB114" t="s">
        <v>4</v>
      </c>
      <c r="AC114" s="3" t="s">
        <v>93</v>
      </c>
      <c r="AD114" t="s">
        <v>4</v>
      </c>
      <c r="AE114" t="s">
        <v>3386</v>
      </c>
      <c r="AF114" t="s">
        <v>3387</v>
      </c>
      <c r="AG114" t="s">
        <v>3388</v>
      </c>
      <c r="AH114" t="s">
        <v>638</v>
      </c>
      <c r="AU114" t="s">
        <v>112</v>
      </c>
      <c r="AV114" t="s">
        <v>3389</v>
      </c>
      <c r="AW114" t="s">
        <v>114</v>
      </c>
      <c r="AX114" t="s">
        <v>167</v>
      </c>
      <c r="AY114" t="s">
        <v>3390</v>
      </c>
      <c r="AZ114" t="s">
        <v>4</v>
      </c>
      <c r="BA114" s="3" t="s">
        <v>95</v>
      </c>
      <c r="BB114" t="s">
        <v>96</v>
      </c>
      <c r="BC114" s="3" t="s">
        <v>95</v>
      </c>
      <c r="BD114" t="s">
        <v>4</v>
      </c>
      <c r="BE114">
        <v>4697</v>
      </c>
      <c r="BF114" t="s">
        <v>112</v>
      </c>
      <c r="BJ114">
        <v>66.666700000000006</v>
      </c>
      <c r="BK114">
        <v>84.444400000000002</v>
      </c>
      <c r="BN114">
        <v>77.777799999999999</v>
      </c>
      <c r="BO114">
        <v>84.444400000000002</v>
      </c>
      <c r="BZ114">
        <v>22.222200000000001</v>
      </c>
      <c r="CA114">
        <v>23.333300000000001</v>
      </c>
      <c r="CK114">
        <v>5</v>
      </c>
      <c r="CL114" t="s">
        <v>4</v>
      </c>
      <c r="CM114" t="s">
        <v>3391</v>
      </c>
      <c r="CN114" t="s">
        <v>3392</v>
      </c>
      <c r="CO114" t="s">
        <v>99</v>
      </c>
      <c r="CP114" t="s">
        <v>100</v>
      </c>
      <c r="CQ114">
        <v>113</v>
      </c>
      <c r="CR114" t="s">
        <v>100</v>
      </c>
      <c r="CS114" t="s">
        <v>100</v>
      </c>
      <c r="CT114" t="s">
        <v>152</v>
      </c>
      <c r="CU114" t="s">
        <v>102</v>
      </c>
      <c r="CV114" t="s">
        <v>100</v>
      </c>
    </row>
    <row r="115" spans="1:100">
      <c r="A115" s="3" t="s">
        <v>3393</v>
      </c>
      <c r="B115" s="4" t="s">
        <v>3394</v>
      </c>
      <c r="C115">
        <v>67.878190571403493</v>
      </c>
      <c r="D115">
        <v>1312.90752729259</v>
      </c>
      <c r="E115">
        <f>-4.27191600709747</f>
        <v>-4.2719160070974702</v>
      </c>
      <c r="F115" s="5">
        <v>3.9734035169218901E-11</v>
      </c>
      <c r="G115" t="s">
        <v>4</v>
      </c>
      <c r="H115">
        <v>67.878190571403493</v>
      </c>
      <c r="I115">
        <v>37.537473584743502</v>
      </c>
      <c r="J115">
        <v>0.85859317872748497</v>
      </c>
      <c r="K115">
        <v>0.23522246597086399</v>
      </c>
      <c r="L115" t="s">
        <v>4</v>
      </c>
      <c r="M115">
        <v>1312.90752729259</v>
      </c>
      <c r="N115">
        <v>37.537473584743502</v>
      </c>
      <c r="O115">
        <v>5.1305091858249501</v>
      </c>
      <c r="P115" s="5">
        <v>1.56566931972284E-15</v>
      </c>
      <c r="Q115" t="s">
        <v>4</v>
      </c>
      <c r="R115" s="4" t="s">
        <v>87</v>
      </c>
      <c r="S115" t="s">
        <v>4</v>
      </c>
      <c r="T115" t="s">
        <v>92</v>
      </c>
      <c r="U115" t="s">
        <v>92</v>
      </c>
      <c r="V115" t="s">
        <v>92</v>
      </c>
      <c r="W115" t="s">
        <v>92</v>
      </c>
      <c r="X115" t="s">
        <v>4</v>
      </c>
      <c r="Y115" t="s">
        <v>92</v>
      </c>
      <c r="Z115" t="s">
        <v>92</v>
      </c>
      <c r="AA115" t="s">
        <v>92</v>
      </c>
      <c r="AB115" t="s">
        <v>4</v>
      </c>
      <c r="AC115" s="3" t="s">
        <v>93</v>
      </c>
      <c r="AD115" t="s">
        <v>4</v>
      </c>
      <c r="AE115" t="s">
        <v>2550</v>
      </c>
      <c r="AF115" t="s">
        <v>3395</v>
      </c>
      <c r="AG115" t="s">
        <v>3396</v>
      </c>
      <c r="AH115" t="s">
        <v>112</v>
      </c>
      <c r="AU115" t="s">
        <v>112</v>
      </c>
      <c r="AV115" t="s">
        <v>2553</v>
      </c>
      <c r="AW115" t="s">
        <v>114</v>
      </c>
      <c r="AX115" t="s">
        <v>144</v>
      </c>
      <c r="AY115" t="s">
        <v>2554</v>
      </c>
      <c r="AZ115" t="s">
        <v>4</v>
      </c>
      <c r="BA115" s="3" t="s">
        <v>95</v>
      </c>
      <c r="BB115" s="6" t="s">
        <v>95</v>
      </c>
      <c r="BC115" s="3" t="s">
        <v>95</v>
      </c>
      <c r="BD115" t="s">
        <v>4</v>
      </c>
      <c r="BE115">
        <v>2396</v>
      </c>
      <c r="BF115" t="s">
        <v>148</v>
      </c>
      <c r="BG115">
        <v>98.893000000000001</v>
      </c>
      <c r="BH115">
        <v>77.121799999999993</v>
      </c>
      <c r="BI115" t="s">
        <v>3397</v>
      </c>
      <c r="BJ115">
        <v>78.597800000000007</v>
      </c>
      <c r="BK115">
        <v>68.265699999999995</v>
      </c>
      <c r="BO115">
        <v>59.778599999999997</v>
      </c>
      <c r="CK115">
        <v>3</v>
      </c>
      <c r="CL115" t="s">
        <v>4</v>
      </c>
      <c r="CM115" t="s">
        <v>98</v>
      </c>
      <c r="CN115" t="s">
        <v>98</v>
      </c>
      <c r="CO115" t="s">
        <v>99</v>
      </c>
      <c r="CP115" t="s">
        <v>100</v>
      </c>
      <c r="CQ115">
        <v>114</v>
      </c>
      <c r="CR115" t="s">
        <v>100</v>
      </c>
      <c r="CS115" t="s">
        <v>100</v>
      </c>
      <c r="CT115" t="s">
        <v>152</v>
      </c>
      <c r="CU115" t="s">
        <v>102</v>
      </c>
      <c r="CV115" t="s">
        <v>100</v>
      </c>
    </row>
    <row r="116" spans="1:100">
      <c r="A116" s="3" t="s">
        <v>3398</v>
      </c>
      <c r="B116" s="4" t="s">
        <v>3399</v>
      </c>
      <c r="C116">
        <v>54.273608143236601</v>
      </c>
      <c r="D116">
        <v>1351.3000226005099</v>
      </c>
      <c r="E116">
        <f>-4.63031084104536</f>
        <v>-4.6303108410453602</v>
      </c>
      <c r="F116" s="5">
        <v>3.3365581016367499E-38</v>
      </c>
      <c r="G116" t="s">
        <v>4</v>
      </c>
      <c r="H116">
        <v>54.273608143236601</v>
      </c>
      <c r="I116">
        <v>49.813252325531202</v>
      </c>
      <c r="J116">
        <v>0.12637254370939</v>
      </c>
      <c r="K116">
        <v>0.78349871530070203</v>
      </c>
      <c r="L116" t="s">
        <v>4</v>
      </c>
      <c r="M116">
        <v>1351.3000226005099</v>
      </c>
      <c r="N116">
        <v>49.813252325531202</v>
      </c>
      <c r="O116">
        <v>4.7566833847547496</v>
      </c>
      <c r="P116" s="5">
        <v>2.4712488308334702E-38</v>
      </c>
      <c r="Q116" t="s">
        <v>4</v>
      </c>
      <c r="R116" s="4" t="s">
        <v>87</v>
      </c>
      <c r="S116" t="s">
        <v>4</v>
      </c>
      <c r="T116" t="s">
        <v>3400</v>
      </c>
      <c r="U116" t="s">
        <v>3401</v>
      </c>
      <c r="V116" t="s">
        <v>3402</v>
      </c>
      <c r="W116" t="s">
        <v>328</v>
      </c>
      <c r="X116" t="s">
        <v>4</v>
      </c>
      <c r="Y116" t="s">
        <v>3403</v>
      </c>
      <c r="Z116" t="s">
        <v>3404</v>
      </c>
      <c r="AA116" t="s">
        <v>3405</v>
      </c>
      <c r="AB116" t="s">
        <v>4</v>
      </c>
      <c r="AC116" s="3" t="s">
        <v>93</v>
      </c>
      <c r="AD116" t="s">
        <v>4</v>
      </c>
      <c r="AE116" t="s">
        <v>3406</v>
      </c>
      <c r="AF116" t="s">
        <v>3407</v>
      </c>
      <c r="AG116" t="s">
        <v>3408</v>
      </c>
      <c r="AH116" t="s">
        <v>314</v>
      </c>
      <c r="AU116" t="s">
        <v>112</v>
      </c>
      <c r="AV116" t="s">
        <v>3409</v>
      </c>
      <c r="AW116" t="s">
        <v>114</v>
      </c>
      <c r="AX116" t="s">
        <v>132</v>
      </c>
      <c r="AY116" t="s">
        <v>3410</v>
      </c>
      <c r="AZ116" t="s">
        <v>4</v>
      </c>
      <c r="BA116" s="3" t="s">
        <v>95</v>
      </c>
      <c r="BB116" t="s">
        <v>96</v>
      </c>
      <c r="BC116" s="3" t="s">
        <v>95</v>
      </c>
      <c r="BD116" t="s">
        <v>4</v>
      </c>
      <c r="BE116">
        <v>4703</v>
      </c>
      <c r="BF116" t="s">
        <v>112</v>
      </c>
      <c r="BG116">
        <v>87.345699999999994</v>
      </c>
      <c r="BI116">
        <v>81.481499999999997</v>
      </c>
      <c r="BJ116">
        <v>70.370400000000004</v>
      </c>
      <c r="BK116">
        <v>44.753100000000003</v>
      </c>
      <c r="BL116">
        <v>5.5555599999999998</v>
      </c>
      <c r="BN116">
        <v>73.148099999999999</v>
      </c>
      <c r="BV116">
        <v>14.8148</v>
      </c>
      <c r="BX116">
        <v>12.037000000000001</v>
      </c>
      <c r="BY116">
        <v>8.3333300000000001</v>
      </c>
      <c r="BZ116">
        <v>11.728400000000001</v>
      </c>
      <c r="CA116">
        <v>11.4198</v>
      </c>
      <c r="CB116">
        <v>3.0864199999999999</v>
      </c>
      <c r="CE116" t="s">
        <v>3411</v>
      </c>
      <c r="CF116">
        <v>18.209900000000001</v>
      </c>
      <c r="CG116" t="s">
        <v>3412</v>
      </c>
      <c r="CH116" t="s">
        <v>3413</v>
      </c>
      <c r="CI116" t="s">
        <v>3414</v>
      </c>
      <c r="CJ116" t="s">
        <v>3415</v>
      </c>
      <c r="CK116">
        <v>5</v>
      </c>
      <c r="CL116" t="s">
        <v>4</v>
      </c>
      <c r="CM116" t="s">
        <v>3416</v>
      </c>
      <c r="CN116" t="s">
        <v>3417</v>
      </c>
      <c r="CO116" t="s">
        <v>219</v>
      </c>
      <c r="CP116" t="s">
        <v>100</v>
      </c>
      <c r="CQ116">
        <v>115</v>
      </c>
      <c r="CR116" t="s">
        <v>100</v>
      </c>
      <c r="CS116" t="s">
        <v>100</v>
      </c>
      <c r="CT116" t="s">
        <v>152</v>
      </c>
      <c r="CU116" t="s">
        <v>102</v>
      </c>
      <c r="CV116" t="s">
        <v>100</v>
      </c>
    </row>
    <row r="117" spans="1:100">
      <c r="A117" s="3" t="s">
        <v>3418</v>
      </c>
      <c r="B117" s="4" t="s">
        <v>3419</v>
      </c>
      <c r="C117">
        <v>54.5681195436729</v>
      </c>
      <c r="D117">
        <v>1059.83325323706</v>
      </c>
      <c r="E117">
        <f>-4.27669323826943</f>
        <v>-4.2766932382694298</v>
      </c>
      <c r="F117" s="5">
        <v>9.85600351560745E-26</v>
      </c>
      <c r="G117" t="s">
        <v>4</v>
      </c>
      <c r="H117">
        <v>54.5681195436729</v>
      </c>
      <c r="I117">
        <v>34.119328363082602</v>
      </c>
      <c r="J117">
        <v>0.69201939203123097</v>
      </c>
      <c r="K117">
        <v>0.15317776678527201</v>
      </c>
      <c r="L117" t="s">
        <v>4</v>
      </c>
      <c r="M117">
        <v>1059.83325323706</v>
      </c>
      <c r="N117">
        <v>34.119328363082602</v>
      </c>
      <c r="O117">
        <v>4.9687126303006597</v>
      </c>
      <c r="P117" s="5">
        <v>1.3950285595333199E-31</v>
      </c>
      <c r="Q117" t="s">
        <v>4</v>
      </c>
      <c r="R117" s="4" t="s">
        <v>87</v>
      </c>
      <c r="S117" t="s">
        <v>4</v>
      </c>
      <c r="T117" t="s">
        <v>3420</v>
      </c>
      <c r="U117" t="s">
        <v>3421</v>
      </c>
      <c r="V117" t="s">
        <v>3422</v>
      </c>
      <c r="W117" t="s">
        <v>507</v>
      </c>
      <c r="X117" t="s">
        <v>4</v>
      </c>
      <c r="Y117" t="s">
        <v>3423</v>
      </c>
      <c r="Z117" t="s">
        <v>3424</v>
      </c>
      <c r="AA117" t="s">
        <v>3425</v>
      </c>
      <c r="AB117" t="s">
        <v>4</v>
      </c>
      <c r="AC117" s="3" t="s">
        <v>3426</v>
      </c>
      <c r="AD117" t="s">
        <v>4</v>
      </c>
      <c r="AE117" t="s">
        <v>3427</v>
      </c>
      <c r="AF117" t="s">
        <v>3428</v>
      </c>
      <c r="AG117" t="s">
        <v>3429</v>
      </c>
      <c r="AH117" t="s">
        <v>638</v>
      </c>
      <c r="AK117" t="s">
        <v>3430</v>
      </c>
      <c r="AL117" t="s">
        <v>3431</v>
      </c>
      <c r="AM117" t="s">
        <v>3432</v>
      </c>
      <c r="AO117" t="s">
        <v>3433</v>
      </c>
      <c r="AP117" t="s">
        <v>3434</v>
      </c>
      <c r="AQ117" t="s">
        <v>342</v>
      </c>
      <c r="AU117" t="s">
        <v>112</v>
      </c>
      <c r="AV117" t="s">
        <v>3435</v>
      </c>
      <c r="AW117" t="s">
        <v>114</v>
      </c>
      <c r="AX117" t="s">
        <v>1096</v>
      </c>
      <c r="AY117" t="s">
        <v>3436</v>
      </c>
      <c r="AZ117" t="s">
        <v>4</v>
      </c>
      <c r="BA117" s="3" t="s">
        <v>95</v>
      </c>
      <c r="BB117" t="s">
        <v>96</v>
      </c>
      <c r="BC117" s="3" t="s">
        <v>95</v>
      </c>
      <c r="BD117" t="s">
        <v>4</v>
      </c>
      <c r="BE117">
        <v>8590</v>
      </c>
      <c r="BF117" t="s">
        <v>169</v>
      </c>
      <c r="BG117">
        <v>89.912300000000002</v>
      </c>
      <c r="BH117">
        <v>31.3596</v>
      </c>
      <c r="BI117">
        <v>89.692999999999998</v>
      </c>
      <c r="BJ117">
        <v>26.7544</v>
      </c>
      <c r="BL117">
        <v>61.403500000000001</v>
      </c>
      <c r="BM117">
        <v>47.149099999999997</v>
      </c>
      <c r="BN117">
        <v>68.201800000000006</v>
      </c>
      <c r="BO117">
        <v>77.850899999999996</v>
      </c>
      <c r="BP117">
        <v>52.412300000000002</v>
      </c>
      <c r="BQ117">
        <v>46.052599999999998</v>
      </c>
      <c r="BR117">
        <v>46.491199999999999</v>
      </c>
      <c r="BS117">
        <v>45.3947</v>
      </c>
      <c r="BT117">
        <v>43.8596</v>
      </c>
      <c r="BV117" t="s">
        <v>3437</v>
      </c>
      <c r="BW117">
        <v>39.473700000000001</v>
      </c>
      <c r="BX117">
        <v>43.421100000000003</v>
      </c>
      <c r="BY117">
        <v>26.973700000000001</v>
      </c>
      <c r="BZ117">
        <v>46.052599999999998</v>
      </c>
      <c r="CA117">
        <v>43.421100000000003</v>
      </c>
      <c r="CC117">
        <v>16.447399999999998</v>
      </c>
      <c r="CE117">
        <v>32.8947</v>
      </c>
      <c r="CF117">
        <v>27.631599999999999</v>
      </c>
      <c r="CG117" t="s">
        <v>3438</v>
      </c>
      <c r="CH117" t="s">
        <v>3439</v>
      </c>
      <c r="CI117" t="s">
        <v>3440</v>
      </c>
      <c r="CJ117" t="s">
        <v>3441</v>
      </c>
      <c r="CK117">
        <v>9</v>
      </c>
      <c r="CL117" t="s">
        <v>4</v>
      </c>
      <c r="CM117" t="s">
        <v>3442</v>
      </c>
      <c r="CN117" t="s">
        <v>3443</v>
      </c>
      <c r="CO117" t="s">
        <v>99</v>
      </c>
      <c r="CP117" t="s">
        <v>100</v>
      </c>
      <c r="CQ117">
        <v>116</v>
      </c>
      <c r="CR117" t="s">
        <v>100</v>
      </c>
      <c r="CS117" t="s">
        <v>100</v>
      </c>
      <c r="CT117" t="s">
        <v>152</v>
      </c>
      <c r="CU117" t="s">
        <v>102</v>
      </c>
      <c r="CV117" t="s">
        <v>100</v>
      </c>
    </row>
    <row r="118" spans="1:100">
      <c r="A118" s="3" t="s">
        <v>3444</v>
      </c>
      <c r="B118" s="4" t="s">
        <v>3445</v>
      </c>
      <c r="C118">
        <v>60.1021574288213</v>
      </c>
      <c r="D118">
        <v>489.840374224068</v>
      </c>
      <c r="E118">
        <f>-3.02660750417681</f>
        <v>-3.0266075041768099</v>
      </c>
      <c r="F118" s="5">
        <v>4.0658366077085803E-28</v>
      </c>
      <c r="G118" t="s">
        <v>4</v>
      </c>
      <c r="H118">
        <v>60.1021574288213</v>
      </c>
      <c r="I118">
        <v>86.157526511534101</v>
      </c>
      <c r="J118">
        <f>0.504723787534085</f>
        <v>0.50472378753408498</v>
      </c>
      <c r="K118">
        <v>0.115509913492963</v>
      </c>
      <c r="L118" t="s">
        <v>4</v>
      </c>
      <c r="M118">
        <v>489.840374224068</v>
      </c>
      <c r="N118">
        <v>86.157526511534101</v>
      </c>
      <c r="O118">
        <v>2.5218837166427202</v>
      </c>
      <c r="P118" s="5">
        <v>1.0877922359368599E-19</v>
      </c>
      <c r="Q118" t="s">
        <v>4</v>
      </c>
      <c r="R118" s="4" t="s">
        <v>87</v>
      </c>
      <c r="S118" t="s">
        <v>4</v>
      </c>
      <c r="T118" t="s">
        <v>460</v>
      </c>
      <c r="U118" t="s">
        <v>461</v>
      </c>
      <c r="V118" t="s">
        <v>462</v>
      </c>
      <c r="W118" t="s">
        <v>123</v>
      </c>
      <c r="X118" t="s">
        <v>4</v>
      </c>
      <c r="Y118" t="s">
        <v>463</v>
      </c>
      <c r="Z118" t="s">
        <v>464</v>
      </c>
      <c r="AA118" t="s">
        <v>465</v>
      </c>
      <c r="AB118" t="s">
        <v>4</v>
      </c>
      <c r="AC118" s="3" t="s">
        <v>93</v>
      </c>
      <c r="AD118" t="s">
        <v>4</v>
      </c>
      <c r="AE118" s="4" t="s">
        <v>94</v>
      </c>
      <c r="AZ118" t="s">
        <v>4</v>
      </c>
      <c r="BA118" s="3" t="s">
        <v>95</v>
      </c>
      <c r="BB118" s="6" t="s">
        <v>95</v>
      </c>
      <c r="BC118" s="3" t="s">
        <v>95</v>
      </c>
      <c r="BD118" t="s">
        <v>4</v>
      </c>
      <c r="BE118">
        <v>944</v>
      </c>
      <c r="BF118" t="s">
        <v>604</v>
      </c>
      <c r="BG118">
        <v>53.2258</v>
      </c>
      <c r="CK118">
        <v>1.5</v>
      </c>
      <c r="CL118" t="s">
        <v>4</v>
      </c>
      <c r="CM118" t="s">
        <v>98</v>
      </c>
      <c r="CN118" t="s">
        <v>98</v>
      </c>
      <c r="CO118" t="s">
        <v>99</v>
      </c>
      <c r="CP118" t="s">
        <v>100</v>
      </c>
      <c r="CQ118">
        <v>117</v>
      </c>
      <c r="CR118" t="s">
        <v>100</v>
      </c>
      <c r="CS118" t="s">
        <v>100</v>
      </c>
      <c r="CT118" t="s">
        <v>152</v>
      </c>
      <c r="CU118" t="s">
        <v>102</v>
      </c>
      <c r="CV118" t="s">
        <v>100</v>
      </c>
    </row>
    <row r="119" spans="1:100">
      <c r="A119" s="3" t="s">
        <v>3446</v>
      </c>
      <c r="B119" s="4" t="s">
        <v>3447</v>
      </c>
      <c r="C119">
        <v>41.816595430989402</v>
      </c>
      <c r="D119">
        <v>205.464156555258</v>
      </c>
      <c r="E119">
        <f>-2.29696120013131</f>
        <v>-2.2969612001313102</v>
      </c>
      <c r="F119" s="5">
        <v>4.8875383038756897E-6</v>
      </c>
      <c r="G119" t="s">
        <v>4</v>
      </c>
      <c r="H119">
        <v>41.816595430989402</v>
      </c>
      <c r="I119">
        <v>13.983221415065101</v>
      </c>
      <c r="J119">
        <v>1.5643078224432501</v>
      </c>
      <c r="K119">
        <v>6.9307165042912901E-3</v>
      </c>
      <c r="L119" t="s">
        <v>4</v>
      </c>
      <c r="M119">
        <v>205.464156555258</v>
      </c>
      <c r="N119">
        <v>13.983221415065101</v>
      </c>
      <c r="O119">
        <v>3.8612690225745601</v>
      </c>
      <c r="P119" s="5">
        <v>6.9654801377169695E-13</v>
      </c>
      <c r="Q119" t="s">
        <v>4</v>
      </c>
      <c r="R119" s="4" t="s">
        <v>87</v>
      </c>
      <c r="S119" t="s">
        <v>4</v>
      </c>
      <c r="T119" t="s">
        <v>92</v>
      </c>
      <c r="U119" t="s">
        <v>92</v>
      </c>
      <c r="V119" t="s">
        <v>92</v>
      </c>
      <c r="W119" t="s">
        <v>92</v>
      </c>
      <c r="X119" t="s">
        <v>4</v>
      </c>
      <c r="Y119" t="s">
        <v>92</v>
      </c>
      <c r="Z119" t="s">
        <v>92</v>
      </c>
      <c r="AA119" t="s">
        <v>92</v>
      </c>
      <c r="AB119" t="s">
        <v>4</v>
      </c>
      <c r="AC119" s="3" t="s">
        <v>93</v>
      </c>
      <c r="AD119" t="s">
        <v>4</v>
      </c>
      <c r="AE119" t="s">
        <v>3190</v>
      </c>
      <c r="AF119" t="s">
        <v>3448</v>
      </c>
      <c r="AG119" t="s">
        <v>3449</v>
      </c>
      <c r="AH119" t="s">
        <v>112</v>
      </c>
      <c r="AJ119" t="s">
        <v>3193</v>
      </c>
      <c r="AK119" t="s">
        <v>3194</v>
      </c>
      <c r="AL119" t="s">
        <v>3195</v>
      </c>
      <c r="AM119" t="s">
        <v>3196</v>
      </c>
      <c r="AQ119" t="s">
        <v>3197</v>
      </c>
      <c r="AU119" t="s">
        <v>112</v>
      </c>
      <c r="AV119" t="s">
        <v>3198</v>
      </c>
      <c r="AW119" t="s">
        <v>114</v>
      </c>
      <c r="AX119" t="s">
        <v>2157</v>
      </c>
      <c r="AY119" t="s">
        <v>3199</v>
      </c>
      <c r="AZ119" t="s">
        <v>4</v>
      </c>
      <c r="BA119" s="3" t="s">
        <v>115</v>
      </c>
      <c r="BB119" s="6" t="s">
        <v>95</v>
      </c>
      <c r="BC119" s="3" t="s">
        <v>95</v>
      </c>
      <c r="BD119" t="s">
        <v>4</v>
      </c>
      <c r="BE119">
        <v>946</v>
      </c>
      <c r="BF119" t="s">
        <v>604</v>
      </c>
      <c r="BG119">
        <v>62.7273</v>
      </c>
      <c r="CK119">
        <v>1.5</v>
      </c>
      <c r="CL119" t="s">
        <v>4</v>
      </c>
      <c r="CM119" t="s">
        <v>98</v>
      </c>
      <c r="CN119" t="s">
        <v>98</v>
      </c>
      <c r="CO119" t="s">
        <v>99</v>
      </c>
      <c r="CP119" t="s">
        <v>100</v>
      </c>
      <c r="CQ119">
        <v>118</v>
      </c>
      <c r="CR119" t="s">
        <v>100</v>
      </c>
      <c r="CS119" s="7" t="s">
        <v>101</v>
      </c>
      <c r="CT119" t="s">
        <v>152</v>
      </c>
      <c r="CU119" t="s">
        <v>102</v>
      </c>
      <c r="CV119" t="s">
        <v>100</v>
      </c>
    </row>
    <row r="120" spans="1:100">
      <c r="A120" s="3" t="s">
        <v>3450</v>
      </c>
      <c r="B120" s="4" t="s">
        <v>3451</v>
      </c>
      <c r="C120">
        <v>16.748889965775099</v>
      </c>
      <c r="D120">
        <v>113.67965546141301</v>
      </c>
      <c r="E120">
        <f>-2.75425238216183</f>
        <v>-2.7542523821618299</v>
      </c>
      <c r="F120">
        <v>1.27772149895944E-4</v>
      </c>
      <c r="G120" t="s">
        <v>4</v>
      </c>
      <c r="H120">
        <v>16.748889965775099</v>
      </c>
      <c r="I120">
        <v>5.4089452673826797</v>
      </c>
      <c r="J120">
        <v>1.5675602466701699</v>
      </c>
      <c r="K120">
        <v>6.9252250734980703E-2</v>
      </c>
      <c r="L120" t="s">
        <v>4</v>
      </c>
      <c r="M120">
        <v>113.67965546141301</v>
      </c>
      <c r="N120">
        <v>5.4089452673826797</v>
      </c>
      <c r="O120">
        <v>4.3218126288320002</v>
      </c>
      <c r="P120" s="5">
        <v>3.86423461182297E-8</v>
      </c>
      <c r="Q120" t="s">
        <v>4</v>
      </c>
      <c r="R120" s="4" t="s">
        <v>87</v>
      </c>
      <c r="S120" t="s">
        <v>4</v>
      </c>
      <c r="T120" t="s">
        <v>92</v>
      </c>
      <c r="U120" t="s">
        <v>92</v>
      </c>
      <c r="V120" t="s">
        <v>92</v>
      </c>
      <c r="W120" t="s">
        <v>92</v>
      </c>
      <c r="X120" t="s">
        <v>4</v>
      </c>
      <c r="Y120" t="s">
        <v>92</v>
      </c>
      <c r="Z120" t="s">
        <v>92</v>
      </c>
      <c r="AA120" t="s">
        <v>92</v>
      </c>
      <c r="AB120" t="s">
        <v>4</v>
      </c>
      <c r="AC120" s="3" t="s">
        <v>93</v>
      </c>
      <c r="AD120" t="s">
        <v>4</v>
      </c>
      <c r="AE120" s="4" t="s">
        <v>94</v>
      </c>
      <c r="AZ120" t="s">
        <v>4</v>
      </c>
      <c r="BA120" s="3" t="s">
        <v>95</v>
      </c>
      <c r="BB120" s="6" t="s">
        <v>95</v>
      </c>
      <c r="BC120" s="3" t="s">
        <v>95</v>
      </c>
      <c r="BD120" t="s">
        <v>4</v>
      </c>
      <c r="BE120">
        <v>950</v>
      </c>
      <c r="BF120" t="s">
        <v>604</v>
      </c>
      <c r="BG120">
        <v>94.318200000000004</v>
      </c>
      <c r="CK120">
        <v>1.5</v>
      </c>
      <c r="CL120" t="s">
        <v>4</v>
      </c>
      <c r="CM120" t="s">
        <v>98</v>
      </c>
      <c r="CN120" t="s">
        <v>98</v>
      </c>
      <c r="CO120" t="s">
        <v>99</v>
      </c>
      <c r="CP120" t="s">
        <v>100</v>
      </c>
      <c r="CQ120">
        <v>119</v>
      </c>
      <c r="CR120" t="s">
        <v>100</v>
      </c>
      <c r="CS120" t="s">
        <v>100</v>
      </c>
      <c r="CT120" t="s">
        <v>152</v>
      </c>
      <c r="CU120" t="s">
        <v>102</v>
      </c>
      <c r="CV120" t="s">
        <v>100</v>
      </c>
    </row>
    <row r="121" spans="1:100">
      <c r="A121" s="3" t="s">
        <v>3452</v>
      </c>
      <c r="B121" s="4" t="s">
        <v>3453</v>
      </c>
      <c r="C121">
        <v>20.9853149298646</v>
      </c>
      <c r="D121">
        <v>207.87113409173301</v>
      </c>
      <c r="E121">
        <f>-3.31752800625382</f>
        <v>-3.3175280062538199</v>
      </c>
      <c r="F121" s="5">
        <v>1.2730601009465401E-9</v>
      </c>
      <c r="G121" t="s">
        <v>4</v>
      </c>
      <c r="H121">
        <v>20.9853149298646</v>
      </c>
      <c r="I121">
        <v>13.6536995861166</v>
      </c>
      <c r="J121">
        <v>0.56520986342565604</v>
      </c>
      <c r="K121">
        <v>0.39895809411363897</v>
      </c>
      <c r="L121" t="s">
        <v>4</v>
      </c>
      <c r="M121">
        <v>207.87113409173301</v>
      </c>
      <c r="N121">
        <v>13.6536995861166</v>
      </c>
      <c r="O121">
        <v>3.8827378696794699</v>
      </c>
      <c r="P121" s="5">
        <v>1.3373368241332999E-11</v>
      </c>
      <c r="Q121" t="s">
        <v>4</v>
      </c>
      <c r="R121" s="4" t="s">
        <v>87</v>
      </c>
      <c r="S121" t="s">
        <v>4</v>
      </c>
      <c r="T121" t="s">
        <v>92</v>
      </c>
      <c r="U121" t="s">
        <v>92</v>
      </c>
      <c r="V121" t="s">
        <v>92</v>
      </c>
      <c r="W121" t="s">
        <v>92</v>
      </c>
      <c r="X121" t="s">
        <v>4</v>
      </c>
      <c r="Y121" t="s">
        <v>92</v>
      </c>
      <c r="Z121" t="s">
        <v>92</v>
      </c>
      <c r="AA121" t="s">
        <v>92</v>
      </c>
      <c r="AB121" t="s">
        <v>4</v>
      </c>
      <c r="AC121" s="3" t="s">
        <v>93</v>
      </c>
      <c r="AD121" t="s">
        <v>4</v>
      </c>
      <c r="AE121" s="4" t="s">
        <v>94</v>
      </c>
      <c r="AZ121" t="s">
        <v>4</v>
      </c>
      <c r="BA121" s="3" t="s">
        <v>95</v>
      </c>
      <c r="BB121" s="6" t="s">
        <v>95</v>
      </c>
      <c r="BC121" s="3" t="s">
        <v>95</v>
      </c>
      <c r="BD121" t="s">
        <v>4</v>
      </c>
      <c r="BE121">
        <v>690</v>
      </c>
      <c r="BF121" t="s">
        <v>322</v>
      </c>
      <c r="CK121">
        <v>1</v>
      </c>
      <c r="CL121" t="s">
        <v>4</v>
      </c>
      <c r="CM121" t="s">
        <v>98</v>
      </c>
      <c r="CN121" t="s">
        <v>98</v>
      </c>
      <c r="CO121" t="s">
        <v>99</v>
      </c>
      <c r="CP121" t="s">
        <v>100</v>
      </c>
      <c r="CQ121">
        <v>120</v>
      </c>
      <c r="CR121" t="s">
        <v>100</v>
      </c>
      <c r="CS121" t="s">
        <v>100</v>
      </c>
      <c r="CT121" t="s">
        <v>152</v>
      </c>
      <c r="CU121" t="s">
        <v>102</v>
      </c>
      <c r="CV121" t="s">
        <v>100</v>
      </c>
    </row>
    <row r="122" spans="1:100">
      <c r="A122" s="3" t="s">
        <v>3454</v>
      </c>
      <c r="B122" s="4" t="s">
        <v>3455</v>
      </c>
      <c r="C122">
        <v>8.07079492060444</v>
      </c>
      <c r="D122">
        <v>89.718200850574405</v>
      </c>
      <c r="E122">
        <f>-3.4676190120142</f>
        <v>-3.4676190120141999</v>
      </c>
      <c r="F122">
        <v>2.7407111413206E-4</v>
      </c>
      <c r="G122" t="s">
        <v>4</v>
      </c>
      <c r="H122">
        <v>8.07079492060444</v>
      </c>
      <c r="I122">
        <v>1.7572136029766501</v>
      </c>
      <c r="J122">
        <v>2.4390537115779001</v>
      </c>
      <c r="K122">
        <v>6.3662938127263105E-2</v>
      </c>
      <c r="L122" t="s">
        <v>4</v>
      </c>
      <c r="M122">
        <v>89.718200850574405</v>
      </c>
      <c r="N122">
        <v>1.7572136029766501</v>
      </c>
      <c r="O122">
        <v>5.9066727235921004</v>
      </c>
      <c r="P122" s="5">
        <v>9.7695615735572696E-7</v>
      </c>
      <c r="Q122" t="s">
        <v>4</v>
      </c>
      <c r="R122" s="4" t="s">
        <v>87</v>
      </c>
      <c r="S122" t="s">
        <v>4</v>
      </c>
      <c r="T122" t="s">
        <v>92</v>
      </c>
      <c r="U122" t="s">
        <v>92</v>
      </c>
      <c r="V122" t="s">
        <v>92</v>
      </c>
      <c r="W122" t="s">
        <v>92</v>
      </c>
      <c r="X122" t="s">
        <v>4</v>
      </c>
      <c r="Y122" t="s">
        <v>92</v>
      </c>
      <c r="Z122" t="s">
        <v>92</v>
      </c>
      <c r="AA122" t="s">
        <v>92</v>
      </c>
      <c r="AB122" t="s">
        <v>4</v>
      </c>
      <c r="AC122" s="3" t="s">
        <v>93</v>
      </c>
      <c r="AD122" t="s">
        <v>4</v>
      </c>
      <c r="AE122" s="4" t="s">
        <v>94</v>
      </c>
      <c r="AZ122" t="s">
        <v>4</v>
      </c>
      <c r="BA122" s="3" t="s">
        <v>95</v>
      </c>
      <c r="BB122" s="6" t="s">
        <v>95</v>
      </c>
      <c r="BC122" s="3" t="s">
        <v>197</v>
      </c>
      <c r="BD122" t="s">
        <v>4</v>
      </c>
      <c r="BE122">
        <v>951</v>
      </c>
      <c r="BF122" t="s">
        <v>604</v>
      </c>
      <c r="BG122">
        <v>100</v>
      </c>
      <c r="BH122">
        <v>100</v>
      </c>
      <c r="CK122">
        <v>1.5</v>
      </c>
      <c r="CL122" t="s">
        <v>4</v>
      </c>
      <c r="CM122" t="s">
        <v>98</v>
      </c>
      <c r="CN122" t="s">
        <v>98</v>
      </c>
      <c r="CO122" t="s">
        <v>99</v>
      </c>
      <c r="CP122" t="s">
        <v>100</v>
      </c>
      <c r="CQ122">
        <v>121</v>
      </c>
      <c r="CR122" t="s">
        <v>100</v>
      </c>
      <c r="CS122" t="s">
        <v>100</v>
      </c>
      <c r="CT122" t="s">
        <v>152</v>
      </c>
      <c r="CU122" t="s">
        <v>102</v>
      </c>
      <c r="CV122" t="s">
        <v>100</v>
      </c>
    </row>
    <row r="123" spans="1:100">
      <c r="A123" s="3" t="s">
        <v>3456</v>
      </c>
      <c r="B123" s="4" t="s">
        <v>3457</v>
      </c>
      <c r="C123">
        <v>93.462444295760704</v>
      </c>
      <c r="D123">
        <v>1876.1585108204699</v>
      </c>
      <c r="E123">
        <f>-4.32423243125139</f>
        <v>-4.3242324312513896</v>
      </c>
      <c r="F123" s="5">
        <v>5.3492307429205297E-29</v>
      </c>
      <c r="G123" t="s">
        <v>4</v>
      </c>
      <c r="H123">
        <v>93.462444295760704</v>
      </c>
      <c r="I123">
        <v>84.749959939177202</v>
      </c>
      <c r="J123">
        <v>0.14019016614526</v>
      </c>
      <c r="K123">
        <v>0.76982654757102598</v>
      </c>
      <c r="L123" t="s">
        <v>4</v>
      </c>
      <c r="M123">
        <v>1876.1585108204699</v>
      </c>
      <c r="N123">
        <v>84.749959939177202</v>
      </c>
      <c r="O123">
        <v>4.4644225973966503</v>
      </c>
      <c r="P123" s="5">
        <v>1.7202824581970801E-30</v>
      </c>
      <c r="Q123" t="s">
        <v>4</v>
      </c>
      <c r="R123" s="4" t="s">
        <v>87</v>
      </c>
      <c r="S123" t="s">
        <v>4</v>
      </c>
      <c r="T123" t="s">
        <v>92</v>
      </c>
      <c r="U123" t="s">
        <v>92</v>
      </c>
      <c r="V123" t="s">
        <v>92</v>
      </c>
      <c r="W123" t="s">
        <v>92</v>
      </c>
      <c r="X123" t="s">
        <v>4</v>
      </c>
      <c r="Y123" t="s">
        <v>92</v>
      </c>
      <c r="Z123" t="s">
        <v>92</v>
      </c>
      <c r="AA123" t="s">
        <v>92</v>
      </c>
      <c r="AB123" t="s">
        <v>4</v>
      </c>
      <c r="AC123" s="3" t="s">
        <v>93</v>
      </c>
      <c r="AD123" t="s">
        <v>4</v>
      </c>
      <c r="AE123" t="s">
        <v>3458</v>
      </c>
      <c r="AF123" t="s">
        <v>3459</v>
      </c>
      <c r="AG123" t="s">
        <v>3460</v>
      </c>
      <c r="AH123" t="s">
        <v>112</v>
      </c>
      <c r="AJ123" t="s">
        <v>3461</v>
      </c>
      <c r="AU123" t="s">
        <v>112</v>
      </c>
      <c r="AV123" t="s">
        <v>3462</v>
      </c>
      <c r="AW123" t="s">
        <v>114</v>
      </c>
      <c r="AX123" t="s">
        <v>132</v>
      </c>
      <c r="AY123" t="s">
        <v>3463</v>
      </c>
      <c r="AZ123" t="s">
        <v>4</v>
      </c>
      <c r="BA123" s="3" t="s">
        <v>95</v>
      </c>
      <c r="BB123" s="6" t="s">
        <v>95</v>
      </c>
      <c r="BC123" s="3" t="s">
        <v>95</v>
      </c>
      <c r="BD123" t="s">
        <v>4</v>
      </c>
      <c r="BE123">
        <v>1752</v>
      </c>
      <c r="BF123" t="s">
        <v>151</v>
      </c>
      <c r="BI123">
        <v>58.285699999999999</v>
      </c>
      <c r="CK123">
        <v>2</v>
      </c>
      <c r="CL123" t="s">
        <v>4</v>
      </c>
      <c r="CM123" t="s">
        <v>98</v>
      </c>
      <c r="CN123" t="s">
        <v>98</v>
      </c>
      <c r="CO123" t="s">
        <v>99</v>
      </c>
      <c r="CP123" t="s">
        <v>100</v>
      </c>
      <c r="CQ123">
        <v>122</v>
      </c>
      <c r="CR123" t="s">
        <v>100</v>
      </c>
      <c r="CS123" t="s">
        <v>100</v>
      </c>
      <c r="CT123" t="s">
        <v>152</v>
      </c>
      <c r="CU123" t="s">
        <v>102</v>
      </c>
      <c r="CV123" t="s">
        <v>100</v>
      </c>
    </row>
    <row r="124" spans="1:100">
      <c r="A124" s="3" t="s">
        <v>3464</v>
      </c>
      <c r="B124" s="4" t="s">
        <v>3465</v>
      </c>
      <c r="C124">
        <v>5.3689844380495302</v>
      </c>
      <c r="D124">
        <v>93.130500098609104</v>
      </c>
      <c r="E124">
        <f>-4.09580004766657</f>
        <v>-4.0958000476665699</v>
      </c>
      <c r="F124" s="5">
        <v>4.2852771761448097E-14</v>
      </c>
      <c r="G124" t="s">
        <v>4</v>
      </c>
      <c r="H124">
        <v>5.3689844380495302</v>
      </c>
      <c r="I124">
        <v>7.8401943760711799</v>
      </c>
      <c r="J124">
        <f>0.56754979949076</f>
        <v>0.56754979949076001</v>
      </c>
      <c r="K124">
        <v>0.43026547636116502</v>
      </c>
      <c r="L124" t="s">
        <v>4</v>
      </c>
      <c r="M124">
        <v>93.130500098609104</v>
      </c>
      <c r="N124">
        <v>7.8401943760711799</v>
      </c>
      <c r="O124">
        <v>3.52825024817581</v>
      </c>
      <c r="P124" s="5">
        <v>2.4382119407743599E-10</v>
      </c>
      <c r="Q124" t="s">
        <v>4</v>
      </c>
      <c r="R124" s="4" t="s">
        <v>87</v>
      </c>
      <c r="S124" t="s">
        <v>4</v>
      </c>
      <c r="T124" t="s">
        <v>92</v>
      </c>
      <c r="U124" t="s">
        <v>92</v>
      </c>
      <c r="V124" t="s">
        <v>92</v>
      </c>
      <c r="W124" t="s">
        <v>92</v>
      </c>
      <c r="X124" t="s">
        <v>4</v>
      </c>
      <c r="Y124" t="s">
        <v>3466</v>
      </c>
      <c r="Z124" t="s">
        <v>3467</v>
      </c>
      <c r="AA124" t="s">
        <v>3468</v>
      </c>
      <c r="AB124" t="s">
        <v>4</v>
      </c>
      <c r="AC124" s="3" t="s">
        <v>93</v>
      </c>
      <c r="AD124" t="s">
        <v>4</v>
      </c>
      <c r="AE124" s="4" t="s">
        <v>94</v>
      </c>
      <c r="AZ124" t="s">
        <v>4</v>
      </c>
      <c r="BA124" s="3" t="s">
        <v>95</v>
      </c>
      <c r="BB124" s="6" t="s">
        <v>95</v>
      </c>
      <c r="BC124" s="3" t="s">
        <v>95</v>
      </c>
      <c r="BD124" t="s">
        <v>4</v>
      </c>
      <c r="BE124">
        <v>3105</v>
      </c>
      <c r="BF124" t="s">
        <v>97</v>
      </c>
      <c r="BG124">
        <v>33.813000000000002</v>
      </c>
      <c r="BI124">
        <v>64.028800000000004</v>
      </c>
      <c r="BL124">
        <v>37.4101</v>
      </c>
      <c r="BM124">
        <v>58.992800000000003</v>
      </c>
      <c r="BN124">
        <v>58.273400000000002</v>
      </c>
      <c r="BO124">
        <v>55.395699999999998</v>
      </c>
      <c r="BP124">
        <v>26.6187</v>
      </c>
      <c r="CK124">
        <v>4</v>
      </c>
      <c r="CL124" t="s">
        <v>4</v>
      </c>
      <c r="CM124" t="s">
        <v>98</v>
      </c>
      <c r="CN124" t="s">
        <v>98</v>
      </c>
      <c r="CO124" t="s">
        <v>99</v>
      </c>
      <c r="CP124" t="s">
        <v>100</v>
      </c>
      <c r="CQ124">
        <v>123</v>
      </c>
      <c r="CR124" t="s">
        <v>100</v>
      </c>
      <c r="CS124" t="s">
        <v>100</v>
      </c>
      <c r="CT124" t="s">
        <v>152</v>
      </c>
      <c r="CU124" t="s">
        <v>102</v>
      </c>
      <c r="CV124" t="s">
        <v>100</v>
      </c>
    </row>
    <row r="125" spans="1:100">
      <c r="A125" s="3" t="s">
        <v>3469</v>
      </c>
      <c r="B125" s="4" t="s">
        <v>3470</v>
      </c>
      <c r="C125">
        <v>10.828766281712999</v>
      </c>
      <c r="D125">
        <v>92.564535890065301</v>
      </c>
      <c r="E125">
        <f>-3.10271686174669</f>
        <v>-3.10271686174669</v>
      </c>
      <c r="F125" s="5">
        <v>3.6803818226932701E-5</v>
      </c>
      <c r="G125" t="s">
        <v>4</v>
      </c>
      <c r="H125">
        <v>10.828766281712999</v>
      </c>
      <c r="I125">
        <v>3.6698495236025601</v>
      </c>
      <c r="J125">
        <v>1.39247447995247</v>
      </c>
      <c r="K125">
        <v>0.14270756192714901</v>
      </c>
      <c r="L125" t="s">
        <v>4</v>
      </c>
      <c r="M125">
        <v>92.564535890065301</v>
      </c>
      <c r="N125">
        <v>3.6698495236025601</v>
      </c>
      <c r="O125">
        <v>4.4951913416991696</v>
      </c>
      <c r="P125" s="5">
        <v>1.19017864144313E-7</v>
      </c>
      <c r="Q125" t="s">
        <v>4</v>
      </c>
      <c r="R125" s="4" t="s">
        <v>87</v>
      </c>
      <c r="S125" t="s">
        <v>4</v>
      </c>
      <c r="T125" t="s">
        <v>92</v>
      </c>
      <c r="U125" t="s">
        <v>92</v>
      </c>
      <c r="V125" t="s">
        <v>92</v>
      </c>
      <c r="W125" t="s">
        <v>92</v>
      </c>
      <c r="X125" t="s">
        <v>4</v>
      </c>
      <c r="Y125" t="s">
        <v>92</v>
      </c>
      <c r="Z125" t="s">
        <v>92</v>
      </c>
      <c r="AA125" t="s">
        <v>92</v>
      </c>
      <c r="AB125" t="s">
        <v>4</v>
      </c>
      <c r="AC125" s="3" t="s">
        <v>93</v>
      </c>
      <c r="AD125" t="s">
        <v>4</v>
      </c>
      <c r="AE125" t="s">
        <v>3471</v>
      </c>
      <c r="AF125" t="s">
        <v>3472</v>
      </c>
      <c r="AG125" t="s">
        <v>3473</v>
      </c>
      <c r="AH125" t="s">
        <v>112</v>
      </c>
      <c r="AU125" t="s">
        <v>112</v>
      </c>
      <c r="AV125" t="s">
        <v>3474</v>
      </c>
      <c r="AW125" t="s">
        <v>114</v>
      </c>
      <c r="AZ125" t="s">
        <v>4</v>
      </c>
      <c r="BA125" s="3" t="s">
        <v>95</v>
      </c>
      <c r="BB125" s="6" t="s">
        <v>95</v>
      </c>
      <c r="BC125" s="3" t="s">
        <v>95</v>
      </c>
      <c r="BD125" t="s">
        <v>4</v>
      </c>
      <c r="BE125">
        <v>4718</v>
      </c>
      <c r="BF125" t="s">
        <v>112</v>
      </c>
      <c r="BG125">
        <v>54.609900000000003</v>
      </c>
      <c r="BI125">
        <v>63.829799999999999</v>
      </c>
      <c r="BJ125">
        <v>55.319099999999999</v>
      </c>
      <c r="BK125">
        <v>48.226999999999997</v>
      </c>
      <c r="BL125">
        <v>46.808500000000002</v>
      </c>
      <c r="BN125">
        <v>56.028399999999998</v>
      </c>
      <c r="BO125">
        <v>47.517699999999998</v>
      </c>
      <c r="BP125">
        <v>35.460999999999999</v>
      </c>
      <c r="BR125">
        <v>29.787199999999999</v>
      </c>
      <c r="BW125">
        <v>31.914899999999999</v>
      </c>
      <c r="BX125">
        <v>31.2057</v>
      </c>
      <c r="BY125">
        <v>32.624099999999999</v>
      </c>
      <c r="CA125">
        <v>30.496500000000001</v>
      </c>
      <c r="CK125">
        <v>5</v>
      </c>
      <c r="CL125" t="s">
        <v>4</v>
      </c>
      <c r="CM125" t="s">
        <v>3475</v>
      </c>
      <c r="CN125" t="s">
        <v>3476</v>
      </c>
      <c r="CO125" t="s">
        <v>663</v>
      </c>
      <c r="CP125" t="s">
        <v>100</v>
      </c>
      <c r="CQ125">
        <v>124</v>
      </c>
      <c r="CR125" t="s">
        <v>100</v>
      </c>
      <c r="CS125" t="s">
        <v>100</v>
      </c>
      <c r="CT125" t="s">
        <v>152</v>
      </c>
      <c r="CU125" t="s">
        <v>102</v>
      </c>
      <c r="CV125" t="s">
        <v>100</v>
      </c>
    </row>
    <row r="126" spans="1:100">
      <c r="A126" s="3" t="s">
        <v>3477</v>
      </c>
      <c r="B126" s="4" t="s">
        <v>3478</v>
      </c>
      <c r="C126">
        <v>15.363577303202</v>
      </c>
      <c r="D126">
        <v>93.588374997269597</v>
      </c>
      <c r="E126">
        <f>-2.60083394152575</f>
        <v>-2.60083394152575</v>
      </c>
      <c r="F126">
        <v>9.8618531875528507E-4</v>
      </c>
      <c r="G126" t="s">
        <v>4</v>
      </c>
      <c r="H126">
        <v>15.363577303202</v>
      </c>
      <c r="I126">
        <v>6.8785654481137</v>
      </c>
      <c r="J126">
        <v>1.13712938451121</v>
      </c>
      <c r="K126">
        <v>0.21292360893690901</v>
      </c>
      <c r="L126" t="s">
        <v>4</v>
      </c>
      <c r="M126">
        <v>93.588374997269597</v>
      </c>
      <c r="N126">
        <v>6.8785654481137</v>
      </c>
      <c r="O126">
        <v>3.7379633260369598</v>
      </c>
      <c r="P126" s="5">
        <v>5.3137582503463101E-6</v>
      </c>
      <c r="Q126" t="s">
        <v>4</v>
      </c>
      <c r="R126" s="4" t="s">
        <v>87</v>
      </c>
      <c r="S126" t="s">
        <v>4</v>
      </c>
      <c r="T126" t="s">
        <v>88</v>
      </c>
      <c r="U126" t="s">
        <v>89</v>
      </c>
      <c r="V126" t="s">
        <v>90</v>
      </c>
      <c r="W126" t="s">
        <v>91</v>
      </c>
      <c r="X126" t="s">
        <v>4</v>
      </c>
      <c r="Y126" t="s">
        <v>3479</v>
      </c>
      <c r="Z126" t="s">
        <v>3480</v>
      </c>
      <c r="AA126" t="s">
        <v>3481</v>
      </c>
      <c r="AB126" t="s">
        <v>4</v>
      </c>
      <c r="AC126" s="3" t="s">
        <v>93</v>
      </c>
      <c r="AD126" t="s">
        <v>4</v>
      </c>
      <c r="AE126" s="4" t="s">
        <v>94</v>
      </c>
      <c r="AZ126" t="s">
        <v>4</v>
      </c>
      <c r="BA126" s="3" t="s">
        <v>95</v>
      </c>
      <c r="BB126" t="s">
        <v>96</v>
      </c>
      <c r="BC126" s="3" t="s">
        <v>95</v>
      </c>
      <c r="BD126" t="s">
        <v>4</v>
      </c>
      <c r="BE126">
        <v>1757</v>
      </c>
      <c r="BF126" t="s">
        <v>151</v>
      </c>
      <c r="BL126" t="s">
        <v>3482</v>
      </c>
      <c r="CK126">
        <v>2</v>
      </c>
      <c r="CL126" t="s">
        <v>4</v>
      </c>
      <c r="CM126" t="s">
        <v>98</v>
      </c>
      <c r="CN126" t="s">
        <v>98</v>
      </c>
      <c r="CO126" t="s">
        <v>99</v>
      </c>
      <c r="CP126" t="s">
        <v>100</v>
      </c>
      <c r="CQ126">
        <v>125</v>
      </c>
      <c r="CR126" t="s">
        <v>100</v>
      </c>
      <c r="CS126" t="s">
        <v>100</v>
      </c>
      <c r="CT126" t="s">
        <v>152</v>
      </c>
      <c r="CU126" t="s">
        <v>102</v>
      </c>
      <c r="CV126" t="s">
        <v>100</v>
      </c>
    </row>
    <row r="127" spans="1:100">
      <c r="A127" s="3" t="s">
        <v>3483</v>
      </c>
      <c r="B127" s="4" t="s">
        <v>3484</v>
      </c>
      <c r="C127">
        <v>36.391118589923899</v>
      </c>
      <c r="D127">
        <v>722.24961118587396</v>
      </c>
      <c r="E127">
        <f>-4.30449163990602</f>
        <v>-4.3044916399060202</v>
      </c>
      <c r="F127" s="5">
        <v>4.2437286282626697E-22</v>
      </c>
      <c r="G127" t="s">
        <v>4</v>
      </c>
      <c r="H127">
        <v>36.391118589923899</v>
      </c>
      <c r="I127">
        <v>12.2562042440826</v>
      </c>
      <c r="J127">
        <v>1.5496861794002601</v>
      </c>
      <c r="K127">
        <v>5.3790315955602897E-3</v>
      </c>
      <c r="L127" t="s">
        <v>4</v>
      </c>
      <c r="M127">
        <v>722.24961118587396</v>
      </c>
      <c r="N127">
        <v>12.2562042440826</v>
      </c>
      <c r="O127">
        <v>5.8541778193062903</v>
      </c>
      <c r="P127" s="5">
        <v>6.6088290336605301E-31</v>
      </c>
      <c r="Q127" t="s">
        <v>4</v>
      </c>
      <c r="R127" s="4" t="s">
        <v>87</v>
      </c>
      <c r="S127" t="s">
        <v>4</v>
      </c>
      <c r="T127" t="s">
        <v>92</v>
      </c>
      <c r="U127" t="s">
        <v>92</v>
      </c>
      <c r="V127" t="s">
        <v>92</v>
      </c>
      <c r="W127" t="s">
        <v>92</v>
      </c>
      <c r="X127" t="s">
        <v>4</v>
      </c>
      <c r="Y127" t="s">
        <v>92</v>
      </c>
      <c r="Z127" t="s">
        <v>92</v>
      </c>
      <c r="AA127" t="s">
        <v>92</v>
      </c>
      <c r="AB127" t="s">
        <v>4</v>
      </c>
      <c r="AC127" s="3" t="s">
        <v>93</v>
      </c>
      <c r="AD127" t="s">
        <v>4</v>
      </c>
      <c r="AE127" s="4" t="s">
        <v>94</v>
      </c>
      <c r="AZ127" t="s">
        <v>4</v>
      </c>
      <c r="BA127" s="3" t="s">
        <v>95</v>
      </c>
      <c r="BB127" s="6" t="s">
        <v>95</v>
      </c>
      <c r="BC127" s="3" t="s">
        <v>95</v>
      </c>
      <c r="BD127" t="s">
        <v>4</v>
      </c>
      <c r="BE127">
        <v>1760</v>
      </c>
      <c r="BF127" t="s">
        <v>151</v>
      </c>
      <c r="CK127">
        <v>2</v>
      </c>
      <c r="CL127" t="s">
        <v>4</v>
      </c>
      <c r="CM127" t="s">
        <v>98</v>
      </c>
      <c r="CN127" t="s">
        <v>98</v>
      </c>
      <c r="CO127" t="s">
        <v>99</v>
      </c>
      <c r="CP127" t="s">
        <v>100</v>
      </c>
      <c r="CQ127">
        <v>126</v>
      </c>
      <c r="CR127" t="s">
        <v>100</v>
      </c>
      <c r="CS127" s="7" t="s">
        <v>101</v>
      </c>
      <c r="CT127" t="s">
        <v>152</v>
      </c>
      <c r="CU127" t="s">
        <v>102</v>
      </c>
      <c r="CV127" t="s">
        <v>100</v>
      </c>
    </row>
    <row r="128" spans="1:100">
      <c r="A128" s="3" t="s">
        <v>3485</v>
      </c>
      <c r="B128" s="4" t="s">
        <v>3486</v>
      </c>
      <c r="C128">
        <v>232.70085237680399</v>
      </c>
      <c r="D128">
        <v>1649.0387278400799</v>
      </c>
      <c r="E128">
        <f>-2.82436207786255</f>
        <v>-2.82436207786255</v>
      </c>
      <c r="F128" s="5">
        <v>9.9296132075685905E-15</v>
      </c>
      <c r="G128" t="s">
        <v>4</v>
      </c>
      <c r="H128">
        <v>232.70085237680399</v>
      </c>
      <c r="I128">
        <v>238.95790476412699</v>
      </c>
      <c r="J128">
        <f>0.0282273200358077</f>
        <v>2.8227320035807701E-2</v>
      </c>
      <c r="K128">
        <v>0.94851296605849</v>
      </c>
      <c r="L128" t="s">
        <v>4</v>
      </c>
      <c r="M128">
        <v>1649.0387278400799</v>
      </c>
      <c r="N128">
        <v>238.95790476412699</v>
      </c>
      <c r="O128">
        <v>2.7961347578267399</v>
      </c>
      <c r="P128" s="5">
        <v>8.0414602177334893E-15</v>
      </c>
      <c r="Q128" t="s">
        <v>4</v>
      </c>
      <c r="R128" s="4" t="s">
        <v>87</v>
      </c>
      <c r="S128" t="s">
        <v>4</v>
      </c>
      <c r="T128" t="s">
        <v>92</v>
      </c>
      <c r="U128" t="s">
        <v>92</v>
      </c>
      <c r="V128" t="s">
        <v>92</v>
      </c>
      <c r="W128" t="s">
        <v>92</v>
      </c>
      <c r="X128" t="s">
        <v>4</v>
      </c>
      <c r="Y128" t="s">
        <v>92</v>
      </c>
      <c r="Z128" t="s">
        <v>92</v>
      </c>
      <c r="AA128" t="s">
        <v>92</v>
      </c>
      <c r="AB128" t="s">
        <v>4</v>
      </c>
      <c r="AC128" s="3" t="s">
        <v>93</v>
      </c>
      <c r="AD128" t="s">
        <v>4</v>
      </c>
      <c r="AE128" s="4" t="s">
        <v>94</v>
      </c>
      <c r="AZ128" t="s">
        <v>4</v>
      </c>
      <c r="BA128" s="3" t="s">
        <v>95</v>
      </c>
      <c r="BB128" s="6" t="s">
        <v>95</v>
      </c>
      <c r="BC128" s="3" t="s">
        <v>197</v>
      </c>
      <c r="BD128" t="s">
        <v>4</v>
      </c>
      <c r="BE128">
        <v>3109</v>
      </c>
      <c r="BF128" t="s">
        <v>97</v>
      </c>
      <c r="BJ128">
        <v>66.666700000000006</v>
      </c>
      <c r="BK128">
        <v>54.726399999999998</v>
      </c>
      <c r="BL128">
        <v>57.213900000000002</v>
      </c>
      <c r="CK128">
        <v>4</v>
      </c>
      <c r="CL128" t="s">
        <v>4</v>
      </c>
      <c r="CM128" t="s">
        <v>98</v>
      </c>
      <c r="CN128" t="s">
        <v>98</v>
      </c>
      <c r="CO128" t="s">
        <v>99</v>
      </c>
      <c r="CP128" t="s">
        <v>100</v>
      </c>
      <c r="CQ128">
        <v>127</v>
      </c>
      <c r="CR128" t="s">
        <v>100</v>
      </c>
      <c r="CS128" t="s">
        <v>100</v>
      </c>
      <c r="CT128" t="s">
        <v>152</v>
      </c>
      <c r="CU128" t="s">
        <v>102</v>
      </c>
      <c r="CV128" t="s">
        <v>100</v>
      </c>
    </row>
    <row r="129" spans="1:100">
      <c r="A129" s="3" t="s">
        <v>3487</v>
      </c>
      <c r="B129" s="8" t="s">
        <v>811</v>
      </c>
      <c r="C129">
        <v>484.41623334562303</v>
      </c>
      <c r="D129">
        <v>9383.0905677178907</v>
      </c>
      <c r="E129">
        <f>-4.27537429771444</f>
        <v>-4.27537429771444</v>
      </c>
      <c r="F129" s="5">
        <v>7.6118219238152993E-15</v>
      </c>
      <c r="G129" t="s">
        <v>4</v>
      </c>
      <c r="H129">
        <v>484.41623334562303</v>
      </c>
      <c r="I129">
        <v>215.308320899389</v>
      </c>
      <c r="J129">
        <v>1.1701673597219</v>
      </c>
      <c r="K129">
        <v>4.6150796408125E-2</v>
      </c>
      <c r="L129" t="s">
        <v>4</v>
      </c>
      <c r="M129">
        <v>9383.0905677178907</v>
      </c>
      <c r="N129">
        <v>215.308320899389</v>
      </c>
      <c r="O129">
        <v>5.4455416574363404</v>
      </c>
      <c r="P129" s="5">
        <v>4.4706495163150503E-24</v>
      </c>
      <c r="Q129" t="s">
        <v>4</v>
      </c>
      <c r="R129" s="4" t="s">
        <v>95</v>
      </c>
      <c r="S129" t="s">
        <v>4</v>
      </c>
      <c r="T129" t="s">
        <v>92</v>
      </c>
      <c r="U129" t="s">
        <v>92</v>
      </c>
      <c r="V129" t="s">
        <v>92</v>
      </c>
      <c r="W129" t="s">
        <v>92</v>
      </c>
      <c r="X129" t="s">
        <v>4</v>
      </c>
      <c r="Y129" t="s">
        <v>92</v>
      </c>
      <c r="Z129" t="s">
        <v>92</v>
      </c>
      <c r="AA129" t="s">
        <v>92</v>
      </c>
      <c r="AB129" t="s">
        <v>4</v>
      </c>
      <c r="AC129" s="3" t="s">
        <v>93</v>
      </c>
      <c r="AD129" t="s">
        <v>4</v>
      </c>
      <c r="AE129" t="s">
        <v>3488</v>
      </c>
      <c r="AF129" t="s">
        <v>3489</v>
      </c>
      <c r="AG129" t="s">
        <v>656</v>
      </c>
      <c r="AH129" t="s">
        <v>638</v>
      </c>
      <c r="AJ129" t="s">
        <v>3490</v>
      </c>
      <c r="AL129" t="s">
        <v>3491</v>
      </c>
      <c r="AQ129" t="s">
        <v>641</v>
      </c>
      <c r="AR129" t="s">
        <v>3492</v>
      </c>
      <c r="AU129" t="s">
        <v>112</v>
      </c>
      <c r="AV129" t="s">
        <v>3493</v>
      </c>
      <c r="AW129" t="s">
        <v>114</v>
      </c>
      <c r="AX129" t="s">
        <v>132</v>
      </c>
      <c r="AY129" t="s">
        <v>3494</v>
      </c>
      <c r="AZ129" t="s">
        <v>4</v>
      </c>
      <c r="BA129" s="3" t="s">
        <v>812</v>
      </c>
      <c r="BB129" s="3" t="s">
        <v>812</v>
      </c>
      <c r="BC129" s="3" t="s">
        <v>812</v>
      </c>
      <c r="BD129" t="s">
        <v>4</v>
      </c>
      <c r="BE129" s="3" t="s">
        <v>812</v>
      </c>
      <c r="BF129" s="3" t="s">
        <v>812</v>
      </c>
      <c r="BG129" s="3" t="s">
        <v>812</v>
      </c>
      <c r="BH129" s="3" t="s">
        <v>812</v>
      </c>
      <c r="BI129" s="3" t="s">
        <v>812</v>
      </c>
      <c r="BJ129" s="3" t="s">
        <v>812</v>
      </c>
      <c r="BK129" s="3" t="s">
        <v>812</v>
      </c>
      <c r="BL129" s="3" t="s">
        <v>812</v>
      </c>
      <c r="BM129" s="3" t="s">
        <v>812</v>
      </c>
      <c r="BN129" s="3" t="s">
        <v>812</v>
      </c>
      <c r="BO129" s="3" t="s">
        <v>812</v>
      </c>
      <c r="BP129" s="3" t="s">
        <v>812</v>
      </c>
      <c r="BQ129" s="3" t="s">
        <v>812</v>
      </c>
      <c r="BR129" s="3" t="s">
        <v>812</v>
      </c>
      <c r="BS129" s="3" t="s">
        <v>812</v>
      </c>
      <c r="BT129" s="3" t="s">
        <v>812</v>
      </c>
      <c r="BU129" s="3" t="s">
        <v>812</v>
      </c>
      <c r="BV129" s="3" t="s">
        <v>812</v>
      </c>
      <c r="BW129" s="3" t="s">
        <v>812</v>
      </c>
      <c r="BX129" s="3" t="s">
        <v>812</v>
      </c>
      <c r="BY129" s="3" t="s">
        <v>812</v>
      </c>
      <c r="BZ129" s="3" t="s">
        <v>812</v>
      </c>
      <c r="CA129" s="3" t="s">
        <v>812</v>
      </c>
      <c r="CB129" s="3" t="s">
        <v>812</v>
      </c>
      <c r="CC129" s="3" t="s">
        <v>812</v>
      </c>
      <c r="CD129" s="3" t="s">
        <v>812</v>
      </c>
      <c r="CE129" s="3" t="s">
        <v>812</v>
      </c>
      <c r="CF129" s="3" t="s">
        <v>812</v>
      </c>
      <c r="CG129" s="3" t="s">
        <v>812</v>
      </c>
      <c r="CH129" s="3" t="s">
        <v>812</v>
      </c>
      <c r="CI129" s="3" t="s">
        <v>812</v>
      </c>
      <c r="CJ129" s="3" t="s">
        <v>812</v>
      </c>
      <c r="CK129" s="3" t="s">
        <v>812</v>
      </c>
      <c r="CL129" t="s">
        <v>4</v>
      </c>
      <c r="CM129" s="3" t="s">
        <v>812</v>
      </c>
      <c r="CN129" s="3" t="s">
        <v>812</v>
      </c>
      <c r="CO129" s="3" t="s">
        <v>812</v>
      </c>
      <c r="CP129" t="s">
        <v>100</v>
      </c>
      <c r="CQ129">
        <v>128</v>
      </c>
      <c r="CR129" t="s">
        <v>100</v>
      </c>
      <c r="CS129" s="7" t="s">
        <v>101</v>
      </c>
      <c r="CT129" t="s">
        <v>152</v>
      </c>
      <c r="CU129" t="s">
        <v>102</v>
      </c>
      <c r="CV129" t="s">
        <v>100</v>
      </c>
    </row>
    <row r="130" spans="1:100">
      <c r="A130" s="3" t="s">
        <v>3495</v>
      </c>
      <c r="B130" s="4" t="s">
        <v>3496</v>
      </c>
      <c r="C130">
        <v>252.72986245892901</v>
      </c>
      <c r="D130">
        <v>1089.72017290195</v>
      </c>
      <c r="E130">
        <f>-2.10818353155664</f>
        <v>-2.10818353155664</v>
      </c>
      <c r="F130" s="5">
        <v>2.4538907003896999E-10</v>
      </c>
      <c r="G130" t="s">
        <v>4</v>
      </c>
      <c r="H130">
        <v>252.72986245892901</v>
      </c>
      <c r="I130">
        <v>52.294129871707099</v>
      </c>
      <c r="J130">
        <v>2.2339606608174498</v>
      </c>
      <c r="K130" s="5">
        <v>3.4796886201707499E-10</v>
      </c>
      <c r="L130" t="s">
        <v>4</v>
      </c>
      <c r="M130">
        <v>1089.72017290195</v>
      </c>
      <c r="N130">
        <v>52.294129871707099</v>
      </c>
      <c r="O130">
        <v>4.3421441923740902</v>
      </c>
      <c r="P130" s="5">
        <v>2.24518826895837E-36</v>
      </c>
      <c r="Q130" t="s">
        <v>4</v>
      </c>
      <c r="R130" s="4" t="s">
        <v>87</v>
      </c>
      <c r="S130" t="s">
        <v>4</v>
      </c>
      <c r="T130" t="s">
        <v>3497</v>
      </c>
      <c r="U130" t="s">
        <v>3498</v>
      </c>
      <c r="V130" t="s">
        <v>3499</v>
      </c>
      <c r="W130" t="s">
        <v>203</v>
      </c>
      <c r="X130" t="s">
        <v>4</v>
      </c>
      <c r="Y130" t="s">
        <v>3500</v>
      </c>
      <c r="Z130" t="s">
        <v>3501</v>
      </c>
      <c r="AA130" t="s">
        <v>3502</v>
      </c>
      <c r="AB130" t="s">
        <v>4</v>
      </c>
      <c r="AC130" s="3" t="s">
        <v>3503</v>
      </c>
      <c r="AD130" t="s">
        <v>4</v>
      </c>
      <c r="AE130" t="s">
        <v>3504</v>
      </c>
      <c r="AF130" t="s">
        <v>3505</v>
      </c>
      <c r="AG130" t="s">
        <v>3506</v>
      </c>
      <c r="AH130" t="s">
        <v>112</v>
      </c>
      <c r="AU130" t="s">
        <v>112</v>
      </c>
      <c r="AV130" t="s">
        <v>3507</v>
      </c>
      <c r="AW130" t="s">
        <v>114</v>
      </c>
      <c r="AX130" t="s">
        <v>536</v>
      </c>
      <c r="AY130" t="s">
        <v>3508</v>
      </c>
      <c r="AZ130" t="s">
        <v>4</v>
      </c>
      <c r="BA130" s="3" t="s">
        <v>95</v>
      </c>
      <c r="BB130" s="6" t="s">
        <v>95</v>
      </c>
      <c r="BC130" s="3" t="s">
        <v>197</v>
      </c>
      <c r="BD130" t="s">
        <v>4</v>
      </c>
      <c r="BE130">
        <v>4751</v>
      </c>
      <c r="BF130" t="s">
        <v>282</v>
      </c>
      <c r="BG130">
        <v>99.376900000000006</v>
      </c>
      <c r="BH130">
        <v>86.915899999999993</v>
      </c>
      <c r="BI130">
        <v>97.507800000000003</v>
      </c>
      <c r="BJ130">
        <v>91.588800000000006</v>
      </c>
      <c r="BK130">
        <v>83.800600000000003</v>
      </c>
      <c r="BL130">
        <v>80.373800000000003</v>
      </c>
      <c r="BM130">
        <v>79.750799999999998</v>
      </c>
      <c r="BN130">
        <v>84.735200000000006</v>
      </c>
      <c r="BO130">
        <v>85.046700000000001</v>
      </c>
      <c r="BP130">
        <v>69.781899999999993</v>
      </c>
      <c r="BQ130">
        <v>40.81</v>
      </c>
      <c r="BR130">
        <v>62.9283</v>
      </c>
      <c r="BS130">
        <v>58.255499999999998</v>
      </c>
      <c r="BT130">
        <v>55.451700000000002</v>
      </c>
      <c r="BV130" t="s">
        <v>3509</v>
      </c>
      <c r="BX130">
        <v>53.894100000000002</v>
      </c>
      <c r="BY130">
        <v>53.582599999999999</v>
      </c>
      <c r="BZ130">
        <v>43.302199999999999</v>
      </c>
      <c r="CA130">
        <v>53.582599999999999</v>
      </c>
      <c r="CB130">
        <v>45.482900000000001</v>
      </c>
      <c r="CC130">
        <v>33.021799999999999</v>
      </c>
      <c r="CD130">
        <v>39.252299999999998</v>
      </c>
      <c r="CF130" t="s">
        <v>3510</v>
      </c>
      <c r="CG130" t="s">
        <v>3511</v>
      </c>
      <c r="CH130" t="s">
        <v>3512</v>
      </c>
      <c r="CI130" t="s">
        <v>3513</v>
      </c>
      <c r="CJ130" t="s">
        <v>3514</v>
      </c>
      <c r="CK130">
        <v>6</v>
      </c>
      <c r="CL130" t="s">
        <v>4</v>
      </c>
      <c r="CM130" t="s">
        <v>3515</v>
      </c>
      <c r="CN130" t="s">
        <v>3516</v>
      </c>
      <c r="CO130" t="s">
        <v>99</v>
      </c>
      <c r="CP130" t="s">
        <v>100</v>
      </c>
      <c r="CQ130">
        <v>129</v>
      </c>
      <c r="CR130" t="s">
        <v>100</v>
      </c>
      <c r="CS130" t="s">
        <v>101</v>
      </c>
      <c r="CT130" t="s">
        <v>152</v>
      </c>
      <c r="CU130" t="s">
        <v>102</v>
      </c>
      <c r="CV130" t="s">
        <v>100</v>
      </c>
    </row>
    <row r="131" spans="1:100">
      <c r="A131" s="3" t="s">
        <v>3517</v>
      </c>
      <c r="B131" s="4" t="s">
        <v>3518</v>
      </c>
      <c r="C131">
        <v>92.556003984489095</v>
      </c>
      <c r="D131">
        <v>572.740782351902</v>
      </c>
      <c r="E131">
        <f>-2.62904102047098</f>
        <v>-2.62904102047098</v>
      </c>
      <c r="F131" s="5">
        <v>7.5177901461111198E-7</v>
      </c>
      <c r="G131" t="s">
        <v>4</v>
      </c>
      <c r="H131">
        <v>92.556003984489095</v>
      </c>
      <c r="I131">
        <v>17.627803753652699</v>
      </c>
      <c r="J131">
        <v>2.3757739281483898</v>
      </c>
      <c r="K131" s="5">
        <v>4.57424491402822E-5</v>
      </c>
      <c r="L131" t="s">
        <v>4</v>
      </c>
      <c r="M131">
        <v>572.740782351902</v>
      </c>
      <c r="N131">
        <v>17.627803753652699</v>
      </c>
      <c r="O131">
        <v>5.0048149486193703</v>
      </c>
      <c r="P131" s="5">
        <v>1.7570391758327001E-19</v>
      </c>
      <c r="Q131" t="s">
        <v>4</v>
      </c>
      <c r="R131" s="4" t="s">
        <v>87</v>
      </c>
      <c r="S131" t="s">
        <v>4</v>
      </c>
      <c r="T131" t="s">
        <v>3519</v>
      </c>
      <c r="U131" t="s">
        <v>3520</v>
      </c>
      <c r="V131" t="s">
        <v>3521</v>
      </c>
      <c r="W131" t="s">
        <v>328</v>
      </c>
      <c r="X131" t="s">
        <v>4</v>
      </c>
      <c r="Y131" t="s">
        <v>3522</v>
      </c>
      <c r="Z131" t="s">
        <v>3523</v>
      </c>
      <c r="AA131" t="s">
        <v>3524</v>
      </c>
      <c r="AB131" t="s">
        <v>4</v>
      </c>
      <c r="AC131" s="3" t="s">
        <v>3525</v>
      </c>
      <c r="AD131" t="s">
        <v>4</v>
      </c>
      <c r="AE131" t="s">
        <v>3526</v>
      </c>
      <c r="AF131" t="s">
        <v>3527</v>
      </c>
      <c r="AG131" t="s">
        <v>3528</v>
      </c>
      <c r="AH131" t="s">
        <v>112</v>
      </c>
      <c r="AJ131" t="s">
        <v>3529</v>
      </c>
      <c r="AL131" t="s">
        <v>3530</v>
      </c>
      <c r="AQ131" t="s">
        <v>1273</v>
      </c>
      <c r="AU131" t="s">
        <v>112</v>
      </c>
      <c r="AV131" t="s">
        <v>3531</v>
      </c>
      <c r="AW131" t="s">
        <v>114</v>
      </c>
      <c r="AX131" t="s">
        <v>371</v>
      </c>
      <c r="AY131" t="s">
        <v>3532</v>
      </c>
      <c r="AZ131" t="s">
        <v>4</v>
      </c>
      <c r="BA131" s="3" t="s">
        <v>95</v>
      </c>
      <c r="BB131" s="6" t="s">
        <v>95</v>
      </c>
      <c r="BC131" s="3" t="s">
        <v>95</v>
      </c>
      <c r="BD131" t="s">
        <v>4</v>
      </c>
      <c r="BE131">
        <v>5316</v>
      </c>
      <c r="BF131" t="s">
        <v>386</v>
      </c>
      <c r="BG131">
        <v>39.908299999999997</v>
      </c>
      <c r="BJ131" t="s">
        <v>3533</v>
      </c>
      <c r="BK131">
        <v>38.9908</v>
      </c>
      <c r="BL131">
        <v>38.9908</v>
      </c>
      <c r="BM131">
        <v>44.036700000000003</v>
      </c>
      <c r="BO131">
        <v>93.348600000000005</v>
      </c>
      <c r="BP131">
        <v>68.807299999999998</v>
      </c>
      <c r="BQ131">
        <v>52.5229</v>
      </c>
      <c r="BR131">
        <v>40.825699999999998</v>
      </c>
      <c r="BS131">
        <v>40.137599999999999</v>
      </c>
      <c r="BT131">
        <v>24.311900000000001</v>
      </c>
      <c r="BU131">
        <v>41.743099999999998</v>
      </c>
      <c r="BV131" t="s">
        <v>3534</v>
      </c>
      <c r="BW131" t="s">
        <v>3535</v>
      </c>
      <c r="BX131">
        <v>49.770600000000002</v>
      </c>
      <c r="BY131">
        <v>16.743099999999998</v>
      </c>
      <c r="BZ131">
        <v>50.4587</v>
      </c>
      <c r="CA131">
        <v>41.972499999999997</v>
      </c>
      <c r="CB131">
        <v>21.100899999999999</v>
      </c>
      <c r="CC131">
        <v>40.366999999999997</v>
      </c>
      <c r="CD131" t="s">
        <v>3536</v>
      </c>
      <c r="CK131">
        <v>7</v>
      </c>
      <c r="CL131" t="s">
        <v>4</v>
      </c>
      <c r="CM131" t="s">
        <v>3537</v>
      </c>
      <c r="CN131" t="s">
        <v>3538</v>
      </c>
      <c r="CO131" t="s">
        <v>663</v>
      </c>
      <c r="CP131" t="s">
        <v>100</v>
      </c>
      <c r="CQ131">
        <v>130</v>
      </c>
      <c r="CR131" t="s">
        <v>100</v>
      </c>
      <c r="CS131" t="s">
        <v>101</v>
      </c>
      <c r="CT131" t="s">
        <v>152</v>
      </c>
      <c r="CU131" t="s">
        <v>102</v>
      </c>
      <c r="CV131" t="s">
        <v>100</v>
      </c>
    </row>
    <row r="132" spans="1:100">
      <c r="A132" s="3" t="s">
        <v>3539</v>
      </c>
      <c r="B132" s="4" t="s">
        <v>3540</v>
      </c>
      <c r="C132">
        <v>91.940266010815705</v>
      </c>
      <c r="D132">
        <v>693.83179483907304</v>
      </c>
      <c r="E132">
        <f>-2.91380466620469</f>
        <v>-2.9138046662046899</v>
      </c>
      <c r="F132" s="5">
        <v>5.6673861869196703E-8</v>
      </c>
      <c r="G132" t="s">
        <v>4</v>
      </c>
      <c r="H132">
        <v>91.940266010815705</v>
      </c>
      <c r="I132">
        <v>139.252010555053</v>
      </c>
      <c r="J132">
        <f>0.608555681288753</f>
        <v>0.60855568128875304</v>
      </c>
      <c r="K132">
        <v>0.298003413907306</v>
      </c>
      <c r="L132" t="s">
        <v>4</v>
      </c>
      <c r="M132">
        <v>693.83179483907304</v>
      </c>
      <c r="N132">
        <v>139.252010555053</v>
      </c>
      <c r="O132">
        <v>2.3052489849159401</v>
      </c>
      <c r="P132" s="5">
        <v>1.2824971152137599E-5</v>
      </c>
      <c r="Q132" t="s">
        <v>4</v>
      </c>
      <c r="R132" s="4" t="s">
        <v>87</v>
      </c>
      <c r="S132" t="s">
        <v>4</v>
      </c>
      <c r="T132" t="s">
        <v>2243</v>
      </c>
      <c r="U132" t="s">
        <v>2244</v>
      </c>
      <c r="V132" t="s">
        <v>2245</v>
      </c>
      <c r="W132" t="s">
        <v>123</v>
      </c>
      <c r="X132" t="s">
        <v>4</v>
      </c>
      <c r="Y132" t="s">
        <v>3541</v>
      </c>
      <c r="Z132" t="s">
        <v>3542</v>
      </c>
      <c r="AA132" t="s">
        <v>3543</v>
      </c>
      <c r="AB132" t="s">
        <v>4</v>
      </c>
      <c r="AC132" s="3" t="s">
        <v>3544</v>
      </c>
      <c r="AD132" t="s">
        <v>4</v>
      </c>
      <c r="AE132" t="s">
        <v>3545</v>
      </c>
      <c r="AF132" t="s">
        <v>3546</v>
      </c>
      <c r="AG132" t="s">
        <v>3547</v>
      </c>
      <c r="AH132" t="s">
        <v>112</v>
      </c>
      <c r="AU132" t="s">
        <v>112</v>
      </c>
      <c r="AV132" t="s">
        <v>3548</v>
      </c>
      <c r="AW132" t="s">
        <v>114</v>
      </c>
      <c r="AX132" t="s">
        <v>144</v>
      </c>
      <c r="AY132" t="s">
        <v>2455</v>
      </c>
      <c r="AZ132" t="s">
        <v>4</v>
      </c>
      <c r="BA132" s="3" t="s">
        <v>95</v>
      </c>
      <c r="BB132" s="6" t="s">
        <v>95</v>
      </c>
      <c r="BC132" s="3" t="s">
        <v>95</v>
      </c>
      <c r="BD132" t="s">
        <v>4</v>
      </c>
      <c r="BE132">
        <v>5983</v>
      </c>
      <c r="BF132" t="s">
        <v>213</v>
      </c>
      <c r="BG132">
        <v>99.548500000000004</v>
      </c>
      <c r="BI132">
        <v>99.097099999999998</v>
      </c>
      <c r="BJ132">
        <v>88.4876</v>
      </c>
      <c r="BK132">
        <v>86.230199999999996</v>
      </c>
      <c r="BM132">
        <v>86.456000000000003</v>
      </c>
      <c r="BN132">
        <v>86.456000000000003</v>
      </c>
      <c r="BQ132">
        <v>67.494399999999999</v>
      </c>
      <c r="BR132">
        <v>65.236999999999995</v>
      </c>
      <c r="BS132">
        <v>61.399500000000003</v>
      </c>
      <c r="BU132">
        <v>53.724600000000002</v>
      </c>
      <c r="BV132" t="s">
        <v>3549</v>
      </c>
      <c r="BW132">
        <v>39.503399999999999</v>
      </c>
      <c r="BX132">
        <v>54.401800000000001</v>
      </c>
      <c r="CA132">
        <v>53.273099999999999</v>
      </c>
      <c r="CK132">
        <v>8</v>
      </c>
      <c r="CL132" t="s">
        <v>4</v>
      </c>
      <c r="CM132" t="s">
        <v>3550</v>
      </c>
      <c r="CN132" t="s">
        <v>3551</v>
      </c>
      <c r="CO132" t="s">
        <v>99</v>
      </c>
      <c r="CP132" t="s">
        <v>100</v>
      </c>
      <c r="CQ132">
        <v>131</v>
      </c>
      <c r="CR132" t="s">
        <v>100</v>
      </c>
      <c r="CS132" t="s">
        <v>100</v>
      </c>
      <c r="CT132" t="s">
        <v>152</v>
      </c>
      <c r="CU132" t="s">
        <v>102</v>
      </c>
      <c r="CV132" t="s">
        <v>100</v>
      </c>
    </row>
    <row r="133" spans="1:100">
      <c r="A133" s="3" t="s">
        <v>3552</v>
      </c>
      <c r="B133" s="4" t="s">
        <v>3553</v>
      </c>
      <c r="C133">
        <v>806.59139531675498</v>
      </c>
      <c r="D133">
        <v>3616.0896213521301</v>
      </c>
      <c r="E133">
        <f>-2.16452704117919</f>
        <v>-2.1645270411791899</v>
      </c>
      <c r="F133" s="5">
        <v>1.34985254489456E-15</v>
      </c>
      <c r="G133" t="s">
        <v>4</v>
      </c>
      <c r="H133">
        <v>806.59139531675498</v>
      </c>
      <c r="I133">
        <v>694.03830199962499</v>
      </c>
      <c r="J133">
        <v>0.21313900748470399</v>
      </c>
      <c r="K133">
        <v>0.48902527358214498</v>
      </c>
      <c r="L133" t="s">
        <v>4</v>
      </c>
      <c r="M133">
        <v>3616.0896213521301</v>
      </c>
      <c r="N133">
        <v>694.03830199962499</v>
      </c>
      <c r="O133">
        <v>2.3776660486638899</v>
      </c>
      <c r="P133" s="5">
        <v>3.9987987579891598E-19</v>
      </c>
      <c r="Q133" t="s">
        <v>4</v>
      </c>
      <c r="R133" s="4" t="s">
        <v>87</v>
      </c>
      <c r="S133" t="s">
        <v>4</v>
      </c>
      <c r="T133" t="s">
        <v>3554</v>
      </c>
      <c r="U133" t="s">
        <v>3555</v>
      </c>
      <c r="V133" t="s">
        <v>3556</v>
      </c>
      <c r="W133" t="s">
        <v>203</v>
      </c>
      <c r="X133" t="s">
        <v>4</v>
      </c>
      <c r="Y133" t="s">
        <v>3557</v>
      </c>
      <c r="Z133" t="s">
        <v>3558</v>
      </c>
      <c r="AA133" t="s">
        <v>3559</v>
      </c>
      <c r="AB133" t="s">
        <v>4</v>
      </c>
      <c r="AC133" s="3" t="s">
        <v>3560</v>
      </c>
      <c r="AD133" t="s">
        <v>4</v>
      </c>
      <c r="AE133" t="s">
        <v>3561</v>
      </c>
      <c r="AF133" t="s">
        <v>3562</v>
      </c>
      <c r="AG133" t="s">
        <v>3563</v>
      </c>
      <c r="AH133" t="s">
        <v>112</v>
      </c>
      <c r="AJ133" t="s">
        <v>3564</v>
      </c>
      <c r="AU133" t="s">
        <v>112</v>
      </c>
      <c r="AV133" t="s">
        <v>3565</v>
      </c>
      <c r="AW133" t="s">
        <v>114</v>
      </c>
      <c r="AX133" t="s">
        <v>132</v>
      </c>
      <c r="AY133" t="s">
        <v>3566</v>
      </c>
      <c r="AZ133" t="s">
        <v>4</v>
      </c>
      <c r="BA133" s="3" t="s">
        <v>115</v>
      </c>
      <c r="BB133" s="6" t="s">
        <v>95</v>
      </c>
      <c r="BC133" s="3" t="s">
        <v>95</v>
      </c>
      <c r="BD133" t="s">
        <v>4</v>
      </c>
      <c r="BE133">
        <v>8667</v>
      </c>
      <c r="BF133" t="s">
        <v>169</v>
      </c>
      <c r="BG133">
        <v>94.453199999999995</v>
      </c>
      <c r="BH133">
        <v>99.683000000000007</v>
      </c>
      <c r="BJ133">
        <v>70.522999999999996</v>
      </c>
      <c r="BK133">
        <v>73.692599999999999</v>
      </c>
      <c r="BM133">
        <v>50.554699999999997</v>
      </c>
      <c r="BN133">
        <v>81.299499999999995</v>
      </c>
      <c r="BO133">
        <v>78.763900000000007</v>
      </c>
      <c r="BP133">
        <v>58.637099999999997</v>
      </c>
      <c r="BR133">
        <v>29.3185</v>
      </c>
      <c r="BX133">
        <v>29.1601</v>
      </c>
      <c r="BY133">
        <v>29.3185</v>
      </c>
      <c r="BZ133">
        <v>11.727399999999999</v>
      </c>
      <c r="CA133">
        <v>29.0016</v>
      </c>
      <c r="CB133">
        <v>12.5198</v>
      </c>
      <c r="CF133">
        <v>19.334399999999999</v>
      </c>
      <c r="CG133" t="s">
        <v>3567</v>
      </c>
      <c r="CH133" t="s">
        <v>3568</v>
      </c>
      <c r="CI133" t="s">
        <v>3569</v>
      </c>
      <c r="CJ133">
        <v>15.213900000000001</v>
      </c>
      <c r="CK133">
        <v>9</v>
      </c>
      <c r="CL133" t="s">
        <v>4</v>
      </c>
      <c r="CM133" t="s">
        <v>3570</v>
      </c>
      <c r="CN133" t="s">
        <v>3571</v>
      </c>
      <c r="CO133" t="s">
        <v>1218</v>
      </c>
      <c r="CP133" t="s">
        <v>100</v>
      </c>
      <c r="CQ133">
        <v>132</v>
      </c>
      <c r="CR133" t="s">
        <v>100</v>
      </c>
      <c r="CS133" t="s">
        <v>100</v>
      </c>
      <c r="CT133" t="s">
        <v>152</v>
      </c>
      <c r="CU133" t="s">
        <v>102</v>
      </c>
      <c r="CV133" t="s">
        <v>100</v>
      </c>
    </row>
    <row r="134" spans="1:100">
      <c r="A134" s="3" t="s">
        <v>3572</v>
      </c>
      <c r="B134" s="4" t="s">
        <v>3573</v>
      </c>
      <c r="C134">
        <v>393.69955885229098</v>
      </c>
      <c r="D134">
        <v>14267.928405731</v>
      </c>
      <c r="E134">
        <f>-5.17874173691137</f>
        <v>-5.1787417369113697</v>
      </c>
      <c r="F134" s="5">
        <v>1.9146781759857299E-34</v>
      </c>
      <c r="G134" t="s">
        <v>4</v>
      </c>
      <c r="H134">
        <v>393.69955885229098</v>
      </c>
      <c r="I134">
        <v>329.27121096229803</v>
      </c>
      <c r="J134">
        <v>0.25416707615680201</v>
      </c>
      <c r="K134">
        <v>0.60882738742154796</v>
      </c>
      <c r="L134" t="s">
        <v>4</v>
      </c>
      <c r="M134">
        <v>14267.928405731</v>
      </c>
      <c r="N134">
        <v>329.27121096229803</v>
      </c>
      <c r="O134">
        <v>5.4329088130681802</v>
      </c>
      <c r="P134" s="5">
        <v>1.3014793647209901E-38</v>
      </c>
      <c r="Q134" t="s">
        <v>4</v>
      </c>
      <c r="R134" s="4" t="s">
        <v>87</v>
      </c>
      <c r="S134" t="s">
        <v>4</v>
      </c>
      <c r="T134" t="s">
        <v>1866</v>
      </c>
      <c r="U134" t="s">
        <v>1867</v>
      </c>
      <c r="V134" t="s">
        <v>1868</v>
      </c>
      <c r="W134" t="s">
        <v>123</v>
      </c>
      <c r="X134" t="s">
        <v>4</v>
      </c>
      <c r="Y134" t="s">
        <v>3574</v>
      </c>
      <c r="Z134" t="s">
        <v>3575</v>
      </c>
      <c r="AA134" t="s">
        <v>3576</v>
      </c>
      <c r="AB134" t="s">
        <v>4</v>
      </c>
      <c r="AC134" s="3" t="s">
        <v>3577</v>
      </c>
      <c r="AD134" t="s">
        <v>4</v>
      </c>
      <c r="AE134" t="s">
        <v>3578</v>
      </c>
      <c r="AF134" t="s">
        <v>3579</v>
      </c>
      <c r="AG134" t="s">
        <v>3580</v>
      </c>
      <c r="AH134" t="s">
        <v>112</v>
      </c>
      <c r="AU134" t="s">
        <v>112</v>
      </c>
      <c r="AV134" t="s">
        <v>3581</v>
      </c>
      <c r="AW134" t="s">
        <v>114</v>
      </c>
      <c r="AX134" t="s">
        <v>144</v>
      </c>
      <c r="AY134" t="s">
        <v>3582</v>
      </c>
      <c r="AZ134" t="s">
        <v>4</v>
      </c>
      <c r="BA134" s="3" t="s">
        <v>115</v>
      </c>
      <c r="BB134" s="6" t="s">
        <v>95</v>
      </c>
      <c r="BC134" s="3" t="s">
        <v>95</v>
      </c>
      <c r="BD134" t="s">
        <v>4</v>
      </c>
      <c r="BE134">
        <v>6056</v>
      </c>
      <c r="BF134" t="s">
        <v>213</v>
      </c>
      <c r="BG134">
        <v>93.237399999999994</v>
      </c>
      <c r="BH134" t="s">
        <v>3583</v>
      </c>
      <c r="BI134">
        <v>32.086300000000001</v>
      </c>
      <c r="BJ134">
        <v>31.0791</v>
      </c>
      <c r="BK134">
        <v>65.036000000000001</v>
      </c>
      <c r="BL134">
        <v>65.036000000000001</v>
      </c>
      <c r="BM134">
        <v>60.431699999999999</v>
      </c>
      <c r="BN134">
        <v>64.460400000000007</v>
      </c>
      <c r="BO134">
        <v>62.5899</v>
      </c>
      <c r="BP134">
        <v>30.935300000000002</v>
      </c>
      <c r="BR134" t="s">
        <v>3584</v>
      </c>
      <c r="BT134">
        <v>17.122299999999999</v>
      </c>
      <c r="BU134">
        <v>25.611499999999999</v>
      </c>
      <c r="BV134" t="s">
        <v>3585</v>
      </c>
      <c r="BW134" t="s">
        <v>3586</v>
      </c>
      <c r="BX134">
        <v>27.194199999999999</v>
      </c>
      <c r="BZ134">
        <v>26.6187</v>
      </c>
      <c r="CA134">
        <v>25.8993</v>
      </c>
      <c r="CB134">
        <v>23.884899999999998</v>
      </c>
      <c r="CC134" t="s">
        <v>3587</v>
      </c>
      <c r="CD134">
        <v>24.892099999999999</v>
      </c>
      <c r="CF134">
        <v>12.3741</v>
      </c>
      <c r="CG134">
        <v>24.604299999999999</v>
      </c>
      <c r="CH134">
        <v>25.1799</v>
      </c>
      <c r="CI134">
        <v>21.438800000000001</v>
      </c>
      <c r="CK134">
        <v>8</v>
      </c>
      <c r="CL134" t="s">
        <v>4</v>
      </c>
      <c r="CM134" t="s">
        <v>3588</v>
      </c>
      <c r="CN134" t="s">
        <v>3589</v>
      </c>
      <c r="CO134" t="s">
        <v>219</v>
      </c>
      <c r="CP134" t="s">
        <v>100</v>
      </c>
      <c r="CQ134">
        <v>133</v>
      </c>
      <c r="CR134" t="s">
        <v>100</v>
      </c>
      <c r="CS134" t="s">
        <v>100</v>
      </c>
      <c r="CT134" t="s">
        <v>152</v>
      </c>
      <c r="CU134" t="s">
        <v>102</v>
      </c>
      <c r="CV134" t="s">
        <v>100</v>
      </c>
    </row>
    <row r="135" spans="1:100">
      <c r="A135" s="3" t="s">
        <v>3590</v>
      </c>
      <c r="B135" s="4" t="s">
        <v>3591</v>
      </c>
      <c r="C135">
        <v>1072.9166392265599</v>
      </c>
      <c r="D135">
        <v>27657.560493783702</v>
      </c>
      <c r="E135">
        <f>-4.68786171001726</f>
        <v>-4.6878617100172599</v>
      </c>
      <c r="F135" s="5">
        <v>3.63619262793989E-19</v>
      </c>
      <c r="G135" t="s">
        <v>4</v>
      </c>
      <c r="H135">
        <v>1072.9166392265599</v>
      </c>
      <c r="I135">
        <v>3384.6377871035802</v>
      </c>
      <c r="J135">
        <f>-1.65769737718343</f>
        <v>-1.65769737718343</v>
      </c>
      <c r="K135">
        <v>2.3514595270915598E-3</v>
      </c>
      <c r="L135" t="s">
        <v>4</v>
      </c>
      <c r="M135">
        <v>27657.560493783702</v>
      </c>
      <c r="N135">
        <v>3384.6377871035802</v>
      </c>
      <c r="O135">
        <v>3.0301643328338299</v>
      </c>
      <c r="P135" s="5">
        <v>5.9853764899725804E-9</v>
      </c>
      <c r="Q135" t="s">
        <v>4</v>
      </c>
      <c r="R135" s="4" t="s">
        <v>87</v>
      </c>
      <c r="S135" t="s">
        <v>4</v>
      </c>
      <c r="T135" t="s">
        <v>92</v>
      </c>
      <c r="U135" t="s">
        <v>92</v>
      </c>
      <c r="V135" t="s">
        <v>92</v>
      </c>
      <c r="W135" t="s">
        <v>92</v>
      </c>
      <c r="X135" t="s">
        <v>4</v>
      </c>
      <c r="Y135" t="s">
        <v>92</v>
      </c>
      <c r="Z135" t="s">
        <v>92</v>
      </c>
      <c r="AA135" t="s">
        <v>92</v>
      </c>
      <c r="AB135" t="s">
        <v>4</v>
      </c>
      <c r="AC135" s="3" t="s">
        <v>93</v>
      </c>
      <c r="AD135" t="s">
        <v>4</v>
      </c>
      <c r="AE135" t="s">
        <v>3592</v>
      </c>
      <c r="AF135" t="s">
        <v>3593</v>
      </c>
      <c r="AG135" t="s">
        <v>3594</v>
      </c>
      <c r="AH135" t="s">
        <v>112</v>
      </c>
      <c r="AU135" t="s">
        <v>112</v>
      </c>
      <c r="AV135" t="s">
        <v>3595</v>
      </c>
      <c r="AW135" t="s">
        <v>114</v>
      </c>
      <c r="AZ135" t="s">
        <v>4</v>
      </c>
      <c r="BA135" s="3" t="s">
        <v>115</v>
      </c>
      <c r="BB135" s="6" t="s">
        <v>95</v>
      </c>
      <c r="BC135" s="3" t="s">
        <v>95</v>
      </c>
      <c r="BD135" t="s">
        <v>4</v>
      </c>
      <c r="BE135">
        <v>4777</v>
      </c>
      <c r="BF135" t="s">
        <v>282</v>
      </c>
      <c r="BG135">
        <v>94.155799999999999</v>
      </c>
      <c r="BH135">
        <v>60.649299999999997</v>
      </c>
      <c r="BI135">
        <v>95.064899999999994</v>
      </c>
      <c r="BJ135">
        <v>82.0779</v>
      </c>
      <c r="BK135">
        <v>45.064900000000002</v>
      </c>
      <c r="BL135">
        <v>83.636399999999995</v>
      </c>
      <c r="BM135">
        <v>84.025999999999996</v>
      </c>
      <c r="BN135">
        <v>84.025999999999996</v>
      </c>
      <c r="BO135">
        <v>81.428600000000003</v>
      </c>
      <c r="BP135">
        <v>51.688299999999998</v>
      </c>
      <c r="BQ135">
        <v>24.6753</v>
      </c>
      <c r="BR135">
        <v>33.506500000000003</v>
      </c>
      <c r="BW135">
        <v>32.467500000000001</v>
      </c>
      <c r="CA135">
        <v>29.220800000000001</v>
      </c>
      <c r="CC135">
        <v>17.013000000000002</v>
      </c>
      <c r="CD135">
        <v>15.0649</v>
      </c>
      <c r="CK135">
        <v>6</v>
      </c>
      <c r="CL135" t="s">
        <v>4</v>
      </c>
      <c r="CM135" t="s">
        <v>3596</v>
      </c>
      <c r="CN135" t="s">
        <v>3597</v>
      </c>
      <c r="CO135" t="s">
        <v>1218</v>
      </c>
      <c r="CP135" t="s">
        <v>100</v>
      </c>
      <c r="CQ135">
        <v>134</v>
      </c>
      <c r="CR135" t="s">
        <v>100</v>
      </c>
      <c r="CS135" t="s">
        <v>100</v>
      </c>
      <c r="CT135" t="s">
        <v>152</v>
      </c>
      <c r="CU135" t="s">
        <v>102</v>
      </c>
      <c r="CV135" t="s">
        <v>100</v>
      </c>
    </row>
    <row r="136" spans="1:100">
      <c r="A136" s="3" t="s">
        <v>3598</v>
      </c>
      <c r="B136" s="4" t="s">
        <v>3599</v>
      </c>
      <c r="C136">
        <v>274.87580399350901</v>
      </c>
      <c r="D136">
        <v>3638.9266732501501</v>
      </c>
      <c r="E136">
        <f>-3.726168341382</f>
        <v>-3.7261683413819999</v>
      </c>
      <c r="F136" s="5">
        <v>1.79314785844163E-12</v>
      </c>
      <c r="G136" t="s">
        <v>4</v>
      </c>
      <c r="H136">
        <v>274.87580399350901</v>
      </c>
      <c r="I136">
        <v>70.762164504709204</v>
      </c>
      <c r="J136">
        <v>1.9705337587696099</v>
      </c>
      <c r="K136">
        <v>3.7602492721357299E-4</v>
      </c>
      <c r="L136" t="s">
        <v>4</v>
      </c>
      <c r="M136">
        <v>3638.9266732501501</v>
      </c>
      <c r="N136">
        <v>70.762164504709204</v>
      </c>
      <c r="O136">
        <v>5.6967021001516196</v>
      </c>
      <c r="P136" s="5">
        <v>1.28591299327872E-27</v>
      </c>
      <c r="Q136" t="s">
        <v>4</v>
      </c>
      <c r="R136" s="4" t="s">
        <v>87</v>
      </c>
      <c r="S136" t="s">
        <v>4</v>
      </c>
      <c r="T136" t="s">
        <v>3600</v>
      </c>
      <c r="U136" t="s">
        <v>3601</v>
      </c>
      <c r="V136" t="s">
        <v>3602</v>
      </c>
      <c r="W136" t="s">
        <v>507</v>
      </c>
      <c r="X136" t="s">
        <v>4</v>
      </c>
      <c r="Y136" t="s">
        <v>3603</v>
      </c>
      <c r="Z136" t="s">
        <v>3604</v>
      </c>
      <c r="AA136" t="s">
        <v>3605</v>
      </c>
      <c r="AB136" t="s">
        <v>4</v>
      </c>
      <c r="AC136" s="3" t="s">
        <v>93</v>
      </c>
      <c r="AD136" t="s">
        <v>4</v>
      </c>
      <c r="AE136" t="s">
        <v>3606</v>
      </c>
      <c r="AF136" t="s">
        <v>3607</v>
      </c>
      <c r="AG136" t="s">
        <v>3608</v>
      </c>
      <c r="AH136" t="s">
        <v>282</v>
      </c>
      <c r="AU136" t="s">
        <v>112</v>
      </c>
      <c r="AV136" t="s">
        <v>3609</v>
      </c>
      <c r="AW136" t="s">
        <v>114</v>
      </c>
      <c r="AX136" t="s">
        <v>2157</v>
      </c>
      <c r="AY136" t="s">
        <v>3610</v>
      </c>
      <c r="AZ136" t="s">
        <v>4</v>
      </c>
      <c r="BA136" s="3" t="s">
        <v>95</v>
      </c>
      <c r="BB136" t="s">
        <v>96</v>
      </c>
      <c r="BC136" s="3" t="s">
        <v>95</v>
      </c>
      <c r="BD136" t="s">
        <v>4</v>
      </c>
      <c r="BE136">
        <v>6085</v>
      </c>
      <c r="BF136" t="s">
        <v>213</v>
      </c>
      <c r="BG136">
        <v>89.523799999999994</v>
      </c>
      <c r="BH136">
        <v>86.031700000000001</v>
      </c>
      <c r="BN136">
        <v>52.698399999999999</v>
      </c>
      <c r="BP136">
        <v>26.984100000000002</v>
      </c>
      <c r="BS136">
        <v>19.365100000000002</v>
      </c>
      <c r="BT136">
        <v>20.317499999999999</v>
      </c>
      <c r="BU136">
        <v>19.047599999999999</v>
      </c>
      <c r="BV136" t="s">
        <v>3611</v>
      </c>
      <c r="BX136">
        <v>22.857099999999999</v>
      </c>
      <c r="CA136">
        <v>22.857099999999999</v>
      </c>
      <c r="CC136">
        <v>20.634899999999998</v>
      </c>
      <c r="CD136">
        <v>20.317499999999999</v>
      </c>
      <c r="CE136">
        <v>19.682500000000001</v>
      </c>
      <c r="CG136">
        <v>19.047599999999999</v>
      </c>
      <c r="CH136">
        <v>17.142900000000001</v>
      </c>
      <c r="CI136">
        <v>17.777799999999999</v>
      </c>
      <c r="CK136">
        <v>8</v>
      </c>
      <c r="CL136" t="s">
        <v>4</v>
      </c>
      <c r="CM136" t="s">
        <v>3612</v>
      </c>
      <c r="CN136" t="s">
        <v>3613</v>
      </c>
      <c r="CO136" t="s">
        <v>1218</v>
      </c>
      <c r="CP136" t="s">
        <v>100</v>
      </c>
      <c r="CQ136">
        <v>135</v>
      </c>
      <c r="CR136" t="s">
        <v>100</v>
      </c>
      <c r="CS136" s="7" t="s">
        <v>101</v>
      </c>
      <c r="CT136" t="s">
        <v>152</v>
      </c>
      <c r="CU136" t="s">
        <v>102</v>
      </c>
      <c r="CV136" t="s">
        <v>100</v>
      </c>
    </row>
    <row r="137" spans="1:100">
      <c r="A137" s="3" t="s">
        <v>3614</v>
      </c>
      <c r="B137" s="4" t="s">
        <v>3615</v>
      </c>
      <c r="C137">
        <v>27.119040433149301</v>
      </c>
      <c r="D137">
        <v>331.05621864987103</v>
      </c>
      <c r="E137">
        <f>-3.60693179231855</f>
        <v>-3.6069317923185502</v>
      </c>
      <c r="F137" s="5">
        <v>2.0107826487924601E-13</v>
      </c>
      <c r="G137" t="s">
        <v>4</v>
      </c>
      <c r="H137">
        <v>27.119040433149301</v>
      </c>
      <c r="I137">
        <v>67.495063058684394</v>
      </c>
      <c r="J137">
        <f>-1.31451367913567</f>
        <v>-1.31451367913567</v>
      </c>
      <c r="K137">
        <v>1.2457343898984501E-2</v>
      </c>
      <c r="L137" t="s">
        <v>4</v>
      </c>
      <c r="M137">
        <v>331.05621864987103</v>
      </c>
      <c r="N137">
        <v>67.495063058684394</v>
      </c>
      <c r="O137">
        <v>2.2924181131828698</v>
      </c>
      <c r="P137" s="5">
        <v>2.0486859289221399E-6</v>
      </c>
      <c r="Q137" t="s">
        <v>4</v>
      </c>
      <c r="R137" s="4" t="s">
        <v>87</v>
      </c>
      <c r="S137" t="s">
        <v>4</v>
      </c>
      <c r="T137" t="s">
        <v>88</v>
      </c>
      <c r="U137" t="s">
        <v>89</v>
      </c>
      <c r="V137" t="s">
        <v>90</v>
      </c>
      <c r="W137" t="s">
        <v>91</v>
      </c>
      <c r="X137" t="s">
        <v>4</v>
      </c>
      <c r="Y137" t="s">
        <v>92</v>
      </c>
      <c r="Z137" t="s">
        <v>92</v>
      </c>
      <c r="AA137" t="s">
        <v>92</v>
      </c>
      <c r="AB137" t="s">
        <v>4</v>
      </c>
      <c r="AC137" s="3" t="s">
        <v>3616</v>
      </c>
      <c r="AD137" t="s">
        <v>4</v>
      </c>
      <c r="AE137" s="4" t="s">
        <v>94</v>
      </c>
      <c r="AZ137" t="s">
        <v>4</v>
      </c>
      <c r="BA137" s="3" t="s">
        <v>95</v>
      </c>
      <c r="BB137" t="s">
        <v>96</v>
      </c>
      <c r="BC137" s="3" t="s">
        <v>95</v>
      </c>
      <c r="BD137" t="s">
        <v>4</v>
      </c>
      <c r="BE137">
        <v>2496</v>
      </c>
      <c r="BF137" t="s">
        <v>97</v>
      </c>
      <c r="BI137">
        <v>90.575900000000004</v>
      </c>
      <c r="BJ137">
        <v>56.544499999999999</v>
      </c>
      <c r="BM137">
        <v>67.015699999999995</v>
      </c>
      <c r="BO137">
        <v>82.198999999999998</v>
      </c>
      <c r="BP137">
        <v>18.3246</v>
      </c>
      <c r="CK137">
        <v>4</v>
      </c>
      <c r="CL137" t="s">
        <v>4</v>
      </c>
      <c r="CM137" t="s">
        <v>98</v>
      </c>
      <c r="CN137" t="s">
        <v>98</v>
      </c>
      <c r="CO137" t="s">
        <v>99</v>
      </c>
      <c r="CP137" t="s">
        <v>100</v>
      </c>
      <c r="CQ137">
        <v>136</v>
      </c>
      <c r="CR137" t="s">
        <v>100</v>
      </c>
      <c r="CS137" t="s">
        <v>100</v>
      </c>
      <c r="CT137" t="s">
        <v>152</v>
      </c>
      <c r="CU137" t="s">
        <v>102</v>
      </c>
      <c r="CV137" t="s">
        <v>100</v>
      </c>
    </row>
    <row r="138" spans="1:100">
      <c r="A138" s="3" t="s">
        <v>3617</v>
      </c>
      <c r="B138" s="4" t="s">
        <v>3618</v>
      </c>
      <c r="C138">
        <v>67.545876576059001</v>
      </c>
      <c r="D138">
        <v>291.92381173152597</v>
      </c>
      <c r="E138">
        <f>-2.1122299514821</f>
        <v>-2.1122299514820999</v>
      </c>
      <c r="F138">
        <v>4.2246546323049797E-4</v>
      </c>
      <c r="G138" t="s">
        <v>4</v>
      </c>
      <c r="H138">
        <v>67.545876576059001</v>
      </c>
      <c r="I138">
        <v>44.068958679165597</v>
      </c>
      <c r="J138">
        <v>0.62742963433458698</v>
      </c>
      <c r="K138">
        <v>0.33326443767271902</v>
      </c>
      <c r="L138" t="s">
        <v>4</v>
      </c>
      <c r="M138">
        <v>291.92381173152597</v>
      </c>
      <c r="N138">
        <v>44.068958679165597</v>
      </c>
      <c r="O138">
        <v>2.7396595858166899</v>
      </c>
      <c r="P138" s="5">
        <v>2.5636889317022698E-6</v>
      </c>
      <c r="Q138" t="s">
        <v>4</v>
      </c>
      <c r="R138" s="4" t="s">
        <v>87</v>
      </c>
      <c r="S138" t="s">
        <v>4</v>
      </c>
      <c r="T138" t="s">
        <v>360</v>
      </c>
      <c r="U138" t="s">
        <v>361</v>
      </c>
      <c r="V138" t="s">
        <v>362</v>
      </c>
      <c r="W138" t="s">
        <v>328</v>
      </c>
      <c r="X138" t="s">
        <v>4</v>
      </c>
      <c r="Y138" t="s">
        <v>994</v>
      </c>
      <c r="Z138" t="s">
        <v>995</v>
      </c>
      <c r="AA138" t="s">
        <v>996</v>
      </c>
      <c r="AB138" t="s">
        <v>4</v>
      </c>
      <c r="AC138" s="3" t="s">
        <v>3619</v>
      </c>
      <c r="AD138" t="s">
        <v>4</v>
      </c>
      <c r="AE138" t="s">
        <v>3620</v>
      </c>
      <c r="AF138" t="s">
        <v>3621</v>
      </c>
      <c r="AG138" t="s">
        <v>3622</v>
      </c>
      <c r="AH138" t="s">
        <v>112</v>
      </c>
      <c r="AJ138" t="s">
        <v>3623</v>
      </c>
      <c r="AL138" t="s">
        <v>3624</v>
      </c>
      <c r="AM138" t="s">
        <v>3625</v>
      </c>
      <c r="AQ138" t="s">
        <v>1584</v>
      </c>
      <c r="AU138" t="s">
        <v>112</v>
      </c>
      <c r="AV138" t="s">
        <v>3626</v>
      </c>
      <c r="AW138" t="s">
        <v>114</v>
      </c>
      <c r="AX138" t="s">
        <v>371</v>
      </c>
      <c r="AY138" t="s">
        <v>1005</v>
      </c>
      <c r="AZ138" t="s">
        <v>4</v>
      </c>
      <c r="BA138" s="3" t="s">
        <v>95</v>
      </c>
      <c r="BB138" s="6" t="s">
        <v>95</v>
      </c>
      <c r="BC138" s="3" t="s">
        <v>95</v>
      </c>
      <c r="BD138" t="s">
        <v>4</v>
      </c>
      <c r="BE138">
        <v>6142</v>
      </c>
      <c r="BF138" t="s">
        <v>213</v>
      </c>
      <c r="BG138">
        <v>55.769199999999998</v>
      </c>
      <c r="BH138">
        <v>65.598299999999995</v>
      </c>
      <c r="BI138">
        <v>40.384599999999999</v>
      </c>
      <c r="BJ138">
        <v>51.2821</v>
      </c>
      <c r="BK138">
        <v>14.743600000000001</v>
      </c>
      <c r="BM138">
        <v>25.854700000000001</v>
      </c>
      <c r="BN138">
        <v>68.589699999999993</v>
      </c>
      <c r="BP138">
        <v>21.3675</v>
      </c>
      <c r="BQ138">
        <v>22.863199999999999</v>
      </c>
      <c r="BU138">
        <v>16.025600000000001</v>
      </c>
      <c r="BV138" t="s">
        <v>3627</v>
      </c>
      <c r="BX138">
        <v>20.726500000000001</v>
      </c>
      <c r="BZ138">
        <v>21.3675</v>
      </c>
      <c r="CB138">
        <v>13.2479</v>
      </c>
      <c r="CC138">
        <v>19.8718</v>
      </c>
      <c r="CD138" t="s">
        <v>3628</v>
      </c>
      <c r="CG138">
        <v>19.8718</v>
      </c>
      <c r="CH138">
        <v>19.658100000000001</v>
      </c>
      <c r="CI138">
        <v>15.384600000000001</v>
      </c>
      <c r="CK138">
        <v>8</v>
      </c>
      <c r="CL138" t="s">
        <v>4</v>
      </c>
      <c r="CM138" t="s">
        <v>98</v>
      </c>
      <c r="CN138" t="s">
        <v>98</v>
      </c>
      <c r="CO138" t="s">
        <v>99</v>
      </c>
      <c r="CP138" t="s">
        <v>100</v>
      </c>
      <c r="CQ138">
        <v>137</v>
      </c>
      <c r="CR138" t="s">
        <v>100</v>
      </c>
      <c r="CS138" t="s">
        <v>100</v>
      </c>
      <c r="CT138" t="s">
        <v>152</v>
      </c>
      <c r="CU138" t="s">
        <v>102</v>
      </c>
      <c r="CV138" t="s">
        <v>100</v>
      </c>
    </row>
    <row r="139" spans="1:100">
      <c r="A139" s="3" t="s">
        <v>3629</v>
      </c>
      <c r="B139" s="4" t="s">
        <v>3630</v>
      </c>
      <c r="C139">
        <v>40.152340835355098</v>
      </c>
      <c r="D139">
        <v>181.132394996009</v>
      </c>
      <c r="E139">
        <f>-2.17366999252696</f>
        <v>-2.17366999252696</v>
      </c>
      <c r="F139">
        <v>2.6537927140882699E-4</v>
      </c>
      <c r="G139" t="s">
        <v>4</v>
      </c>
      <c r="H139">
        <v>40.152340835355098</v>
      </c>
      <c r="I139">
        <v>6.8231018311045704</v>
      </c>
      <c r="J139">
        <v>2.5431074142267498</v>
      </c>
      <c r="K139">
        <v>3.2091306937116998E-4</v>
      </c>
      <c r="L139" t="s">
        <v>4</v>
      </c>
      <c r="M139">
        <v>181.132394996009</v>
      </c>
      <c r="N139">
        <v>6.8231018311045704</v>
      </c>
      <c r="O139">
        <v>4.7167774067537103</v>
      </c>
      <c r="P139" s="5">
        <v>1.9318351884814401E-12</v>
      </c>
      <c r="Q139" t="s">
        <v>4</v>
      </c>
      <c r="R139" s="4" t="s">
        <v>87</v>
      </c>
      <c r="S139" t="s">
        <v>4</v>
      </c>
      <c r="T139" t="s">
        <v>92</v>
      </c>
      <c r="U139" t="s">
        <v>92</v>
      </c>
      <c r="V139" t="s">
        <v>92</v>
      </c>
      <c r="W139" t="s">
        <v>92</v>
      </c>
      <c r="X139" t="s">
        <v>4</v>
      </c>
      <c r="Y139" t="s">
        <v>3631</v>
      </c>
      <c r="Z139" t="s">
        <v>3632</v>
      </c>
      <c r="AA139" t="s">
        <v>3633</v>
      </c>
      <c r="AB139" t="s">
        <v>4</v>
      </c>
      <c r="AC139" s="3" t="s">
        <v>3634</v>
      </c>
      <c r="AD139" t="s">
        <v>4</v>
      </c>
      <c r="AE139" t="s">
        <v>3635</v>
      </c>
      <c r="AF139" t="s">
        <v>3636</v>
      </c>
      <c r="AG139" t="s">
        <v>2197</v>
      </c>
      <c r="AH139" t="s">
        <v>112</v>
      </c>
      <c r="AU139" t="s">
        <v>112</v>
      </c>
      <c r="AV139" t="s">
        <v>3637</v>
      </c>
      <c r="AW139" t="s">
        <v>114</v>
      </c>
      <c r="AX139" t="s">
        <v>144</v>
      </c>
      <c r="AY139" t="s">
        <v>3638</v>
      </c>
      <c r="AZ139" t="s">
        <v>4</v>
      </c>
      <c r="BA139" s="3" t="s">
        <v>95</v>
      </c>
      <c r="BB139" s="6" t="s">
        <v>95</v>
      </c>
      <c r="BC139" s="3" t="s">
        <v>95</v>
      </c>
      <c r="BD139" t="s">
        <v>4</v>
      </c>
      <c r="BE139">
        <v>4795</v>
      </c>
      <c r="BF139" t="s">
        <v>282</v>
      </c>
      <c r="BG139">
        <v>93.132999999999996</v>
      </c>
      <c r="BH139">
        <v>93.991399999999999</v>
      </c>
      <c r="BJ139">
        <v>60.085799999999999</v>
      </c>
      <c r="BP139">
        <v>54.935600000000001</v>
      </c>
      <c r="BQ139">
        <v>42.918500000000002</v>
      </c>
      <c r="BR139">
        <v>49.356200000000001</v>
      </c>
      <c r="BS139">
        <v>42.4893</v>
      </c>
      <c r="BT139" t="s">
        <v>3639</v>
      </c>
      <c r="BU139">
        <v>32.618000000000002</v>
      </c>
      <c r="BV139" t="s">
        <v>3640</v>
      </c>
      <c r="BX139">
        <v>34.764000000000003</v>
      </c>
      <c r="BZ139">
        <v>24.4635</v>
      </c>
      <c r="CA139">
        <v>48.497900000000001</v>
      </c>
      <c r="CB139" t="s">
        <v>3641</v>
      </c>
      <c r="CC139">
        <v>41.630899999999997</v>
      </c>
      <c r="CD139" t="s">
        <v>3642</v>
      </c>
      <c r="CK139">
        <v>6</v>
      </c>
      <c r="CL139" t="s">
        <v>4</v>
      </c>
      <c r="CM139" t="s">
        <v>3643</v>
      </c>
      <c r="CN139" t="s">
        <v>3644</v>
      </c>
      <c r="CO139" t="s">
        <v>99</v>
      </c>
      <c r="CP139" t="s">
        <v>100</v>
      </c>
      <c r="CQ139">
        <v>138</v>
      </c>
      <c r="CR139" t="s">
        <v>100</v>
      </c>
      <c r="CS139" t="s">
        <v>101</v>
      </c>
      <c r="CT139" t="s">
        <v>152</v>
      </c>
      <c r="CU139" t="s">
        <v>102</v>
      </c>
      <c r="CV139" t="s">
        <v>100</v>
      </c>
    </row>
    <row r="140" spans="1:100">
      <c r="A140" s="3" t="s">
        <v>3645</v>
      </c>
      <c r="B140" s="4" t="s">
        <v>3646</v>
      </c>
      <c r="C140">
        <v>0.48851973162071799</v>
      </c>
      <c r="D140">
        <v>16.541208231943902</v>
      </c>
      <c r="E140">
        <f>-5.05497013707861</f>
        <v>-5.0549701370786098</v>
      </c>
      <c r="F140">
        <v>4.5603086735827598E-3</v>
      </c>
      <c r="G140" t="s">
        <v>4</v>
      </c>
      <c r="H140">
        <v>0.48851973162071799</v>
      </c>
      <c r="I140">
        <v>0</v>
      </c>
      <c r="J140">
        <v>0.93936175677246003</v>
      </c>
      <c r="K140">
        <v>0.69425718774106904</v>
      </c>
      <c r="L140" t="s">
        <v>4</v>
      </c>
      <c r="M140">
        <v>16.541208231943902</v>
      </c>
      <c r="N140">
        <v>0</v>
      </c>
      <c r="O140">
        <v>5.9943318938510703</v>
      </c>
      <c r="P140">
        <v>8.9706377824336897E-4</v>
      </c>
      <c r="Q140" t="s">
        <v>4</v>
      </c>
      <c r="R140" s="4" t="s">
        <v>87</v>
      </c>
      <c r="S140" t="s">
        <v>4</v>
      </c>
      <c r="T140" t="s">
        <v>88</v>
      </c>
      <c r="U140" t="s">
        <v>89</v>
      </c>
      <c r="V140" t="s">
        <v>90</v>
      </c>
      <c r="W140" t="s">
        <v>91</v>
      </c>
      <c r="X140" t="s">
        <v>4</v>
      </c>
      <c r="Y140" t="s">
        <v>1355</v>
      </c>
      <c r="Z140" t="s">
        <v>1356</v>
      </c>
      <c r="AA140" t="s">
        <v>1357</v>
      </c>
      <c r="AB140" t="s">
        <v>4</v>
      </c>
      <c r="AC140" s="3" t="s">
        <v>3647</v>
      </c>
      <c r="AD140" t="s">
        <v>4</v>
      </c>
      <c r="AE140" s="4" t="s">
        <v>94</v>
      </c>
      <c r="AZ140" t="s">
        <v>4</v>
      </c>
      <c r="BA140" s="3" t="s">
        <v>95</v>
      </c>
      <c r="BB140" t="s">
        <v>96</v>
      </c>
      <c r="BC140" s="3" t="s">
        <v>95</v>
      </c>
      <c r="BD140" t="s">
        <v>4</v>
      </c>
      <c r="BE140">
        <v>1126</v>
      </c>
      <c r="BF140" t="s">
        <v>151</v>
      </c>
      <c r="BL140">
        <v>54.216900000000003</v>
      </c>
      <c r="CK140">
        <v>2</v>
      </c>
      <c r="CL140" t="s">
        <v>4</v>
      </c>
      <c r="CM140" t="s">
        <v>98</v>
      </c>
      <c r="CN140" t="s">
        <v>98</v>
      </c>
      <c r="CO140" t="s">
        <v>99</v>
      </c>
      <c r="CP140" t="s">
        <v>100</v>
      </c>
      <c r="CQ140">
        <v>139</v>
      </c>
      <c r="CR140" t="s">
        <v>100</v>
      </c>
      <c r="CS140" t="s">
        <v>100</v>
      </c>
      <c r="CT140" t="s">
        <v>152</v>
      </c>
      <c r="CU140" t="s">
        <v>102</v>
      </c>
      <c r="CV140" t="s">
        <v>100</v>
      </c>
    </row>
    <row r="141" spans="1:100">
      <c r="A141" s="3" t="s">
        <v>3648</v>
      </c>
      <c r="B141" s="4" t="s">
        <v>3649</v>
      </c>
      <c r="C141">
        <v>341.77224516852601</v>
      </c>
      <c r="D141">
        <v>3638.37348521787</v>
      </c>
      <c r="E141">
        <f>-3.41190174844235</f>
        <v>-3.4119017484423502</v>
      </c>
      <c r="F141" s="5">
        <v>8.88784090681213E-12</v>
      </c>
      <c r="G141" t="s">
        <v>4</v>
      </c>
      <c r="H141">
        <v>341.77224516852601</v>
      </c>
      <c r="I141">
        <v>144.61753505102101</v>
      </c>
      <c r="J141">
        <v>1.2478291724507999</v>
      </c>
      <c r="K141">
        <v>1.8187838161879698E-2</v>
      </c>
      <c r="L141" t="s">
        <v>4</v>
      </c>
      <c r="M141">
        <v>3638.37348521787</v>
      </c>
      <c r="N141">
        <v>144.61753505102101</v>
      </c>
      <c r="O141">
        <v>4.6597309208931499</v>
      </c>
      <c r="P141" s="5">
        <v>1.7585810957423499E-21</v>
      </c>
      <c r="Q141" t="s">
        <v>4</v>
      </c>
      <c r="R141" s="4" t="s">
        <v>87</v>
      </c>
      <c r="S141" t="s">
        <v>4</v>
      </c>
      <c r="T141" t="s">
        <v>3650</v>
      </c>
      <c r="U141" t="s">
        <v>3651</v>
      </c>
      <c r="V141" t="s">
        <v>3652</v>
      </c>
      <c r="W141" t="s">
        <v>203</v>
      </c>
      <c r="X141" t="s">
        <v>4</v>
      </c>
      <c r="Y141" t="s">
        <v>3653</v>
      </c>
      <c r="Z141" t="s">
        <v>3654</v>
      </c>
      <c r="AA141" t="s">
        <v>3655</v>
      </c>
      <c r="AB141" t="s">
        <v>4</v>
      </c>
      <c r="AC141" s="3" t="s">
        <v>3656</v>
      </c>
      <c r="AD141" t="s">
        <v>4</v>
      </c>
      <c r="AE141" t="s">
        <v>3657</v>
      </c>
      <c r="AF141" t="s">
        <v>3658</v>
      </c>
      <c r="AG141" t="s">
        <v>3659</v>
      </c>
      <c r="AH141" t="s">
        <v>112</v>
      </c>
      <c r="AJ141" t="s">
        <v>3660</v>
      </c>
      <c r="AK141" t="s">
        <v>3661</v>
      </c>
      <c r="AL141" t="s">
        <v>3662</v>
      </c>
      <c r="AM141" t="s">
        <v>3663</v>
      </c>
      <c r="AO141" t="s">
        <v>3664</v>
      </c>
      <c r="AP141" t="s">
        <v>3665</v>
      </c>
      <c r="AQ141" t="s">
        <v>342</v>
      </c>
      <c r="AU141" t="s">
        <v>112</v>
      </c>
      <c r="AV141" t="s">
        <v>3666</v>
      </c>
      <c r="AW141" t="s">
        <v>114</v>
      </c>
      <c r="AX141" t="s">
        <v>132</v>
      </c>
      <c r="AY141" t="s">
        <v>3667</v>
      </c>
      <c r="AZ141" t="s">
        <v>4</v>
      </c>
      <c r="BA141" s="3" t="s">
        <v>95</v>
      </c>
      <c r="BB141" s="6" t="s">
        <v>95</v>
      </c>
      <c r="BC141" s="3" t="s">
        <v>95</v>
      </c>
      <c r="BD141" t="s">
        <v>4</v>
      </c>
      <c r="BE141">
        <v>6172</v>
      </c>
      <c r="BF141" t="s">
        <v>213</v>
      </c>
      <c r="BG141">
        <v>99.411799999999999</v>
      </c>
      <c r="BH141">
        <v>88.382400000000004</v>
      </c>
      <c r="BI141">
        <v>88.235299999999995</v>
      </c>
      <c r="BJ141" t="s">
        <v>3668</v>
      </c>
      <c r="BK141">
        <v>63.235300000000002</v>
      </c>
      <c r="BL141">
        <v>83.235299999999995</v>
      </c>
      <c r="BM141">
        <v>83.088200000000001</v>
      </c>
      <c r="BN141">
        <v>83.088200000000001</v>
      </c>
      <c r="BO141">
        <v>82.647099999999995</v>
      </c>
      <c r="BP141" t="s">
        <v>3669</v>
      </c>
      <c r="BQ141">
        <v>52.5</v>
      </c>
      <c r="BR141">
        <v>50.147100000000002</v>
      </c>
      <c r="BS141" t="s">
        <v>3670</v>
      </c>
      <c r="BT141">
        <v>52.7941</v>
      </c>
      <c r="BU141" t="s">
        <v>3671</v>
      </c>
      <c r="BV141" t="s">
        <v>3672</v>
      </c>
      <c r="BW141">
        <v>55.2941</v>
      </c>
      <c r="BX141">
        <v>58.529400000000003</v>
      </c>
      <c r="BY141">
        <v>37.2059</v>
      </c>
      <c r="BZ141">
        <v>55.2941</v>
      </c>
      <c r="CA141">
        <v>54.264699999999998</v>
      </c>
      <c r="CB141">
        <v>23.529399999999999</v>
      </c>
      <c r="CE141">
        <v>27.941199999999998</v>
      </c>
      <c r="CG141">
        <v>37.941200000000002</v>
      </c>
      <c r="CH141">
        <v>37.7941</v>
      </c>
      <c r="CI141">
        <v>37.7941</v>
      </c>
      <c r="CK141">
        <v>8</v>
      </c>
      <c r="CL141" t="s">
        <v>4</v>
      </c>
      <c r="CM141" t="s">
        <v>3673</v>
      </c>
      <c r="CN141" t="s">
        <v>3674</v>
      </c>
      <c r="CO141" t="s">
        <v>99</v>
      </c>
      <c r="CP141" t="s">
        <v>100</v>
      </c>
      <c r="CQ141">
        <v>140</v>
      </c>
      <c r="CR141" t="s">
        <v>100</v>
      </c>
      <c r="CS141" s="7" t="s">
        <v>101</v>
      </c>
      <c r="CT141" t="s">
        <v>152</v>
      </c>
      <c r="CU141" t="s">
        <v>102</v>
      </c>
      <c r="CV141" t="s">
        <v>100</v>
      </c>
    </row>
    <row r="142" spans="1:100">
      <c r="A142" s="3" t="s">
        <v>3675</v>
      </c>
      <c r="B142" s="4" t="s">
        <v>3676</v>
      </c>
      <c r="C142">
        <v>1309.3780496783199</v>
      </c>
      <c r="D142">
        <v>7213.7832134406799</v>
      </c>
      <c r="E142">
        <f>-2.46189240500826</f>
        <v>-2.46189240500826</v>
      </c>
      <c r="F142" s="5">
        <v>1.68104533667415E-44</v>
      </c>
      <c r="G142" t="s">
        <v>4</v>
      </c>
      <c r="H142">
        <v>1309.3780496783199</v>
      </c>
      <c r="I142">
        <v>964.68430527802798</v>
      </c>
      <c r="J142">
        <v>0.44122524412978398</v>
      </c>
      <c r="K142">
        <v>2.1045482991923301E-2</v>
      </c>
      <c r="L142" t="s">
        <v>4</v>
      </c>
      <c r="M142">
        <v>7213.7832134406799</v>
      </c>
      <c r="N142">
        <v>964.68430527802798</v>
      </c>
      <c r="O142">
        <v>2.9031176491380499</v>
      </c>
      <c r="P142" s="5">
        <v>6.1026337035963103E-62</v>
      </c>
      <c r="Q142" t="s">
        <v>4</v>
      </c>
      <c r="R142" s="4" t="s">
        <v>87</v>
      </c>
      <c r="S142" t="s">
        <v>4</v>
      </c>
      <c r="T142" t="s">
        <v>1570</v>
      </c>
      <c r="U142" t="s">
        <v>1571</v>
      </c>
      <c r="V142" t="s">
        <v>1572</v>
      </c>
      <c r="W142" t="s">
        <v>328</v>
      </c>
      <c r="X142" t="s">
        <v>4</v>
      </c>
      <c r="Y142" t="s">
        <v>3677</v>
      </c>
      <c r="Z142" t="s">
        <v>3678</v>
      </c>
      <c r="AA142" t="s">
        <v>3679</v>
      </c>
      <c r="AB142" t="s">
        <v>4</v>
      </c>
      <c r="AC142" s="3" t="s">
        <v>3680</v>
      </c>
      <c r="AD142" t="s">
        <v>4</v>
      </c>
      <c r="AE142" t="s">
        <v>3681</v>
      </c>
      <c r="AF142" t="s">
        <v>3682</v>
      </c>
      <c r="AG142" t="s">
        <v>3683</v>
      </c>
      <c r="AH142" t="s">
        <v>112</v>
      </c>
      <c r="AL142" t="s">
        <v>3684</v>
      </c>
      <c r="AQ142" t="s">
        <v>1003</v>
      </c>
      <c r="AU142" t="s">
        <v>112</v>
      </c>
      <c r="AV142" t="s">
        <v>3685</v>
      </c>
      <c r="AW142" t="s">
        <v>114</v>
      </c>
      <c r="AX142" t="s">
        <v>371</v>
      </c>
      <c r="AY142" t="s">
        <v>3686</v>
      </c>
      <c r="AZ142" t="s">
        <v>4</v>
      </c>
      <c r="BA142" s="3" t="s">
        <v>95</v>
      </c>
      <c r="BB142" s="6" t="s">
        <v>95</v>
      </c>
      <c r="BC142" s="3" t="s">
        <v>95</v>
      </c>
      <c r="BD142" t="s">
        <v>4</v>
      </c>
      <c r="BE142">
        <v>6176</v>
      </c>
      <c r="BF142" t="s">
        <v>213</v>
      </c>
      <c r="BG142">
        <v>99.369100000000003</v>
      </c>
      <c r="BH142">
        <v>60.883299999999998</v>
      </c>
      <c r="BI142">
        <v>96.845399999999998</v>
      </c>
      <c r="BJ142">
        <v>92.113600000000005</v>
      </c>
      <c r="BK142">
        <v>89.9054</v>
      </c>
      <c r="BL142">
        <v>87.381699999999995</v>
      </c>
      <c r="BM142">
        <v>87.066199999999995</v>
      </c>
      <c r="BN142">
        <v>87.381699999999995</v>
      </c>
      <c r="BO142">
        <v>88.643500000000003</v>
      </c>
      <c r="BP142">
        <v>62.145099999999999</v>
      </c>
      <c r="BQ142">
        <v>48.580399999999997</v>
      </c>
      <c r="BR142">
        <v>54.889600000000002</v>
      </c>
      <c r="BS142">
        <v>53.627800000000001</v>
      </c>
      <c r="BT142">
        <v>49.842300000000002</v>
      </c>
      <c r="BU142">
        <v>44.479500000000002</v>
      </c>
      <c r="BV142" t="s">
        <v>3687</v>
      </c>
      <c r="BW142">
        <v>42.586799999999997</v>
      </c>
      <c r="BX142">
        <v>51.734999999999999</v>
      </c>
      <c r="BZ142">
        <v>52.681399999999996</v>
      </c>
      <c r="CA142">
        <v>51.104100000000003</v>
      </c>
      <c r="CB142">
        <v>42.902200000000001</v>
      </c>
      <c r="CC142">
        <v>35.9621</v>
      </c>
      <c r="CD142">
        <v>34.384900000000002</v>
      </c>
      <c r="CG142" t="s">
        <v>3688</v>
      </c>
      <c r="CH142" t="s">
        <v>3689</v>
      </c>
      <c r="CI142" t="s">
        <v>3690</v>
      </c>
      <c r="CK142">
        <v>8</v>
      </c>
      <c r="CL142" t="s">
        <v>4</v>
      </c>
      <c r="CM142" t="s">
        <v>3691</v>
      </c>
      <c r="CN142" t="s">
        <v>3692</v>
      </c>
      <c r="CO142" t="s">
        <v>219</v>
      </c>
      <c r="CP142" t="s">
        <v>100</v>
      </c>
      <c r="CQ142">
        <v>141</v>
      </c>
      <c r="CR142" t="s">
        <v>100</v>
      </c>
      <c r="CS142" t="s">
        <v>100</v>
      </c>
      <c r="CT142" t="s">
        <v>152</v>
      </c>
      <c r="CU142" t="s">
        <v>102</v>
      </c>
      <c r="CV142" t="s">
        <v>100</v>
      </c>
    </row>
    <row r="143" spans="1:100">
      <c r="A143" s="3" t="s">
        <v>3693</v>
      </c>
      <c r="B143" s="4" t="s">
        <v>3694</v>
      </c>
      <c r="C143">
        <v>1621.40358658946</v>
      </c>
      <c r="D143">
        <v>8669.0302585742502</v>
      </c>
      <c r="E143">
        <f>-2.41842623275144</f>
        <v>-2.4184262327514401</v>
      </c>
      <c r="F143" s="5">
        <v>1.7747441506563799E-17</v>
      </c>
      <c r="G143" t="s">
        <v>4</v>
      </c>
      <c r="H143">
        <v>1621.40358658946</v>
      </c>
      <c r="I143">
        <v>1071.08683073975</v>
      </c>
      <c r="J143">
        <v>0.59775241448337202</v>
      </c>
      <c r="K143">
        <v>4.9192804172052199E-2</v>
      </c>
      <c r="L143" t="s">
        <v>4</v>
      </c>
      <c r="M143">
        <v>8669.0302585742502</v>
      </c>
      <c r="N143">
        <v>1071.08683073975</v>
      </c>
      <c r="O143">
        <v>3.0161786472348102</v>
      </c>
      <c r="P143" s="5">
        <v>2.0861331920061001E-27</v>
      </c>
      <c r="Q143" t="s">
        <v>4</v>
      </c>
      <c r="R143" s="4" t="s">
        <v>87</v>
      </c>
      <c r="S143" t="s">
        <v>4</v>
      </c>
      <c r="T143" t="s">
        <v>3695</v>
      </c>
      <c r="U143" t="s">
        <v>3696</v>
      </c>
      <c r="V143" t="s">
        <v>3697</v>
      </c>
      <c r="W143" t="s">
        <v>203</v>
      </c>
      <c r="X143" t="s">
        <v>4</v>
      </c>
      <c r="Y143" t="s">
        <v>3698</v>
      </c>
      <c r="Z143" t="s">
        <v>3699</v>
      </c>
      <c r="AA143" t="s">
        <v>3700</v>
      </c>
      <c r="AB143" t="s">
        <v>4</v>
      </c>
      <c r="AC143" s="3" t="s">
        <v>3701</v>
      </c>
      <c r="AD143" t="s">
        <v>4</v>
      </c>
      <c r="AE143" t="s">
        <v>3702</v>
      </c>
      <c r="AF143" t="s">
        <v>834</v>
      </c>
      <c r="AG143" t="s">
        <v>3703</v>
      </c>
      <c r="AH143" t="s">
        <v>112</v>
      </c>
      <c r="AK143" t="s">
        <v>3704</v>
      </c>
      <c r="AL143" t="s">
        <v>3705</v>
      </c>
      <c r="AM143" t="s">
        <v>3706</v>
      </c>
      <c r="AQ143" t="s">
        <v>342</v>
      </c>
      <c r="AU143" t="s">
        <v>112</v>
      </c>
      <c r="AV143" t="s">
        <v>3707</v>
      </c>
      <c r="AW143" t="s">
        <v>114</v>
      </c>
      <c r="AX143" t="s">
        <v>345</v>
      </c>
      <c r="AY143" t="s">
        <v>3708</v>
      </c>
      <c r="AZ143" t="s">
        <v>4</v>
      </c>
      <c r="BA143" s="3" t="s">
        <v>95</v>
      </c>
      <c r="BB143" s="6" t="s">
        <v>95</v>
      </c>
      <c r="BC143" s="3" t="s">
        <v>197</v>
      </c>
      <c r="BD143" t="s">
        <v>4</v>
      </c>
      <c r="BE143">
        <v>6183</v>
      </c>
      <c r="BF143" t="s">
        <v>213</v>
      </c>
      <c r="BG143">
        <v>90.888900000000007</v>
      </c>
      <c r="BH143" t="s">
        <v>3709</v>
      </c>
      <c r="BI143">
        <v>92</v>
      </c>
      <c r="BJ143">
        <v>81.666700000000006</v>
      </c>
      <c r="BK143">
        <v>72.888900000000007</v>
      </c>
      <c r="BL143">
        <v>79</v>
      </c>
      <c r="BM143">
        <v>80.666700000000006</v>
      </c>
      <c r="BN143">
        <v>80.777799999999999</v>
      </c>
      <c r="BO143">
        <v>43.555599999999998</v>
      </c>
      <c r="BP143">
        <v>49.666699999999999</v>
      </c>
      <c r="BQ143">
        <v>34.777799999999999</v>
      </c>
      <c r="BR143">
        <v>39.222200000000001</v>
      </c>
      <c r="BS143">
        <v>2.88889</v>
      </c>
      <c r="BT143">
        <v>26.333300000000001</v>
      </c>
      <c r="BU143">
        <v>32.777799999999999</v>
      </c>
      <c r="BV143" t="s">
        <v>3710</v>
      </c>
      <c r="BW143">
        <v>41.1111</v>
      </c>
      <c r="BX143">
        <v>42.8889</v>
      </c>
      <c r="BY143" t="s">
        <v>3711</v>
      </c>
      <c r="BZ143" t="s">
        <v>3712</v>
      </c>
      <c r="CA143">
        <v>41</v>
      </c>
      <c r="CB143">
        <v>25</v>
      </c>
      <c r="CC143" t="s">
        <v>3713</v>
      </c>
      <c r="CD143" t="s">
        <v>3714</v>
      </c>
      <c r="CE143">
        <v>21.777799999999999</v>
      </c>
      <c r="CF143">
        <v>22.8889</v>
      </c>
      <c r="CG143">
        <v>25.222200000000001</v>
      </c>
      <c r="CH143">
        <v>25.666699999999999</v>
      </c>
      <c r="CI143">
        <v>32.222200000000001</v>
      </c>
      <c r="CK143">
        <v>8</v>
      </c>
      <c r="CL143" t="s">
        <v>4</v>
      </c>
      <c r="CM143" t="s">
        <v>3715</v>
      </c>
      <c r="CN143">
        <v>41</v>
      </c>
      <c r="CO143" t="s">
        <v>1218</v>
      </c>
      <c r="CP143" t="s">
        <v>100</v>
      </c>
      <c r="CQ143">
        <v>142</v>
      </c>
      <c r="CR143" t="s">
        <v>100</v>
      </c>
      <c r="CS143" t="s">
        <v>100</v>
      </c>
      <c r="CT143" t="s">
        <v>152</v>
      </c>
      <c r="CU143" t="s">
        <v>102</v>
      </c>
      <c r="CV143" t="s">
        <v>100</v>
      </c>
    </row>
    <row r="144" spans="1:100">
      <c r="A144" s="3" t="s">
        <v>3716</v>
      </c>
      <c r="B144" s="4" t="s">
        <v>3717</v>
      </c>
      <c r="C144">
        <v>123.86663636936299</v>
      </c>
      <c r="D144">
        <v>1799.7513420226301</v>
      </c>
      <c r="E144">
        <f>-3.85974310778007</f>
        <v>-3.8597431077800701</v>
      </c>
      <c r="F144" s="5">
        <v>6.6184161119643096E-13</v>
      </c>
      <c r="G144" t="s">
        <v>4</v>
      </c>
      <c r="H144">
        <v>123.86663636936299</v>
      </c>
      <c r="I144">
        <v>56.341060703605599</v>
      </c>
      <c r="J144">
        <v>1.15142661833097</v>
      </c>
      <c r="K144">
        <v>4.9282042583165597E-2</v>
      </c>
      <c r="L144" t="s">
        <v>4</v>
      </c>
      <c r="M144">
        <v>1799.7513420226301</v>
      </c>
      <c r="N144">
        <v>56.341060703605599</v>
      </c>
      <c r="O144">
        <v>5.0111697261110404</v>
      </c>
      <c r="P144" s="5">
        <v>7.2793400012907797E-21</v>
      </c>
      <c r="Q144" t="s">
        <v>4</v>
      </c>
      <c r="R144" s="4" t="s">
        <v>87</v>
      </c>
      <c r="S144" t="s">
        <v>4</v>
      </c>
      <c r="T144" t="s">
        <v>3718</v>
      </c>
      <c r="U144" t="s">
        <v>3719</v>
      </c>
      <c r="V144" t="s">
        <v>3720</v>
      </c>
      <c r="W144" t="s">
        <v>328</v>
      </c>
      <c r="X144" t="s">
        <v>4</v>
      </c>
      <c r="Y144" t="s">
        <v>3721</v>
      </c>
      <c r="Z144" t="s">
        <v>3722</v>
      </c>
      <c r="AA144" t="s">
        <v>3723</v>
      </c>
      <c r="AB144" t="s">
        <v>4</v>
      </c>
      <c r="AC144" s="3" t="s">
        <v>1771</v>
      </c>
      <c r="AD144" t="s">
        <v>4</v>
      </c>
      <c r="AE144" t="s">
        <v>3724</v>
      </c>
      <c r="AF144" t="s">
        <v>3725</v>
      </c>
      <c r="AG144" t="s">
        <v>3726</v>
      </c>
      <c r="AH144" t="s">
        <v>386</v>
      </c>
      <c r="AU144" t="s">
        <v>112</v>
      </c>
      <c r="AV144" t="s">
        <v>3727</v>
      </c>
      <c r="AW144" t="s">
        <v>114</v>
      </c>
      <c r="AX144" t="s">
        <v>371</v>
      </c>
      <c r="AY144" t="s">
        <v>3728</v>
      </c>
      <c r="AZ144" t="s">
        <v>4</v>
      </c>
      <c r="BA144" s="3" t="s">
        <v>115</v>
      </c>
      <c r="BB144" s="6" t="s">
        <v>95</v>
      </c>
      <c r="BC144" s="3" t="s">
        <v>95</v>
      </c>
      <c r="BD144" t="s">
        <v>4</v>
      </c>
      <c r="BE144">
        <v>5367</v>
      </c>
      <c r="BF144" t="s">
        <v>386</v>
      </c>
      <c r="BG144">
        <v>92.156899999999993</v>
      </c>
      <c r="BH144">
        <v>29.803899999999999</v>
      </c>
      <c r="BI144">
        <v>77.647099999999995</v>
      </c>
      <c r="BJ144">
        <v>26.2745</v>
      </c>
      <c r="BK144">
        <v>52.1569</v>
      </c>
      <c r="BL144">
        <v>24.7059</v>
      </c>
      <c r="BM144">
        <v>46.666699999999999</v>
      </c>
      <c r="BN144">
        <v>45.490200000000002</v>
      </c>
      <c r="BO144">
        <v>20</v>
      </c>
      <c r="BP144">
        <v>20.784300000000002</v>
      </c>
      <c r="BQ144">
        <v>30.588200000000001</v>
      </c>
      <c r="BS144">
        <v>27.058800000000002</v>
      </c>
      <c r="BV144">
        <v>23.1373</v>
      </c>
      <c r="BW144">
        <v>28.627500000000001</v>
      </c>
      <c r="BX144" t="s">
        <v>3729</v>
      </c>
      <c r="BZ144" t="s">
        <v>3730</v>
      </c>
      <c r="CA144">
        <v>30.980399999999999</v>
      </c>
      <c r="CD144" t="s">
        <v>3731</v>
      </c>
      <c r="CE144">
        <v>24.7059</v>
      </c>
      <c r="CG144" t="s">
        <v>3732</v>
      </c>
      <c r="CH144" t="s">
        <v>3733</v>
      </c>
      <c r="CI144" t="s">
        <v>3734</v>
      </c>
      <c r="CK144">
        <v>7</v>
      </c>
      <c r="CL144" t="s">
        <v>4</v>
      </c>
      <c r="CM144" t="s">
        <v>3735</v>
      </c>
      <c r="CN144" t="s">
        <v>3736</v>
      </c>
      <c r="CO144" t="s">
        <v>99</v>
      </c>
      <c r="CP144" t="s">
        <v>100</v>
      </c>
      <c r="CQ144">
        <v>143</v>
      </c>
      <c r="CR144" t="s">
        <v>100</v>
      </c>
      <c r="CS144" s="7" t="s">
        <v>101</v>
      </c>
      <c r="CT144" t="s">
        <v>152</v>
      </c>
      <c r="CU144" t="s">
        <v>102</v>
      </c>
      <c r="CV144" t="s">
        <v>100</v>
      </c>
    </row>
    <row r="145" spans="1:100">
      <c r="A145" s="3" t="s">
        <v>3737</v>
      </c>
      <c r="B145" s="4" t="s">
        <v>3738</v>
      </c>
      <c r="C145">
        <v>569.253811857904</v>
      </c>
      <c r="D145">
        <v>4348.9099955714701</v>
      </c>
      <c r="E145">
        <f>-2.93303189785972</f>
        <v>-2.9330318978597201</v>
      </c>
      <c r="F145" s="5">
        <v>1.7797963392069E-33</v>
      </c>
      <c r="G145" t="s">
        <v>4</v>
      </c>
      <c r="H145">
        <v>569.253811857904</v>
      </c>
      <c r="I145">
        <v>177.00511247353199</v>
      </c>
      <c r="J145">
        <v>1.68463312586942</v>
      </c>
      <c r="K145" s="5">
        <v>5.3466996228871998E-11</v>
      </c>
      <c r="L145" t="s">
        <v>4</v>
      </c>
      <c r="M145">
        <v>4348.9099955714701</v>
      </c>
      <c r="N145">
        <v>177.00511247353199</v>
      </c>
      <c r="O145">
        <v>4.6176650237291401</v>
      </c>
      <c r="P145" s="5">
        <v>1.5868763133374699E-77</v>
      </c>
      <c r="Q145" t="s">
        <v>4</v>
      </c>
      <c r="R145" s="4" t="s">
        <v>87</v>
      </c>
      <c r="S145" t="s">
        <v>4</v>
      </c>
      <c r="T145" t="s">
        <v>3739</v>
      </c>
      <c r="U145" t="s">
        <v>3740</v>
      </c>
      <c r="V145" t="s">
        <v>3741</v>
      </c>
      <c r="W145" t="s">
        <v>976</v>
      </c>
      <c r="X145" t="s">
        <v>4</v>
      </c>
      <c r="Y145" t="s">
        <v>3742</v>
      </c>
      <c r="Z145" t="s">
        <v>3743</v>
      </c>
      <c r="AA145" t="s">
        <v>3744</v>
      </c>
      <c r="AB145" t="s">
        <v>4</v>
      </c>
      <c r="AC145" s="3" t="s">
        <v>3745</v>
      </c>
      <c r="AD145" t="s">
        <v>4</v>
      </c>
      <c r="AE145" t="s">
        <v>3746</v>
      </c>
      <c r="AF145" t="s">
        <v>834</v>
      </c>
      <c r="AG145" t="s">
        <v>3747</v>
      </c>
      <c r="AH145" t="s">
        <v>112</v>
      </c>
      <c r="AJ145" t="s">
        <v>3748</v>
      </c>
      <c r="AU145" t="s">
        <v>112</v>
      </c>
      <c r="AV145" t="s">
        <v>3749</v>
      </c>
      <c r="AW145" t="s">
        <v>114</v>
      </c>
      <c r="AX145" t="s">
        <v>596</v>
      </c>
      <c r="AY145" t="s">
        <v>3750</v>
      </c>
      <c r="AZ145" t="s">
        <v>4</v>
      </c>
      <c r="BA145" s="3" t="s">
        <v>95</v>
      </c>
      <c r="BB145" t="s">
        <v>96</v>
      </c>
      <c r="BC145" s="3" t="s">
        <v>95</v>
      </c>
      <c r="BD145" t="s">
        <v>4</v>
      </c>
      <c r="BE145">
        <v>4807</v>
      </c>
      <c r="BF145" t="s">
        <v>282</v>
      </c>
      <c r="BG145">
        <v>95.871600000000001</v>
      </c>
      <c r="BH145">
        <v>17.247699999999998</v>
      </c>
      <c r="BI145" t="s">
        <v>3751</v>
      </c>
      <c r="BJ145">
        <v>76.789000000000001</v>
      </c>
      <c r="BK145">
        <v>77.706400000000002</v>
      </c>
      <c r="BL145">
        <v>80.733900000000006</v>
      </c>
      <c r="BM145">
        <v>83.578000000000003</v>
      </c>
      <c r="BN145">
        <v>83.486199999999997</v>
      </c>
      <c r="BO145">
        <v>85.321100000000001</v>
      </c>
      <c r="BP145" t="s">
        <v>3752</v>
      </c>
      <c r="BQ145">
        <v>52.568800000000003</v>
      </c>
      <c r="BR145">
        <v>55.045900000000003</v>
      </c>
      <c r="BS145">
        <v>53.853200000000001</v>
      </c>
      <c r="BU145" t="s">
        <v>3753</v>
      </c>
      <c r="BV145" t="s">
        <v>3754</v>
      </c>
      <c r="BW145">
        <v>9.1743100000000002</v>
      </c>
      <c r="BX145">
        <v>55.137599999999999</v>
      </c>
      <c r="BY145" t="s">
        <v>3755</v>
      </c>
      <c r="BZ145">
        <v>47.706400000000002</v>
      </c>
      <c r="CA145">
        <v>52.110100000000003</v>
      </c>
      <c r="CB145">
        <v>12.660600000000001</v>
      </c>
      <c r="CC145">
        <v>22.293600000000001</v>
      </c>
      <c r="CD145">
        <v>29.724799999999998</v>
      </c>
      <c r="CF145" t="s">
        <v>3756</v>
      </c>
      <c r="CK145">
        <v>6</v>
      </c>
      <c r="CL145" t="s">
        <v>4</v>
      </c>
      <c r="CM145" t="s">
        <v>3757</v>
      </c>
      <c r="CN145" t="s">
        <v>3758</v>
      </c>
      <c r="CO145" t="s">
        <v>99</v>
      </c>
      <c r="CP145" t="s">
        <v>100</v>
      </c>
      <c r="CQ145">
        <v>144</v>
      </c>
      <c r="CR145" t="s">
        <v>100</v>
      </c>
      <c r="CS145" s="7" t="s">
        <v>101</v>
      </c>
      <c r="CT145" t="s">
        <v>152</v>
      </c>
      <c r="CU145" t="s">
        <v>102</v>
      </c>
      <c r="CV145" t="s">
        <v>100</v>
      </c>
    </row>
    <row r="146" spans="1:100">
      <c r="A146" s="3" t="s">
        <v>3759</v>
      </c>
      <c r="B146" s="4" t="s">
        <v>3760</v>
      </c>
      <c r="C146">
        <v>46.7690993311762</v>
      </c>
      <c r="D146">
        <v>236.49469124214301</v>
      </c>
      <c r="E146">
        <f>-2.33697652544915</f>
        <v>-2.3369765254491499</v>
      </c>
      <c r="F146" s="5">
        <v>1.37779214068708E-5</v>
      </c>
      <c r="G146" t="s">
        <v>4</v>
      </c>
      <c r="H146">
        <v>46.7690993311762</v>
      </c>
      <c r="I146">
        <v>29.348182883018701</v>
      </c>
      <c r="J146">
        <v>0.68336388647198998</v>
      </c>
      <c r="K146">
        <v>0.25643444263227799</v>
      </c>
      <c r="L146" t="s">
        <v>4</v>
      </c>
      <c r="M146">
        <v>236.49469124214301</v>
      </c>
      <c r="N146">
        <v>29.348182883018701</v>
      </c>
      <c r="O146">
        <v>3.0203404119211399</v>
      </c>
      <c r="P146" s="5">
        <v>1.89322329096175E-8</v>
      </c>
      <c r="Q146" t="s">
        <v>4</v>
      </c>
      <c r="R146" s="4" t="s">
        <v>87</v>
      </c>
      <c r="S146" t="s">
        <v>4</v>
      </c>
      <c r="T146" t="s">
        <v>360</v>
      </c>
      <c r="U146" t="s">
        <v>361</v>
      </c>
      <c r="V146" t="s">
        <v>362</v>
      </c>
      <c r="W146" t="s">
        <v>328</v>
      </c>
      <c r="X146" t="s">
        <v>4</v>
      </c>
      <c r="Y146" t="s">
        <v>363</v>
      </c>
      <c r="Z146" t="s">
        <v>364</v>
      </c>
      <c r="AA146" t="s">
        <v>365</v>
      </c>
      <c r="AB146" t="s">
        <v>4</v>
      </c>
      <c r="AC146" s="3" t="s">
        <v>3761</v>
      </c>
      <c r="AD146" t="s">
        <v>4</v>
      </c>
      <c r="AE146" t="s">
        <v>3762</v>
      </c>
      <c r="AF146" t="s">
        <v>3763</v>
      </c>
      <c r="AG146" t="s">
        <v>3764</v>
      </c>
      <c r="AH146" t="s">
        <v>638</v>
      </c>
      <c r="AJ146" t="s">
        <v>3765</v>
      </c>
      <c r="AL146" t="s">
        <v>3766</v>
      </c>
      <c r="AQ146" t="s">
        <v>1003</v>
      </c>
      <c r="AU146" t="s">
        <v>112</v>
      </c>
      <c r="AV146" t="s">
        <v>3767</v>
      </c>
      <c r="AW146" t="s">
        <v>114</v>
      </c>
      <c r="AX146" t="s">
        <v>371</v>
      </c>
      <c r="AY146" t="s">
        <v>3768</v>
      </c>
      <c r="AZ146" t="s">
        <v>4</v>
      </c>
      <c r="BA146" s="3" t="s">
        <v>95</v>
      </c>
      <c r="BB146" s="6" t="s">
        <v>95</v>
      </c>
      <c r="BC146" s="3" t="s">
        <v>95</v>
      </c>
      <c r="BD146" t="s">
        <v>4</v>
      </c>
      <c r="BE146">
        <v>5372</v>
      </c>
      <c r="BF146" t="s">
        <v>386</v>
      </c>
      <c r="BK146">
        <v>80.575500000000005</v>
      </c>
      <c r="BQ146">
        <v>37.769799999999996</v>
      </c>
      <c r="CA146">
        <v>32.374099999999999</v>
      </c>
      <c r="CC146">
        <v>21.942399999999999</v>
      </c>
      <c r="CD146">
        <v>17.985600000000002</v>
      </c>
      <c r="CG146" t="s">
        <v>3769</v>
      </c>
      <c r="CH146" t="s">
        <v>3770</v>
      </c>
      <c r="CK146">
        <v>7</v>
      </c>
      <c r="CL146" t="s">
        <v>4</v>
      </c>
      <c r="CM146" t="s">
        <v>3771</v>
      </c>
      <c r="CN146" t="s">
        <v>3772</v>
      </c>
      <c r="CO146" t="s">
        <v>1218</v>
      </c>
      <c r="CP146" t="s">
        <v>100</v>
      </c>
      <c r="CQ146">
        <v>145</v>
      </c>
      <c r="CR146" t="s">
        <v>100</v>
      </c>
      <c r="CS146" t="s">
        <v>100</v>
      </c>
      <c r="CT146" t="s">
        <v>152</v>
      </c>
      <c r="CU146" t="s">
        <v>102</v>
      </c>
      <c r="CV146" t="s">
        <v>100</v>
      </c>
    </row>
    <row r="147" spans="1:100">
      <c r="A147" s="3" t="s">
        <v>3773</v>
      </c>
      <c r="B147" s="4" t="s">
        <v>3774</v>
      </c>
      <c r="C147">
        <v>137.001216833684</v>
      </c>
      <c r="D147">
        <v>1429.1963628640201</v>
      </c>
      <c r="E147">
        <f>-3.3819973951984</f>
        <v>-3.3819973951983999</v>
      </c>
      <c r="F147" s="5">
        <v>1.3664889710108E-8</v>
      </c>
      <c r="G147" t="s">
        <v>4</v>
      </c>
      <c r="H147">
        <v>137.001216833684</v>
      </c>
      <c r="I147">
        <v>126.878102237685</v>
      </c>
      <c r="J147">
        <v>0.114108122236913</v>
      </c>
      <c r="K147">
        <v>0.87056885140423301</v>
      </c>
      <c r="L147" t="s">
        <v>4</v>
      </c>
      <c r="M147">
        <v>1429.1963628640201</v>
      </c>
      <c r="N147">
        <v>126.878102237685</v>
      </c>
      <c r="O147">
        <v>3.4961055174353102</v>
      </c>
      <c r="P147" s="5">
        <v>1.94568563561784E-9</v>
      </c>
      <c r="Q147" t="s">
        <v>4</v>
      </c>
      <c r="R147" s="4" t="s">
        <v>87</v>
      </c>
      <c r="S147" t="s">
        <v>4</v>
      </c>
      <c r="T147" t="s">
        <v>3775</v>
      </c>
      <c r="U147" t="s">
        <v>3776</v>
      </c>
      <c r="V147" t="s">
        <v>3777</v>
      </c>
      <c r="W147" t="s">
        <v>328</v>
      </c>
      <c r="X147" t="s">
        <v>4</v>
      </c>
      <c r="Y147" t="s">
        <v>3778</v>
      </c>
      <c r="Z147" t="s">
        <v>3779</v>
      </c>
      <c r="AA147" t="s">
        <v>3780</v>
      </c>
      <c r="AB147" t="s">
        <v>4</v>
      </c>
      <c r="AC147" s="3" t="s">
        <v>3781</v>
      </c>
      <c r="AD147" t="s">
        <v>4</v>
      </c>
      <c r="AE147" t="s">
        <v>3782</v>
      </c>
      <c r="AF147" t="s">
        <v>3783</v>
      </c>
      <c r="AG147" t="s">
        <v>3784</v>
      </c>
      <c r="AH147" t="s">
        <v>638</v>
      </c>
      <c r="AJ147" t="s">
        <v>3785</v>
      </c>
      <c r="AL147" t="s">
        <v>3491</v>
      </c>
      <c r="AQ147" t="s">
        <v>641</v>
      </c>
      <c r="AR147" t="s">
        <v>3492</v>
      </c>
      <c r="AU147" t="s">
        <v>112</v>
      </c>
      <c r="AV147" t="s">
        <v>3786</v>
      </c>
      <c r="AW147" t="s">
        <v>114</v>
      </c>
      <c r="AX147" t="s">
        <v>132</v>
      </c>
      <c r="AY147" t="s">
        <v>3494</v>
      </c>
      <c r="AZ147" t="s">
        <v>4</v>
      </c>
      <c r="BA147" s="3" t="s">
        <v>95</v>
      </c>
      <c r="BB147" t="s">
        <v>96</v>
      </c>
      <c r="BC147" s="3" t="s">
        <v>95</v>
      </c>
      <c r="BD147" t="s">
        <v>4</v>
      </c>
      <c r="BE147">
        <v>4813</v>
      </c>
      <c r="BF147" t="s">
        <v>282</v>
      </c>
      <c r="BG147">
        <v>99.163200000000003</v>
      </c>
      <c r="BH147">
        <v>52.5105</v>
      </c>
      <c r="BI147" t="s">
        <v>3787</v>
      </c>
      <c r="BJ147" t="s">
        <v>3788</v>
      </c>
      <c r="BK147">
        <v>40.376600000000003</v>
      </c>
      <c r="BL147">
        <v>18.828499999999998</v>
      </c>
      <c r="BM147">
        <v>44.351500000000001</v>
      </c>
      <c r="BN147" t="s">
        <v>3789</v>
      </c>
      <c r="BO147">
        <v>80.962299999999999</v>
      </c>
      <c r="BP147">
        <v>47.698700000000002</v>
      </c>
      <c r="BQ147">
        <v>49.163200000000003</v>
      </c>
      <c r="BR147">
        <v>59.204999999999998</v>
      </c>
      <c r="BW147" t="s">
        <v>3790</v>
      </c>
      <c r="BX147">
        <v>44.351500000000001</v>
      </c>
      <c r="BY147" t="s">
        <v>3791</v>
      </c>
      <c r="BZ147">
        <v>47.280299999999997</v>
      </c>
      <c r="CA147">
        <v>56.903799999999997</v>
      </c>
      <c r="CB147">
        <v>34.728000000000002</v>
      </c>
      <c r="CD147">
        <v>46.4435</v>
      </c>
      <c r="CK147">
        <v>6</v>
      </c>
      <c r="CL147" t="s">
        <v>4</v>
      </c>
      <c r="CM147" t="s">
        <v>3792</v>
      </c>
      <c r="CN147" t="s">
        <v>3793</v>
      </c>
      <c r="CO147" t="s">
        <v>219</v>
      </c>
      <c r="CP147" t="s">
        <v>100</v>
      </c>
      <c r="CQ147">
        <v>146</v>
      </c>
      <c r="CR147" t="s">
        <v>100</v>
      </c>
      <c r="CS147" t="s">
        <v>100</v>
      </c>
      <c r="CT147" t="s">
        <v>152</v>
      </c>
      <c r="CU147" t="s">
        <v>102</v>
      </c>
      <c r="CV147" t="s">
        <v>100</v>
      </c>
    </row>
    <row r="148" spans="1:100">
      <c r="A148" s="3" t="s">
        <v>3794</v>
      </c>
      <c r="B148" s="4" t="s">
        <v>3795</v>
      </c>
      <c r="C148">
        <v>2580.9676520766202</v>
      </c>
      <c r="D148">
        <v>13452.8778885103</v>
      </c>
      <c r="E148">
        <f>-2.38186536240092</f>
        <v>-2.3818653624009198</v>
      </c>
      <c r="F148" s="5">
        <v>4.6095232180500099E-24</v>
      </c>
      <c r="G148" t="s">
        <v>4</v>
      </c>
      <c r="H148">
        <v>2580.9676520766202</v>
      </c>
      <c r="I148">
        <v>2672.9431667141398</v>
      </c>
      <c r="J148">
        <f>0.0514228408889124</f>
        <v>5.1422840888912399E-2</v>
      </c>
      <c r="K148">
        <v>0.855121093606097</v>
      </c>
      <c r="L148" t="s">
        <v>4</v>
      </c>
      <c r="M148">
        <v>13452.8778885103</v>
      </c>
      <c r="N148">
        <v>2672.9431667141398</v>
      </c>
      <c r="O148">
        <v>2.3304425215120101</v>
      </c>
      <c r="P148" s="5">
        <v>9.2278925356968904E-24</v>
      </c>
      <c r="Q148" t="s">
        <v>4</v>
      </c>
      <c r="R148" s="4" t="s">
        <v>87</v>
      </c>
      <c r="S148" t="s">
        <v>4</v>
      </c>
      <c r="T148" t="s">
        <v>3796</v>
      </c>
      <c r="U148" t="s">
        <v>3797</v>
      </c>
      <c r="V148" t="s">
        <v>3798</v>
      </c>
      <c r="W148" t="s">
        <v>328</v>
      </c>
      <c r="X148" t="s">
        <v>4</v>
      </c>
      <c r="Y148" t="s">
        <v>3799</v>
      </c>
      <c r="Z148" t="s">
        <v>3800</v>
      </c>
      <c r="AA148" t="s">
        <v>3801</v>
      </c>
      <c r="AB148" t="s">
        <v>4</v>
      </c>
      <c r="AC148" s="3" t="s">
        <v>3802</v>
      </c>
      <c r="AD148" t="s">
        <v>4</v>
      </c>
      <c r="AE148" t="s">
        <v>3803</v>
      </c>
      <c r="AF148" t="s">
        <v>3804</v>
      </c>
      <c r="AG148" t="s">
        <v>3805</v>
      </c>
      <c r="AH148" t="s">
        <v>112</v>
      </c>
      <c r="AJ148" t="s">
        <v>3806</v>
      </c>
      <c r="AK148" t="s">
        <v>163</v>
      </c>
      <c r="AL148" t="s">
        <v>3807</v>
      </c>
      <c r="AM148" t="s">
        <v>3808</v>
      </c>
      <c r="AQ148" t="s">
        <v>3809</v>
      </c>
      <c r="AU148" t="s">
        <v>112</v>
      </c>
      <c r="AV148" t="s">
        <v>3810</v>
      </c>
      <c r="AW148" t="s">
        <v>114</v>
      </c>
      <c r="AX148" t="s">
        <v>132</v>
      </c>
      <c r="AY148" t="s">
        <v>3811</v>
      </c>
      <c r="AZ148" t="s">
        <v>4</v>
      </c>
      <c r="BA148" s="3" t="s">
        <v>115</v>
      </c>
      <c r="BB148" t="s">
        <v>96</v>
      </c>
      <c r="BC148" s="3" t="s">
        <v>197</v>
      </c>
      <c r="BD148" t="s">
        <v>4</v>
      </c>
      <c r="BE148">
        <v>8795</v>
      </c>
      <c r="BF148" t="s">
        <v>169</v>
      </c>
      <c r="BG148">
        <v>72.851200000000006</v>
      </c>
      <c r="BH148">
        <v>63.312399999999997</v>
      </c>
      <c r="BI148">
        <v>71.383600000000001</v>
      </c>
      <c r="BJ148" t="s">
        <v>3812</v>
      </c>
      <c r="BK148">
        <v>57.127899999999997</v>
      </c>
      <c r="BL148" t="s">
        <v>3813</v>
      </c>
      <c r="BM148">
        <v>29.2453</v>
      </c>
      <c r="BN148">
        <v>75.786199999999994</v>
      </c>
      <c r="BO148">
        <v>59.958100000000002</v>
      </c>
      <c r="BP148">
        <v>53.668799999999997</v>
      </c>
      <c r="BQ148" t="s">
        <v>3814</v>
      </c>
      <c r="BR148" t="s">
        <v>3815</v>
      </c>
      <c r="BV148" t="s">
        <v>3816</v>
      </c>
      <c r="BW148">
        <v>44.2348</v>
      </c>
      <c r="BX148" t="s">
        <v>3817</v>
      </c>
      <c r="BY148">
        <v>20.859500000000001</v>
      </c>
      <c r="BZ148">
        <v>26.624700000000001</v>
      </c>
      <c r="CA148">
        <v>43.8155</v>
      </c>
      <c r="CC148">
        <v>29.140499999999999</v>
      </c>
      <c r="CD148" t="s">
        <v>3818</v>
      </c>
      <c r="CE148" t="s">
        <v>3819</v>
      </c>
      <c r="CF148">
        <v>34.591200000000001</v>
      </c>
      <c r="CI148" t="s">
        <v>3820</v>
      </c>
      <c r="CK148">
        <v>9</v>
      </c>
      <c r="CL148" t="s">
        <v>4</v>
      </c>
      <c r="CM148" t="s">
        <v>3821</v>
      </c>
      <c r="CN148" t="s">
        <v>3822</v>
      </c>
      <c r="CO148" t="s">
        <v>219</v>
      </c>
      <c r="CP148" t="s">
        <v>100</v>
      </c>
      <c r="CQ148">
        <v>147</v>
      </c>
      <c r="CR148" t="s">
        <v>100</v>
      </c>
      <c r="CS148" t="s">
        <v>100</v>
      </c>
      <c r="CT148" t="s">
        <v>152</v>
      </c>
      <c r="CU148" t="s">
        <v>102</v>
      </c>
      <c r="CV148" t="s">
        <v>100</v>
      </c>
    </row>
    <row r="149" spans="1:100">
      <c r="A149" s="3" t="s">
        <v>3823</v>
      </c>
      <c r="B149" s="4" t="s">
        <v>3824</v>
      </c>
      <c r="C149">
        <v>1052.5378281313999</v>
      </c>
      <c r="D149">
        <v>5133.5553847451902</v>
      </c>
      <c r="E149">
        <f>-2.28555603564568</f>
        <v>-2.2855560356456799</v>
      </c>
      <c r="F149" s="5">
        <v>2.2386899929725299E-29</v>
      </c>
      <c r="G149" t="s">
        <v>4</v>
      </c>
      <c r="H149">
        <v>1052.5378281313999</v>
      </c>
      <c r="I149">
        <v>146.14850701446099</v>
      </c>
      <c r="J149">
        <v>2.8470334691724002</v>
      </c>
      <c r="K149" s="5">
        <v>1.54878772975488E-39</v>
      </c>
      <c r="L149" t="s">
        <v>4</v>
      </c>
      <c r="M149">
        <v>5133.5553847451902</v>
      </c>
      <c r="N149">
        <v>146.14850701446099</v>
      </c>
      <c r="O149">
        <v>5.1325895048180898</v>
      </c>
      <c r="P149" s="5">
        <v>1.34248802138776E-127</v>
      </c>
      <c r="Q149" t="s">
        <v>4</v>
      </c>
      <c r="R149" s="4" t="s">
        <v>87</v>
      </c>
      <c r="S149" t="s">
        <v>4</v>
      </c>
      <c r="T149" t="s">
        <v>88</v>
      </c>
      <c r="U149" t="s">
        <v>89</v>
      </c>
      <c r="V149" t="s">
        <v>90</v>
      </c>
      <c r="W149" t="s">
        <v>91</v>
      </c>
      <c r="X149" t="s">
        <v>4</v>
      </c>
      <c r="Y149" t="s">
        <v>3825</v>
      </c>
      <c r="Z149" t="s">
        <v>3826</v>
      </c>
      <c r="AA149" t="s">
        <v>3827</v>
      </c>
      <c r="AB149" t="s">
        <v>4</v>
      </c>
      <c r="AC149" s="3" t="s">
        <v>3828</v>
      </c>
      <c r="AD149" t="s">
        <v>4</v>
      </c>
      <c r="AE149" t="s">
        <v>3829</v>
      </c>
      <c r="AF149" t="s">
        <v>3830</v>
      </c>
      <c r="AG149" t="s">
        <v>3831</v>
      </c>
      <c r="AH149" t="s">
        <v>112</v>
      </c>
      <c r="AU149" t="s">
        <v>112</v>
      </c>
      <c r="AV149" t="s">
        <v>3832</v>
      </c>
      <c r="AW149" t="s">
        <v>114</v>
      </c>
      <c r="AZ149" t="s">
        <v>4</v>
      </c>
      <c r="BA149" s="3" t="s">
        <v>95</v>
      </c>
      <c r="BB149" t="s">
        <v>96</v>
      </c>
      <c r="BC149" s="3" t="s">
        <v>95</v>
      </c>
      <c r="BD149" t="s">
        <v>4</v>
      </c>
      <c r="BE149">
        <v>989</v>
      </c>
      <c r="BF149" t="s">
        <v>151</v>
      </c>
      <c r="BG149">
        <v>89.710599999999999</v>
      </c>
      <c r="CK149">
        <v>2</v>
      </c>
      <c r="CL149" t="s">
        <v>4</v>
      </c>
      <c r="CM149" t="s">
        <v>98</v>
      </c>
      <c r="CN149" t="s">
        <v>98</v>
      </c>
      <c r="CO149" t="s">
        <v>99</v>
      </c>
      <c r="CP149" t="s">
        <v>100</v>
      </c>
      <c r="CQ149">
        <v>148</v>
      </c>
      <c r="CR149" t="s">
        <v>100</v>
      </c>
      <c r="CS149" t="s">
        <v>101</v>
      </c>
      <c r="CT149" t="s">
        <v>152</v>
      </c>
      <c r="CU149" t="s">
        <v>102</v>
      </c>
      <c r="CV149" t="s">
        <v>100</v>
      </c>
    </row>
    <row r="150" spans="1:100">
      <c r="A150" s="3" t="s">
        <v>3833</v>
      </c>
      <c r="B150" s="4" t="s">
        <v>3834</v>
      </c>
      <c r="C150">
        <v>183.917992971648</v>
      </c>
      <c r="D150">
        <v>1187.40027682037</v>
      </c>
      <c r="E150">
        <f>-2.68911885433036</f>
        <v>-2.6891188543303599</v>
      </c>
      <c r="F150" s="5">
        <v>5.8147523985981104E-17</v>
      </c>
      <c r="G150" t="s">
        <v>4</v>
      </c>
      <c r="H150">
        <v>183.917992971648</v>
      </c>
      <c r="I150">
        <v>207.18276180939901</v>
      </c>
      <c r="J150">
        <f>0.166441977771975</f>
        <v>0.166441977771975</v>
      </c>
      <c r="K150">
        <v>0.66151160862917702</v>
      </c>
      <c r="L150" t="s">
        <v>4</v>
      </c>
      <c r="M150">
        <v>1187.40027682037</v>
      </c>
      <c r="N150">
        <v>207.18276180939901</v>
      </c>
      <c r="O150">
        <v>2.52267687655839</v>
      </c>
      <c r="P150" s="5">
        <v>2.3906424854215401E-15</v>
      </c>
      <c r="Q150" t="s">
        <v>4</v>
      </c>
      <c r="R150" s="4" t="s">
        <v>87</v>
      </c>
      <c r="S150" t="s">
        <v>4</v>
      </c>
      <c r="T150" t="s">
        <v>92</v>
      </c>
      <c r="U150" t="s">
        <v>92</v>
      </c>
      <c r="V150" t="s">
        <v>92</v>
      </c>
      <c r="W150" t="s">
        <v>92</v>
      </c>
      <c r="X150" t="s">
        <v>4</v>
      </c>
      <c r="Y150" t="s">
        <v>92</v>
      </c>
      <c r="Z150" t="s">
        <v>92</v>
      </c>
      <c r="AA150" t="s">
        <v>92</v>
      </c>
      <c r="AB150" t="s">
        <v>4</v>
      </c>
      <c r="AC150" s="3" t="s">
        <v>93</v>
      </c>
      <c r="AD150" t="s">
        <v>4</v>
      </c>
      <c r="AE150" t="s">
        <v>3064</v>
      </c>
      <c r="AF150" t="s">
        <v>3835</v>
      </c>
      <c r="AG150" t="s">
        <v>3836</v>
      </c>
      <c r="AH150" t="s">
        <v>112</v>
      </c>
      <c r="AL150" t="s">
        <v>3066</v>
      </c>
      <c r="AM150" t="s">
        <v>302</v>
      </c>
      <c r="AQ150" t="s">
        <v>303</v>
      </c>
      <c r="AU150" t="s">
        <v>112</v>
      </c>
      <c r="AV150" t="s">
        <v>3067</v>
      </c>
      <c r="AW150" t="s">
        <v>114</v>
      </c>
      <c r="AX150" t="s">
        <v>144</v>
      </c>
      <c r="AY150" t="s">
        <v>3068</v>
      </c>
      <c r="AZ150" t="s">
        <v>4</v>
      </c>
      <c r="BA150" s="3" t="s">
        <v>115</v>
      </c>
      <c r="BB150" s="6" t="s">
        <v>95</v>
      </c>
      <c r="BC150" s="3" t="s">
        <v>95</v>
      </c>
      <c r="BD150" t="s">
        <v>4</v>
      </c>
      <c r="BE150">
        <v>990</v>
      </c>
      <c r="BF150" t="s">
        <v>151</v>
      </c>
      <c r="BG150">
        <v>80</v>
      </c>
      <c r="BL150">
        <v>54.285699999999999</v>
      </c>
      <c r="CK150">
        <v>2</v>
      </c>
      <c r="CL150" t="s">
        <v>4</v>
      </c>
      <c r="CM150" t="s">
        <v>98</v>
      </c>
      <c r="CN150" t="s">
        <v>98</v>
      </c>
      <c r="CO150" t="s">
        <v>99</v>
      </c>
      <c r="CP150" t="s">
        <v>100</v>
      </c>
      <c r="CQ150">
        <v>149</v>
      </c>
      <c r="CR150" t="s">
        <v>100</v>
      </c>
      <c r="CS150" t="s">
        <v>100</v>
      </c>
      <c r="CT150" t="s">
        <v>152</v>
      </c>
      <c r="CU150" t="s">
        <v>102</v>
      </c>
      <c r="CV150" t="s">
        <v>100</v>
      </c>
    </row>
    <row r="151" spans="1:100">
      <c r="A151" s="3" t="s">
        <v>3837</v>
      </c>
      <c r="B151" s="4" t="s">
        <v>3838</v>
      </c>
      <c r="C151">
        <v>35.981587509566502</v>
      </c>
      <c r="D151">
        <v>228.17156506917399</v>
      </c>
      <c r="E151">
        <f>-2.66026859068163</f>
        <v>-2.6602685906816301</v>
      </c>
      <c r="F151" s="5">
        <v>2.1831125728735301E-12</v>
      </c>
      <c r="G151" t="s">
        <v>4</v>
      </c>
      <c r="H151">
        <v>35.981587509566502</v>
      </c>
      <c r="I151">
        <v>9.8804187524032496</v>
      </c>
      <c r="J151">
        <v>1.7863404778017899</v>
      </c>
      <c r="K151">
        <v>3.8934350566364502E-4</v>
      </c>
      <c r="L151" t="s">
        <v>4</v>
      </c>
      <c r="M151">
        <v>228.17156506917399</v>
      </c>
      <c r="N151">
        <v>9.8804187524032496</v>
      </c>
      <c r="O151">
        <v>4.4466090684834203</v>
      </c>
      <c r="P151" s="5">
        <v>1.2334636813441501E-21</v>
      </c>
      <c r="Q151" t="s">
        <v>4</v>
      </c>
      <c r="R151" s="4" t="s">
        <v>87</v>
      </c>
      <c r="S151" t="s">
        <v>4</v>
      </c>
      <c r="T151" t="s">
        <v>88</v>
      </c>
      <c r="U151" t="s">
        <v>89</v>
      </c>
      <c r="V151" t="s">
        <v>90</v>
      </c>
      <c r="W151" t="s">
        <v>91</v>
      </c>
      <c r="X151" t="s">
        <v>4</v>
      </c>
      <c r="Y151" t="s">
        <v>1801</v>
      </c>
      <c r="Z151" t="s">
        <v>1802</v>
      </c>
      <c r="AA151" t="s">
        <v>1803</v>
      </c>
      <c r="AB151" t="s">
        <v>4</v>
      </c>
      <c r="AC151" s="3" t="s">
        <v>3839</v>
      </c>
      <c r="AD151" t="s">
        <v>4</v>
      </c>
      <c r="AE151" t="s">
        <v>3840</v>
      </c>
      <c r="AF151" t="s">
        <v>3841</v>
      </c>
      <c r="AG151" t="s">
        <v>3842</v>
      </c>
      <c r="AH151" t="s">
        <v>112</v>
      </c>
      <c r="AJ151" t="s">
        <v>3843</v>
      </c>
      <c r="AU151" t="s">
        <v>112</v>
      </c>
      <c r="AV151" t="s">
        <v>3844</v>
      </c>
      <c r="AW151" t="s">
        <v>114</v>
      </c>
      <c r="AX151" t="s">
        <v>144</v>
      </c>
      <c r="AY151" t="s">
        <v>3750</v>
      </c>
      <c r="AZ151" t="s">
        <v>4</v>
      </c>
      <c r="BA151" s="3" t="s">
        <v>95</v>
      </c>
      <c r="BB151" t="s">
        <v>96</v>
      </c>
      <c r="BC151" s="3" t="s">
        <v>197</v>
      </c>
      <c r="BD151" t="s">
        <v>4</v>
      </c>
      <c r="BE151">
        <v>188</v>
      </c>
      <c r="BF151" t="s">
        <v>322</v>
      </c>
      <c r="CK151">
        <v>1</v>
      </c>
      <c r="CL151" t="s">
        <v>4</v>
      </c>
      <c r="CM151" t="s">
        <v>98</v>
      </c>
      <c r="CN151" t="s">
        <v>98</v>
      </c>
      <c r="CO151" t="s">
        <v>99</v>
      </c>
      <c r="CP151" t="s">
        <v>100</v>
      </c>
      <c r="CQ151">
        <v>150</v>
      </c>
      <c r="CR151" t="s">
        <v>100</v>
      </c>
      <c r="CS151" s="7" t="s">
        <v>101</v>
      </c>
      <c r="CT151" t="s">
        <v>152</v>
      </c>
      <c r="CU151" t="s">
        <v>102</v>
      </c>
      <c r="CV151" t="s">
        <v>100</v>
      </c>
    </row>
    <row r="152" spans="1:100">
      <c r="A152" s="3" t="s">
        <v>3845</v>
      </c>
      <c r="B152" s="4" t="s">
        <v>3846</v>
      </c>
      <c r="C152">
        <v>36.036617194161401</v>
      </c>
      <c r="D152">
        <v>518.24969076315699</v>
      </c>
      <c r="E152">
        <f>-3.84561299383708</f>
        <v>-3.8456129938370802</v>
      </c>
      <c r="F152" s="5">
        <v>9.7223900312594504E-20</v>
      </c>
      <c r="G152" t="s">
        <v>4</v>
      </c>
      <c r="H152">
        <v>36.036617194161401</v>
      </c>
      <c r="I152">
        <v>41.967018663061197</v>
      </c>
      <c r="J152">
        <f>0.22151293036978</f>
        <v>0.22151293036978001</v>
      </c>
      <c r="K152">
        <v>0.67312076515960995</v>
      </c>
      <c r="L152" t="s">
        <v>4</v>
      </c>
      <c r="M152">
        <v>518.24969076315699</v>
      </c>
      <c r="N152">
        <v>41.967018663061197</v>
      </c>
      <c r="O152">
        <v>3.6241000634673002</v>
      </c>
      <c r="P152" s="5">
        <v>2.1989206195389201E-17</v>
      </c>
      <c r="Q152" t="s">
        <v>4</v>
      </c>
      <c r="R152" s="4" t="s">
        <v>87</v>
      </c>
      <c r="S152" t="s">
        <v>4</v>
      </c>
      <c r="T152" t="s">
        <v>3847</v>
      </c>
      <c r="U152" t="s">
        <v>3848</v>
      </c>
      <c r="V152" t="s">
        <v>3849</v>
      </c>
      <c r="W152" t="s">
        <v>1845</v>
      </c>
      <c r="X152" t="s">
        <v>4</v>
      </c>
      <c r="Y152" t="s">
        <v>3850</v>
      </c>
      <c r="Z152" t="s">
        <v>3851</v>
      </c>
      <c r="AA152" t="s">
        <v>3852</v>
      </c>
      <c r="AB152" t="s">
        <v>4</v>
      </c>
      <c r="AC152" s="3" t="s">
        <v>3110</v>
      </c>
      <c r="AD152" t="s">
        <v>4</v>
      </c>
      <c r="AE152" s="4" t="s">
        <v>94</v>
      </c>
      <c r="AZ152" t="s">
        <v>4</v>
      </c>
      <c r="BA152" s="3" t="s">
        <v>95</v>
      </c>
      <c r="BB152" s="6" t="s">
        <v>95</v>
      </c>
      <c r="BC152" s="3" t="s">
        <v>95</v>
      </c>
      <c r="BD152" t="s">
        <v>4</v>
      </c>
      <c r="BE152">
        <v>992</v>
      </c>
      <c r="BF152" t="s">
        <v>151</v>
      </c>
      <c r="BI152">
        <v>65.833299999999994</v>
      </c>
      <c r="BJ152">
        <v>65.833299999999994</v>
      </c>
      <c r="BN152">
        <v>43.333300000000001</v>
      </c>
      <c r="BO152">
        <v>42.5</v>
      </c>
      <c r="CK152">
        <v>2</v>
      </c>
      <c r="CL152" t="s">
        <v>4</v>
      </c>
      <c r="CM152" t="s">
        <v>98</v>
      </c>
      <c r="CN152" t="s">
        <v>98</v>
      </c>
      <c r="CO152" t="s">
        <v>99</v>
      </c>
      <c r="CP152" t="s">
        <v>100</v>
      </c>
      <c r="CQ152">
        <v>151</v>
      </c>
      <c r="CR152" t="s">
        <v>100</v>
      </c>
      <c r="CS152" t="s">
        <v>100</v>
      </c>
      <c r="CT152" t="s">
        <v>152</v>
      </c>
      <c r="CU152" t="s">
        <v>102</v>
      </c>
      <c r="CV152" t="s">
        <v>100</v>
      </c>
    </row>
    <row r="153" spans="1:100">
      <c r="A153" s="3" t="s">
        <v>3853</v>
      </c>
      <c r="B153" s="4" t="s">
        <v>3854</v>
      </c>
      <c r="C153">
        <v>334.18611518958897</v>
      </c>
      <c r="D153">
        <v>2238.2981771653299</v>
      </c>
      <c r="E153">
        <f>-2.74322340255228</f>
        <v>-2.7432234025522799</v>
      </c>
      <c r="F153" s="5">
        <v>4.4865842068662604E-28</v>
      </c>
      <c r="G153" t="s">
        <v>4</v>
      </c>
      <c r="H153">
        <v>334.18611518958897</v>
      </c>
      <c r="I153">
        <v>292.08537328241999</v>
      </c>
      <c r="J153">
        <v>0.19973366854541599</v>
      </c>
      <c r="K153">
        <v>0.49521511919428701</v>
      </c>
      <c r="L153" t="s">
        <v>4</v>
      </c>
      <c r="M153">
        <v>2238.2981771653299</v>
      </c>
      <c r="N153">
        <v>292.08537328241999</v>
      </c>
      <c r="O153">
        <v>2.9429570710976898</v>
      </c>
      <c r="P153" s="5">
        <v>3.85167060351789E-32</v>
      </c>
      <c r="Q153" t="s">
        <v>4</v>
      </c>
      <c r="R153" s="4" t="s">
        <v>87</v>
      </c>
      <c r="S153" t="s">
        <v>4</v>
      </c>
      <c r="T153" t="s">
        <v>3855</v>
      </c>
      <c r="U153" t="s">
        <v>3856</v>
      </c>
      <c r="V153" t="s">
        <v>3857</v>
      </c>
      <c r="W153" t="s">
        <v>328</v>
      </c>
      <c r="X153" t="s">
        <v>4</v>
      </c>
      <c r="Y153" t="s">
        <v>3858</v>
      </c>
      <c r="Z153" t="s">
        <v>3859</v>
      </c>
      <c r="AA153" t="s">
        <v>3860</v>
      </c>
      <c r="AB153" t="s">
        <v>4</v>
      </c>
      <c r="AC153" s="3" t="s">
        <v>3861</v>
      </c>
      <c r="AD153" t="s">
        <v>4</v>
      </c>
      <c r="AE153" t="s">
        <v>3862</v>
      </c>
      <c r="AF153" t="s">
        <v>3863</v>
      </c>
      <c r="AG153" t="s">
        <v>3864</v>
      </c>
      <c r="AH153" t="s">
        <v>112</v>
      </c>
      <c r="AJ153" t="s">
        <v>3865</v>
      </c>
      <c r="AL153" t="s">
        <v>3866</v>
      </c>
      <c r="AM153" t="s">
        <v>3867</v>
      </c>
      <c r="AQ153" t="s">
        <v>3868</v>
      </c>
      <c r="AR153" t="s">
        <v>3869</v>
      </c>
      <c r="AU153" t="s">
        <v>112</v>
      </c>
      <c r="AV153" t="s">
        <v>3870</v>
      </c>
      <c r="AW153" t="s">
        <v>114</v>
      </c>
      <c r="AX153" t="s">
        <v>1096</v>
      </c>
      <c r="AY153" t="s">
        <v>3871</v>
      </c>
      <c r="AZ153" t="s">
        <v>4</v>
      </c>
      <c r="BA153" s="3" t="s">
        <v>95</v>
      </c>
      <c r="BB153" t="s">
        <v>96</v>
      </c>
      <c r="BC153" s="3" t="s">
        <v>95</v>
      </c>
      <c r="BD153" t="s">
        <v>4</v>
      </c>
      <c r="BE153">
        <v>6266</v>
      </c>
      <c r="BF153" t="s">
        <v>213</v>
      </c>
      <c r="BG153">
        <v>91.216200000000001</v>
      </c>
      <c r="BH153">
        <v>80.236500000000007</v>
      </c>
      <c r="BI153">
        <v>80.574299999999994</v>
      </c>
      <c r="BJ153">
        <v>92.0608</v>
      </c>
      <c r="BK153">
        <v>82.770300000000006</v>
      </c>
      <c r="BL153">
        <v>83.445899999999995</v>
      </c>
      <c r="BM153">
        <v>84.797300000000007</v>
      </c>
      <c r="BN153">
        <v>93.918899999999994</v>
      </c>
      <c r="BO153">
        <v>93.074299999999994</v>
      </c>
      <c r="BP153">
        <v>30.236499999999999</v>
      </c>
      <c r="BQ153">
        <v>73.3108</v>
      </c>
      <c r="BR153">
        <v>74.493200000000002</v>
      </c>
      <c r="BS153" t="s">
        <v>3872</v>
      </c>
      <c r="BT153" t="s">
        <v>3873</v>
      </c>
      <c r="BU153">
        <v>70.608099999999993</v>
      </c>
      <c r="BV153" t="s">
        <v>3874</v>
      </c>
      <c r="BW153">
        <v>69.932400000000001</v>
      </c>
      <c r="BX153">
        <v>72.635099999999994</v>
      </c>
      <c r="BZ153">
        <v>46.621600000000001</v>
      </c>
      <c r="CA153">
        <v>71.959500000000006</v>
      </c>
      <c r="CB153">
        <v>0.33783800000000003</v>
      </c>
      <c r="CC153">
        <v>18.412199999999999</v>
      </c>
      <c r="CD153" t="s">
        <v>3875</v>
      </c>
      <c r="CE153">
        <v>14.526999999999999</v>
      </c>
      <c r="CF153">
        <v>17.567599999999999</v>
      </c>
      <c r="CG153" t="s">
        <v>3876</v>
      </c>
      <c r="CH153" t="s">
        <v>3877</v>
      </c>
      <c r="CI153" t="s">
        <v>3878</v>
      </c>
      <c r="CK153">
        <v>8</v>
      </c>
      <c r="CL153" t="s">
        <v>4</v>
      </c>
      <c r="CM153" t="s">
        <v>3879</v>
      </c>
      <c r="CN153" t="s">
        <v>3880</v>
      </c>
      <c r="CO153" t="s">
        <v>99</v>
      </c>
      <c r="CP153" t="s">
        <v>100</v>
      </c>
      <c r="CQ153">
        <v>152</v>
      </c>
      <c r="CR153" t="s">
        <v>100</v>
      </c>
      <c r="CS153" t="s">
        <v>100</v>
      </c>
      <c r="CT153" t="s">
        <v>152</v>
      </c>
      <c r="CU153" t="s">
        <v>102</v>
      </c>
      <c r="CV153" t="s">
        <v>100</v>
      </c>
    </row>
    <row r="154" spans="1:100">
      <c r="A154" s="3" t="s">
        <v>3881</v>
      </c>
      <c r="B154" s="4" t="s">
        <v>3882</v>
      </c>
      <c r="C154">
        <v>49.175975808451398</v>
      </c>
      <c r="D154">
        <v>1342.09641343671</v>
      </c>
      <c r="E154">
        <f>-4.76715111272539</f>
        <v>-4.76715111272539</v>
      </c>
      <c r="F154" s="5">
        <v>4.6282880660281502E-22</v>
      </c>
      <c r="G154" t="s">
        <v>4</v>
      </c>
      <c r="H154">
        <v>49.175975808451398</v>
      </c>
      <c r="I154">
        <v>83.1657358080802</v>
      </c>
      <c r="J154">
        <f>0.752823098350401</f>
        <v>0.75282309835040095</v>
      </c>
      <c r="K154">
        <v>0.17293792033052399</v>
      </c>
      <c r="L154" t="s">
        <v>4</v>
      </c>
      <c r="M154">
        <v>1342.09641343671</v>
      </c>
      <c r="N154">
        <v>83.1657358080802</v>
      </c>
      <c r="O154">
        <v>4.01432801437499</v>
      </c>
      <c r="P154" s="5">
        <v>2.11694891224376E-16</v>
      </c>
      <c r="Q154" t="s">
        <v>4</v>
      </c>
      <c r="R154" s="4" t="s">
        <v>87</v>
      </c>
      <c r="S154" t="s">
        <v>4</v>
      </c>
      <c r="T154" t="s">
        <v>92</v>
      </c>
      <c r="U154" t="s">
        <v>92</v>
      </c>
      <c r="V154" t="s">
        <v>92</v>
      </c>
      <c r="W154" t="s">
        <v>92</v>
      </c>
      <c r="X154" t="s">
        <v>4</v>
      </c>
      <c r="Y154" t="s">
        <v>3883</v>
      </c>
      <c r="Z154" t="s">
        <v>3884</v>
      </c>
      <c r="AA154" t="s">
        <v>3885</v>
      </c>
      <c r="AB154" t="s">
        <v>4</v>
      </c>
      <c r="AC154" s="3" t="s">
        <v>3886</v>
      </c>
      <c r="AD154" t="s">
        <v>4</v>
      </c>
      <c r="AE154" s="4" t="s">
        <v>94</v>
      </c>
      <c r="AZ154" t="s">
        <v>4</v>
      </c>
      <c r="BA154" s="3" t="s">
        <v>115</v>
      </c>
      <c r="BB154" s="6" t="s">
        <v>95</v>
      </c>
      <c r="BC154" s="3" t="s">
        <v>95</v>
      </c>
      <c r="BD154" t="s">
        <v>4</v>
      </c>
      <c r="BE154">
        <v>995</v>
      </c>
      <c r="BF154" t="s">
        <v>151</v>
      </c>
      <c r="BH154">
        <v>50</v>
      </c>
      <c r="BI154">
        <v>66.216200000000001</v>
      </c>
      <c r="BK154">
        <v>29.279299999999999</v>
      </c>
      <c r="CK154">
        <v>2</v>
      </c>
      <c r="CL154" t="s">
        <v>4</v>
      </c>
      <c r="CM154" t="s">
        <v>98</v>
      </c>
      <c r="CN154" t="s">
        <v>98</v>
      </c>
      <c r="CO154" t="s">
        <v>99</v>
      </c>
      <c r="CP154" t="s">
        <v>100</v>
      </c>
      <c r="CQ154">
        <v>153</v>
      </c>
      <c r="CR154" t="s">
        <v>100</v>
      </c>
      <c r="CS154" t="s">
        <v>100</v>
      </c>
      <c r="CT154" t="s">
        <v>152</v>
      </c>
      <c r="CU154" t="s">
        <v>102</v>
      </c>
      <c r="CV154" t="s">
        <v>100</v>
      </c>
    </row>
    <row r="155" spans="1:100">
      <c r="A155" s="3" t="s">
        <v>3887</v>
      </c>
      <c r="B155" s="4" t="s">
        <v>3888</v>
      </c>
      <c r="C155">
        <v>225.44535890389</v>
      </c>
      <c r="D155">
        <v>2098.3996020345198</v>
      </c>
      <c r="E155">
        <f>-3.21694269540305</f>
        <v>-3.2169426954030498</v>
      </c>
      <c r="F155" s="5">
        <v>1.69627684597058E-22</v>
      </c>
      <c r="G155" t="s">
        <v>4</v>
      </c>
      <c r="H155">
        <v>225.44535890389</v>
      </c>
      <c r="I155">
        <v>338.93451764574098</v>
      </c>
      <c r="J155">
        <f>0.588716377904416</f>
        <v>0.588716377904416</v>
      </c>
      <c r="K155">
        <v>0.103116142546936</v>
      </c>
      <c r="L155" t="s">
        <v>4</v>
      </c>
      <c r="M155">
        <v>2098.3996020345198</v>
      </c>
      <c r="N155">
        <v>338.93451764574098</v>
      </c>
      <c r="O155">
        <v>2.6282263174986298</v>
      </c>
      <c r="P155" s="5">
        <v>8.4073714908277402E-16</v>
      </c>
      <c r="Q155" t="s">
        <v>4</v>
      </c>
      <c r="R155" s="4" t="s">
        <v>87</v>
      </c>
      <c r="S155" t="s">
        <v>4</v>
      </c>
      <c r="T155" t="s">
        <v>3889</v>
      </c>
      <c r="U155" t="s">
        <v>3890</v>
      </c>
      <c r="V155" t="s">
        <v>3891</v>
      </c>
      <c r="W155" t="s">
        <v>328</v>
      </c>
      <c r="X155" t="s">
        <v>4</v>
      </c>
      <c r="Y155" t="s">
        <v>3892</v>
      </c>
      <c r="Z155" t="s">
        <v>3893</v>
      </c>
      <c r="AA155" t="s">
        <v>3894</v>
      </c>
      <c r="AB155" t="s">
        <v>4</v>
      </c>
      <c r="AC155" s="3" t="s">
        <v>3895</v>
      </c>
      <c r="AD155" t="s">
        <v>4</v>
      </c>
      <c r="AE155" t="s">
        <v>3896</v>
      </c>
      <c r="AF155" t="s">
        <v>3897</v>
      </c>
      <c r="AG155" t="s">
        <v>3898</v>
      </c>
      <c r="AH155" t="s">
        <v>282</v>
      </c>
      <c r="AU155" t="s">
        <v>112</v>
      </c>
      <c r="AV155" t="s">
        <v>3899</v>
      </c>
      <c r="AW155" t="s">
        <v>114</v>
      </c>
      <c r="AX155" t="s">
        <v>132</v>
      </c>
      <c r="AY155" t="s">
        <v>1275</v>
      </c>
      <c r="AZ155" t="s">
        <v>4</v>
      </c>
      <c r="BA155" s="3" t="s">
        <v>95</v>
      </c>
      <c r="BB155" s="6" t="s">
        <v>95</v>
      </c>
      <c r="BC155" s="3" t="s">
        <v>95</v>
      </c>
      <c r="BD155" t="s">
        <v>4</v>
      </c>
      <c r="BE155">
        <v>5400</v>
      </c>
      <c r="BF155" t="s">
        <v>386</v>
      </c>
      <c r="BG155">
        <v>98.378399999999999</v>
      </c>
      <c r="BH155" t="s">
        <v>3900</v>
      </c>
      <c r="BI155">
        <v>94.5946</v>
      </c>
      <c r="BJ155">
        <v>83.423400000000001</v>
      </c>
      <c r="BK155">
        <v>72.072100000000006</v>
      </c>
      <c r="BL155">
        <v>78.558599999999998</v>
      </c>
      <c r="BM155">
        <v>73.873900000000006</v>
      </c>
      <c r="BN155">
        <v>75.495500000000007</v>
      </c>
      <c r="BO155">
        <v>60.720700000000001</v>
      </c>
      <c r="BP155">
        <v>22.7027</v>
      </c>
      <c r="CB155">
        <v>8.1081099999999999</v>
      </c>
      <c r="CC155">
        <v>26.666699999999999</v>
      </c>
      <c r="CD155">
        <v>27.3874</v>
      </c>
      <c r="CF155">
        <v>26.486499999999999</v>
      </c>
      <c r="CK155">
        <v>7</v>
      </c>
      <c r="CL155" t="s">
        <v>4</v>
      </c>
      <c r="CM155" t="s">
        <v>98</v>
      </c>
      <c r="CN155" t="s">
        <v>98</v>
      </c>
      <c r="CO155" t="s">
        <v>99</v>
      </c>
      <c r="CP155" t="s">
        <v>100</v>
      </c>
      <c r="CQ155">
        <v>154</v>
      </c>
      <c r="CR155" t="s">
        <v>100</v>
      </c>
      <c r="CS155" t="s">
        <v>100</v>
      </c>
      <c r="CT155" t="s">
        <v>152</v>
      </c>
      <c r="CU155" t="s">
        <v>102</v>
      </c>
      <c r="CV155" t="s">
        <v>100</v>
      </c>
    </row>
    <row r="156" spans="1:100">
      <c r="A156" s="3" t="s">
        <v>3901</v>
      </c>
      <c r="B156" s="4" t="s">
        <v>3902</v>
      </c>
      <c r="C156">
        <v>358.97628615339198</v>
      </c>
      <c r="D156">
        <v>6887.6242181212801</v>
      </c>
      <c r="E156">
        <f>-4.26149904264752</f>
        <v>-4.2614990426475199</v>
      </c>
      <c r="F156" s="5">
        <v>5.21574872427299E-31</v>
      </c>
      <c r="G156" t="s">
        <v>4</v>
      </c>
      <c r="H156">
        <v>358.97628615339198</v>
      </c>
      <c r="I156">
        <v>305.51594861089399</v>
      </c>
      <c r="J156">
        <v>0.2306976536101</v>
      </c>
      <c r="K156">
        <v>0.59261928514269802</v>
      </c>
      <c r="L156" t="s">
        <v>4</v>
      </c>
      <c r="M156">
        <v>6887.6242181212801</v>
      </c>
      <c r="N156">
        <v>305.51594861089399</v>
      </c>
      <c r="O156">
        <v>4.4921966962576203</v>
      </c>
      <c r="P156" s="5">
        <v>6.4120951977526796E-35</v>
      </c>
      <c r="Q156" t="s">
        <v>4</v>
      </c>
      <c r="R156" s="4" t="s">
        <v>87</v>
      </c>
      <c r="S156" t="s">
        <v>4</v>
      </c>
      <c r="T156" t="s">
        <v>3903</v>
      </c>
      <c r="U156" t="s">
        <v>3904</v>
      </c>
      <c r="V156" t="s">
        <v>3905</v>
      </c>
      <c r="W156" t="s">
        <v>328</v>
      </c>
      <c r="X156" t="s">
        <v>4</v>
      </c>
      <c r="Y156" t="s">
        <v>3906</v>
      </c>
      <c r="Z156" t="s">
        <v>3907</v>
      </c>
      <c r="AA156" t="s">
        <v>3908</v>
      </c>
      <c r="AB156" t="s">
        <v>4</v>
      </c>
      <c r="AC156" s="3" t="s">
        <v>3909</v>
      </c>
      <c r="AD156" t="s">
        <v>4</v>
      </c>
      <c r="AE156" t="s">
        <v>3910</v>
      </c>
      <c r="AF156" t="s">
        <v>834</v>
      </c>
      <c r="AG156" t="s">
        <v>3911</v>
      </c>
      <c r="AH156" t="s">
        <v>112</v>
      </c>
      <c r="AJ156" t="s">
        <v>3912</v>
      </c>
      <c r="AU156" t="s">
        <v>112</v>
      </c>
      <c r="AV156" t="s">
        <v>3913</v>
      </c>
      <c r="AW156" t="s">
        <v>114</v>
      </c>
      <c r="AX156" t="s">
        <v>1907</v>
      </c>
      <c r="AY156" t="s">
        <v>3914</v>
      </c>
      <c r="AZ156" t="s">
        <v>4</v>
      </c>
      <c r="BA156" s="3" t="s">
        <v>115</v>
      </c>
      <c r="BB156" t="s">
        <v>96</v>
      </c>
      <c r="BC156" s="3" t="s">
        <v>95</v>
      </c>
      <c r="BD156" t="s">
        <v>4</v>
      </c>
      <c r="BE156">
        <v>4834</v>
      </c>
      <c r="BF156" t="s">
        <v>282</v>
      </c>
      <c r="BG156">
        <v>98.215900000000005</v>
      </c>
      <c r="BH156">
        <v>43.6218</v>
      </c>
      <c r="BI156" t="s">
        <v>3915</v>
      </c>
      <c r="BJ156">
        <v>79.750200000000007</v>
      </c>
      <c r="BK156">
        <v>73.773399999999995</v>
      </c>
      <c r="BL156">
        <v>20.785</v>
      </c>
      <c r="BM156">
        <v>19.536100000000001</v>
      </c>
      <c r="BN156" t="s">
        <v>3916</v>
      </c>
      <c r="BO156">
        <v>73.505799999999994</v>
      </c>
      <c r="BP156">
        <v>49.955399999999997</v>
      </c>
      <c r="BQ156">
        <v>37.555799999999998</v>
      </c>
      <c r="BR156">
        <v>40.410299999999999</v>
      </c>
      <c r="BS156">
        <v>39.429099999999998</v>
      </c>
      <c r="BT156">
        <v>35.147199999999998</v>
      </c>
      <c r="BU156">
        <v>38.180199999999999</v>
      </c>
      <c r="BV156" t="s">
        <v>3917</v>
      </c>
      <c r="BW156">
        <v>36.663699999999999</v>
      </c>
      <c r="BX156">
        <v>43.443399999999997</v>
      </c>
      <c r="BY156">
        <v>20.695799999999998</v>
      </c>
      <c r="CA156">
        <v>40.588799999999999</v>
      </c>
      <c r="CB156">
        <v>29.259599999999999</v>
      </c>
      <c r="CC156" t="s">
        <v>3918</v>
      </c>
      <c r="CK156">
        <v>6</v>
      </c>
      <c r="CL156" t="s">
        <v>4</v>
      </c>
      <c r="CM156" t="s">
        <v>3919</v>
      </c>
      <c r="CN156" t="s">
        <v>3920</v>
      </c>
      <c r="CO156" t="s">
        <v>1218</v>
      </c>
      <c r="CP156" t="s">
        <v>100</v>
      </c>
      <c r="CQ156">
        <v>155</v>
      </c>
      <c r="CR156" t="s">
        <v>100</v>
      </c>
      <c r="CS156" t="s">
        <v>100</v>
      </c>
      <c r="CT156" t="s">
        <v>152</v>
      </c>
      <c r="CU156" t="s">
        <v>102</v>
      </c>
      <c r="CV156" t="s">
        <v>100</v>
      </c>
    </row>
    <row r="157" spans="1:100">
      <c r="A157" s="3" t="s">
        <v>3921</v>
      </c>
      <c r="B157" s="4" t="s">
        <v>3922</v>
      </c>
      <c r="C157">
        <v>63.018037875632999</v>
      </c>
      <c r="D157">
        <v>349.28739461020501</v>
      </c>
      <c r="E157">
        <f>-2.46415127843285</f>
        <v>-2.4641512784328499</v>
      </c>
      <c r="F157" s="5">
        <v>1.2048732719287501E-20</v>
      </c>
      <c r="G157" t="s">
        <v>4</v>
      </c>
      <c r="H157">
        <v>63.018037875632999</v>
      </c>
      <c r="I157">
        <v>85.7291560213651</v>
      </c>
      <c r="J157">
        <f>0.422941351148124</f>
        <v>0.42294135114812398</v>
      </c>
      <c r="K157">
        <v>0.17161088074442099</v>
      </c>
      <c r="L157" t="s">
        <v>4</v>
      </c>
      <c r="M157">
        <v>349.28739461020501</v>
      </c>
      <c r="N157">
        <v>85.7291560213651</v>
      </c>
      <c r="O157">
        <v>2.0412099272847199</v>
      </c>
      <c r="P157" s="5">
        <v>2.5455915001820501E-14</v>
      </c>
      <c r="Q157" t="s">
        <v>4</v>
      </c>
      <c r="R157" s="4" t="s">
        <v>87</v>
      </c>
      <c r="S157" t="s">
        <v>4</v>
      </c>
      <c r="T157" t="s">
        <v>88</v>
      </c>
      <c r="U157" t="s">
        <v>89</v>
      </c>
      <c r="V157" t="s">
        <v>90</v>
      </c>
      <c r="W157" t="s">
        <v>91</v>
      </c>
      <c r="X157" t="s">
        <v>4</v>
      </c>
      <c r="Y157" t="s">
        <v>92</v>
      </c>
      <c r="Z157" t="s">
        <v>92</v>
      </c>
      <c r="AA157" t="s">
        <v>92</v>
      </c>
      <c r="AB157" t="s">
        <v>4</v>
      </c>
      <c r="AC157" s="3" t="s">
        <v>3923</v>
      </c>
      <c r="AD157" t="s">
        <v>4</v>
      </c>
      <c r="AE157" s="4" t="s">
        <v>94</v>
      </c>
      <c r="AZ157" t="s">
        <v>4</v>
      </c>
      <c r="BA157" s="3" t="s">
        <v>95</v>
      </c>
      <c r="BB157" t="s">
        <v>96</v>
      </c>
      <c r="BC157" s="3" t="s">
        <v>197</v>
      </c>
      <c r="BD157" t="s">
        <v>4</v>
      </c>
      <c r="BE157">
        <v>2509</v>
      </c>
      <c r="BF157" t="s">
        <v>97</v>
      </c>
      <c r="BG157">
        <v>82.8125</v>
      </c>
      <c r="BH157">
        <v>96.093800000000002</v>
      </c>
      <c r="BI157" t="s">
        <v>3924</v>
      </c>
      <c r="BJ157">
        <v>75.781199999999998</v>
      </c>
      <c r="BK157">
        <v>72.656199999999998</v>
      </c>
      <c r="BM157">
        <v>51.5625</v>
      </c>
      <c r="BN157">
        <v>52.343800000000002</v>
      </c>
      <c r="BP157">
        <v>16.406199999999998</v>
      </c>
      <c r="CK157">
        <v>4</v>
      </c>
      <c r="CL157" t="s">
        <v>4</v>
      </c>
      <c r="CM157" t="s">
        <v>98</v>
      </c>
      <c r="CN157" t="s">
        <v>98</v>
      </c>
      <c r="CO157" t="s">
        <v>99</v>
      </c>
      <c r="CP157" t="s">
        <v>100</v>
      </c>
      <c r="CQ157">
        <v>156</v>
      </c>
      <c r="CR157" t="s">
        <v>100</v>
      </c>
      <c r="CS157" t="s">
        <v>100</v>
      </c>
      <c r="CT157" t="s">
        <v>152</v>
      </c>
      <c r="CU157" t="s">
        <v>102</v>
      </c>
      <c r="CV157" t="s">
        <v>100</v>
      </c>
    </row>
    <row r="158" spans="1:100">
      <c r="A158" s="3" t="s">
        <v>3925</v>
      </c>
      <c r="B158" s="4" t="s">
        <v>3926</v>
      </c>
      <c r="C158">
        <v>1490.77923985751</v>
      </c>
      <c r="D158">
        <v>12932.5463218886</v>
      </c>
      <c r="E158">
        <f>-3.11671005297255</f>
        <v>-3.1167100529725502</v>
      </c>
      <c r="F158" s="5">
        <v>3.6285129879104398E-19</v>
      </c>
      <c r="G158" t="s">
        <v>4</v>
      </c>
      <c r="H158">
        <v>1490.77923985751</v>
      </c>
      <c r="I158">
        <v>1108.10864093031</v>
      </c>
      <c r="J158">
        <v>0.42851378799701201</v>
      </c>
      <c r="K158">
        <v>0.26496440566171803</v>
      </c>
      <c r="L158" t="s">
        <v>4</v>
      </c>
      <c r="M158">
        <v>12932.5463218886</v>
      </c>
      <c r="N158">
        <v>1108.10864093031</v>
      </c>
      <c r="O158">
        <v>3.54522384096957</v>
      </c>
      <c r="P158" s="5">
        <v>2.92859591335063E-25</v>
      </c>
      <c r="Q158" t="s">
        <v>4</v>
      </c>
      <c r="R158" s="4" t="s">
        <v>87</v>
      </c>
      <c r="S158" t="s">
        <v>4</v>
      </c>
      <c r="T158" t="s">
        <v>92</v>
      </c>
      <c r="U158" t="s">
        <v>92</v>
      </c>
      <c r="V158" t="s">
        <v>92</v>
      </c>
      <c r="W158" t="s">
        <v>92</v>
      </c>
      <c r="X158" t="s">
        <v>4</v>
      </c>
      <c r="Y158" t="s">
        <v>3927</v>
      </c>
      <c r="Z158" t="s">
        <v>3928</v>
      </c>
      <c r="AA158" t="s">
        <v>3929</v>
      </c>
      <c r="AB158" t="s">
        <v>4</v>
      </c>
      <c r="AC158" s="3" t="s">
        <v>3930</v>
      </c>
      <c r="AD158" t="s">
        <v>4</v>
      </c>
      <c r="AE158" t="s">
        <v>3931</v>
      </c>
      <c r="AF158" t="s">
        <v>3932</v>
      </c>
      <c r="AG158" t="s">
        <v>3933</v>
      </c>
      <c r="AH158" t="s">
        <v>112</v>
      </c>
      <c r="AL158" t="s">
        <v>3934</v>
      </c>
      <c r="AM158" t="s">
        <v>3935</v>
      </c>
      <c r="AQ158" t="s">
        <v>879</v>
      </c>
      <c r="AU158" t="s">
        <v>112</v>
      </c>
      <c r="AV158" t="s">
        <v>3936</v>
      </c>
      <c r="AW158" t="s">
        <v>114</v>
      </c>
      <c r="AX158" t="s">
        <v>132</v>
      </c>
      <c r="AY158" t="s">
        <v>3937</v>
      </c>
      <c r="AZ158" t="s">
        <v>4</v>
      </c>
      <c r="BA158" s="3" t="s">
        <v>95</v>
      </c>
      <c r="BB158" s="6" t="s">
        <v>95</v>
      </c>
      <c r="BC158" s="3" t="s">
        <v>95</v>
      </c>
      <c r="BD158" t="s">
        <v>4</v>
      </c>
      <c r="BE158">
        <v>8871</v>
      </c>
      <c r="BF158" t="s">
        <v>169</v>
      </c>
      <c r="BG158">
        <v>75</v>
      </c>
      <c r="BH158">
        <v>100</v>
      </c>
      <c r="BI158">
        <v>84.693899999999999</v>
      </c>
      <c r="BJ158">
        <v>84.183700000000002</v>
      </c>
      <c r="BK158">
        <v>77.551000000000002</v>
      </c>
      <c r="BL158">
        <v>80.102000000000004</v>
      </c>
      <c r="BM158">
        <v>80.612200000000001</v>
      </c>
      <c r="BN158">
        <v>79.591800000000006</v>
      </c>
      <c r="BO158">
        <v>79.081599999999995</v>
      </c>
      <c r="BQ158">
        <v>35.204099999999997</v>
      </c>
      <c r="BR158">
        <v>35.714300000000001</v>
      </c>
      <c r="BS158">
        <v>34.693899999999999</v>
      </c>
      <c r="BX158">
        <v>38.775500000000001</v>
      </c>
      <c r="BY158">
        <v>40.816299999999998</v>
      </c>
      <c r="CA158">
        <v>37.755099999999999</v>
      </c>
      <c r="CE158">
        <v>34.183700000000002</v>
      </c>
      <c r="CF158">
        <v>31.6327</v>
      </c>
      <c r="CK158">
        <v>9</v>
      </c>
      <c r="CL158" t="s">
        <v>4</v>
      </c>
      <c r="CM158" t="s">
        <v>3938</v>
      </c>
      <c r="CN158" t="s">
        <v>3939</v>
      </c>
      <c r="CO158" t="s">
        <v>219</v>
      </c>
      <c r="CP158" t="s">
        <v>100</v>
      </c>
      <c r="CQ158">
        <v>157</v>
      </c>
      <c r="CR158" t="s">
        <v>100</v>
      </c>
      <c r="CS158" t="s">
        <v>100</v>
      </c>
      <c r="CT158" t="s">
        <v>152</v>
      </c>
      <c r="CU158" t="s">
        <v>102</v>
      </c>
      <c r="CV158" t="s">
        <v>100</v>
      </c>
    </row>
    <row r="159" spans="1:100">
      <c r="A159" s="3" t="s">
        <v>3940</v>
      </c>
      <c r="B159" s="4" t="s">
        <v>3941</v>
      </c>
      <c r="C159">
        <v>188.665469522291</v>
      </c>
      <c r="D159">
        <v>2201.59619720418</v>
      </c>
      <c r="E159">
        <f>-3.54414354996355</f>
        <v>-3.5441435499635499</v>
      </c>
      <c r="F159" s="5">
        <v>1.26119772644878E-15</v>
      </c>
      <c r="G159" t="s">
        <v>4</v>
      </c>
      <c r="H159">
        <v>188.665469522291</v>
      </c>
      <c r="I159">
        <v>489.65704941125301</v>
      </c>
      <c r="J159">
        <f>-1.37467941326056</f>
        <v>-1.37467941326056</v>
      </c>
      <c r="K159">
        <v>2.8668934366312799E-3</v>
      </c>
      <c r="L159" t="s">
        <v>4</v>
      </c>
      <c r="M159">
        <v>2201.59619720418</v>
      </c>
      <c r="N159">
        <v>489.65704941125301</v>
      </c>
      <c r="O159">
        <v>2.1694641367030001</v>
      </c>
      <c r="P159" s="5">
        <v>8.4006171718975301E-7</v>
      </c>
      <c r="Q159" t="s">
        <v>4</v>
      </c>
      <c r="R159" s="4" t="s">
        <v>87</v>
      </c>
      <c r="S159" t="s">
        <v>4</v>
      </c>
      <c r="T159" t="s">
        <v>3942</v>
      </c>
      <c r="U159" t="s">
        <v>3943</v>
      </c>
      <c r="V159" t="s">
        <v>3944</v>
      </c>
      <c r="W159" t="s">
        <v>203</v>
      </c>
      <c r="X159" t="s">
        <v>4</v>
      </c>
      <c r="Y159" t="s">
        <v>3945</v>
      </c>
      <c r="Z159" t="s">
        <v>3946</v>
      </c>
      <c r="AA159" t="s">
        <v>3947</v>
      </c>
      <c r="AB159" t="s">
        <v>4</v>
      </c>
      <c r="AC159" s="3" t="s">
        <v>3948</v>
      </c>
      <c r="AD159" t="s">
        <v>4</v>
      </c>
      <c r="AE159" t="s">
        <v>3949</v>
      </c>
      <c r="AF159" t="s">
        <v>3950</v>
      </c>
      <c r="AG159" t="s">
        <v>3951</v>
      </c>
      <c r="AH159" t="s">
        <v>112</v>
      </c>
      <c r="AJ159" t="s">
        <v>3952</v>
      </c>
      <c r="AK159" t="s">
        <v>3953</v>
      </c>
      <c r="AL159" t="s">
        <v>3954</v>
      </c>
      <c r="AM159" t="s">
        <v>3955</v>
      </c>
      <c r="AO159" t="s">
        <v>3664</v>
      </c>
      <c r="AP159" t="s">
        <v>3665</v>
      </c>
      <c r="AQ159" t="s">
        <v>342</v>
      </c>
      <c r="AU159" t="s">
        <v>112</v>
      </c>
      <c r="AV159" t="s">
        <v>3956</v>
      </c>
      <c r="AW159" t="s">
        <v>114</v>
      </c>
      <c r="AX159" t="s">
        <v>132</v>
      </c>
      <c r="AY159" t="s">
        <v>3957</v>
      </c>
      <c r="AZ159" t="s">
        <v>4</v>
      </c>
      <c r="BA159" s="3" t="s">
        <v>95</v>
      </c>
      <c r="BB159" s="6" t="s">
        <v>95</v>
      </c>
      <c r="BC159" s="3" t="s">
        <v>95</v>
      </c>
      <c r="BD159" t="s">
        <v>4</v>
      </c>
      <c r="BE159">
        <v>6337</v>
      </c>
      <c r="BF159" t="s">
        <v>213</v>
      </c>
      <c r="BG159">
        <v>19.937200000000001</v>
      </c>
      <c r="BH159">
        <v>36.1068</v>
      </c>
      <c r="BI159">
        <v>77.394000000000005</v>
      </c>
      <c r="BJ159">
        <v>73.7834</v>
      </c>
      <c r="BL159">
        <v>30.612200000000001</v>
      </c>
      <c r="BM159">
        <v>62.480400000000003</v>
      </c>
      <c r="BN159">
        <v>67.19</v>
      </c>
      <c r="BO159" t="s">
        <v>3958</v>
      </c>
      <c r="BP159">
        <v>56.985900000000001</v>
      </c>
      <c r="BQ159">
        <v>35.1648</v>
      </c>
      <c r="BR159">
        <v>46.781799999999997</v>
      </c>
      <c r="BS159">
        <v>48.194699999999997</v>
      </c>
      <c r="BU159">
        <v>41.601300000000002</v>
      </c>
      <c r="BV159" t="s">
        <v>3959</v>
      </c>
      <c r="BW159">
        <v>37.048699999999997</v>
      </c>
      <c r="BX159">
        <v>47.566699999999997</v>
      </c>
      <c r="BY159">
        <v>36.734699999999997</v>
      </c>
      <c r="BZ159">
        <v>42.229199999999999</v>
      </c>
      <c r="CA159">
        <v>43.171100000000003</v>
      </c>
      <c r="CB159" t="s">
        <v>3960</v>
      </c>
      <c r="CC159">
        <v>26.5306</v>
      </c>
      <c r="CD159">
        <v>28.414400000000001</v>
      </c>
      <c r="CG159" t="s">
        <v>3961</v>
      </c>
      <c r="CH159" t="s">
        <v>3962</v>
      </c>
      <c r="CI159" t="s">
        <v>3963</v>
      </c>
      <c r="CK159">
        <v>8</v>
      </c>
      <c r="CL159" t="s">
        <v>4</v>
      </c>
      <c r="CM159" t="s">
        <v>3964</v>
      </c>
      <c r="CN159" t="s">
        <v>3965</v>
      </c>
      <c r="CO159" t="s">
        <v>1218</v>
      </c>
      <c r="CP159" t="s">
        <v>100</v>
      </c>
      <c r="CQ159">
        <v>158</v>
      </c>
      <c r="CR159" t="s">
        <v>100</v>
      </c>
      <c r="CS159" t="s">
        <v>100</v>
      </c>
      <c r="CT159" t="s">
        <v>152</v>
      </c>
      <c r="CU159" t="s">
        <v>102</v>
      </c>
      <c r="CV159" t="s">
        <v>100</v>
      </c>
    </row>
    <row r="160" spans="1:100">
      <c r="A160" s="9" t="s">
        <v>3966</v>
      </c>
      <c r="B160" s="4" t="s">
        <v>3967</v>
      </c>
      <c r="C160">
        <v>1924.4403032841601</v>
      </c>
      <c r="D160">
        <v>8378.3347119217506</v>
      </c>
      <c r="E160">
        <f>-2.1222713440452</f>
        <v>-2.1222713440451999</v>
      </c>
      <c r="F160" s="5">
        <v>4.9533357482846102E-23</v>
      </c>
      <c r="G160" t="s">
        <v>4</v>
      </c>
      <c r="H160">
        <v>1924.4403032841601</v>
      </c>
      <c r="I160">
        <v>526.36796118867801</v>
      </c>
      <c r="J160">
        <v>1.86942986111075</v>
      </c>
      <c r="K160" s="5">
        <v>7.5380129010597395E-18</v>
      </c>
      <c r="L160" t="s">
        <v>4</v>
      </c>
      <c r="M160">
        <v>8378.3347119217506</v>
      </c>
      <c r="N160">
        <v>526.36796118867801</v>
      </c>
      <c r="O160">
        <v>3.9917012051559499</v>
      </c>
      <c r="P160" s="5">
        <v>1.47330658272547E-78</v>
      </c>
      <c r="Q160" t="s">
        <v>4</v>
      </c>
      <c r="R160" s="4" t="s">
        <v>87</v>
      </c>
      <c r="S160" t="s">
        <v>4</v>
      </c>
      <c r="T160" t="s">
        <v>3968</v>
      </c>
      <c r="U160" t="s">
        <v>3969</v>
      </c>
      <c r="V160" t="s">
        <v>3970</v>
      </c>
      <c r="W160" t="s">
        <v>328</v>
      </c>
      <c r="X160" t="s">
        <v>4</v>
      </c>
      <c r="Y160" t="s">
        <v>3971</v>
      </c>
      <c r="Z160" t="s">
        <v>3972</v>
      </c>
      <c r="AA160" t="s">
        <v>3973</v>
      </c>
      <c r="AB160" t="s">
        <v>4</v>
      </c>
      <c r="AC160" s="3" t="s">
        <v>3974</v>
      </c>
      <c r="AD160" t="s">
        <v>4</v>
      </c>
      <c r="AE160" s="4" t="s">
        <v>94</v>
      </c>
      <c r="AZ160" t="s">
        <v>4</v>
      </c>
      <c r="BA160" s="3" t="s">
        <v>115</v>
      </c>
      <c r="BB160" s="6" t="s">
        <v>95</v>
      </c>
      <c r="BC160" s="3" t="s">
        <v>197</v>
      </c>
      <c r="BD160" t="s">
        <v>4</v>
      </c>
      <c r="BE160">
        <v>6361</v>
      </c>
      <c r="BF160" t="s">
        <v>213</v>
      </c>
      <c r="BG160">
        <v>50.798299999999998</v>
      </c>
      <c r="BH160">
        <v>21.703099999999999</v>
      </c>
      <c r="BI160">
        <v>44.293300000000002</v>
      </c>
      <c r="BJ160">
        <v>76.404499999999999</v>
      </c>
      <c r="BK160">
        <v>44.766399999999997</v>
      </c>
      <c r="BM160">
        <v>14.251899999999999</v>
      </c>
      <c r="BN160">
        <v>71.318700000000007</v>
      </c>
      <c r="BO160">
        <v>82.1999</v>
      </c>
      <c r="BP160" t="s">
        <v>3975</v>
      </c>
      <c r="BQ160">
        <v>20.283899999999999</v>
      </c>
      <c r="BR160" t="s">
        <v>3976</v>
      </c>
      <c r="BT160" t="s">
        <v>3977</v>
      </c>
      <c r="BV160">
        <v>12.0639</v>
      </c>
      <c r="BW160" t="s">
        <v>3978</v>
      </c>
      <c r="BX160" t="s">
        <v>3979</v>
      </c>
      <c r="BZ160" t="s">
        <v>3980</v>
      </c>
      <c r="CA160">
        <v>23.2407</v>
      </c>
      <c r="CB160">
        <v>21.289200000000001</v>
      </c>
      <c r="CC160">
        <v>31.578900000000001</v>
      </c>
      <c r="CD160" t="s">
        <v>3981</v>
      </c>
      <c r="CE160">
        <v>22.826699999999999</v>
      </c>
      <c r="CF160">
        <v>33.589599999999997</v>
      </c>
      <c r="CG160" t="s">
        <v>3982</v>
      </c>
      <c r="CI160">
        <v>7.2146699999999999</v>
      </c>
      <c r="CK160">
        <v>8</v>
      </c>
      <c r="CL160" t="s">
        <v>4</v>
      </c>
      <c r="CM160" t="s">
        <v>3983</v>
      </c>
      <c r="CN160" t="s">
        <v>3984</v>
      </c>
      <c r="CO160" t="s">
        <v>219</v>
      </c>
      <c r="CP160" t="s">
        <v>100</v>
      </c>
      <c r="CQ160">
        <v>159</v>
      </c>
      <c r="CR160" t="s">
        <v>100</v>
      </c>
      <c r="CS160" s="7" t="s">
        <v>101</v>
      </c>
      <c r="CT160" t="s">
        <v>152</v>
      </c>
      <c r="CU160" t="s">
        <v>102</v>
      </c>
      <c r="CV160" t="s">
        <v>100</v>
      </c>
    </row>
    <row r="161" spans="1:100">
      <c r="A161" s="3" t="s">
        <v>3985</v>
      </c>
      <c r="B161" s="4" t="s">
        <v>3986</v>
      </c>
      <c r="C161">
        <v>339.82455347758503</v>
      </c>
      <c r="D161">
        <v>1757.6957428922101</v>
      </c>
      <c r="E161">
        <f>-2.37105750855394</f>
        <v>-2.3710575085539398</v>
      </c>
      <c r="F161" s="5">
        <v>1.5992874126394999E-21</v>
      </c>
      <c r="G161" t="s">
        <v>4</v>
      </c>
      <c r="H161">
        <v>339.82455347758503</v>
      </c>
      <c r="I161">
        <v>224.597042706313</v>
      </c>
      <c r="J161">
        <v>0.60637302951586802</v>
      </c>
      <c r="K161">
        <v>2.65439273129277E-2</v>
      </c>
      <c r="L161" t="s">
        <v>4</v>
      </c>
      <c r="M161">
        <v>1757.6957428922101</v>
      </c>
      <c r="N161">
        <v>224.597042706313</v>
      </c>
      <c r="O161">
        <v>2.9774305380698101</v>
      </c>
      <c r="P161" s="5">
        <v>7.4867841102923604E-33</v>
      </c>
      <c r="Q161" t="s">
        <v>4</v>
      </c>
      <c r="R161" s="4" t="s">
        <v>87</v>
      </c>
      <c r="S161" t="s">
        <v>4</v>
      </c>
      <c r="T161" t="s">
        <v>3987</v>
      </c>
      <c r="U161" t="s">
        <v>3988</v>
      </c>
      <c r="V161" t="s">
        <v>3989</v>
      </c>
      <c r="W161" t="s">
        <v>328</v>
      </c>
      <c r="X161" t="s">
        <v>4</v>
      </c>
      <c r="Y161" t="s">
        <v>3990</v>
      </c>
      <c r="Z161" t="s">
        <v>3991</v>
      </c>
      <c r="AA161" t="s">
        <v>3992</v>
      </c>
      <c r="AB161" t="s">
        <v>4</v>
      </c>
      <c r="AC161" s="3" t="s">
        <v>3993</v>
      </c>
      <c r="AD161" t="s">
        <v>4</v>
      </c>
      <c r="AE161" t="s">
        <v>3994</v>
      </c>
      <c r="AF161" t="s">
        <v>3995</v>
      </c>
      <c r="AG161" t="s">
        <v>3996</v>
      </c>
      <c r="AH161" t="s">
        <v>112</v>
      </c>
      <c r="AJ161" t="s">
        <v>3997</v>
      </c>
      <c r="AL161" t="s">
        <v>3998</v>
      </c>
      <c r="AQ161" t="s">
        <v>3999</v>
      </c>
      <c r="AU161" t="s">
        <v>112</v>
      </c>
      <c r="AV161" t="s">
        <v>4000</v>
      </c>
      <c r="AW161" t="s">
        <v>114</v>
      </c>
      <c r="AX161" t="s">
        <v>371</v>
      </c>
      <c r="AY161" t="s">
        <v>4001</v>
      </c>
      <c r="AZ161" t="s">
        <v>4</v>
      </c>
      <c r="BA161" s="3" t="s">
        <v>115</v>
      </c>
      <c r="BB161" s="6" t="s">
        <v>95</v>
      </c>
      <c r="BC161" s="3" t="s">
        <v>95</v>
      </c>
      <c r="BD161" t="s">
        <v>4</v>
      </c>
      <c r="BE161">
        <v>4840</v>
      </c>
      <c r="BF161" t="s">
        <v>282</v>
      </c>
      <c r="BG161">
        <v>97.969499999999996</v>
      </c>
      <c r="BH161">
        <v>99.492400000000004</v>
      </c>
      <c r="BI161">
        <v>93.400999999999996</v>
      </c>
      <c r="BJ161">
        <v>80.710700000000003</v>
      </c>
      <c r="BK161">
        <v>70.050799999999995</v>
      </c>
      <c r="BL161">
        <v>80.710700000000003</v>
      </c>
      <c r="BM161">
        <v>80.203000000000003</v>
      </c>
      <c r="BN161">
        <v>82.741100000000003</v>
      </c>
      <c r="BO161">
        <v>73.096400000000003</v>
      </c>
      <c r="BR161">
        <v>30.964500000000001</v>
      </c>
      <c r="BT161" t="s">
        <v>4002</v>
      </c>
      <c r="BU161">
        <v>37.563499999999998</v>
      </c>
      <c r="BV161" t="s">
        <v>4003</v>
      </c>
      <c r="BW161">
        <v>37.055799999999998</v>
      </c>
      <c r="BX161">
        <v>40.101500000000001</v>
      </c>
      <c r="BY161">
        <v>32.994900000000001</v>
      </c>
      <c r="BZ161">
        <v>27.918800000000001</v>
      </c>
      <c r="CA161">
        <v>35.025399999999998</v>
      </c>
      <c r="CF161">
        <v>33.502499999999998</v>
      </c>
      <c r="CG161" t="s">
        <v>4004</v>
      </c>
      <c r="CH161" t="s">
        <v>4005</v>
      </c>
      <c r="CI161" t="s">
        <v>4006</v>
      </c>
      <c r="CK161">
        <v>6</v>
      </c>
      <c r="CL161" t="s">
        <v>4</v>
      </c>
      <c r="CM161" t="s">
        <v>4007</v>
      </c>
      <c r="CN161" t="s">
        <v>4008</v>
      </c>
      <c r="CO161" t="s">
        <v>219</v>
      </c>
      <c r="CP161" t="s">
        <v>100</v>
      </c>
      <c r="CQ161">
        <v>160</v>
      </c>
      <c r="CR161" t="s">
        <v>100</v>
      </c>
      <c r="CS161" t="s">
        <v>100</v>
      </c>
      <c r="CT161" t="s">
        <v>152</v>
      </c>
      <c r="CU161" t="s">
        <v>102</v>
      </c>
      <c r="CV161" t="s">
        <v>100</v>
      </c>
    </row>
    <row r="162" spans="1:100">
      <c r="A162" s="3" t="s">
        <v>4009</v>
      </c>
      <c r="B162" s="4" t="s">
        <v>4010</v>
      </c>
      <c r="C162">
        <v>37.881894632480197</v>
      </c>
      <c r="D162">
        <v>246.82488110489899</v>
      </c>
      <c r="E162">
        <f>-2.69651598006277</f>
        <v>-2.6965159800627698</v>
      </c>
      <c r="F162" s="5">
        <v>3.4302193343929798E-8</v>
      </c>
      <c r="G162" t="s">
        <v>4</v>
      </c>
      <c r="H162">
        <v>37.881894632480197</v>
      </c>
      <c r="I162">
        <v>56.426578261396998</v>
      </c>
      <c r="J162">
        <f>0.567311955954896</f>
        <v>0.56731195595489603</v>
      </c>
      <c r="K162">
        <v>0.29808183920193698</v>
      </c>
      <c r="L162" t="s">
        <v>4</v>
      </c>
      <c r="M162">
        <v>246.82488110489899</v>
      </c>
      <c r="N162">
        <v>56.426578261396998</v>
      </c>
      <c r="O162">
        <v>2.12920402410787</v>
      </c>
      <c r="P162" s="5">
        <v>1.1092222189938199E-5</v>
      </c>
      <c r="Q162" t="s">
        <v>4</v>
      </c>
      <c r="R162" s="4" t="s">
        <v>87</v>
      </c>
      <c r="S162" t="s">
        <v>4</v>
      </c>
      <c r="T162" t="s">
        <v>4011</v>
      </c>
      <c r="U162" t="s">
        <v>4012</v>
      </c>
      <c r="V162" t="s">
        <v>4013</v>
      </c>
      <c r="W162" t="s">
        <v>328</v>
      </c>
      <c r="X162" t="s">
        <v>4</v>
      </c>
      <c r="Y162" t="s">
        <v>4014</v>
      </c>
      <c r="Z162" t="s">
        <v>4015</v>
      </c>
      <c r="AA162" t="s">
        <v>4016</v>
      </c>
      <c r="AB162" t="s">
        <v>4</v>
      </c>
      <c r="AC162" s="3" t="s">
        <v>4017</v>
      </c>
      <c r="AD162" t="s">
        <v>4</v>
      </c>
      <c r="AE162" t="s">
        <v>4018</v>
      </c>
      <c r="AF162" t="s">
        <v>4019</v>
      </c>
      <c r="AG162" t="s">
        <v>4020</v>
      </c>
      <c r="AH162" t="s">
        <v>112</v>
      </c>
      <c r="AL162" t="s">
        <v>4021</v>
      </c>
      <c r="AQ162" t="s">
        <v>4022</v>
      </c>
      <c r="AR162" t="s">
        <v>4023</v>
      </c>
      <c r="AU162" t="s">
        <v>112</v>
      </c>
      <c r="AV162" t="s">
        <v>4024</v>
      </c>
      <c r="AW162" t="s">
        <v>114</v>
      </c>
      <c r="AX162" t="s">
        <v>909</v>
      </c>
      <c r="AY162" t="s">
        <v>4025</v>
      </c>
      <c r="AZ162" t="s">
        <v>4</v>
      </c>
      <c r="BA162" s="3" t="s">
        <v>95</v>
      </c>
      <c r="BB162" t="s">
        <v>96</v>
      </c>
      <c r="BC162" s="3" t="s">
        <v>95</v>
      </c>
      <c r="BD162" t="s">
        <v>4</v>
      </c>
      <c r="BE162">
        <v>6378</v>
      </c>
      <c r="BF162" t="s">
        <v>213</v>
      </c>
      <c r="BG162">
        <v>89.613</v>
      </c>
      <c r="BH162">
        <v>62.525500000000001</v>
      </c>
      <c r="BI162">
        <v>82.484700000000004</v>
      </c>
      <c r="BJ162">
        <v>81.873699999999999</v>
      </c>
      <c r="BK162">
        <v>84.5214</v>
      </c>
      <c r="BL162">
        <v>84.114099999999993</v>
      </c>
      <c r="BM162">
        <v>84.114099999999993</v>
      </c>
      <c r="BN162">
        <v>93.278999999999996</v>
      </c>
      <c r="BO162">
        <v>74.949100000000001</v>
      </c>
      <c r="BP162">
        <v>54.378799999999998</v>
      </c>
      <c r="BQ162" t="s">
        <v>4026</v>
      </c>
      <c r="BS162">
        <v>42.566200000000002</v>
      </c>
      <c r="BT162">
        <v>40.529499999999999</v>
      </c>
      <c r="BV162" t="s">
        <v>4027</v>
      </c>
      <c r="BW162" t="s">
        <v>4028</v>
      </c>
      <c r="BX162">
        <v>44.195500000000003</v>
      </c>
      <c r="BY162" t="s">
        <v>4029</v>
      </c>
      <c r="BZ162">
        <v>17.5153</v>
      </c>
      <c r="CA162">
        <v>43.380899999999997</v>
      </c>
      <c r="CF162">
        <v>35.234200000000001</v>
      </c>
      <c r="CG162" t="s">
        <v>4030</v>
      </c>
      <c r="CH162" t="s">
        <v>4031</v>
      </c>
      <c r="CI162" t="s">
        <v>4032</v>
      </c>
      <c r="CK162">
        <v>8</v>
      </c>
      <c r="CL162" t="s">
        <v>4</v>
      </c>
      <c r="CM162" t="s">
        <v>4033</v>
      </c>
      <c r="CN162" t="s">
        <v>4034</v>
      </c>
      <c r="CO162" t="s">
        <v>663</v>
      </c>
      <c r="CP162" t="s">
        <v>100</v>
      </c>
      <c r="CQ162">
        <v>161</v>
      </c>
      <c r="CR162" t="s">
        <v>100</v>
      </c>
      <c r="CS162" t="s">
        <v>100</v>
      </c>
      <c r="CT162" t="s">
        <v>152</v>
      </c>
      <c r="CU162" t="s">
        <v>102</v>
      </c>
      <c r="CV162" t="s">
        <v>100</v>
      </c>
    </row>
    <row r="163" spans="1:100">
      <c r="A163" s="3" t="s">
        <v>4035</v>
      </c>
      <c r="B163" s="4" t="s">
        <v>4036</v>
      </c>
      <c r="C163">
        <v>393.47355925278799</v>
      </c>
      <c r="D163">
        <v>5402.7636270721396</v>
      </c>
      <c r="E163">
        <f>-3.7790282197515</f>
        <v>-3.7790282197514999</v>
      </c>
      <c r="F163" s="5">
        <v>9.6109008941022702E-11</v>
      </c>
      <c r="G163" t="s">
        <v>4</v>
      </c>
      <c r="H163">
        <v>393.47355925278799</v>
      </c>
      <c r="I163">
        <v>447.32399884882102</v>
      </c>
      <c r="J163">
        <f>0.18396810196991</f>
        <v>0.18396810196991001</v>
      </c>
      <c r="K163">
        <v>0.78692795632207302</v>
      </c>
      <c r="L163" t="s">
        <v>4</v>
      </c>
      <c r="M163">
        <v>5402.7636270721396</v>
      </c>
      <c r="N163">
        <v>447.32399884882102</v>
      </c>
      <c r="O163">
        <v>3.59506011778159</v>
      </c>
      <c r="P163" s="5">
        <v>3.07980876419244E-10</v>
      </c>
      <c r="Q163" t="s">
        <v>4</v>
      </c>
      <c r="R163" s="4" t="s">
        <v>87</v>
      </c>
      <c r="S163" t="s">
        <v>4</v>
      </c>
      <c r="T163" t="s">
        <v>4037</v>
      </c>
      <c r="U163" t="s">
        <v>4038</v>
      </c>
      <c r="V163" t="s">
        <v>4039</v>
      </c>
      <c r="W163" t="s">
        <v>4040</v>
      </c>
      <c r="X163" t="s">
        <v>4</v>
      </c>
      <c r="Y163" t="s">
        <v>4041</v>
      </c>
      <c r="Z163" t="s">
        <v>4042</v>
      </c>
      <c r="AA163" t="s">
        <v>4042</v>
      </c>
      <c r="AB163" t="s">
        <v>4</v>
      </c>
      <c r="AC163" s="3" t="s">
        <v>4043</v>
      </c>
      <c r="AD163" t="s">
        <v>4</v>
      </c>
      <c r="AE163" t="s">
        <v>4044</v>
      </c>
      <c r="AF163" t="s">
        <v>4045</v>
      </c>
      <c r="AG163" t="s">
        <v>4046</v>
      </c>
      <c r="AH163" t="s">
        <v>112</v>
      </c>
      <c r="AJ163" t="s">
        <v>4047</v>
      </c>
      <c r="AL163" t="s">
        <v>4048</v>
      </c>
      <c r="AQ163" t="s">
        <v>1693</v>
      </c>
      <c r="AR163" t="s">
        <v>4049</v>
      </c>
      <c r="AU163" t="s">
        <v>112</v>
      </c>
      <c r="AV163" t="s">
        <v>4050</v>
      </c>
      <c r="AW163" t="s">
        <v>114</v>
      </c>
      <c r="AX163" t="s">
        <v>909</v>
      </c>
      <c r="AY163" t="s">
        <v>4051</v>
      </c>
      <c r="AZ163" t="s">
        <v>4</v>
      </c>
      <c r="BA163" s="3" t="s">
        <v>95</v>
      </c>
      <c r="BB163" t="s">
        <v>96</v>
      </c>
      <c r="BC163" s="3" t="s">
        <v>95</v>
      </c>
      <c r="BD163" t="s">
        <v>4</v>
      </c>
      <c r="BE163">
        <v>5411</v>
      </c>
      <c r="BF163" t="s">
        <v>386</v>
      </c>
      <c r="BG163">
        <v>98.973299999999995</v>
      </c>
      <c r="BH163">
        <v>99.384</v>
      </c>
      <c r="BI163">
        <v>91.991799999999998</v>
      </c>
      <c r="BJ163">
        <v>91.581100000000006</v>
      </c>
      <c r="BK163">
        <v>78.850099999999998</v>
      </c>
      <c r="BL163">
        <v>85.420900000000003</v>
      </c>
      <c r="BM163">
        <v>85.010300000000001</v>
      </c>
      <c r="BN163">
        <v>84.804900000000004</v>
      </c>
      <c r="BO163">
        <v>85.215599999999995</v>
      </c>
      <c r="BP163">
        <v>57.905500000000004</v>
      </c>
      <c r="BQ163">
        <v>47.433300000000003</v>
      </c>
      <c r="BR163">
        <v>44.147799999999997</v>
      </c>
      <c r="BS163">
        <v>47.022599999999997</v>
      </c>
      <c r="BT163" t="s">
        <v>4052</v>
      </c>
      <c r="BU163">
        <v>48.049300000000002</v>
      </c>
      <c r="BV163" t="s">
        <v>4053</v>
      </c>
      <c r="BX163">
        <v>47.227899999999998</v>
      </c>
      <c r="BZ163">
        <v>27.720700000000001</v>
      </c>
      <c r="CF163" t="s">
        <v>4054</v>
      </c>
      <c r="CK163">
        <v>7</v>
      </c>
      <c r="CL163" t="s">
        <v>4</v>
      </c>
      <c r="CM163" t="s">
        <v>98</v>
      </c>
      <c r="CN163" t="s">
        <v>98</v>
      </c>
      <c r="CO163" t="s">
        <v>99</v>
      </c>
      <c r="CP163" t="s">
        <v>100</v>
      </c>
      <c r="CQ163">
        <v>162</v>
      </c>
      <c r="CR163" t="s">
        <v>100</v>
      </c>
      <c r="CS163" t="s">
        <v>100</v>
      </c>
      <c r="CT163" t="s">
        <v>152</v>
      </c>
      <c r="CU163" t="s">
        <v>102</v>
      </c>
      <c r="CV163" t="s">
        <v>100</v>
      </c>
    </row>
    <row r="164" spans="1:100">
      <c r="A164" s="3" t="s">
        <v>4055</v>
      </c>
      <c r="B164" s="4" t="s">
        <v>4056</v>
      </c>
      <c r="C164">
        <v>360.18524017931099</v>
      </c>
      <c r="D164">
        <v>3982.2171411119698</v>
      </c>
      <c r="E164">
        <f>-3.46661338576922</f>
        <v>-3.4666133857692198</v>
      </c>
      <c r="F164" s="5">
        <v>1.56362743414127E-24</v>
      </c>
      <c r="G164" t="s">
        <v>4</v>
      </c>
      <c r="H164">
        <v>360.18524017931099</v>
      </c>
      <c r="I164">
        <v>188.04868531338099</v>
      </c>
      <c r="J164">
        <v>0.94283441373365495</v>
      </c>
      <c r="K164">
        <v>9.9941222409433705E-3</v>
      </c>
      <c r="L164" t="s">
        <v>4</v>
      </c>
      <c r="M164">
        <v>3982.2171411119698</v>
      </c>
      <c r="N164">
        <v>188.04868531338099</v>
      </c>
      <c r="O164">
        <v>4.40944779950288</v>
      </c>
      <c r="P164" s="5">
        <v>6.0809210112449699E-39</v>
      </c>
      <c r="Q164" t="s">
        <v>4</v>
      </c>
      <c r="R164" s="4" t="s">
        <v>87</v>
      </c>
      <c r="S164" t="s">
        <v>4</v>
      </c>
      <c r="T164" t="s">
        <v>4057</v>
      </c>
      <c r="U164" t="s">
        <v>4058</v>
      </c>
      <c r="V164" t="s">
        <v>4059</v>
      </c>
      <c r="W164" t="s">
        <v>203</v>
      </c>
      <c r="X164" t="s">
        <v>4</v>
      </c>
      <c r="Y164" t="s">
        <v>4060</v>
      </c>
      <c r="Z164" t="s">
        <v>4061</v>
      </c>
      <c r="AA164" t="s">
        <v>4062</v>
      </c>
      <c r="AB164" t="s">
        <v>4</v>
      </c>
      <c r="AC164" s="3" t="s">
        <v>4063</v>
      </c>
      <c r="AD164" t="s">
        <v>4</v>
      </c>
      <c r="AE164" t="s">
        <v>4064</v>
      </c>
      <c r="AF164" t="s">
        <v>4065</v>
      </c>
      <c r="AG164" t="s">
        <v>774</v>
      </c>
      <c r="AH164" t="s">
        <v>112</v>
      </c>
      <c r="AU164" t="s">
        <v>112</v>
      </c>
      <c r="AV164" t="s">
        <v>4066</v>
      </c>
      <c r="AW164" t="s">
        <v>114</v>
      </c>
      <c r="AX164" t="s">
        <v>536</v>
      </c>
      <c r="AY164" t="s">
        <v>4067</v>
      </c>
      <c r="AZ164" t="s">
        <v>4</v>
      </c>
      <c r="BA164" s="3" t="s">
        <v>115</v>
      </c>
      <c r="BB164" s="6" t="s">
        <v>95</v>
      </c>
      <c r="BC164" s="3" t="s">
        <v>95</v>
      </c>
      <c r="BD164" t="s">
        <v>4</v>
      </c>
      <c r="BE164">
        <v>6388</v>
      </c>
      <c r="BF164" t="s">
        <v>213</v>
      </c>
      <c r="BG164">
        <v>98.956199999999995</v>
      </c>
      <c r="BH164">
        <v>74.530299999999997</v>
      </c>
      <c r="BI164">
        <v>94.363299999999995</v>
      </c>
      <c r="BJ164" t="s">
        <v>4068</v>
      </c>
      <c r="BK164">
        <v>57.411299999999997</v>
      </c>
      <c r="BL164">
        <v>58.037599999999998</v>
      </c>
      <c r="BM164">
        <v>65.970799999999997</v>
      </c>
      <c r="BN164">
        <v>68.893500000000003</v>
      </c>
      <c r="BO164">
        <v>66.597099999999998</v>
      </c>
      <c r="BQ164">
        <v>48.225499999999997</v>
      </c>
      <c r="BR164">
        <v>46.972900000000003</v>
      </c>
      <c r="BS164">
        <v>43.632599999999996</v>
      </c>
      <c r="BT164">
        <v>38.622100000000003</v>
      </c>
      <c r="BU164">
        <v>28.601299999999998</v>
      </c>
      <c r="BV164" t="s">
        <v>4069</v>
      </c>
      <c r="BW164">
        <v>49.269300000000001</v>
      </c>
      <c r="BX164">
        <v>48.643000000000001</v>
      </c>
      <c r="BY164">
        <v>47.807899999999997</v>
      </c>
      <c r="BZ164">
        <v>49.060499999999998</v>
      </c>
      <c r="CA164">
        <v>49.895600000000002</v>
      </c>
      <c r="CB164">
        <v>18.371600000000001</v>
      </c>
      <c r="CC164">
        <v>39.039700000000003</v>
      </c>
      <c r="CD164">
        <v>40.918599999999998</v>
      </c>
      <c r="CF164" t="s">
        <v>4070</v>
      </c>
      <c r="CG164">
        <v>20.668099999999999</v>
      </c>
      <c r="CH164">
        <v>20.250499999999999</v>
      </c>
      <c r="CI164" t="s">
        <v>4071</v>
      </c>
      <c r="CK164">
        <v>8</v>
      </c>
      <c r="CL164" t="s">
        <v>4</v>
      </c>
      <c r="CM164" t="s">
        <v>4072</v>
      </c>
      <c r="CN164" t="s">
        <v>4073</v>
      </c>
      <c r="CO164" t="s">
        <v>99</v>
      </c>
      <c r="CP164" t="s">
        <v>100</v>
      </c>
      <c r="CQ164">
        <v>163</v>
      </c>
      <c r="CR164" t="s">
        <v>100</v>
      </c>
      <c r="CS164" t="s">
        <v>100</v>
      </c>
      <c r="CT164" t="s">
        <v>152</v>
      </c>
      <c r="CU164" t="s">
        <v>102</v>
      </c>
      <c r="CV164" t="s">
        <v>100</v>
      </c>
    </row>
    <row r="165" spans="1:100">
      <c r="A165" s="3" t="s">
        <v>4074</v>
      </c>
      <c r="B165" s="4" t="s">
        <v>4075</v>
      </c>
      <c r="C165">
        <v>357.88451299450099</v>
      </c>
      <c r="D165">
        <v>2795.2152819989901</v>
      </c>
      <c r="E165">
        <f>-2.96501370408674</f>
        <v>-2.9650137040867399</v>
      </c>
      <c r="F165" s="5">
        <v>2.19181619041951E-17</v>
      </c>
      <c r="G165" t="s">
        <v>4</v>
      </c>
      <c r="H165">
        <v>357.88451299450099</v>
      </c>
      <c r="I165">
        <v>130.22849253317401</v>
      </c>
      <c r="J165">
        <v>1.45964034997329</v>
      </c>
      <c r="K165" s="5">
        <v>7.6631112443185194E-5</v>
      </c>
      <c r="L165" t="s">
        <v>4</v>
      </c>
      <c r="M165">
        <v>2795.2152819989901</v>
      </c>
      <c r="N165">
        <v>130.22849253317401</v>
      </c>
      <c r="O165">
        <v>4.4246540540600199</v>
      </c>
      <c r="P165" s="5">
        <v>6.9780616443944803E-37</v>
      </c>
      <c r="Q165" t="s">
        <v>4</v>
      </c>
      <c r="R165" s="4" t="s">
        <v>87</v>
      </c>
      <c r="S165" t="s">
        <v>4</v>
      </c>
      <c r="T165" t="s">
        <v>4076</v>
      </c>
      <c r="U165" t="s">
        <v>4077</v>
      </c>
      <c r="V165" t="s">
        <v>4078</v>
      </c>
      <c r="W165" t="s">
        <v>976</v>
      </c>
      <c r="X165" t="s">
        <v>4</v>
      </c>
      <c r="Y165" t="s">
        <v>951</v>
      </c>
      <c r="Z165" t="s">
        <v>952</v>
      </c>
      <c r="AA165" t="s">
        <v>953</v>
      </c>
      <c r="AB165" t="s">
        <v>4</v>
      </c>
      <c r="AC165" s="3" t="s">
        <v>4079</v>
      </c>
      <c r="AD165" t="s">
        <v>4</v>
      </c>
      <c r="AE165" t="s">
        <v>4080</v>
      </c>
      <c r="AF165" t="s">
        <v>4081</v>
      </c>
      <c r="AG165" t="s">
        <v>4082</v>
      </c>
      <c r="AH165" t="s">
        <v>112</v>
      </c>
      <c r="AJ165" t="s">
        <v>4083</v>
      </c>
      <c r="AL165" t="s">
        <v>4084</v>
      </c>
      <c r="AM165" t="s">
        <v>4085</v>
      </c>
      <c r="AQ165" t="s">
        <v>3133</v>
      </c>
      <c r="AR165" t="s">
        <v>4086</v>
      </c>
      <c r="AU165" t="s">
        <v>112</v>
      </c>
      <c r="AV165" t="s">
        <v>4087</v>
      </c>
      <c r="AW165" t="s">
        <v>114</v>
      </c>
      <c r="AZ165" t="s">
        <v>4</v>
      </c>
      <c r="BA165" s="3" t="s">
        <v>95</v>
      </c>
      <c r="BB165" t="s">
        <v>96</v>
      </c>
      <c r="BC165" s="3" t="s">
        <v>95</v>
      </c>
      <c r="BD165" t="s">
        <v>4</v>
      </c>
      <c r="BE165">
        <v>3453</v>
      </c>
      <c r="BF165" t="s">
        <v>112</v>
      </c>
      <c r="BG165">
        <v>99.431799999999996</v>
      </c>
      <c r="BH165">
        <v>86.079499999999996</v>
      </c>
      <c r="BI165">
        <v>94.6023</v>
      </c>
      <c r="BJ165">
        <v>85.795500000000004</v>
      </c>
      <c r="BK165">
        <v>88.636399999999995</v>
      </c>
      <c r="BL165">
        <v>91.4773</v>
      </c>
      <c r="BM165">
        <v>92.329499999999996</v>
      </c>
      <c r="BN165">
        <v>90.056799999999996</v>
      </c>
      <c r="BO165">
        <v>91.193200000000004</v>
      </c>
      <c r="BY165">
        <v>19.886399999999998</v>
      </c>
      <c r="CK165">
        <v>5</v>
      </c>
      <c r="CL165" t="s">
        <v>4</v>
      </c>
      <c r="CM165" t="s">
        <v>98</v>
      </c>
      <c r="CN165" t="s">
        <v>98</v>
      </c>
      <c r="CO165" t="s">
        <v>99</v>
      </c>
      <c r="CP165" t="s">
        <v>100</v>
      </c>
      <c r="CQ165">
        <v>164</v>
      </c>
      <c r="CR165" t="s">
        <v>100</v>
      </c>
      <c r="CS165" s="7" t="s">
        <v>101</v>
      </c>
      <c r="CT165" t="s">
        <v>152</v>
      </c>
      <c r="CU165" t="s">
        <v>102</v>
      </c>
      <c r="CV165" t="s">
        <v>100</v>
      </c>
    </row>
    <row r="166" spans="1:100">
      <c r="A166" s="3" t="s">
        <v>4088</v>
      </c>
      <c r="B166" s="4" t="s">
        <v>4089</v>
      </c>
      <c r="C166">
        <v>23.5126067457639</v>
      </c>
      <c r="D166">
        <v>291.18119045155697</v>
      </c>
      <c r="E166">
        <f>-3.62822128930188</f>
        <v>-3.6282212893018801</v>
      </c>
      <c r="F166" s="5">
        <v>2.3199770152303599E-6</v>
      </c>
      <c r="G166" t="s">
        <v>4</v>
      </c>
      <c r="H166">
        <v>23.5126067457639</v>
      </c>
      <c r="I166">
        <v>5.6086585617858704</v>
      </c>
      <c r="J166">
        <v>2.1992864575301998</v>
      </c>
      <c r="K166">
        <v>1.63908309986136E-2</v>
      </c>
      <c r="L166" t="s">
        <v>4</v>
      </c>
      <c r="M166">
        <v>291.18119045155697</v>
      </c>
      <c r="N166">
        <v>5.6086585617858704</v>
      </c>
      <c r="O166">
        <v>5.8275077468320697</v>
      </c>
      <c r="P166" s="5">
        <v>6.1429036714648903E-12</v>
      </c>
      <c r="Q166" t="s">
        <v>4</v>
      </c>
      <c r="R166" s="4" t="s">
        <v>87</v>
      </c>
      <c r="S166" t="s">
        <v>4</v>
      </c>
      <c r="T166" t="s">
        <v>92</v>
      </c>
      <c r="U166" t="s">
        <v>92</v>
      </c>
      <c r="V166" t="s">
        <v>92</v>
      </c>
      <c r="W166" t="s">
        <v>92</v>
      </c>
      <c r="X166" t="s">
        <v>4</v>
      </c>
      <c r="Y166" t="s">
        <v>4090</v>
      </c>
      <c r="Z166" t="s">
        <v>4091</v>
      </c>
      <c r="AA166" t="s">
        <v>4092</v>
      </c>
      <c r="AB166" t="s">
        <v>4</v>
      </c>
      <c r="AC166" s="3" t="s">
        <v>4093</v>
      </c>
      <c r="AD166" t="s">
        <v>4</v>
      </c>
      <c r="AE166" t="s">
        <v>4094</v>
      </c>
      <c r="AF166" t="s">
        <v>4095</v>
      </c>
      <c r="AG166" t="s">
        <v>4096</v>
      </c>
      <c r="AH166" t="s">
        <v>638</v>
      </c>
      <c r="AU166" t="s">
        <v>112</v>
      </c>
      <c r="AV166" t="s">
        <v>4097</v>
      </c>
      <c r="AW166" t="s">
        <v>114</v>
      </c>
      <c r="AX166" t="s">
        <v>4098</v>
      </c>
      <c r="AY166" t="s">
        <v>4099</v>
      </c>
      <c r="AZ166" t="s">
        <v>4</v>
      </c>
      <c r="BA166" s="3" t="s">
        <v>95</v>
      </c>
      <c r="BB166" s="6" t="s">
        <v>95</v>
      </c>
      <c r="BC166" s="3" t="s">
        <v>95</v>
      </c>
      <c r="BD166" t="s">
        <v>4</v>
      </c>
      <c r="BE166">
        <v>3459</v>
      </c>
      <c r="BF166" t="s">
        <v>112</v>
      </c>
      <c r="BG166">
        <v>99.450500000000005</v>
      </c>
      <c r="BI166">
        <v>94.505499999999998</v>
      </c>
      <c r="BL166">
        <v>82.417599999999993</v>
      </c>
      <c r="BM166">
        <v>82.417599999999993</v>
      </c>
      <c r="BN166">
        <v>82.417599999999993</v>
      </c>
      <c r="BO166">
        <v>85.1648</v>
      </c>
      <c r="BP166">
        <v>62.087899999999998</v>
      </c>
      <c r="BR166">
        <v>60.439599999999999</v>
      </c>
      <c r="BS166">
        <v>15.384600000000001</v>
      </c>
      <c r="BV166">
        <v>9.89011</v>
      </c>
      <c r="BX166">
        <v>56.043999999999997</v>
      </c>
      <c r="BY166">
        <v>56.043999999999997</v>
      </c>
      <c r="BZ166">
        <v>56.593400000000003</v>
      </c>
      <c r="CF166">
        <v>11.538500000000001</v>
      </c>
      <c r="CG166" t="s">
        <v>4100</v>
      </c>
      <c r="CH166" t="s">
        <v>4101</v>
      </c>
      <c r="CI166" t="s">
        <v>4102</v>
      </c>
      <c r="CJ166" t="s">
        <v>4103</v>
      </c>
      <c r="CK166">
        <v>5</v>
      </c>
      <c r="CL166" t="s">
        <v>4</v>
      </c>
      <c r="CM166" t="s">
        <v>98</v>
      </c>
      <c r="CN166" t="s">
        <v>98</v>
      </c>
      <c r="CO166" t="s">
        <v>99</v>
      </c>
      <c r="CP166" t="s">
        <v>100</v>
      </c>
      <c r="CQ166">
        <v>165</v>
      </c>
      <c r="CR166" t="s">
        <v>100</v>
      </c>
      <c r="CS166" s="7" t="s">
        <v>101</v>
      </c>
      <c r="CT166" t="s">
        <v>152</v>
      </c>
      <c r="CU166" t="s">
        <v>102</v>
      </c>
      <c r="CV166" t="s">
        <v>100</v>
      </c>
    </row>
    <row r="167" spans="1:100">
      <c r="A167" s="3" t="s">
        <v>4104</v>
      </c>
      <c r="B167" s="4" t="s">
        <v>4105</v>
      </c>
      <c r="C167">
        <v>445.28737388452299</v>
      </c>
      <c r="D167">
        <v>2037.3319323390999</v>
      </c>
      <c r="E167">
        <f>-2.1939398457101</f>
        <v>-2.1939398457101</v>
      </c>
      <c r="F167" s="5">
        <v>1.5970949980045899E-10</v>
      </c>
      <c r="G167" t="s">
        <v>4</v>
      </c>
      <c r="H167">
        <v>445.28737388452299</v>
      </c>
      <c r="I167">
        <v>118.99375937607201</v>
      </c>
      <c r="J167">
        <v>1.9145730764401301</v>
      </c>
      <c r="K167" s="5">
        <v>5.8295224429057497E-8</v>
      </c>
      <c r="L167" t="s">
        <v>4</v>
      </c>
      <c r="M167">
        <v>2037.3319323390999</v>
      </c>
      <c r="N167">
        <v>118.99375937607201</v>
      </c>
      <c r="O167">
        <v>4.1085129221502203</v>
      </c>
      <c r="P167" s="5">
        <v>1.5900762014562599E-33</v>
      </c>
      <c r="Q167" t="s">
        <v>4</v>
      </c>
      <c r="R167" s="4" t="s">
        <v>87</v>
      </c>
      <c r="S167" t="s">
        <v>4</v>
      </c>
      <c r="T167" t="s">
        <v>4106</v>
      </c>
      <c r="U167" t="s">
        <v>4107</v>
      </c>
      <c r="V167" t="s">
        <v>4108</v>
      </c>
      <c r="W167" t="s">
        <v>203</v>
      </c>
      <c r="X167" t="s">
        <v>4</v>
      </c>
      <c r="Y167" t="s">
        <v>4109</v>
      </c>
      <c r="Z167" t="s">
        <v>4110</v>
      </c>
      <c r="AA167" t="s">
        <v>4111</v>
      </c>
      <c r="AB167" t="s">
        <v>4</v>
      </c>
      <c r="AC167" s="3" t="s">
        <v>4112</v>
      </c>
      <c r="AD167" t="s">
        <v>4</v>
      </c>
      <c r="AE167" t="s">
        <v>4113</v>
      </c>
      <c r="AF167" t="s">
        <v>4114</v>
      </c>
      <c r="AG167" t="s">
        <v>4115</v>
      </c>
      <c r="AH167" t="s">
        <v>112</v>
      </c>
      <c r="AU167" t="s">
        <v>112</v>
      </c>
      <c r="AV167" t="s">
        <v>4116</v>
      </c>
      <c r="AW167" t="s">
        <v>114</v>
      </c>
      <c r="AX167" t="s">
        <v>700</v>
      </c>
      <c r="AY167" t="s">
        <v>4117</v>
      </c>
      <c r="AZ167" t="s">
        <v>4</v>
      </c>
      <c r="BA167" s="3" t="s">
        <v>95</v>
      </c>
      <c r="BB167" s="6" t="s">
        <v>95</v>
      </c>
      <c r="BC167" s="3" t="s">
        <v>95</v>
      </c>
      <c r="BD167" t="s">
        <v>4</v>
      </c>
      <c r="BE167">
        <v>5423</v>
      </c>
      <c r="BF167" t="s">
        <v>386</v>
      </c>
      <c r="BG167">
        <v>31.296800000000001</v>
      </c>
      <c r="BH167">
        <v>23.441400000000002</v>
      </c>
      <c r="BI167">
        <v>79.551100000000005</v>
      </c>
      <c r="BJ167">
        <v>64.588499999999996</v>
      </c>
      <c r="BK167">
        <v>56.733199999999997</v>
      </c>
      <c r="BL167">
        <v>22.194500000000001</v>
      </c>
      <c r="BM167">
        <v>13.9651</v>
      </c>
      <c r="BN167">
        <v>60.847900000000003</v>
      </c>
      <c r="BO167">
        <v>58.229399999999998</v>
      </c>
      <c r="BP167">
        <v>8.8528699999999994</v>
      </c>
      <c r="BQ167">
        <v>33.5411</v>
      </c>
      <c r="BR167">
        <v>36.284300000000002</v>
      </c>
      <c r="BS167">
        <v>30.299299999999999</v>
      </c>
      <c r="BT167">
        <v>31.795500000000001</v>
      </c>
      <c r="BU167">
        <v>32.044899999999998</v>
      </c>
      <c r="BV167" t="s">
        <v>4118</v>
      </c>
      <c r="BW167">
        <v>30.299299999999999</v>
      </c>
      <c r="BX167">
        <v>26.558599999999998</v>
      </c>
      <c r="BY167">
        <v>22.443899999999999</v>
      </c>
      <c r="BZ167">
        <v>7.9800500000000003</v>
      </c>
      <c r="CA167">
        <v>33.665799999999997</v>
      </c>
      <c r="CB167">
        <v>14.214499999999999</v>
      </c>
      <c r="CF167">
        <v>12.4688</v>
      </c>
      <c r="CG167" t="s">
        <v>4119</v>
      </c>
      <c r="CH167" t="s">
        <v>4120</v>
      </c>
      <c r="CI167">
        <v>5.61097</v>
      </c>
      <c r="CK167">
        <v>7</v>
      </c>
      <c r="CL167" t="s">
        <v>4</v>
      </c>
      <c r="CM167" t="s">
        <v>4121</v>
      </c>
      <c r="CN167" t="s">
        <v>4122</v>
      </c>
      <c r="CO167" t="s">
        <v>99</v>
      </c>
      <c r="CP167" t="s">
        <v>100</v>
      </c>
      <c r="CQ167">
        <v>166</v>
      </c>
      <c r="CR167" t="s">
        <v>100</v>
      </c>
      <c r="CS167" s="7" t="s">
        <v>101</v>
      </c>
      <c r="CT167" t="s">
        <v>152</v>
      </c>
      <c r="CU167" t="s">
        <v>102</v>
      </c>
      <c r="CV167" t="s">
        <v>100</v>
      </c>
    </row>
    <row r="168" spans="1:100">
      <c r="A168" s="3" t="s">
        <v>4123</v>
      </c>
      <c r="B168" s="4" t="s">
        <v>4124</v>
      </c>
      <c r="C168">
        <v>60.242965924980098</v>
      </c>
      <c r="D168">
        <v>251.88676727542199</v>
      </c>
      <c r="E168">
        <f>-2.06470330690617</f>
        <v>-2.06470330690617</v>
      </c>
      <c r="F168" s="5">
        <v>6.2445146707839707E-8</v>
      </c>
      <c r="G168" t="s">
        <v>4</v>
      </c>
      <c r="H168">
        <v>60.242965924980098</v>
      </c>
      <c r="I168">
        <v>31.257346194173898</v>
      </c>
      <c r="J168">
        <v>0.91272043772034395</v>
      </c>
      <c r="K168">
        <v>3.6671904375708303E-2</v>
      </c>
      <c r="L168" t="s">
        <v>4</v>
      </c>
      <c r="M168">
        <v>251.88676727542199</v>
      </c>
      <c r="N168">
        <v>31.257346194173898</v>
      </c>
      <c r="O168">
        <v>2.9774237446265102</v>
      </c>
      <c r="P168" s="5">
        <v>6.7731768465525995E-14</v>
      </c>
      <c r="Q168" t="s">
        <v>4</v>
      </c>
      <c r="R168" s="4" t="s">
        <v>87</v>
      </c>
      <c r="S168" t="s">
        <v>4</v>
      </c>
      <c r="T168" t="s">
        <v>4125</v>
      </c>
      <c r="U168" t="s">
        <v>4126</v>
      </c>
      <c r="V168" t="s">
        <v>4127</v>
      </c>
      <c r="W168" t="s">
        <v>328</v>
      </c>
      <c r="X168" t="s">
        <v>4</v>
      </c>
      <c r="Y168" t="s">
        <v>4128</v>
      </c>
      <c r="Z168" t="s">
        <v>4129</v>
      </c>
      <c r="AA168" t="s">
        <v>4130</v>
      </c>
      <c r="AB168" t="s">
        <v>4</v>
      </c>
      <c r="AC168" s="3" t="s">
        <v>4131</v>
      </c>
      <c r="AD168" t="s">
        <v>4</v>
      </c>
      <c r="AE168" t="s">
        <v>4132</v>
      </c>
      <c r="AF168" t="s">
        <v>4133</v>
      </c>
      <c r="AG168" t="s">
        <v>4134</v>
      </c>
      <c r="AH168" t="s">
        <v>112</v>
      </c>
      <c r="AL168" t="s">
        <v>4135</v>
      </c>
      <c r="AQ168" t="s">
        <v>641</v>
      </c>
      <c r="AR168" t="s">
        <v>4136</v>
      </c>
      <c r="AU168" t="s">
        <v>112</v>
      </c>
      <c r="AV168" t="s">
        <v>4137</v>
      </c>
      <c r="AW168" t="s">
        <v>114</v>
      </c>
      <c r="AX168" t="s">
        <v>909</v>
      </c>
      <c r="AY168" t="s">
        <v>4138</v>
      </c>
      <c r="AZ168" t="s">
        <v>4</v>
      </c>
      <c r="BA168" s="3" t="s">
        <v>95</v>
      </c>
      <c r="BB168" t="s">
        <v>96</v>
      </c>
      <c r="BC168" s="3" t="s">
        <v>95</v>
      </c>
      <c r="BD168" t="s">
        <v>4</v>
      </c>
      <c r="BE168">
        <v>6430</v>
      </c>
      <c r="BF168" t="s">
        <v>213</v>
      </c>
      <c r="BG168">
        <v>28.767099999999999</v>
      </c>
      <c r="BI168">
        <v>93.379000000000005</v>
      </c>
      <c r="BJ168">
        <v>85.616399999999999</v>
      </c>
      <c r="BL168">
        <v>73.287700000000001</v>
      </c>
      <c r="BM168">
        <v>70.091300000000004</v>
      </c>
      <c r="BN168">
        <v>65.296800000000005</v>
      </c>
      <c r="BP168">
        <v>17.808199999999999</v>
      </c>
      <c r="BR168">
        <v>78.538799999999995</v>
      </c>
      <c r="BS168">
        <v>61.415500000000002</v>
      </c>
      <c r="BT168">
        <v>58.675800000000002</v>
      </c>
      <c r="BU168">
        <v>49.543399999999998</v>
      </c>
      <c r="BV168" t="s">
        <v>4139</v>
      </c>
      <c r="BW168">
        <v>75.570800000000006</v>
      </c>
      <c r="BY168" t="s">
        <v>4140</v>
      </c>
      <c r="BZ168">
        <v>55.251100000000001</v>
      </c>
      <c r="CB168">
        <v>12.1005</v>
      </c>
      <c r="CC168" t="s">
        <v>4141</v>
      </c>
      <c r="CE168" t="s">
        <v>4142</v>
      </c>
      <c r="CF168">
        <v>59.360700000000001</v>
      </c>
      <c r="CG168" t="s">
        <v>4143</v>
      </c>
      <c r="CH168" t="s">
        <v>4144</v>
      </c>
      <c r="CI168" t="s">
        <v>4145</v>
      </c>
      <c r="CK168">
        <v>8</v>
      </c>
      <c r="CL168" t="s">
        <v>4</v>
      </c>
      <c r="CM168" t="s">
        <v>98</v>
      </c>
      <c r="CN168" t="s">
        <v>98</v>
      </c>
      <c r="CO168" t="s">
        <v>99</v>
      </c>
      <c r="CP168" t="s">
        <v>100</v>
      </c>
      <c r="CQ168">
        <v>167</v>
      </c>
      <c r="CR168" t="s">
        <v>100</v>
      </c>
      <c r="CS168" t="s">
        <v>100</v>
      </c>
      <c r="CT168" t="s">
        <v>152</v>
      </c>
      <c r="CU168" t="s">
        <v>102</v>
      </c>
      <c r="CV168" t="s">
        <v>100</v>
      </c>
    </row>
    <row r="169" spans="1:100">
      <c r="A169" s="3" t="s">
        <v>4146</v>
      </c>
      <c r="B169" s="4" t="s">
        <v>4147</v>
      </c>
      <c r="C169">
        <v>37.756369619424802</v>
      </c>
      <c r="D169">
        <v>192.659696345106</v>
      </c>
      <c r="E169">
        <f>-2.34798870813878</f>
        <v>-2.34798870813878</v>
      </c>
      <c r="F169" s="5">
        <v>6.7855259639557094E-5</v>
      </c>
      <c r="G169" t="s">
        <v>4</v>
      </c>
      <c r="H169">
        <v>37.756369619424802</v>
      </c>
      <c r="I169">
        <v>37.536016947234899</v>
      </c>
      <c r="J169">
        <v>2.0685494045401501E-2</v>
      </c>
      <c r="K169">
        <v>0.975962658604558</v>
      </c>
      <c r="L169" t="s">
        <v>4</v>
      </c>
      <c r="M169">
        <v>192.659696345106</v>
      </c>
      <c r="N169">
        <v>37.536016947234899</v>
      </c>
      <c r="O169">
        <v>2.36867420218418</v>
      </c>
      <c r="P169" s="5">
        <v>4.4805667744647697E-5</v>
      </c>
      <c r="Q169" t="s">
        <v>4</v>
      </c>
      <c r="R169" s="4" t="s">
        <v>87</v>
      </c>
      <c r="S169" t="s">
        <v>4</v>
      </c>
      <c r="T169" t="s">
        <v>88</v>
      </c>
      <c r="U169" t="s">
        <v>89</v>
      </c>
      <c r="V169" t="s">
        <v>90</v>
      </c>
      <c r="W169" t="s">
        <v>91</v>
      </c>
      <c r="X169" t="s">
        <v>4</v>
      </c>
      <c r="Y169" t="s">
        <v>650</v>
      </c>
      <c r="Z169" t="s">
        <v>651</v>
      </c>
      <c r="AA169" t="s">
        <v>652</v>
      </c>
      <c r="AB169" t="s">
        <v>4</v>
      </c>
      <c r="AC169" s="3" t="s">
        <v>653</v>
      </c>
      <c r="AD169" t="s">
        <v>4</v>
      </c>
      <c r="AE169" t="s">
        <v>4148</v>
      </c>
      <c r="AF169" t="s">
        <v>4149</v>
      </c>
      <c r="AG169" t="s">
        <v>4150</v>
      </c>
      <c r="AH169" t="s">
        <v>112</v>
      </c>
      <c r="AU169" t="s">
        <v>112</v>
      </c>
      <c r="AV169" t="s">
        <v>4151</v>
      </c>
      <c r="AW169" t="s">
        <v>114</v>
      </c>
      <c r="AX169" t="s">
        <v>144</v>
      </c>
      <c r="AY169" t="s">
        <v>658</v>
      </c>
      <c r="AZ169" t="s">
        <v>4</v>
      </c>
      <c r="BA169" s="3" t="s">
        <v>95</v>
      </c>
      <c r="BB169" t="s">
        <v>96</v>
      </c>
      <c r="BC169" s="3" t="s">
        <v>95</v>
      </c>
      <c r="BD169" t="s">
        <v>4</v>
      </c>
      <c r="BE169">
        <v>3474</v>
      </c>
      <c r="BF169" t="s">
        <v>112</v>
      </c>
      <c r="BG169">
        <v>37.996200000000002</v>
      </c>
      <c r="BI169">
        <v>57.466900000000003</v>
      </c>
      <c r="BJ169">
        <v>42.155000000000001</v>
      </c>
      <c r="BL169">
        <v>48.960299999999997</v>
      </c>
      <c r="BM169">
        <v>72.211699999999993</v>
      </c>
      <c r="BN169">
        <v>72.400800000000004</v>
      </c>
      <c r="BO169">
        <v>68.62</v>
      </c>
      <c r="BP169">
        <v>31.190899999999999</v>
      </c>
      <c r="BQ169" t="s">
        <v>4152</v>
      </c>
      <c r="BR169" t="s">
        <v>4153</v>
      </c>
      <c r="BS169">
        <v>20.983000000000001</v>
      </c>
      <c r="BW169" t="s">
        <v>4154</v>
      </c>
      <c r="BX169">
        <v>20.794</v>
      </c>
      <c r="BZ169">
        <v>12.2873</v>
      </c>
      <c r="CA169" t="s">
        <v>4155</v>
      </c>
      <c r="CK169">
        <v>5</v>
      </c>
      <c r="CL169" t="s">
        <v>4</v>
      </c>
      <c r="CM169" t="s">
        <v>4156</v>
      </c>
      <c r="CN169" t="s">
        <v>4157</v>
      </c>
      <c r="CO169" t="s">
        <v>99</v>
      </c>
      <c r="CP169" t="s">
        <v>100</v>
      </c>
      <c r="CQ169">
        <v>168</v>
      </c>
      <c r="CR169" t="s">
        <v>100</v>
      </c>
      <c r="CS169" t="s">
        <v>100</v>
      </c>
      <c r="CT169" t="s">
        <v>152</v>
      </c>
      <c r="CU169" t="s">
        <v>102</v>
      </c>
      <c r="CV169" t="s">
        <v>100</v>
      </c>
    </row>
    <row r="170" spans="1:100">
      <c r="A170" s="3" t="s">
        <v>4158</v>
      </c>
      <c r="B170" s="4" t="s">
        <v>4159</v>
      </c>
      <c r="C170">
        <v>147.70949656340099</v>
      </c>
      <c r="D170">
        <v>842.58096751913604</v>
      </c>
      <c r="E170">
        <f>-2.50917259303917</f>
        <v>-2.5091725930391702</v>
      </c>
      <c r="F170" s="5">
        <v>1.22336006508054E-18</v>
      </c>
      <c r="G170" t="s">
        <v>4</v>
      </c>
      <c r="H170">
        <v>147.70949656340099</v>
      </c>
      <c r="I170">
        <v>38.816892366940799</v>
      </c>
      <c r="J170">
        <v>1.9467029478300999</v>
      </c>
      <c r="K170" s="5">
        <v>3.40757909061E-9</v>
      </c>
      <c r="L170" t="s">
        <v>4</v>
      </c>
      <c r="M170">
        <v>842.58096751913604</v>
      </c>
      <c r="N170">
        <v>38.816892366940799</v>
      </c>
      <c r="O170">
        <v>4.4558755408692701</v>
      </c>
      <c r="P170" s="5">
        <v>1.98116475717236E-45</v>
      </c>
      <c r="Q170" t="s">
        <v>4</v>
      </c>
      <c r="R170" s="4" t="s">
        <v>87</v>
      </c>
      <c r="S170" t="s">
        <v>4</v>
      </c>
      <c r="T170" t="s">
        <v>4160</v>
      </c>
      <c r="U170" t="s">
        <v>4161</v>
      </c>
      <c r="V170" t="s">
        <v>4162</v>
      </c>
      <c r="W170" t="s">
        <v>203</v>
      </c>
      <c r="X170" t="s">
        <v>4</v>
      </c>
      <c r="Y170" t="s">
        <v>4163</v>
      </c>
      <c r="Z170" t="s">
        <v>4164</v>
      </c>
      <c r="AA170" t="s">
        <v>4165</v>
      </c>
      <c r="AB170" t="s">
        <v>4</v>
      </c>
      <c r="AC170" s="3" t="s">
        <v>4166</v>
      </c>
      <c r="AD170" t="s">
        <v>4</v>
      </c>
      <c r="AE170" t="s">
        <v>4167</v>
      </c>
      <c r="AF170" t="s">
        <v>4168</v>
      </c>
      <c r="AG170" t="s">
        <v>4169</v>
      </c>
      <c r="AH170" t="s">
        <v>112</v>
      </c>
      <c r="AU170" t="s">
        <v>112</v>
      </c>
      <c r="AV170" t="s">
        <v>4170</v>
      </c>
      <c r="AW170" t="s">
        <v>114</v>
      </c>
      <c r="AX170" t="s">
        <v>536</v>
      </c>
      <c r="AY170" t="s">
        <v>4171</v>
      </c>
      <c r="AZ170" t="s">
        <v>4</v>
      </c>
      <c r="BA170" s="3" t="s">
        <v>95</v>
      </c>
      <c r="BB170" s="6" t="s">
        <v>95</v>
      </c>
      <c r="BC170" s="3" t="s">
        <v>197</v>
      </c>
      <c r="BD170" t="s">
        <v>4</v>
      </c>
      <c r="BE170">
        <v>6453</v>
      </c>
      <c r="BF170" t="s">
        <v>213</v>
      </c>
      <c r="BG170">
        <v>98.630099999999999</v>
      </c>
      <c r="BH170">
        <v>62.230899999999998</v>
      </c>
      <c r="BI170">
        <v>86.105699999999999</v>
      </c>
      <c r="BJ170">
        <v>86.301400000000001</v>
      </c>
      <c r="BK170" t="s">
        <v>4172</v>
      </c>
      <c r="BM170">
        <v>71.232900000000001</v>
      </c>
      <c r="BN170">
        <v>73.9726</v>
      </c>
      <c r="BO170">
        <v>68.297499999999999</v>
      </c>
      <c r="BP170">
        <v>25.440300000000001</v>
      </c>
      <c r="BQ170" t="s">
        <v>4173</v>
      </c>
      <c r="BR170" t="s">
        <v>4174</v>
      </c>
      <c r="BS170" t="s">
        <v>4175</v>
      </c>
      <c r="BW170" t="s">
        <v>4176</v>
      </c>
      <c r="BY170">
        <v>10.3718</v>
      </c>
      <c r="BZ170">
        <v>10.9589</v>
      </c>
      <c r="CA170">
        <v>27.0059</v>
      </c>
      <c r="CC170">
        <v>27.788699999999999</v>
      </c>
      <c r="CF170">
        <v>27.593</v>
      </c>
      <c r="CI170">
        <v>27.0059</v>
      </c>
      <c r="CK170">
        <v>8</v>
      </c>
      <c r="CL170" t="s">
        <v>4</v>
      </c>
      <c r="CM170" t="s">
        <v>4177</v>
      </c>
      <c r="CN170" t="s">
        <v>4178</v>
      </c>
      <c r="CO170" t="s">
        <v>219</v>
      </c>
      <c r="CP170" t="s">
        <v>100</v>
      </c>
      <c r="CQ170">
        <v>169</v>
      </c>
      <c r="CR170" t="s">
        <v>100</v>
      </c>
      <c r="CS170" s="7" t="s">
        <v>101</v>
      </c>
      <c r="CT170" t="s">
        <v>152</v>
      </c>
      <c r="CU170" t="s">
        <v>102</v>
      </c>
      <c r="CV170" t="s">
        <v>100</v>
      </c>
    </row>
    <row r="171" spans="1:100">
      <c r="A171" s="3" t="s">
        <v>4179</v>
      </c>
      <c r="B171" s="4" t="s">
        <v>4180</v>
      </c>
      <c r="C171">
        <v>40.728274324218297</v>
      </c>
      <c r="D171">
        <v>332.31804576802602</v>
      </c>
      <c r="E171">
        <f>-3.02842259487597</f>
        <v>-3.0284225948759702</v>
      </c>
      <c r="F171" s="5">
        <v>5.2770949202261902E-8</v>
      </c>
      <c r="G171" t="s">
        <v>4</v>
      </c>
      <c r="H171">
        <v>40.728274324218297</v>
      </c>
      <c r="I171">
        <v>14.766727517286499</v>
      </c>
      <c r="J171">
        <v>1.4608322851551401</v>
      </c>
      <c r="K171">
        <v>2.2077939206430398E-2</v>
      </c>
      <c r="L171" t="s">
        <v>4</v>
      </c>
      <c r="M171">
        <v>332.31804576802602</v>
      </c>
      <c r="N171">
        <v>14.766727517286499</v>
      </c>
      <c r="O171">
        <v>4.4892548800311101</v>
      </c>
      <c r="P171" s="5">
        <v>1.7817812509322799E-14</v>
      </c>
      <c r="Q171" t="s">
        <v>4</v>
      </c>
      <c r="R171" s="4" t="s">
        <v>87</v>
      </c>
      <c r="S171" t="s">
        <v>4</v>
      </c>
      <c r="T171" t="s">
        <v>88</v>
      </c>
      <c r="U171" t="s">
        <v>89</v>
      </c>
      <c r="V171" t="s">
        <v>90</v>
      </c>
      <c r="W171" t="s">
        <v>91</v>
      </c>
      <c r="X171" t="s">
        <v>4</v>
      </c>
      <c r="Y171" t="s">
        <v>1801</v>
      </c>
      <c r="Z171" t="s">
        <v>1802</v>
      </c>
      <c r="AA171" t="s">
        <v>1803</v>
      </c>
      <c r="AB171" t="s">
        <v>4</v>
      </c>
      <c r="AC171" s="3" t="s">
        <v>3839</v>
      </c>
      <c r="AD171" t="s">
        <v>4</v>
      </c>
      <c r="AE171" t="s">
        <v>4181</v>
      </c>
      <c r="AF171" t="s">
        <v>4182</v>
      </c>
      <c r="AG171" t="s">
        <v>130</v>
      </c>
      <c r="AH171" t="s">
        <v>112</v>
      </c>
      <c r="AJ171" t="s">
        <v>3843</v>
      </c>
      <c r="AU171" t="s">
        <v>112</v>
      </c>
      <c r="AV171" t="s">
        <v>3844</v>
      </c>
      <c r="AW171" t="s">
        <v>114</v>
      </c>
      <c r="AX171" t="s">
        <v>144</v>
      </c>
      <c r="AY171" t="s">
        <v>3750</v>
      </c>
      <c r="AZ171" t="s">
        <v>4</v>
      </c>
      <c r="BA171" s="3" t="s">
        <v>95</v>
      </c>
      <c r="BB171" t="s">
        <v>96</v>
      </c>
      <c r="BC171" s="3" t="s">
        <v>197</v>
      </c>
      <c r="BD171" t="s">
        <v>4</v>
      </c>
      <c r="BE171">
        <v>194</v>
      </c>
      <c r="BF171" t="s">
        <v>322</v>
      </c>
      <c r="CK171">
        <v>1</v>
      </c>
      <c r="CL171" t="s">
        <v>4</v>
      </c>
      <c r="CM171" t="s">
        <v>98</v>
      </c>
      <c r="CN171" t="s">
        <v>98</v>
      </c>
      <c r="CO171" t="s">
        <v>99</v>
      </c>
      <c r="CP171" t="s">
        <v>100</v>
      </c>
      <c r="CQ171">
        <v>170</v>
      </c>
      <c r="CR171" t="s">
        <v>100</v>
      </c>
      <c r="CS171" s="7" t="s">
        <v>101</v>
      </c>
      <c r="CT171" t="s">
        <v>152</v>
      </c>
      <c r="CU171" t="s">
        <v>102</v>
      </c>
      <c r="CV171" t="s">
        <v>100</v>
      </c>
    </row>
    <row r="172" spans="1:100">
      <c r="A172" s="3" t="s">
        <v>4183</v>
      </c>
      <c r="B172" s="4" t="s">
        <v>4184</v>
      </c>
      <c r="C172">
        <v>410.10026925064602</v>
      </c>
      <c r="D172">
        <v>5623.0222845756398</v>
      </c>
      <c r="E172">
        <f>-3.77642322431873</f>
        <v>-3.7764232243187301</v>
      </c>
      <c r="F172" s="5">
        <v>4.04046630157873E-46</v>
      </c>
      <c r="G172" t="s">
        <v>4</v>
      </c>
      <c r="H172">
        <v>410.10026925064602</v>
      </c>
      <c r="I172">
        <v>648.75208491064495</v>
      </c>
      <c r="J172">
        <f>0.66210168109895</f>
        <v>0.66210168109894996</v>
      </c>
      <c r="K172">
        <v>2.0837725892403999E-2</v>
      </c>
      <c r="L172" t="s">
        <v>4</v>
      </c>
      <c r="M172">
        <v>5623.0222845756398</v>
      </c>
      <c r="N172">
        <v>648.75208491064495</v>
      </c>
      <c r="O172">
        <v>3.1143215432197802</v>
      </c>
      <c r="P172" s="5">
        <v>1.6863584247067499E-32</v>
      </c>
      <c r="Q172" t="s">
        <v>4</v>
      </c>
      <c r="R172" s="4" t="s">
        <v>87</v>
      </c>
      <c r="S172" t="s">
        <v>4</v>
      </c>
      <c r="T172" t="s">
        <v>4185</v>
      </c>
      <c r="U172" t="s">
        <v>4186</v>
      </c>
      <c r="V172" t="s">
        <v>4187</v>
      </c>
      <c r="W172" t="s">
        <v>123</v>
      </c>
      <c r="X172" t="s">
        <v>4</v>
      </c>
      <c r="Y172" t="s">
        <v>4188</v>
      </c>
      <c r="Z172" t="s">
        <v>4189</v>
      </c>
      <c r="AA172" t="s">
        <v>4190</v>
      </c>
      <c r="AB172" t="s">
        <v>4</v>
      </c>
      <c r="AC172" s="3" t="s">
        <v>4191</v>
      </c>
      <c r="AD172" t="s">
        <v>4</v>
      </c>
      <c r="AE172" t="s">
        <v>4192</v>
      </c>
      <c r="AF172" t="s">
        <v>834</v>
      </c>
      <c r="AG172" t="s">
        <v>4193</v>
      </c>
      <c r="AH172" t="s">
        <v>314</v>
      </c>
      <c r="AU172" t="s">
        <v>112</v>
      </c>
      <c r="AV172" t="s">
        <v>4194</v>
      </c>
      <c r="AW172" t="s">
        <v>114</v>
      </c>
      <c r="AX172" t="s">
        <v>144</v>
      </c>
      <c r="AY172" t="s">
        <v>4195</v>
      </c>
      <c r="AZ172" t="s">
        <v>4</v>
      </c>
      <c r="BA172" s="3" t="s">
        <v>95</v>
      </c>
      <c r="BB172" s="6" t="s">
        <v>95</v>
      </c>
      <c r="BC172" s="3" t="s">
        <v>95</v>
      </c>
      <c r="BD172" t="s">
        <v>4</v>
      </c>
      <c r="BE172">
        <v>6533</v>
      </c>
      <c r="BF172" t="s">
        <v>213</v>
      </c>
      <c r="BG172">
        <v>38.494599999999998</v>
      </c>
      <c r="BH172">
        <v>4.1577099999999998</v>
      </c>
      <c r="BK172">
        <v>26.81</v>
      </c>
      <c r="BN172">
        <v>31.2545</v>
      </c>
      <c r="BO172">
        <v>2.7240099999999998</v>
      </c>
      <c r="BP172">
        <v>3.8709699999999998</v>
      </c>
      <c r="BQ172">
        <v>9.7491000000000003</v>
      </c>
      <c r="BR172">
        <v>8.8171999999999997</v>
      </c>
      <c r="BX172">
        <v>9.1039399999999997</v>
      </c>
      <c r="BY172">
        <v>5.3046600000000002</v>
      </c>
      <c r="CA172">
        <v>11.3262</v>
      </c>
      <c r="CB172">
        <v>4.6595000000000004</v>
      </c>
      <c r="CC172">
        <v>10.394299999999999</v>
      </c>
      <c r="CD172">
        <v>13.333299999999999</v>
      </c>
      <c r="CG172" t="s">
        <v>4196</v>
      </c>
      <c r="CH172" t="s">
        <v>4197</v>
      </c>
      <c r="CI172" t="s">
        <v>4198</v>
      </c>
      <c r="CK172">
        <v>8</v>
      </c>
      <c r="CL172" t="s">
        <v>4</v>
      </c>
      <c r="CM172" t="s">
        <v>4199</v>
      </c>
      <c r="CN172" t="s">
        <v>4200</v>
      </c>
      <c r="CO172" t="s">
        <v>219</v>
      </c>
      <c r="CP172" t="s">
        <v>100</v>
      </c>
      <c r="CQ172">
        <v>171</v>
      </c>
      <c r="CR172" t="s">
        <v>100</v>
      </c>
      <c r="CS172" t="s">
        <v>100</v>
      </c>
      <c r="CT172" t="s">
        <v>152</v>
      </c>
      <c r="CU172" t="s">
        <v>102</v>
      </c>
      <c r="CV172" t="s">
        <v>100</v>
      </c>
    </row>
    <row r="173" spans="1:100">
      <c r="A173" s="3" t="s">
        <v>4201</v>
      </c>
      <c r="B173" s="4" t="s">
        <v>4202</v>
      </c>
      <c r="C173">
        <v>239.62892994137701</v>
      </c>
      <c r="D173">
        <v>3307.1483490287801</v>
      </c>
      <c r="E173">
        <f>-3.78654650997667</f>
        <v>-3.7865465099766702</v>
      </c>
      <c r="F173">
        <v>2.3267818457879601E-3</v>
      </c>
      <c r="G173" t="s">
        <v>4</v>
      </c>
      <c r="H173">
        <v>239.62892994137701</v>
      </c>
      <c r="I173">
        <v>327.09857564728901</v>
      </c>
      <c r="J173">
        <f>0.448607844254766</f>
        <v>0.44860784425476602</v>
      </c>
      <c r="K173">
        <v>0.74264263895702098</v>
      </c>
      <c r="L173" t="s">
        <v>4</v>
      </c>
      <c r="M173">
        <v>3307.1483490287801</v>
      </c>
      <c r="N173">
        <v>327.09857564728901</v>
      </c>
      <c r="O173">
        <v>3.3379386657219001</v>
      </c>
      <c r="P173">
        <v>5.5310976182289598E-3</v>
      </c>
      <c r="Q173" t="s">
        <v>4</v>
      </c>
      <c r="R173" s="4" t="s">
        <v>87</v>
      </c>
      <c r="S173" t="s">
        <v>4</v>
      </c>
      <c r="T173" t="s">
        <v>92</v>
      </c>
      <c r="U173" t="s">
        <v>92</v>
      </c>
      <c r="V173" t="s">
        <v>92</v>
      </c>
      <c r="W173" t="s">
        <v>92</v>
      </c>
      <c r="X173" t="s">
        <v>4</v>
      </c>
      <c r="Y173" t="s">
        <v>4203</v>
      </c>
      <c r="Z173" t="s">
        <v>4204</v>
      </c>
      <c r="AA173" t="s">
        <v>4205</v>
      </c>
      <c r="AB173" t="s">
        <v>4</v>
      </c>
      <c r="AC173" s="3" t="s">
        <v>4206</v>
      </c>
      <c r="AD173" t="s">
        <v>4</v>
      </c>
      <c r="AE173" t="s">
        <v>4207</v>
      </c>
      <c r="AF173" t="s">
        <v>4208</v>
      </c>
      <c r="AG173" t="s">
        <v>4209</v>
      </c>
      <c r="AH173" t="s">
        <v>112</v>
      </c>
      <c r="AU173" t="s">
        <v>112</v>
      </c>
      <c r="AV173" t="s">
        <v>4210</v>
      </c>
      <c r="AW173" t="s">
        <v>114</v>
      </c>
      <c r="AX173" t="s">
        <v>144</v>
      </c>
      <c r="AY173" t="s">
        <v>4211</v>
      </c>
      <c r="AZ173" t="s">
        <v>4</v>
      </c>
      <c r="BA173" s="3" t="s">
        <v>95</v>
      </c>
      <c r="BB173" s="6" t="s">
        <v>95</v>
      </c>
      <c r="BC173" s="3" t="s">
        <v>95</v>
      </c>
      <c r="BD173" t="s">
        <v>4</v>
      </c>
      <c r="BE173">
        <v>6535</v>
      </c>
      <c r="BF173" t="s">
        <v>213</v>
      </c>
      <c r="BG173">
        <v>99.453599999999994</v>
      </c>
      <c r="BI173">
        <v>95.081999999999994</v>
      </c>
      <c r="BJ173">
        <v>85.792400000000001</v>
      </c>
      <c r="BK173">
        <v>82.5137</v>
      </c>
      <c r="BL173">
        <v>79.781400000000005</v>
      </c>
      <c r="BO173">
        <v>84.6995</v>
      </c>
      <c r="BP173">
        <v>42.622999999999998</v>
      </c>
      <c r="BR173">
        <v>42.076500000000003</v>
      </c>
      <c r="BS173">
        <v>39.344299999999997</v>
      </c>
      <c r="BT173" t="s">
        <v>4212</v>
      </c>
      <c r="BV173" t="s">
        <v>4213</v>
      </c>
      <c r="BW173">
        <v>38.797800000000002</v>
      </c>
      <c r="BX173">
        <v>43.715800000000002</v>
      </c>
      <c r="CA173">
        <v>29.508199999999999</v>
      </c>
      <c r="CG173">
        <v>20.218599999999999</v>
      </c>
      <c r="CH173">
        <v>20.765000000000001</v>
      </c>
      <c r="CI173" t="s">
        <v>4214</v>
      </c>
      <c r="CK173">
        <v>8</v>
      </c>
      <c r="CL173" t="s">
        <v>4</v>
      </c>
      <c r="CM173" t="s">
        <v>4215</v>
      </c>
      <c r="CN173" t="s">
        <v>4216</v>
      </c>
      <c r="CO173" t="s">
        <v>99</v>
      </c>
      <c r="CP173" t="s">
        <v>100</v>
      </c>
      <c r="CQ173">
        <v>172</v>
      </c>
      <c r="CR173" t="s">
        <v>100</v>
      </c>
      <c r="CS173" t="s">
        <v>100</v>
      </c>
      <c r="CT173" t="s">
        <v>152</v>
      </c>
      <c r="CU173" t="s">
        <v>102</v>
      </c>
      <c r="CV173" t="s">
        <v>100</v>
      </c>
    </row>
    <row r="174" spans="1:100">
      <c r="A174" s="3" t="s">
        <v>4217</v>
      </c>
      <c r="B174" s="4" t="s">
        <v>4218</v>
      </c>
      <c r="C174">
        <v>79.506162218154401</v>
      </c>
      <c r="D174">
        <v>892.52729916578403</v>
      </c>
      <c r="E174">
        <f>-3.486948000916</f>
        <v>-3.4869480009160001</v>
      </c>
      <c r="F174" s="5">
        <v>6.57317269466616E-13</v>
      </c>
      <c r="G174" t="s">
        <v>4</v>
      </c>
      <c r="H174">
        <v>79.506162218154401</v>
      </c>
      <c r="I174">
        <v>43.982535188831797</v>
      </c>
      <c r="J174">
        <v>0.87672441737665596</v>
      </c>
      <c r="K174">
        <v>0.107429754065823</v>
      </c>
      <c r="L174" t="s">
        <v>4</v>
      </c>
      <c r="M174">
        <v>892.52729916578403</v>
      </c>
      <c r="N174">
        <v>43.982535188831797</v>
      </c>
      <c r="O174">
        <v>4.3636724182926603</v>
      </c>
      <c r="P174" s="5">
        <v>4.81648287691878E-19</v>
      </c>
      <c r="Q174" t="s">
        <v>4</v>
      </c>
      <c r="R174" s="4" t="s">
        <v>87</v>
      </c>
      <c r="S174" t="s">
        <v>4</v>
      </c>
      <c r="T174" t="s">
        <v>1261</v>
      </c>
      <c r="U174" t="s">
        <v>1262</v>
      </c>
      <c r="V174" t="s">
        <v>1263</v>
      </c>
      <c r="W174" t="s">
        <v>328</v>
      </c>
      <c r="X174" t="s">
        <v>4</v>
      </c>
      <c r="Y174" t="s">
        <v>1264</v>
      </c>
      <c r="Z174" t="s">
        <v>1265</v>
      </c>
      <c r="AA174" t="s">
        <v>1266</v>
      </c>
      <c r="AB174" t="s">
        <v>4</v>
      </c>
      <c r="AC174" s="3" t="s">
        <v>1267</v>
      </c>
      <c r="AD174" t="s">
        <v>4</v>
      </c>
      <c r="AE174" t="s">
        <v>4219</v>
      </c>
      <c r="AF174" t="s">
        <v>3607</v>
      </c>
      <c r="AG174" t="s">
        <v>4220</v>
      </c>
      <c r="AH174" t="s">
        <v>314</v>
      </c>
      <c r="AU174" t="s">
        <v>112</v>
      </c>
      <c r="AV174" t="s">
        <v>4221</v>
      </c>
      <c r="AW174" t="s">
        <v>114</v>
      </c>
      <c r="AX174" t="s">
        <v>371</v>
      </c>
      <c r="AY174" t="s">
        <v>4222</v>
      </c>
      <c r="AZ174" t="s">
        <v>4</v>
      </c>
      <c r="BA174" s="3" t="s">
        <v>95</v>
      </c>
      <c r="BB174" s="6" t="s">
        <v>95</v>
      </c>
      <c r="BC174" s="3" t="s">
        <v>95</v>
      </c>
      <c r="BD174" t="s">
        <v>4</v>
      </c>
      <c r="BE174">
        <v>5453</v>
      </c>
      <c r="BF174" t="s">
        <v>386</v>
      </c>
      <c r="BI174">
        <v>9.5427400000000002</v>
      </c>
      <c r="BJ174">
        <v>9.9403600000000001</v>
      </c>
      <c r="BK174">
        <v>12.723699999999999</v>
      </c>
      <c r="BL174">
        <v>16.302199999999999</v>
      </c>
      <c r="BM174">
        <v>17.296199999999999</v>
      </c>
      <c r="BN174">
        <v>18.489100000000001</v>
      </c>
      <c r="BO174">
        <v>2.7833000000000001</v>
      </c>
      <c r="BP174">
        <v>2.7833000000000001</v>
      </c>
      <c r="BR174">
        <v>10.536799999999999</v>
      </c>
      <c r="BT174">
        <v>14.7117</v>
      </c>
      <c r="BV174" t="s">
        <v>4223</v>
      </c>
      <c r="BW174">
        <v>11.7296</v>
      </c>
      <c r="BX174">
        <v>9.3439399999999999</v>
      </c>
      <c r="BY174">
        <v>6.3618300000000003</v>
      </c>
      <c r="BZ174">
        <v>9.3439399999999999</v>
      </c>
      <c r="CB174">
        <v>7.7534799999999997</v>
      </c>
      <c r="CC174">
        <v>10.139200000000001</v>
      </c>
      <c r="CD174" t="s">
        <v>4224</v>
      </c>
      <c r="CF174">
        <v>12.1272</v>
      </c>
      <c r="CK174">
        <v>7</v>
      </c>
      <c r="CL174" t="s">
        <v>4</v>
      </c>
      <c r="CM174" t="s">
        <v>98</v>
      </c>
      <c r="CN174" t="s">
        <v>98</v>
      </c>
      <c r="CO174" t="s">
        <v>99</v>
      </c>
      <c r="CP174" t="s">
        <v>100</v>
      </c>
      <c r="CQ174">
        <v>173</v>
      </c>
      <c r="CR174" t="s">
        <v>100</v>
      </c>
      <c r="CS174" t="s">
        <v>100</v>
      </c>
      <c r="CT174" t="s">
        <v>152</v>
      </c>
      <c r="CU174" t="s">
        <v>102</v>
      </c>
      <c r="CV174" t="s">
        <v>100</v>
      </c>
    </row>
    <row r="175" spans="1:100">
      <c r="A175" s="3" t="s">
        <v>4225</v>
      </c>
      <c r="B175" s="4" t="s">
        <v>4226</v>
      </c>
      <c r="C175">
        <v>300.66054717459701</v>
      </c>
      <c r="D175">
        <v>1250.1051416929299</v>
      </c>
      <c r="E175">
        <f>-2.0561924820781</f>
        <v>-2.0561924820780999</v>
      </c>
      <c r="F175" s="5">
        <v>5.0020406163280898E-11</v>
      </c>
      <c r="G175" t="s">
        <v>4</v>
      </c>
      <c r="H175">
        <v>300.66054717459701</v>
      </c>
      <c r="I175">
        <v>179.138154854173</v>
      </c>
      <c r="J175">
        <v>0.75248767735751898</v>
      </c>
      <c r="K175">
        <v>2.4934999358057101E-2</v>
      </c>
      <c r="L175" t="s">
        <v>4</v>
      </c>
      <c r="M175">
        <v>1250.1051416929299</v>
      </c>
      <c r="N175">
        <v>179.138154854173</v>
      </c>
      <c r="O175">
        <v>2.8086801594356201</v>
      </c>
      <c r="P175" s="5">
        <v>1.0677958693063E-19</v>
      </c>
      <c r="Q175" t="s">
        <v>4</v>
      </c>
      <c r="R175" s="4" t="s">
        <v>87</v>
      </c>
      <c r="S175" t="s">
        <v>4</v>
      </c>
      <c r="T175" t="s">
        <v>4227</v>
      </c>
      <c r="U175" t="s">
        <v>4228</v>
      </c>
      <c r="V175" t="s">
        <v>4229</v>
      </c>
      <c r="W175" t="s">
        <v>328</v>
      </c>
      <c r="X175" t="s">
        <v>4</v>
      </c>
      <c r="Y175" t="s">
        <v>4230</v>
      </c>
      <c r="Z175" t="s">
        <v>4231</v>
      </c>
      <c r="AA175" t="s">
        <v>4232</v>
      </c>
      <c r="AB175" t="s">
        <v>4</v>
      </c>
      <c r="AC175" s="3" t="s">
        <v>4233</v>
      </c>
      <c r="AD175" t="s">
        <v>4</v>
      </c>
      <c r="AE175" t="s">
        <v>4234</v>
      </c>
      <c r="AF175" t="s">
        <v>834</v>
      </c>
      <c r="AG175" t="s">
        <v>4235</v>
      </c>
      <c r="AH175" t="s">
        <v>112</v>
      </c>
      <c r="AI175" t="s">
        <v>4236</v>
      </c>
      <c r="AJ175" t="s">
        <v>4237</v>
      </c>
      <c r="AL175" t="s">
        <v>4238</v>
      </c>
      <c r="AQ175" t="s">
        <v>1028</v>
      </c>
      <c r="AU175" t="s">
        <v>112</v>
      </c>
      <c r="AV175" t="s">
        <v>4239</v>
      </c>
      <c r="AW175" t="s">
        <v>114</v>
      </c>
      <c r="AX175" t="s">
        <v>132</v>
      </c>
      <c r="AY175" t="s">
        <v>4240</v>
      </c>
      <c r="AZ175" t="s">
        <v>4</v>
      </c>
      <c r="BA175" s="3" t="s">
        <v>115</v>
      </c>
      <c r="BB175" s="6" t="s">
        <v>95</v>
      </c>
      <c r="BC175" s="3" t="s">
        <v>95</v>
      </c>
      <c r="BD175" t="s">
        <v>4</v>
      </c>
      <c r="BE175">
        <v>9080</v>
      </c>
      <c r="BF175" t="s">
        <v>169</v>
      </c>
      <c r="BG175">
        <v>89.462999999999994</v>
      </c>
      <c r="BH175">
        <v>37.588700000000003</v>
      </c>
      <c r="BI175">
        <v>93.819699999999997</v>
      </c>
      <c r="BJ175">
        <v>65.754800000000003</v>
      </c>
      <c r="BK175">
        <v>81.762900000000002</v>
      </c>
      <c r="BN175">
        <v>83.789299999999997</v>
      </c>
      <c r="BO175">
        <v>33.738599999999998</v>
      </c>
      <c r="BP175">
        <v>63.728499999999997</v>
      </c>
      <c r="BQ175">
        <v>40.830800000000004</v>
      </c>
      <c r="BR175">
        <v>41.844000000000001</v>
      </c>
      <c r="BS175">
        <v>40.121600000000001</v>
      </c>
      <c r="BT175" t="s">
        <v>4241</v>
      </c>
      <c r="BU175">
        <v>36.980800000000002</v>
      </c>
      <c r="BV175" t="s">
        <v>4242</v>
      </c>
      <c r="BW175">
        <v>42.857100000000003</v>
      </c>
      <c r="BX175">
        <v>48.834899999999998</v>
      </c>
      <c r="BY175">
        <v>12.3607</v>
      </c>
      <c r="BZ175">
        <v>36.6768</v>
      </c>
      <c r="CA175">
        <v>49.645400000000002</v>
      </c>
      <c r="CB175">
        <v>25.1266</v>
      </c>
      <c r="CC175">
        <v>31.509599999999999</v>
      </c>
      <c r="CD175">
        <v>34.9544</v>
      </c>
      <c r="CE175">
        <v>9.7264400000000002</v>
      </c>
      <c r="CF175">
        <v>25.1266</v>
      </c>
      <c r="CG175" t="s">
        <v>4243</v>
      </c>
      <c r="CH175" t="s">
        <v>4244</v>
      </c>
      <c r="CI175" t="s">
        <v>4245</v>
      </c>
      <c r="CJ175">
        <v>18.642399999999999</v>
      </c>
      <c r="CK175">
        <v>9</v>
      </c>
      <c r="CL175" t="s">
        <v>4</v>
      </c>
      <c r="CM175" t="s">
        <v>4246</v>
      </c>
      <c r="CN175" t="s">
        <v>4247</v>
      </c>
      <c r="CO175" t="s">
        <v>99</v>
      </c>
      <c r="CP175" t="s">
        <v>100</v>
      </c>
      <c r="CQ175">
        <v>174</v>
      </c>
      <c r="CR175" t="s">
        <v>100</v>
      </c>
      <c r="CS175" t="s">
        <v>100</v>
      </c>
      <c r="CT175" t="s">
        <v>152</v>
      </c>
      <c r="CU175" t="s">
        <v>102</v>
      </c>
      <c r="CV175" t="s">
        <v>100</v>
      </c>
    </row>
    <row r="176" spans="1:100">
      <c r="A176" s="3" t="s">
        <v>4248</v>
      </c>
      <c r="B176" s="4" t="s">
        <v>4249</v>
      </c>
      <c r="C176">
        <v>84.042185580478503</v>
      </c>
      <c r="D176">
        <v>1548.7650490953999</v>
      </c>
      <c r="E176">
        <f>-4.20269251756034</f>
        <v>-4.2026925175603402</v>
      </c>
      <c r="F176" s="5">
        <v>5.6367431973238303E-9</v>
      </c>
      <c r="G176" t="s">
        <v>4</v>
      </c>
      <c r="H176">
        <v>84.042185580478503</v>
      </c>
      <c r="I176">
        <v>38.679587908488102</v>
      </c>
      <c r="J176">
        <v>1.1312805655098901</v>
      </c>
      <c r="K176">
        <v>0.150498278213092</v>
      </c>
      <c r="L176" t="s">
        <v>4</v>
      </c>
      <c r="M176">
        <v>1548.7650490953999</v>
      </c>
      <c r="N176">
        <v>38.679587908488102</v>
      </c>
      <c r="O176">
        <v>5.3339730830702301</v>
      </c>
      <c r="P176" s="5">
        <v>6.5537647625279797E-14</v>
      </c>
      <c r="Q176" t="s">
        <v>4</v>
      </c>
      <c r="R176" s="4" t="s">
        <v>87</v>
      </c>
      <c r="S176" t="s">
        <v>4</v>
      </c>
      <c r="T176" t="s">
        <v>92</v>
      </c>
      <c r="U176" t="s">
        <v>92</v>
      </c>
      <c r="V176" t="s">
        <v>92</v>
      </c>
      <c r="W176" t="s">
        <v>92</v>
      </c>
      <c r="X176" t="s">
        <v>4</v>
      </c>
      <c r="Y176" t="s">
        <v>92</v>
      </c>
      <c r="Z176" t="s">
        <v>92</v>
      </c>
      <c r="AA176" t="s">
        <v>92</v>
      </c>
      <c r="AB176" t="s">
        <v>4</v>
      </c>
      <c r="AC176" s="3" t="s">
        <v>93</v>
      </c>
      <c r="AD176" t="s">
        <v>4</v>
      </c>
      <c r="AE176" s="4" t="s">
        <v>94</v>
      </c>
      <c r="AZ176" t="s">
        <v>4</v>
      </c>
      <c r="BA176" s="3" t="s">
        <v>95</v>
      </c>
      <c r="BB176" s="6" t="s">
        <v>95</v>
      </c>
      <c r="BC176" s="3" t="s">
        <v>197</v>
      </c>
      <c r="BD176" t="s">
        <v>4</v>
      </c>
      <c r="BE176">
        <v>1792</v>
      </c>
      <c r="BF176" t="s">
        <v>148</v>
      </c>
      <c r="BG176">
        <v>94.573599999999999</v>
      </c>
      <c r="BH176">
        <v>99.224800000000002</v>
      </c>
      <c r="BI176">
        <v>87.596900000000005</v>
      </c>
      <c r="BJ176">
        <v>15.5039</v>
      </c>
      <c r="BL176">
        <v>27.131799999999998</v>
      </c>
      <c r="BM176">
        <v>27.131799999999998</v>
      </c>
      <c r="BN176">
        <v>53.488399999999999</v>
      </c>
      <c r="BO176">
        <v>63.565899999999999</v>
      </c>
      <c r="CK176">
        <v>3</v>
      </c>
      <c r="CL176" t="s">
        <v>4</v>
      </c>
      <c r="CM176" t="s">
        <v>98</v>
      </c>
      <c r="CN176" t="s">
        <v>98</v>
      </c>
      <c r="CO176" t="s">
        <v>99</v>
      </c>
      <c r="CP176" t="s">
        <v>100</v>
      </c>
      <c r="CQ176">
        <v>175</v>
      </c>
      <c r="CR176" t="s">
        <v>100</v>
      </c>
      <c r="CS176" t="s">
        <v>100</v>
      </c>
      <c r="CT176" t="s">
        <v>152</v>
      </c>
      <c r="CU176" t="s">
        <v>102</v>
      </c>
      <c r="CV176" t="s">
        <v>100</v>
      </c>
    </row>
    <row r="177" spans="1:100">
      <c r="A177" s="3" t="s">
        <v>4250</v>
      </c>
      <c r="B177" s="4" t="s">
        <v>4251</v>
      </c>
      <c r="C177">
        <v>78.613724832327506</v>
      </c>
      <c r="D177">
        <v>1559.01166473895</v>
      </c>
      <c r="E177">
        <f>-4.30850590830043</f>
        <v>-4.3085059083004298</v>
      </c>
      <c r="F177" s="5">
        <v>1.04112085413762E-12</v>
      </c>
      <c r="G177" t="s">
        <v>4</v>
      </c>
      <c r="H177">
        <v>78.613724832327506</v>
      </c>
      <c r="I177">
        <v>50.017548268824598</v>
      </c>
      <c r="J177">
        <v>0.66006467668922097</v>
      </c>
      <c r="K177">
        <v>0.33323450565567297</v>
      </c>
      <c r="L177" t="s">
        <v>4</v>
      </c>
      <c r="M177">
        <v>1559.01166473895</v>
      </c>
      <c r="N177">
        <v>50.017548268824598</v>
      </c>
      <c r="O177">
        <v>4.9685705849896502</v>
      </c>
      <c r="P177" s="5">
        <v>1.2859802915001901E-16</v>
      </c>
      <c r="Q177" t="s">
        <v>4</v>
      </c>
      <c r="R177" s="4" t="s">
        <v>87</v>
      </c>
      <c r="S177" t="s">
        <v>4</v>
      </c>
      <c r="T177" t="s">
        <v>4252</v>
      </c>
      <c r="U177" t="s">
        <v>4253</v>
      </c>
      <c r="V177" t="s">
        <v>4254</v>
      </c>
      <c r="W177" t="s">
        <v>328</v>
      </c>
      <c r="X177" t="s">
        <v>4</v>
      </c>
      <c r="Y177" t="s">
        <v>4255</v>
      </c>
      <c r="Z177" t="s">
        <v>4256</v>
      </c>
      <c r="AA177" t="s">
        <v>4257</v>
      </c>
      <c r="AB177" t="s">
        <v>4</v>
      </c>
      <c r="AC177" s="3" t="s">
        <v>4258</v>
      </c>
      <c r="AD177" t="s">
        <v>4</v>
      </c>
      <c r="AE177" t="s">
        <v>4259</v>
      </c>
      <c r="AF177" t="s">
        <v>4260</v>
      </c>
      <c r="AG177" t="s">
        <v>4261</v>
      </c>
      <c r="AH177" t="s">
        <v>112</v>
      </c>
      <c r="AJ177" t="s">
        <v>4262</v>
      </c>
      <c r="AL177" t="s">
        <v>4263</v>
      </c>
      <c r="AM177" t="s">
        <v>4264</v>
      </c>
      <c r="AN177" t="s">
        <v>4265</v>
      </c>
      <c r="AQ177" t="s">
        <v>4266</v>
      </c>
      <c r="AR177" t="s">
        <v>4267</v>
      </c>
      <c r="AU177" t="s">
        <v>112</v>
      </c>
      <c r="AV177" t="s">
        <v>4268</v>
      </c>
      <c r="AW177" t="s">
        <v>114</v>
      </c>
      <c r="AX177" t="s">
        <v>909</v>
      </c>
      <c r="AY177" t="s">
        <v>1181</v>
      </c>
      <c r="AZ177" t="s">
        <v>4</v>
      </c>
      <c r="BA177" s="3" t="s">
        <v>115</v>
      </c>
      <c r="BB177" t="s">
        <v>96</v>
      </c>
      <c r="BC177" s="3" t="s">
        <v>95</v>
      </c>
      <c r="BD177" t="s">
        <v>4</v>
      </c>
      <c r="BE177">
        <v>6595</v>
      </c>
      <c r="BF177" t="s">
        <v>213</v>
      </c>
      <c r="BG177">
        <v>13.1661</v>
      </c>
      <c r="BJ177">
        <v>73.510999999999996</v>
      </c>
      <c r="BK177">
        <v>62.382399999999997</v>
      </c>
      <c r="BL177">
        <v>13.793100000000001</v>
      </c>
      <c r="BM177">
        <v>71.630099999999999</v>
      </c>
      <c r="BN177">
        <v>66.927899999999994</v>
      </c>
      <c r="BO177">
        <v>65.830699999999993</v>
      </c>
      <c r="BP177">
        <v>58.934199999999997</v>
      </c>
      <c r="BQ177">
        <v>52.037599999999998</v>
      </c>
      <c r="BR177">
        <v>50.313499999999998</v>
      </c>
      <c r="BS177">
        <v>54.075200000000002</v>
      </c>
      <c r="BT177">
        <v>49.686500000000002</v>
      </c>
      <c r="BU177">
        <v>48.2759</v>
      </c>
      <c r="BV177" t="s">
        <v>4269</v>
      </c>
      <c r="BW177">
        <v>50</v>
      </c>
      <c r="BX177">
        <v>23.8245</v>
      </c>
      <c r="BY177">
        <v>11.128500000000001</v>
      </c>
      <c r="CA177">
        <v>50.313499999999998</v>
      </c>
      <c r="CB177">
        <v>34.1693</v>
      </c>
      <c r="CC177">
        <v>12.6959</v>
      </c>
      <c r="CE177" t="s">
        <v>4270</v>
      </c>
      <c r="CF177">
        <v>33.699100000000001</v>
      </c>
      <c r="CG177" t="s">
        <v>4271</v>
      </c>
      <c r="CH177" t="s">
        <v>4272</v>
      </c>
      <c r="CI177" t="s">
        <v>4273</v>
      </c>
      <c r="CK177">
        <v>8</v>
      </c>
      <c r="CL177" t="s">
        <v>4</v>
      </c>
      <c r="CM177" t="s">
        <v>4274</v>
      </c>
      <c r="CN177" t="s">
        <v>4275</v>
      </c>
      <c r="CO177" t="s">
        <v>99</v>
      </c>
      <c r="CP177" t="s">
        <v>100</v>
      </c>
      <c r="CQ177">
        <v>176</v>
      </c>
      <c r="CR177" t="s">
        <v>100</v>
      </c>
      <c r="CS177" t="s">
        <v>100</v>
      </c>
      <c r="CT177" t="s">
        <v>152</v>
      </c>
      <c r="CU177" t="s">
        <v>102</v>
      </c>
      <c r="CV177" t="s">
        <v>100</v>
      </c>
    </row>
    <row r="178" spans="1:100">
      <c r="A178" s="3" t="s">
        <v>4276</v>
      </c>
      <c r="B178" s="4" t="s">
        <v>4277</v>
      </c>
      <c r="C178">
        <v>988.32688545459496</v>
      </c>
      <c r="D178">
        <v>9927.6300183165495</v>
      </c>
      <c r="E178">
        <f>-3.32817916905942</f>
        <v>-3.3281791690594198</v>
      </c>
      <c r="F178" s="5">
        <v>1.7560538463184699E-24</v>
      </c>
      <c r="G178" t="s">
        <v>4</v>
      </c>
      <c r="H178">
        <v>988.32688545459496</v>
      </c>
      <c r="I178">
        <v>674.910522674714</v>
      </c>
      <c r="J178">
        <v>0.55103086745678997</v>
      </c>
      <c r="K178">
        <v>0.122313436672467</v>
      </c>
      <c r="L178" t="s">
        <v>4</v>
      </c>
      <c r="M178">
        <v>9927.6300183165495</v>
      </c>
      <c r="N178">
        <v>674.910522674714</v>
      </c>
      <c r="O178">
        <v>3.8792100365162101</v>
      </c>
      <c r="P178" s="5">
        <v>1.19925011169928E-33</v>
      </c>
      <c r="Q178" t="s">
        <v>4</v>
      </c>
      <c r="R178" s="4" t="s">
        <v>87</v>
      </c>
      <c r="S178" t="s">
        <v>4</v>
      </c>
      <c r="T178" t="s">
        <v>4278</v>
      </c>
      <c r="U178" t="s">
        <v>4279</v>
      </c>
      <c r="V178" t="s">
        <v>4280</v>
      </c>
      <c r="W178" t="s">
        <v>328</v>
      </c>
      <c r="X178" t="s">
        <v>4</v>
      </c>
      <c r="Y178" t="s">
        <v>4281</v>
      </c>
      <c r="Z178" t="s">
        <v>4282</v>
      </c>
      <c r="AA178" t="s">
        <v>4283</v>
      </c>
      <c r="AB178" t="s">
        <v>4</v>
      </c>
      <c r="AC178" s="3" t="s">
        <v>4284</v>
      </c>
      <c r="AD178" t="s">
        <v>4</v>
      </c>
      <c r="AE178" t="s">
        <v>4285</v>
      </c>
      <c r="AF178" t="s">
        <v>4286</v>
      </c>
      <c r="AG178" t="s">
        <v>4287</v>
      </c>
      <c r="AH178" t="s">
        <v>112</v>
      </c>
      <c r="AK178" t="s">
        <v>1322</v>
      </c>
      <c r="AL178" t="s">
        <v>4288</v>
      </c>
      <c r="AQ178" t="s">
        <v>4289</v>
      </c>
      <c r="AU178" t="s">
        <v>112</v>
      </c>
      <c r="AV178" t="s">
        <v>4290</v>
      </c>
      <c r="AW178" t="s">
        <v>114</v>
      </c>
      <c r="AX178" t="s">
        <v>733</v>
      </c>
      <c r="AY178" t="s">
        <v>4291</v>
      </c>
      <c r="AZ178" t="s">
        <v>4</v>
      </c>
      <c r="BA178" s="3" t="s">
        <v>95</v>
      </c>
      <c r="BB178" s="6" t="s">
        <v>95</v>
      </c>
      <c r="BC178" s="3" t="s">
        <v>95</v>
      </c>
      <c r="BD178" t="s">
        <v>4</v>
      </c>
      <c r="BE178">
        <v>9095</v>
      </c>
      <c r="BF178" t="s">
        <v>169</v>
      </c>
      <c r="BG178">
        <v>70.138900000000007</v>
      </c>
      <c r="BH178">
        <v>53.645800000000001</v>
      </c>
      <c r="BI178">
        <v>74.305599999999998</v>
      </c>
      <c r="BJ178">
        <v>77.951400000000007</v>
      </c>
      <c r="BK178">
        <v>84.722200000000001</v>
      </c>
      <c r="BL178">
        <v>34.2014</v>
      </c>
      <c r="BM178">
        <v>85.590299999999999</v>
      </c>
      <c r="BN178">
        <v>85.763900000000007</v>
      </c>
      <c r="BO178">
        <v>85.069400000000002</v>
      </c>
      <c r="BP178">
        <v>49.652799999999999</v>
      </c>
      <c r="BQ178">
        <v>28.645800000000001</v>
      </c>
      <c r="BR178">
        <v>37.152799999999999</v>
      </c>
      <c r="BS178">
        <v>30.729199999999999</v>
      </c>
      <c r="BT178">
        <v>32.118099999999998</v>
      </c>
      <c r="BU178">
        <v>38.541699999999999</v>
      </c>
      <c r="BV178" t="s">
        <v>4292</v>
      </c>
      <c r="BW178">
        <v>11.6319</v>
      </c>
      <c r="BX178">
        <v>45.833300000000001</v>
      </c>
      <c r="BY178">
        <v>32.118099999999998</v>
      </c>
      <c r="BZ178">
        <v>48.6111</v>
      </c>
      <c r="CA178">
        <v>43.229199999999999</v>
      </c>
      <c r="CB178">
        <v>15.277799999999999</v>
      </c>
      <c r="CC178">
        <v>31.0764</v>
      </c>
      <c r="CD178">
        <v>35.243099999999998</v>
      </c>
      <c r="CE178">
        <v>30.555599999999998</v>
      </c>
      <c r="CF178">
        <v>34.375</v>
      </c>
      <c r="CG178">
        <v>32.118099999999998</v>
      </c>
      <c r="CH178">
        <v>32.118099999999998</v>
      </c>
      <c r="CI178">
        <v>34.895800000000001</v>
      </c>
      <c r="CJ178">
        <v>27.777799999999999</v>
      </c>
      <c r="CK178">
        <v>9</v>
      </c>
      <c r="CL178" t="s">
        <v>4</v>
      </c>
      <c r="CM178" t="s">
        <v>4293</v>
      </c>
      <c r="CN178" t="s">
        <v>4294</v>
      </c>
      <c r="CO178" t="s">
        <v>219</v>
      </c>
      <c r="CP178" t="s">
        <v>100</v>
      </c>
      <c r="CQ178">
        <v>177</v>
      </c>
      <c r="CR178" t="s">
        <v>100</v>
      </c>
      <c r="CS178" t="s">
        <v>100</v>
      </c>
      <c r="CT178" t="s">
        <v>152</v>
      </c>
      <c r="CU178" t="s">
        <v>102</v>
      </c>
      <c r="CV178" t="s">
        <v>100</v>
      </c>
    </row>
    <row r="179" spans="1:100">
      <c r="A179" s="3" t="s">
        <v>4295</v>
      </c>
      <c r="B179" s="4" t="s">
        <v>4296</v>
      </c>
      <c r="C179">
        <v>813.32977868241198</v>
      </c>
      <c r="D179">
        <v>3351.72119068854</v>
      </c>
      <c r="E179">
        <f>-2.04251848035105</f>
        <v>-2.0425184803510499</v>
      </c>
      <c r="F179" s="5">
        <v>7.18140412064821E-27</v>
      </c>
      <c r="G179" t="s">
        <v>4</v>
      </c>
      <c r="H179">
        <v>813.32977868241198</v>
      </c>
      <c r="I179">
        <v>88.379897028038997</v>
      </c>
      <c r="J179">
        <v>3.2002715235049899</v>
      </c>
      <c r="K179" s="5">
        <v>3.0873074072651002E-50</v>
      </c>
      <c r="L179" t="s">
        <v>4</v>
      </c>
      <c r="M179">
        <v>3351.72119068854</v>
      </c>
      <c r="N179">
        <v>88.379897028038997</v>
      </c>
      <c r="O179">
        <v>5.2427900038560402</v>
      </c>
      <c r="P179" s="5">
        <v>8.9881964615702695E-135</v>
      </c>
      <c r="Q179" t="s">
        <v>4</v>
      </c>
      <c r="R179" s="4" t="s">
        <v>87</v>
      </c>
      <c r="S179" t="s">
        <v>4</v>
      </c>
      <c r="T179" t="s">
        <v>4297</v>
      </c>
      <c r="U179" t="s">
        <v>4298</v>
      </c>
      <c r="V179" t="s">
        <v>4299</v>
      </c>
      <c r="W179" t="s">
        <v>328</v>
      </c>
      <c r="X179" t="s">
        <v>4</v>
      </c>
      <c r="Y179" t="s">
        <v>4300</v>
      </c>
      <c r="Z179" t="s">
        <v>4301</v>
      </c>
      <c r="AA179" t="s">
        <v>4302</v>
      </c>
      <c r="AB179" t="s">
        <v>4</v>
      </c>
      <c r="AC179" s="3" t="s">
        <v>4303</v>
      </c>
      <c r="AD179" t="s">
        <v>4</v>
      </c>
      <c r="AE179" t="s">
        <v>4304</v>
      </c>
      <c r="AF179" t="s">
        <v>4305</v>
      </c>
      <c r="AG179" t="s">
        <v>4306</v>
      </c>
      <c r="AH179" t="s">
        <v>112</v>
      </c>
      <c r="AJ179" t="s">
        <v>4307</v>
      </c>
      <c r="AL179" t="s">
        <v>4308</v>
      </c>
      <c r="AM179" t="s">
        <v>4309</v>
      </c>
      <c r="AN179" t="s">
        <v>4310</v>
      </c>
      <c r="AQ179" t="s">
        <v>4311</v>
      </c>
      <c r="AU179" t="s">
        <v>112</v>
      </c>
      <c r="AV179" t="s">
        <v>4312</v>
      </c>
      <c r="AW179" t="s">
        <v>114</v>
      </c>
      <c r="AX179" t="s">
        <v>132</v>
      </c>
      <c r="AY179" t="s">
        <v>4313</v>
      </c>
      <c r="AZ179" t="s">
        <v>4</v>
      </c>
      <c r="BA179" s="3" t="s">
        <v>95</v>
      </c>
      <c r="BB179" t="s">
        <v>96</v>
      </c>
      <c r="BC179" s="3" t="s">
        <v>197</v>
      </c>
      <c r="BD179" t="s">
        <v>4</v>
      </c>
      <c r="BE179">
        <v>6607</v>
      </c>
      <c r="BF179" t="s">
        <v>213</v>
      </c>
      <c r="BG179">
        <v>91.453000000000003</v>
      </c>
      <c r="BH179">
        <v>92.307699999999997</v>
      </c>
      <c r="BI179">
        <v>89.743600000000001</v>
      </c>
      <c r="BJ179">
        <v>39.886000000000003</v>
      </c>
      <c r="BL179">
        <v>78.632499999999993</v>
      </c>
      <c r="BM179">
        <v>80.341899999999995</v>
      </c>
      <c r="BN179">
        <v>76.638199999999998</v>
      </c>
      <c r="BO179">
        <v>79.772099999999995</v>
      </c>
      <c r="BQ179">
        <v>28.205100000000002</v>
      </c>
      <c r="BT179">
        <v>35.612499999999997</v>
      </c>
      <c r="BU179">
        <v>30.769200000000001</v>
      </c>
      <c r="CB179">
        <v>12.535600000000001</v>
      </c>
      <c r="CC179">
        <v>23.646699999999999</v>
      </c>
      <c r="CE179">
        <v>29.6296</v>
      </c>
      <c r="CG179" t="s">
        <v>4314</v>
      </c>
      <c r="CH179" t="s">
        <v>4315</v>
      </c>
      <c r="CI179" t="s">
        <v>4316</v>
      </c>
      <c r="CK179">
        <v>8</v>
      </c>
      <c r="CL179" t="s">
        <v>4</v>
      </c>
      <c r="CM179" t="s">
        <v>98</v>
      </c>
      <c r="CN179" t="s">
        <v>98</v>
      </c>
      <c r="CO179" t="s">
        <v>99</v>
      </c>
      <c r="CP179" t="s">
        <v>100</v>
      </c>
      <c r="CQ179">
        <v>178</v>
      </c>
      <c r="CR179" t="s">
        <v>100</v>
      </c>
      <c r="CS179" t="s">
        <v>101</v>
      </c>
      <c r="CT179" t="s">
        <v>152</v>
      </c>
      <c r="CU179" t="s">
        <v>102</v>
      </c>
      <c r="CV179" t="s">
        <v>100</v>
      </c>
    </row>
    <row r="180" spans="1:100">
      <c r="A180" s="3" t="s">
        <v>4317</v>
      </c>
      <c r="B180" s="4" t="s">
        <v>4318</v>
      </c>
      <c r="C180">
        <v>318.818936470567</v>
      </c>
      <c r="D180">
        <v>2194.6742332568201</v>
      </c>
      <c r="E180">
        <f>-2.78265806508024</f>
        <v>-2.7826580650802399</v>
      </c>
      <c r="F180" s="5">
        <v>1.9951959093464699E-51</v>
      </c>
      <c r="G180" t="s">
        <v>4</v>
      </c>
      <c r="H180">
        <v>318.818936470567</v>
      </c>
      <c r="I180">
        <v>92.6717910498149</v>
      </c>
      <c r="J180">
        <v>1.7877894406963</v>
      </c>
      <c r="K180" s="5">
        <v>3.9245214756671702E-17</v>
      </c>
      <c r="L180" t="s">
        <v>4</v>
      </c>
      <c r="M180">
        <v>2194.6742332568201</v>
      </c>
      <c r="N180">
        <v>92.6717910498149</v>
      </c>
      <c r="O180">
        <v>4.5704475057765297</v>
      </c>
      <c r="P180" s="5">
        <v>1.8897226468865399E-110</v>
      </c>
      <c r="Q180" t="s">
        <v>4</v>
      </c>
      <c r="R180" s="4" t="s">
        <v>87</v>
      </c>
      <c r="S180" t="s">
        <v>4</v>
      </c>
      <c r="T180" t="s">
        <v>92</v>
      </c>
      <c r="U180" t="s">
        <v>92</v>
      </c>
      <c r="V180" t="s">
        <v>92</v>
      </c>
      <c r="W180" t="s">
        <v>92</v>
      </c>
      <c r="X180" t="s">
        <v>4</v>
      </c>
      <c r="Y180" t="s">
        <v>4319</v>
      </c>
      <c r="Z180" t="s">
        <v>4320</v>
      </c>
      <c r="AA180" t="s">
        <v>4320</v>
      </c>
      <c r="AB180" t="s">
        <v>4</v>
      </c>
      <c r="AC180" s="3" t="s">
        <v>4321</v>
      </c>
      <c r="AD180" t="s">
        <v>4</v>
      </c>
      <c r="AE180" t="s">
        <v>4322</v>
      </c>
      <c r="AF180" t="s">
        <v>4323</v>
      </c>
      <c r="AG180" t="s">
        <v>4324</v>
      </c>
      <c r="AH180" t="s">
        <v>112</v>
      </c>
      <c r="AU180" t="s">
        <v>112</v>
      </c>
      <c r="AV180" t="s">
        <v>4325</v>
      </c>
      <c r="AW180" t="s">
        <v>114</v>
      </c>
      <c r="AZ180" t="s">
        <v>4</v>
      </c>
      <c r="BA180" s="3" t="s">
        <v>115</v>
      </c>
      <c r="BB180" s="6" t="s">
        <v>95</v>
      </c>
      <c r="BC180" s="3" t="s">
        <v>95</v>
      </c>
      <c r="BD180" t="s">
        <v>4</v>
      </c>
      <c r="BE180">
        <v>4894</v>
      </c>
      <c r="BF180" t="s">
        <v>282</v>
      </c>
      <c r="BG180">
        <v>96.109800000000007</v>
      </c>
      <c r="BH180">
        <v>93.363799999999998</v>
      </c>
      <c r="BI180">
        <v>84.897000000000006</v>
      </c>
      <c r="BJ180">
        <v>84.668199999999999</v>
      </c>
      <c r="BK180">
        <v>76.659000000000006</v>
      </c>
      <c r="BL180">
        <v>78.260900000000007</v>
      </c>
      <c r="BM180">
        <v>85.354699999999994</v>
      </c>
      <c r="BN180">
        <v>76.430199999999999</v>
      </c>
      <c r="BO180">
        <v>83.752899999999997</v>
      </c>
      <c r="BP180">
        <v>47.597299999999997</v>
      </c>
      <c r="BQ180">
        <v>42.1053</v>
      </c>
      <c r="BR180">
        <v>47.597299999999997</v>
      </c>
      <c r="BS180">
        <v>44.622399999999999</v>
      </c>
      <c r="BT180">
        <v>35.697899999999997</v>
      </c>
      <c r="BU180">
        <v>29.519500000000001</v>
      </c>
      <c r="BV180" t="s">
        <v>4326</v>
      </c>
      <c r="BW180">
        <v>43.020600000000002</v>
      </c>
      <c r="BZ180">
        <v>39.130400000000002</v>
      </c>
      <c r="CA180">
        <v>42.334099999999999</v>
      </c>
      <c r="CK180">
        <v>6</v>
      </c>
      <c r="CL180" t="s">
        <v>4</v>
      </c>
      <c r="CM180" t="s">
        <v>4327</v>
      </c>
      <c r="CN180" t="s">
        <v>4328</v>
      </c>
      <c r="CO180" t="s">
        <v>99</v>
      </c>
      <c r="CP180" t="s">
        <v>100</v>
      </c>
      <c r="CQ180">
        <v>179</v>
      </c>
      <c r="CR180" t="s">
        <v>100</v>
      </c>
      <c r="CS180" s="7" t="s">
        <v>101</v>
      </c>
      <c r="CT180" t="s">
        <v>152</v>
      </c>
      <c r="CU180" t="s">
        <v>102</v>
      </c>
      <c r="CV180" t="s">
        <v>100</v>
      </c>
    </row>
    <row r="181" spans="1:100">
      <c r="A181" s="3" t="s">
        <v>4329</v>
      </c>
      <c r="B181" s="4" t="s">
        <v>4330</v>
      </c>
      <c r="C181">
        <v>87.960218327791793</v>
      </c>
      <c r="D181">
        <v>435.27186590789898</v>
      </c>
      <c r="E181">
        <f>-2.30703379690916</f>
        <v>-2.3070337969091601</v>
      </c>
      <c r="F181" s="5">
        <v>1.2075111463398701E-21</v>
      </c>
      <c r="G181" t="s">
        <v>4</v>
      </c>
      <c r="H181">
        <v>87.960218327791793</v>
      </c>
      <c r="I181">
        <v>26.9663581049405</v>
      </c>
      <c r="J181">
        <v>1.7231716388398299</v>
      </c>
      <c r="K181" s="5">
        <v>3.6133684029214401E-8</v>
      </c>
      <c r="L181" t="s">
        <v>4</v>
      </c>
      <c r="M181">
        <v>435.27186590789898</v>
      </c>
      <c r="N181">
        <v>26.9663581049405</v>
      </c>
      <c r="O181">
        <v>4.0302054357489903</v>
      </c>
      <c r="P181" s="5">
        <v>1.46080464313013E-42</v>
      </c>
      <c r="Q181" t="s">
        <v>4</v>
      </c>
      <c r="R181" s="4" t="s">
        <v>87</v>
      </c>
      <c r="S181" t="s">
        <v>4</v>
      </c>
      <c r="T181" t="s">
        <v>2243</v>
      </c>
      <c r="U181" t="s">
        <v>2244</v>
      </c>
      <c r="V181" t="s">
        <v>2245</v>
      </c>
      <c r="W181" t="s">
        <v>123</v>
      </c>
      <c r="X181" t="s">
        <v>4</v>
      </c>
      <c r="Y181" t="s">
        <v>3541</v>
      </c>
      <c r="Z181" t="s">
        <v>3542</v>
      </c>
      <c r="AA181" t="s">
        <v>3543</v>
      </c>
      <c r="AB181" t="s">
        <v>4</v>
      </c>
      <c r="AC181" s="3" t="s">
        <v>4331</v>
      </c>
      <c r="AD181" t="s">
        <v>4</v>
      </c>
      <c r="AE181" t="s">
        <v>4332</v>
      </c>
      <c r="AF181" t="s">
        <v>4333</v>
      </c>
      <c r="AG181" t="s">
        <v>4334</v>
      </c>
      <c r="AH181" t="s">
        <v>112</v>
      </c>
      <c r="AU181" t="s">
        <v>112</v>
      </c>
      <c r="AV181" t="s">
        <v>4335</v>
      </c>
      <c r="AW181" t="s">
        <v>114</v>
      </c>
      <c r="AX181" t="s">
        <v>144</v>
      </c>
      <c r="AY181" t="s">
        <v>2455</v>
      </c>
      <c r="AZ181" t="s">
        <v>4</v>
      </c>
      <c r="BA181" s="3" t="s">
        <v>95</v>
      </c>
      <c r="BB181" s="6" t="s">
        <v>95</v>
      </c>
      <c r="BC181" s="3" t="s">
        <v>95</v>
      </c>
      <c r="BD181" t="s">
        <v>4</v>
      </c>
      <c r="BE181">
        <v>3556</v>
      </c>
      <c r="BF181" t="s">
        <v>112</v>
      </c>
      <c r="BG181">
        <v>99.267399999999995</v>
      </c>
      <c r="BH181">
        <v>80.586100000000002</v>
      </c>
      <c r="BI181" t="s">
        <v>4336</v>
      </c>
      <c r="BJ181">
        <v>87.912099999999995</v>
      </c>
      <c r="BN181">
        <v>79.120900000000006</v>
      </c>
      <c r="BO181">
        <v>45.421199999999999</v>
      </c>
      <c r="BP181">
        <v>43.589700000000001</v>
      </c>
      <c r="BQ181">
        <v>31.1355</v>
      </c>
      <c r="BR181">
        <v>46.153799999999997</v>
      </c>
      <c r="BW181">
        <v>40.659300000000002</v>
      </c>
      <c r="BX181">
        <v>43.223399999999998</v>
      </c>
      <c r="BY181">
        <v>30.769200000000001</v>
      </c>
      <c r="BZ181">
        <v>40.292999999999999</v>
      </c>
      <c r="CA181">
        <v>41.025599999999997</v>
      </c>
      <c r="CK181">
        <v>5</v>
      </c>
      <c r="CL181" t="s">
        <v>4</v>
      </c>
      <c r="CM181" t="s">
        <v>4337</v>
      </c>
      <c r="CN181" t="s">
        <v>4338</v>
      </c>
      <c r="CO181" t="s">
        <v>1218</v>
      </c>
      <c r="CP181" t="s">
        <v>100</v>
      </c>
      <c r="CQ181">
        <v>180</v>
      </c>
      <c r="CR181" t="s">
        <v>100</v>
      </c>
      <c r="CS181" s="7" t="s">
        <v>101</v>
      </c>
      <c r="CT181" t="s">
        <v>152</v>
      </c>
      <c r="CU181" t="s">
        <v>102</v>
      </c>
      <c r="CV181" t="s">
        <v>100</v>
      </c>
    </row>
    <row r="182" spans="1:100">
      <c r="A182" s="3" t="s">
        <v>4339</v>
      </c>
      <c r="B182" s="4" t="s">
        <v>4340</v>
      </c>
      <c r="C182">
        <v>271.93003930950101</v>
      </c>
      <c r="D182">
        <v>1425.9176853470501</v>
      </c>
      <c r="E182">
        <f>-2.39095475864948</f>
        <v>-2.3909547586494799</v>
      </c>
      <c r="F182" s="5">
        <v>7.2265290766508001E-14</v>
      </c>
      <c r="G182" t="s">
        <v>4</v>
      </c>
      <c r="H182">
        <v>271.93003930950101</v>
      </c>
      <c r="I182">
        <v>200.676730747894</v>
      </c>
      <c r="J182">
        <v>0.42612972844361502</v>
      </c>
      <c r="K182">
        <v>0.230795518747102</v>
      </c>
      <c r="L182" t="s">
        <v>4</v>
      </c>
      <c r="M182">
        <v>1425.9176853470501</v>
      </c>
      <c r="N182">
        <v>200.676730747894</v>
      </c>
      <c r="O182">
        <v>2.8170844870931</v>
      </c>
      <c r="P182" s="5">
        <v>4.9888767896224696E-19</v>
      </c>
      <c r="Q182" t="s">
        <v>4</v>
      </c>
      <c r="R182" s="4" t="s">
        <v>87</v>
      </c>
      <c r="S182" t="s">
        <v>4</v>
      </c>
      <c r="T182" t="s">
        <v>3889</v>
      </c>
      <c r="U182" t="s">
        <v>3890</v>
      </c>
      <c r="V182" t="s">
        <v>3891</v>
      </c>
      <c r="W182" t="s">
        <v>328</v>
      </c>
      <c r="X182" t="s">
        <v>4</v>
      </c>
      <c r="Y182" t="s">
        <v>4341</v>
      </c>
      <c r="Z182" t="s">
        <v>4342</v>
      </c>
      <c r="AA182" t="s">
        <v>4343</v>
      </c>
      <c r="AB182" t="s">
        <v>4</v>
      </c>
      <c r="AC182" s="3" t="s">
        <v>1267</v>
      </c>
      <c r="AD182" t="s">
        <v>4</v>
      </c>
      <c r="AE182" t="s">
        <v>4344</v>
      </c>
      <c r="AF182" t="s">
        <v>4345</v>
      </c>
      <c r="AG182" t="s">
        <v>4346</v>
      </c>
      <c r="AH182" t="s">
        <v>282</v>
      </c>
      <c r="AU182" t="s">
        <v>112</v>
      </c>
      <c r="AV182" t="s">
        <v>4347</v>
      </c>
      <c r="AW182" t="s">
        <v>114</v>
      </c>
      <c r="AX182" t="s">
        <v>371</v>
      </c>
      <c r="AY182" t="s">
        <v>4348</v>
      </c>
      <c r="AZ182" t="s">
        <v>4</v>
      </c>
      <c r="BA182" s="3" t="s">
        <v>95</v>
      </c>
      <c r="BB182" s="6" t="s">
        <v>95</v>
      </c>
      <c r="BC182" s="3" t="s">
        <v>95</v>
      </c>
      <c r="BD182" t="s">
        <v>4</v>
      </c>
      <c r="BE182">
        <v>6629</v>
      </c>
      <c r="BF182" t="s">
        <v>213</v>
      </c>
      <c r="BG182">
        <v>45.5914</v>
      </c>
      <c r="BJ182">
        <v>38.064500000000002</v>
      </c>
      <c r="BK182">
        <v>89.892499999999998</v>
      </c>
      <c r="BL182">
        <v>58.494599999999998</v>
      </c>
      <c r="BM182">
        <v>88.171999999999997</v>
      </c>
      <c r="BN182">
        <v>84.731200000000001</v>
      </c>
      <c r="BO182">
        <v>81.935500000000005</v>
      </c>
      <c r="BP182">
        <v>51.1828</v>
      </c>
      <c r="BR182">
        <v>17.849499999999999</v>
      </c>
      <c r="CA182" t="s">
        <v>4349</v>
      </c>
      <c r="CB182">
        <v>18.064499999999999</v>
      </c>
      <c r="CC182">
        <v>36.989199999999997</v>
      </c>
      <c r="CD182" t="s">
        <v>4350</v>
      </c>
      <c r="CE182">
        <v>20.2151</v>
      </c>
      <c r="CF182">
        <v>34.4086</v>
      </c>
      <c r="CG182" t="s">
        <v>4351</v>
      </c>
      <c r="CH182" t="s">
        <v>4352</v>
      </c>
      <c r="CI182" t="s">
        <v>4353</v>
      </c>
      <c r="CK182">
        <v>8</v>
      </c>
      <c r="CL182" t="s">
        <v>4</v>
      </c>
      <c r="CM182" t="s">
        <v>4354</v>
      </c>
      <c r="CN182" t="s">
        <v>4355</v>
      </c>
      <c r="CO182" t="s">
        <v>4356</v>
      </c>
      <c r="CP182" t="s">
        <v>100</v>
      </c>
      <c r="CQ182">
        <v>181</v>
      </c>
      <c r="CR182" t="s">
        <v>100</v>
      </c>
      <c r="CS182" t="s">
        <v>100</v>
      </c>
      <c r="CT182" t="s">
        <v>152</v>
      </c>
      <c r="CU182" t="s">
        <v>102</v>
      </c>
      <c r="CV182" t="s">
        <v>100</v>
      </c>
    </row>
    <row r="183" spans="1:100">
      <c r="A183" s="3" t="s">
        <v>4357</v>
      </c>
      <c r="B183" s="4" t="s">
        <v>4358</v>
      </c>
      <c r="C183">
        <v>242.96464871431701</v>
      </c>
      <c r="D183">
        <v>2071.5492058462801</v>
      </c>
      <c r="E183">
        <f>-3.09166239327424</f>
        <v>-3.0916623932742402</v>
      </c>
      <c r="F183" s="5">
        <v>3.7137674988411602E-20</v>
      </c>
      <c r="G183" t="s">
        <v>4</v>
      </c>
      <c r="H183">
        <v>242.96464871431701</v>
      </c>
      <c r="I183">
        <v>231.892503762942</v>
      </c>
      <c r="J183">
        <v>6.1901084714239697E-2</v>
      </c>
      <c r="K183">
        <v>0.87942476388371105</v>
      </c>
      <c r="L183" t="s">
        <v>4</v>
      </c>
      <c r="M183">
        <v>2071.5492058462801</v>
      </c>
      <c r="N183">
        <v>231.892503762942</v>
      </c>
      <c r="O183">
        <v>3.15356347798848</v>
      </c>
      <c r="P183" s="5">
        <v>2.97955495973978E-21</v>
      </c>
      <c r="Q183" t="s">
        <v>4</v>
      </c>
      <c r="R183" s="4" t="s">
        <v>87</v>
      </c>
      <c r="S183" t="s">
        <v>4</v>
      </c>
      <c r="T183" t="s">
        <v>4359</v>
      </c>
      <c r="U183" t="s">
        <v>4360</v>
      </c>
      <c r="V183" t="s">
        <v>4361</v>
      </c>
      <c r="W183" t="s">
        <v>976</v>
      </c>
      <c r="X183" t="s">
        <v>4</v>
      </c>
      <c r="Y183" t="s">
        <v>4362</v>
      </c>
      <c r="Z183" t="s">
        <v>4363</v>
      </c>
      <c r="AA183" t="s">
        <v>4364</v>
      </c>
      <c r="AB183" t="s">
        <v>4</v>
      </c>
      <c r="AC183" s="3" t="s">
        <v>93</v>
      </c>
      <c r="AD183" t="s">
        <v>4</v>
      </c>
      <c r="AE183" t="s">
        <v>4365</v>
      </c>
      <c r="AF183" t="s">
        <v>4366</v>
      </c>
      <c r="AG183" t="s">
        <v>4367</v>
      </c>
      <c r="AH183" t="s">
        <v>112</v>
      </c>
      <c r="AU183" t="s">
        <v>112</v>
      </c>
      <c r="AV183" t="s">
        <v>4368</v>
      </c>
      <c r="AW183" t="s">
        <v>114</v>
      </c>
      <c r="AZ183" t="s">
        <v>4</v>
      </c>
      <c r="BA183" s="3" t="s">
        <v>115</v>
      </c>
      <c r="BB183" s="6" t="s">
        <v>95</v>
      </c>
      <c r="BC183" s="3" t="s">
        <v>95</v>
      </c>
      <c r="BD183" t="s">
        <v>4</v>
      </c>
      <c r="BE183">
        <v>1891</v>
      </c>
      <c r="BF183" t="s">
        <v>148</v>
      </c>
      <c r="BG183">
        <v>96.613200000000006</v>
      </c>
      <c r="BH183">
        <v>60.962600000000002</v>
      </c>
      <c r="BI183">
        <v>88.948300000000003</v>
      </c>
      <c r="BJ183">
        <v>66.844899999999996</v>
      </c>
      <c r="BK183">
        <v>56.149700000000003</v>
      </c>
      <c r="BL183">
        <v>63.279899999999998</v>
      </c>
      <c r="BM183">
        <v>65.418899999999994</v>
      </c>
      <c r="BN183">
        <v>65.418899999999994</v>
      </c>
      <c r="BO183">
        <v>39.037399999999998</v>
      </c>
      <c r="CK183">
        <v>3</v>
      </c>
      <c r="CL183" t="s">
        <v>4</v>
      </c>
      <c r="CM183" t="s">
        <v>98</v>
      </c>
      <c r="CN183" t="s">
        <v>98</v>
      </c>
      <c r="CO183" t="s">
        <v>99</v>
      </c>
      <c r="CP183" t="s">
        <v>100</v>
      </c>
      <c r="CQ183">
        <v>182</v>
      </c>
      <c r="CR183" t="s">
        <v>100</v>
      </c>
      <c r="CS183" t="s">
        <v>100</v>
      </c>
      <c r="CT183" t="s">
        <v>152</v>
      </c>
      <c r="CU183" t="s">
        <v>102</v>
      </c>
      <c r="CV183" t="s">
        <v>100</v>
      </c>
    </row>
    <row r="184" spans="1:100">
      <c r="A184" s="3" t="s">
        <v>4369</v>
      </c>
      <c r="B184" s="4" t="s">
        <v>4370</v>
      </c>
      <c r="C184">
        <v>207.19643251339701</v>
      </c>
      <c r="D184">
        <v>1050.96973508464</v>
      </c>
      <c r="E184">
        <f>-2.34081784149806</f>
        <v>-2.34081784149806</v>
      </c>
      <c r="F184" s="5">
        <v>1.1114437769613401E-28</v>
      </c>
      <c r="G184" t="s">
        <v>4</v>
      </c>
      <c r="H184">
        <v>207.19643251339701</v>
      </c>
      <c r="I184">
        <v>179.20826372090801</v>
      </c>
      <c r="J184">
        <v>0.21948938043694399</v>
      </c>
      <c r="K184">
        <v>0.38108606562054598</v>
      </c>
      <c r="L184" t="s">
        <v>4</v>
      </c>
      <c r="M184">
        <v>1050.96973508464</v>
      </c>
      <c r="N184">
        <v>179.20826372090801</v>
      </c>
      <c r="O184">
        <v>2.5603072219350098</v>
      </c>
      <c r="P184" s="5">
        <v>8.1855506097360802E-33</v>
      </c>
      <c r="Q184" t="s">
        <v>4</v>
      </c>
      <c r="R184" s="4" t="s">
        <v>87</v>
      </c>
      <c r="S184" t="s">
        <v>4</v>
      </c>
      <c r="T184" t="s">
        <v>4371</v>
      </c>
      <c r="U184" t="s">
        <v>4372</v>
      </c>
      <c r="V184" t="s">
        <v>4373</v>
      </c>
      <c r="W184" t="s">
        <v>328</v>
      </c>
      <c r="X184" t="s">
        <v>4</v>
      </c>
      <c r="Y184" t="s">
        <v>4374</v>
      </c>
      <c r="Z184" t="s">
        <v>4375</v>
      </c>
      <c r="AA184" t="s">
        <v>4376</v>
      </c>
      <c r="AB184" t="s">
        <v>4</v>
      </c>
      <c r="AC184" s="3" t="s">
        <v>4377</v>
      </c>
      <c r="AD184" t="s">
        <v>4</v>
      </c>
      <c r="AE184" t="s">
        <v>4378</v>
      </c>
      <c r="AF184" t="s">
        <v>4379</v>
      </c>
      <c r="AG184" t="s">
        <v>4380</v>
      </c>
      <c r="AH184" t="s">
        <v>112</v>
      </c>
      <c r="AJ184" t="s">
        <v>4381</v>
      </c>
      <c r="AU184" t="s">
        <v>112</v>
      </c>
      <c r="AV184" t="s">
        <v>4382</v>
      </c>
      <c r="AW184" t="s">
        <v>114</v>
      </c>
      <c r="AX184" t="s">
        <v>132</v>
      </c>
      <c r="AY184" t="s">
        <v>4383</v>
      </c>
      <c r="AZ184" t="s">
        <v>4</v>
      </c>
      <c r="BA184" s="3" t="s">
        <v>95</v>
      </c>
      <c r="BB184" t="s">
        <v>96</v>
      </c>
      <c r="BC184" s="3" t="s">
        <v>95</v>
      </c>
      <c r="BD184" t="s">
        <v>4</v>
      </c>
      <c r="BE184">
        <v>4907</v>
      </c>
      <c r="BF184" t="s">
        <v>282</v>
      </c>
      <c r="BG184">
        <v>80.869600000000005</v>
      </c>
      <c r="BH184">
        <v>80.652199999999993</v>
      </c>
      <c r="BI184">
        <v>72.826099999999997</v>
      </c>
      <c r="BJ184">
        <v>70.869600000000005</v>
      </c>
      <c r="BK184">
        <v>59.347799999999999</v>
      </c>
      <c r="BL184">
        <v>64.130399999999995</v>
      </c>
      <c r="BM184">
        <v>65.434799999999996</v>
      </c>
      <c r="BN184">
        <v>65</v>
      </c>
      <c r="BO184">
        <v>65.217399999999998</v>
      </c>
      <c r="BP184">
        <v>42.173900000000003</v>
      </c>
      <c r="BR184">
        <v>28.695699999999999</v>
      </c>
      <c r="BT184">
        <v>27.1739</v>
      </c>
      <c r="BU184">
        <v>27.391300000000001</v>
      </c>
      <c r="BV184" t="s">
        <v>4384</v>
      </c>
      <c r="BX184">
        <v>32.173900000000003</v>
      </c>
      <c r="BY184">
        <v>25.869599999999998</v>
      </c>
      <c r="BZ184">
        <v>33.695700000000002</v>
      </c>
      <c r="CA184">
        <v>28.695699999999999</v>
      </c>
      <c r="CG184" t="s">
        <v>4385</v>
      </c>
      <c r="CH184">
        <v>6.7391300000000003</v>
      </c>
      <c r="CI184">
        <v>10.434799999999999</v>
      </c>
      <c r="CK184">
        <v>6</v>
      </c>
      <c r="CL184" t="s">
        <v>4</v>
      </c>
      <c r="CM184" t="s">
        <v>4386</v>
      </c>
      <c r="CN184" t="s">
        <v>4387</v>
      </c>
      <c r="CO184" t="s">
        <v>663</v>
      </c>
      <c r="CP184" t="s">
        <v>100</v>
      </c>
      <c r="CQ184">
        <v>183</v>
      </c>
      <c r="CR184" t="s">
        <v>100</v>
      </c>
      <c r="CS184" t="s">
        <v>100</v>
      </c>
      <c r="CT184" t="s">
        <v>152</v>
      </c>
      <c r="CU184" t="s">
        <v>102</v>
      </c>
      <c r="CV184" t="s">
        <v>100</v>
      </c>
    </row>
    <row r="185" spans="1:100">
      <c r="A185" s="3" t="s">
        <v>4388</v>
      </c>
      <c r="B185" s="8" t="s">
        <v>811</v>
      </c>
      <c r="C185">
        <v>28.741159752307599</v>
      </c>
      <c r="D185">
        <v>223.67073724398199</v>
      </c>
      <c r="E185">
        <f>-2.95525179289316</f>
        <v>-2.9552517928931601</v>
      </c>
      <c r="F185" s="5">
        <v>1.02739799602666E-9</v>
      </c>
      <c r="G185" t="s">
        <v>4</v>
      </c>
      <c r="H185">
        <v>28.741159752307599</v>
      </c>
      <c r="I185">
        <v>21.484177959441201</v>
      </c>
      <c r="J185">
        <v>0.44559862348920898</v>
      </c>
      <c r="K185">
        <v>0.44787765166099103</v>
      </c>
      <c r="L185" t="s">
        <v>4</v>
      </c>
      <c r="M185">
        <v>223.67073724398199</v>
      </c>
      <c r="N185">
        <v>21.484177959441201</v>
      </c>
      <c r="O185">
        <v>3.4008504163823599</v>
      </c>
      <c r="P185" s="5">
        <v>1.18178954992703E-11</v>
      </c>
      <c r="Q185" t="s">
        <v>4</v>
      </c>
      <c r="R185" s="4" t="s">
        <v>95</v>
      </c>
      <c r="S185" t="s">
        <v>4</v>
      </c>
      <c r="T185" t="s">
        <v>92</v>
      </c>
      <c r="U185" t="s">
        <v>92</v>
      </c>
      <c r="V185" t="s">
        <v>92</v>
      </c>
      <c r="W185" t="s">
        <v>92</v>
      </c>
      <c r="X185" t="s">
        <v>4</v>
      </c>
      <c r="Y185" t="s">
        <v>92</v>
      </c>
      <c r="Z185" t="s">
        <v>92</v>
      </c>
      <c r="AA185" t="s">
        <v>92</v>
      </c>
      <c r="AB185" t="s">
        <v>4</v>
      </c>
      <c r="AC185" s="3" t="s">
        <v>93</v>
      </c>
      <c r="AD185" t="s">
        <v>4</v>
      </c>
      <c r="AE185" s="4" t="s">
        <v>94</v>
      </c>
      <c r="AZ185" t="s">
        <v>4</v>
      </c>
      <c r="BA185" s="3" t="s">
        <v>812</v>
      </c>
      <c r="BB185" s="3" t="s">
        <v>812</v>
      </c>
      <c r="BC185" s="3" t="s">
        <v>812</v>
      </c>
      <c r="BD185" t="s">
        <v>4</v>
      </c>
      <c r="BE185" s="3" t="s">
        <v>812</v>
      </c>
      <c r="BF185" s="3" t="s">
        <v>812</v>
      </c>
      <c r="BG185" s="3" t="s">
        <v>812</v>
      </c>
      <c r="BH185" s="3" t="s">
        <v>812</v>
      </c>
      <c r="BI185" s="3" t="s">
        <v>812</v>
      </c>
      <c r="BJ185" s="3" t="s">
        <v>812</v>
      </c>
      <c r="BK185" s="3" t="s">
        <v>812</v>
      </c>
      <c r="BL185" s="3" t="s">
        <v>812</v>
      </c>
      <c r="BM185" s="3" t="s">
        <v>812</v>
      </c>
      <c r="BN185" s="3" t="s">
        <v>812</v>
      </c>
      <c r="BO185" s="3" t="s">
        <v>812</v>
      </c>
      <c r="BP185" s="3" t="s">
        <v>812</v>
      </c>
      <c r="BQ185" s="3" t="s">
        <v>812</v>
      </c>
      <c r="BR185" s="3" t="s">
        <v>812</v>
      </c>
      <c r="BS185" s="3" t="s">
        <v>812</v>
      </c>
      <c r="BT185" s="3" t="s">
        <v>812</v>
      </c>
      <c r="BU185" s="3" t="s">
        <v>812</v>
      </c>
      <c r="BV185" s="3" t="s">
        <v>812</v>
      </c>
      <c r="BW185" s="3" t="s">
        <v>812</v>
      </c>
      <c r="BX185" s="3" t="s">
        <v>812</v>
      </c>
      <c r="BY185" s="3" t="s">
        <v>812</v>
      </c>
      <c r="BZ185" s="3" t="s">
        <v>812</v>
      </c>
      <c r="CA185" s="3" t="s">
        <v>812</v>
      </c>
      <c r="CB185" s="3" t="s">
        <v>812</v>
      </c>
      <c r="CC185" s="3" t="s">
        <v>812</v>
      </c>
      <c r="CD185" s="3" t="s">
        <v>812</v>
      </c>
      <c r="CE185" s="3" t="s">
        <v>812</v>
      </c>
      <c r="CF185" s="3" t="s">
        <v>812</v>
      </c>
      <c r="CG185" s="3" t="s">
        <v>812</v>
      </c>
      <c r="CH185" s="3" t="s">
        <v>812</v>
      </c>
      <c r="CI185" s="3" t="s">
        <v>812</v>
      </c>
      <c r="CJ185" s="3" t="s">
        <v>812</v>
      </c>
      <c r="CK185" s="3" t="s">
        <v>812</v>
      </c>
      <c r="CL185" t="s">
        <v>4</v>
      </c>
      <c r="CM185" s="3" t="s">
        <v>812</v>
      </c>
      <c r="CN185" s="3" t="s">
        <v>812</v>
      </c>
      <c r="CO185" s="3" t="s">
        <v>812</v>
      </c>
      <c r="CP185" t="s">
        <v>100</v>
      </c>
      <c r="CQ185">
        <v>184</v>
      </c>
      <c r="CR185" t="s">
        <v>100</v>
      </c>
      <c r="CS185" t="s">
        <v>100</v>
      </c>
      <c r="CT185" t="s">
        <v>152</v>
      </c>
      <c r="CU185" t="s">
        <v>102</v>
      </c>
      <c r="CV185" t="s">
        <v>100</v>
      </c>
    </row>
    <row r="186" spans="1:100">
      <c r="A186" s="3" t="s">
        <v>4389</v>
      </c>
      <c r="B186" s="4" t="s">
        <v>4390</v>
      </c>
      <c r="C186">
        <v>2976.93267471443</v>
      </c>
      <c r="D186">
        <v>14188.864729843999</v>
      </c>
      <c r="E186">
        <f>-2.25284678950098</f>
        <v>-2.2528467895009801</v>
      </c>
      <c r="F186" s="5">
        <v>1.7740469803944999E-12</v>
      </c>
      <c r="G186" t="s">
        <v>4</v>
      </c>
      <c r="H186">
        <v>2976.93267471443</v>
      </c>
      <c r="I186">
        <v>615.09183965674299</v>
      </c>
      <c r="J186">
        <v>2.2710930605394299</v>
      </c>
      <c r="K186" s="5">
        <v>7.3337426334409003E-13</v>
      </c>
      <c r="L186" t="s">
        <v>4</v>
      </c>
      <c r="M186">
        <v>14188.864729843999</v>
      </c>
      <c r="N186">
        <v>615.09183965674299</v>
      </c>
      <c r="O186">
        <v>4.52393985004041</v>
      </c>
      <c r="P186" s="5">
        <v>2.0374498677863001E-48</v>
      </c>
      <c r="Q186" t="s">
        <v>4</v>
      </c>
      <c r="R186" s="4" t="s">
        <v>87</v>
      </c>
      <c r="S186" t="s">
        <v>4</v>
      </c>
      <c r="T186" t="s">
        <v>460</v>
      </c>
      <c r="U186" t="s">
        <v>461</v>
      </c>
      <c r="V186" t="s">
        <v>462</v>
      </c>
      <c r="W186" t="s">
        <v>123</v>
      </c>
      <c r="X186" t="s">
        <v>4</v>
      </c>
      <c r="Y186" t="s">
        <v>4391</v>
      </c>
      <c r="Z186" t="s">
        <v>4392</v>
      </c>
      <c r="AA186" t="s">
        <v>4393</v>
      </c>
      <c r="AB186" t="s">
        <v>4</v>
      </c>
      <c r="AC186" s="3" t="s">
        <v>4394</v>
      </c>
      <c r="AD186" t="s">
        <v>4</v>
      </c>
      <c r="AE186" t="s">
        <v>4395</v>
      </c>
      <c r="AF186" t="s">
        <v>4396</v>
      </c>
      <c r="AG186" t="s">
        <v>4397</v>
      </c>
      <c r="AH186" t="s">
        <v>386</v>
      </c>
      <c r="AU186" t="s">
        <v>112</v>
      </c>
      <c r="AV186" t="s">
        <v>4398</v>
      </c>
      <c r="AW186" t="s">
        <v>114</v>
      </c>
      <c r="AX186" t="s">
        <v>1879</v>
      </c>
      <c r="AY186" t="s">
        <v>4399</v>
      </c>
      <c r="AZ186" t="s">
        <v>4</v>
      </c>
      <c r="BA186" s="3" t="s">
        <v>95</v>
      </c>
      <c r="BB186" s="6" t="s">
        <v>95</v>
      </c>
      <c r="BC186" s="3" t="s">
        <v>95</v>
      </c>
      <c r="BD186" t="s">
        <v>4</v>
      </c>
      <c r="BE186">
        <v>3590</v>
      </c>
      <c r="BF186" t="s">
        <v>112</v>
      </c>
      <c r="BG186">
        <v>79.878100000000003</v>
      </c>
      <c r="BI186" t="s">
        <v>4400</v>
      </c>
      <c r="BJ186">
        <v>68.292699999999996</v>
      </c>
      <c r="BK186">
        <v>58.841500000000003</v>
      </c>
      <c r="BL186">
        <v>35.365900000000003</v>
      </c>
      <c r="BM186">
        <v>61.5854</v>
      </c>
      <c r="BN186">
        <v>65.853700000000003</v>
      </c>
      <c r="BO186">
        <v>66.768299999999996</v>
      </c>
      <c r="BP186" t="s">
        <v>4401</v>
      </c>
      <c r="BR186" t="s">
        <v>4402</v>
      </c>
      <c r="BW186">
        <v>28.0488</v>
      </c>
      <c r="BX186">
        <v>28.0488</v>
      </c>
      <c r="BZ186">
        <v>28.3537</v>
      </c>
      <c r="CA186" t="s">
        <v>4403</v>
      </c>
      <c r="CG186" t="s">
        <v>4404</v>
      </c>
      <c r="CH186" t="s">
        <v>4405</v>
      </c>
      <c r="CI186" t="s">
        <v>4406</v>
      </c>
      <c r="CK186">
        <v>5</v>
      </c>
      <c r="CL186" t="s">
        <v>4</v>
      </c>
      <c r="CM186" t="s">
        <v>4407</v>
      </c>
      <c r="CN186" t="s">
        <v>4408</v>
      </c>
      <c r="CO186" t="s">
        <v>3021</v>
      </c>
      <c r="CP186" t="s">
        <v>100</v>
      </c>
      <c r="CQ186">
        <v>185</v>
      </c>
      <c r="CR186" t="s">
        <v>100</v>
      </c>
      <c r="CS186" t="s">
        <v>101</v>
      </c>
      <c r="CT186" t="s">
        <v>152</v>
      </c>
      <c r="CU186" t="s">
        <v>102</v>
      </c>
      <c r="CV186" t="s">
        <v>100</v>
      </c>
    </row>
    <row r="187" spans="1:100">
      <c r="A187" s="3" t="s">
        <v>4409</v>
      </c>
      <c r="B187" s="4" t="s">
        <v>4410</v>
      </c>
      <c r="C187">
        <v>11.0880236463549</v>
      </c>
      <c r="D187">
        <v>61.589412353915897</v>
      </c>
      <c r="E187">
        <f>-2.46606611059978</f>
        <v>-2.4660661105997801</v>
      </c>
      <c r="F187" s="5">
        <v>3.7350714470459002E-6</v>
      </c>
      <c r="G187" t="s">
        <v>4</v>
      </c>
      <c r="H187">
        <v>11.0880236463549</v>
      </c>
      <c r="I187">
        <v>3.2521009687225799</v>
      </c>
      <c r="J187">
        <v>1.8035794838450401</v>
      </c>
      <c r="K187">
        <v>2.5244551085210998E-2</v>
      </c>
      <c r="L187" t="s">
        <v>4</v>
      </c>
      <c r="M187">
        <v>61.589412353915897</v>
      </c>
      <c r="N187">
        <v>3.2521009687225799</v>
      </c>
      <c r="O187">
        <v>4.2696455944448299</v>
      </c>
      <c r="P187" s="5">
        <v>5.3663335160939704E-9</v>
      </c>
      <c r="Q187" t="s">
        <v>4</v>
      </c>
      <c r="R187" s="4" t="s">
        <v>87</v>
      </c>
      <c r="S187" t="s">
        <v>4</v>
      </c>
      <c r="T187" t="s">
        <v>92</v>
      </c>
      <c r="U187" t="s">
        <v>92</v>
      </c>
      <c r="V187" t="s">
        <v>92</v>
      </c>
      <c r="W187" t="s">
        <v>92</v>
      </c>
      <c r="X187" t="s">
        <v>4</v>
      </c>
      <c r="Y187" t="s">
        <v>92</v>
      </c>
      <c r="Z187" t="s">
        <v>92</v>
      </c>
      <c r="AA187" t="s">
        <v>92</v>
      </c>
      <c r="AB187" t="s">
        <v>4</v>
      </c>
      <c r="AC187" s="3" t="s">
        <v>93</v>
      </c>
      <c r="AD187" t="s">
        <v>4</v>
      </c>
      <c r="AE187" s="4" t="s">
        <v>94</v>
      </c>
      <c r="AZ187" t="s">
        <v>4</v>
      </c>
      <c r="BA187" s="3" t="s">
        <v>95</v>
      </c>
      <c r="BB187" s="6" t="s">
        <v>95</v>
      </c>
      <c r="BC187" s="3" t="s">
        <v>95</v>
      </c>
      <c r="BD187" t="s">
        <v>4</v>
      </c>
      <c r="BE187">
        <v>965</v>
      </c>
      <c r="BF187" t="s">
        <v>151</v>
      </c>
      <c r="BG187" t="s">
        <v>4411</v>
      </c>
      <c r="BH187">
        <v>97.530900000000003</v>
      </c>
      <c r="BI187">
        <v>56.790100000000002</v>
      </c>
      <c r="CK187">
        <v>2</v>
      </c>
      <c r="CL187" t="s">
        <v>4</v>
      </c>
      <c r="CM187" t="s">
        <v>98</v>
      </c>
      <c r="CN187" t="s">
        <v>98</v>
      </c>
      <c r="CO187" t="s">
        <v>99</v>
      </c>
      <c r="CP187" t="s">
        <v>100</v>
      </c>
      <c r="CQ187">
        <v>186</v>
      </c>
      <c r="CR187" t="s">
        <v>100</v>
      </c>
      <c r="CS187" s="7" t="s">
        <v>101</v>
      </c>
      <c r="CT187" t="s">
        <v>152</v>
      </c>
      <c r="CU187" t="s">
        <v>102</v>
      </c>
      <c r="CV187" t="s">
        <v>100</v>
      </c>
    </row>
    <row r="188" spans="1:100">
      <c r="A188" s="3" t="s">
        <v>4412</v>
      </c>
      <c r="B188" s="4" t="s">
        <v>4413</v>
      </c>
      <c r="C188">
        <v>23.817474115634599</v>
      </c>
      <c r="D188">
        <v>438.63324530558702</v>
      </c>
      <c r="E188">
        <f>-4.1959355145677</f>
        <v>-4.1959355145677</v>
      </c>
      <c r="F188" s="5">
        <v>3.6093841293533701E-12</v>
      </c>
      <c r="G188" t="s">
        <v>4</v>
      </c>
      <c r="H188">
        <v>23.817474115634599</v>
      </c>
      <c r="I188">
        <v>10.974218784957101</v>
      </c>
      <c r="J188">
        <v>1.1670998415045</v>
      </c>
      <c r="K188">
        <v>0.108752023722018</v>
      </c>
      <c r="L188" t="s">
        <v>4</v>
      </c>
      <c r="M188">
        <v>438.63324530558702</v>
      </c>
      <c r="N188">
        <v>10.974218784957101</v>
      </c>
      <c r="O188">
        <v>5.3630353560721904</v>
      </c>
      <c r="P188" s="5">
        <v>1.1272711015013301E-16</v>
      </c>
      <c r="Q188" t="s">
        <v>4</v>
      </c>
      <c r="R188" s="4" t="s">
        <v>87</v>
      </c>
      <c r="S188" t="s">
        <v>4</v>
      </c>
      <c r="T188" t="s">
        <v>92</v>
      </c>
      <c r="U188" t="s">
        <v>92</v>
      </c>
      <c r="V188" t="s">
        <v>92</v>
      </c>
      <c r="W188" t="s">
        <v>92</v>
      </c>
      <c r="X188" t="s">
        <v>4</v>
      </c>
      <c r="Y188" t="s">
        <v>92</v>
      </c>
      <c r="Z188" t="s">
        <v>92</v>
      </c>
      <c r="AA188" t="s">
        <v>92</v>
      </c>
      <c r="AB188" t="s">
        <v>4</v>
      </c>
      <c r="AC188" s="3" t="s">
        <v>93</v>
      </c>
      <c r="AD188" t="s">
        <v>4</v>
      </c>
      <c r="AE188" s="4" t="s">
        <v>94</v>
      </c>
      <c r="AZ188" t="s">
        <v>4</v>
      </c>
      <c r="BA188" s="3" t="s">
        <v>95</v>
      </c>
      <c r="BB188" s="6" t="s">
        <v>95</v>
      </c>
      <c r="BC188" s="3" t="s">
        <v>95</v>
      </c>
      <c r="BD188" t="s">
        <v>4</v>
      </c>
      <c r="BE188">
        <v>42</v>
      </c>
      <c r="BF188" t="s">
        <v>322</v>
      </c>
      <c r="CK188">
        <v>1</v>
      </c>
      <c r="CL188" t="s">
        <v>4</v>
      </c>
      <c r="CM188" t="s">
        <v>98</v>
      </c>
      <c r="CN188" t="s">
        <v>98</v>
      </c>
      <c r="CO188" t="s">
        <v>99</v>
      </c>
      <c r="CP188" t="s">
        <v>100</v>
      </c>
      <c r="CQ188">
        <v>187</v>
      </c>
      <c r="CR188" t="s">
        <v>100</v>
      </c>
      <c r="CS188" t="s">
        <v>100</v>
      </c>
      <c r="CT188" t="s">
        <v>152</v>
      </c>
      <c r="CU188" t="s">
        <v>102</v>
      </c>
      <c r="CV188" t="s">
        <v>100</v>
      </c>
    </row>
    <row r="189" spans="1:100">
      <c r="A189" s="3" t="s">
        <v>4414</v>
      </c>
      <c r="B189" s="4" t="s">
        <v>4415</v>
      </c>
      <c r="C189">
        <v>1466.6644943910601</v>
      </c>
      <c r="D189">
        <v>8342.5917951458505</v>
      </c>
      <c r="E189">
        <f>-2.50808789311315</f>
        <v>-2.5080878931131498</v>
      </c>
      <c r="F189" s="5">
        <v>7.4437242075421503E-27</v>
      </c>
      <c r="G189" t="s">
        <v>4</v>
      </c>
      <c r="H189">
        <v>1466.6644943910601</v>
      </c>
      <c r="I189">
        <v>327.474795379733</v>
      </c>
      <c r="J189">
        <v>2.1575365465135401</v>
      </c>
      <c r="K189" s="5">
        <v>1.53477225543251E-19</v>
      </c>
      <c r="L189" t="s">
        <v>4</v>
      </c>
      <c r="M189">
        <v>8342.5917951458505</v>
      </c>
      <c r="N189">
        <v>327.474795379733</v>
      </c>
      <c r="O189">
        <v>4.6656244396266899</v>
      </c>
      <c r="P189" s="5">
        <v>1.46885609894572E-88</v>
      </c>
      <c r="Q189" t="s">
        <v>4</v>
      </c>
      <c r="R189" s="4" t="s">
        <v>87</v>
      </c>
      <c r="S189" t="s">
        <v>4</v>
      </c>
      <c r="T189" t="s">
        <v>4416</v>
      </c>
      <c r="U189" t="s">
        <v>4417</v>
      </c>
      <c r="V189" t="s">
        <v>4418</v>
      </c>
      <c r="W189" t="s">
        <v>328</v>
      </c>
      <c r="X189" t="s">
        <v>4</v>
      </c>
      <c r="Y189" t="s">
        <v>4419</v>
      </c>
      <c r="Z189" t="s">
        <v>4420</v>
      </c>
      <c r="AA189" t="s">
        <v>4421</v>
      </c>
      <c r="AB189" t="s">
        <v>4</v>
      </c>
      <c r="AC189" s="3" t="s">
        <v>4422</v>
      </c>
      <c r="AD189" t="s">
        <v>4</v>
      </c>
      <c r="AE189" t="s">
        <v>4423</v>
      </c>
      <c r="AF189" t="s">
        <v>4424</v>
      </c>
      <c r="AG189" t="s">
        <v>4425</v>
      </c>
      <c r="AH189" t="s">
        <v>112</v>
      </c>
      <c r="AL189" t="s">
        <v>4426</v>
      </c>
      <c r="AQ189" t="s">
        <v>1003</v>
      </c>
      <c r="AU189" t="s">
        <v>112</v>
      </c>
      <c r="AV189" t="s">
        <v>4427</v>
      </c>
      <c r="AW189" t="s">
        <v>114</v>
      </c>
      <c r="AX189" t="s">
        <v>371</v>
      </c>
      <c r="AY189" t="s">
        <v>4428</v>
      </c>
      <c r="AZ189" t="s">
        <v>4</v>
      </c>
      <c r="BA189" s="3" t="s">
        <v>95</v>
      </c>
      <c r="BB189" s="6" t="s">
        <v>95</v>
      </c>
      <c r="BC189" s="3" t="s">
        <v>95</v>
      </c>
      <c r="BD189" t="s">
        <v>4</v>
      </c>
      <c r="BE189">
        <v>6711</v>
      </c>
      <c r="BF189" t="s">
        <v>213</v>
      </c>
      <c r="BG189">
        <v>83.881600000000006</v>
      </c>
      <c r="BI189">
        <v>77.850899999999996</v>
      </c>
      <c r="BJ189">
        <v>41.008800000000001</v>
      </c>
      <c r="BK189">
        <v>39.473700000000001</v>
      </c>
      <c r="BL189">
        <v>48.136000000000003</v>
      </c>
      <c r="BM189">
        <v>48.026299999999999</v>
      </c>
      <c r="BN189">
        <v>48.245600000000003</v>
      </c>
      <c r="BO189">
        <v>45.3947</v>
      </c>
      <c r="BP189">
        <v>15.6798</v>
      </c>
      <c r="BR189">
        <v>15.350899999999999</v>
      </c>
      <c r="BS189">
        <v>14.1447</v>
      </c>
      <c r="BU189">
        <v>14.8026</v>
      </c>
      <c r="BV189" t="s">
        <v>4429</v>
      </c>
      <c r="BW189">
        <v>6.7982500000000003</v>
      </c>
      <c r="BX189">
        <v>15.241199999999999</v>
      </c>
      <c r="BZ189">
        <v>9.2105300000000003</v>
      </c>
      <c r="CA189">
        <v>16.337700000000002</v>
      </c>
      <c r="CB189">
        <v>10.8553</v>
      </c>
      <c r="CG189" t="s">
        <v>4430</v>
      </c>
      <c r="CH189" t="s">
        <v>4431</v>
      </c>
      <c r="CI189" t="s">
        <v>4432</v>
      </c>
      <c r="CK189">
        <v>8</v>
      </c>
      <c r="CL189" t="s">
        <v>4</v>
      </c>
      <c r="CM189" t="s">
        <v>4433</v>
      </c>
      <c r="CN189" t="s">
        <v>4434</v>
      </c>
      <c r="CO189" t="s">
        <v>1218</v>
      </c>
      <c r="CP189" t="s">
        <v>100</v>
      </c>
      <c r="CQ189">
        <v>188</v>
      </c>
      <c r="CR189" t="s">
        <v>100</v>
      </c>
      <c r="CS189" t="s">
        <v>101</v>
      </c>
      <c r="CT189" t="s">
        <v>152</v>
      </c>
      <c r="CU189" t="s">
        <v>102</v>
      </c>
      <c r="CV189" t="s">
        <v>100</v>
      </c>
    </row>
    <row r="190" spans="1:100">
      <c r="A190" s="3" t="s">
        <v>4435</v>
      </c>
      <c r="B190" s="4" t="s">
        <v>4436</v>
      </c>
      <c r="C190">
        <v>242.36913167092101</v>
      </c>
      <c r="D190">
        <v>1170.80976089617</v>
      </c>
      <c r="E190">
        <f>-2.27070502193718</f>
        <v>-2.27070502193718</v>
      </c>
      <c r="F190" s="5">
        <v>5.4457106430117197E-34</v>
      </c>
      <c r="G190" t="s">
        <v>4</v>
      </c>
      <c r="H190">
        <v>242.36913167092101</v>
      </c>
      <c r="I190">
        <v>272.21324468653199</v>
      </c>
      <c r="J190">
        <f>0.171279627236958</f>
        <v>0.171279627236958</v>
      </c>
      <c r="K190">
        <v>0.43862035886377099</v>
      </c>
      <c r="L190" t="s">
        <v>4</v>
      </c>
      <c r="M190">
        <v>1170.80976089617</v>
      </c>
      <c r="N190">
        <v>272.21324468653199</v>
      </c>
      <c r="O190">
        <v>2.0994253947002299</v>
      </c>
      <c r="P190" s="5">
        <v>7.0704812456981203E-29</v>
      </c>
      <c r="Q190" t="s">
        <v>4</v>
      </c>
      <c r="R190" s="4" t="s">
        <v>87</v>
      </c>
      <c r="S190" t="s">
        <v>4</v>
      </c>
      <c r="T190" t="s">
        <v>4437</v>
      </c>
      <c r="U190" t="s">
        <v>4438</v>
      </c>
      <c r="V190" t="s">
        <v>4439</v>
      </c>
      <c r="W190" t="s">
        <v>328</v>
      </c>
      <c r="X190" t="s">
        <v>4</v>
      </c>
      <c r="Y190" t="s">
        <v>4440</v>
      </c>
      <c r="Z190" t="s">
        <v>4441</v>
      </c>
      <c r="AA190" t="s">
        <v>4442</v>
      </c>
      <c r="AB190" t="s">
        <v>4</v>
      </c>
      <c r="AC190" s="3" t="s">
        <v>4443</v>
      </c>
      <c r="AD190" t="s">
        <v>4</v>
      </c>
      <c r="AE190" t="s">
        <v>4444</v>
      </c>
      <c r="AF190" t="s">
        <v>4445</v>
      </c>
      <c r="AG190" t="s">
        <v>4446</v>
      </c>
      <c r="AH190" t="s">
        <v>112</v>
      </c>
      <c r="AJ190" t="s">
        <v>4447</v>
      </c>
      <c r="AL190" t="s">
        <v>4448</v>
      </c>
      <c r="AQ190" t="s">
        <v>1693</v>
      </c>
      <c r="AR190" t="s">
        <v>4449</v>
      </c>
      <c r="AU190" t="s">
        <v>112</v>
      </c>
      <c r="AV190" t="s">
        <v>4450</v>
      </c>
      <c r="AW190" t="s">
        <v>114</v>
      </c>
      <c r="AX190" t="s">
        <v>909</v>
      </c>
      <c r="AY190" t="s">
        <v>4451</v>
      </c>
      <c r="AZ190" t="s">
        <v>4</v>
      </c>
      <c r="BA190" s="3" t="s">
        <v>95</v>
      </c>
      <c r="BB190" t="s">
        <v>96</v>
      </c>
      <c r="BC190" s="3" t="s">
        <v>95</v>
      </c>
      <c r="BD190" t="s">
        <v>4</v>
      </c>
      <c r="BE190">
        <v>6751</v>
      </c>
      <c r="BF190" t="s">
        <v>213</v>
      </c>
      <c r="BG190">
        <v>98.102999999999994</v>
      </c>
      <c r="BI190">
        <v>78.0488</v>
      </c>
      <c r="BJ190">
        <v>73.170699999999997</v>
      </c>
      <c r="BK190">
        <v>30.3523</v>
      </c>
      <c r="BL190">
        <v>23.577200000000001</v>
      </c>
      <c r="BM190">
        <v>82.9268</v>
      </c>
      <c r="BN190">
        <v>82.9268</v>
      </c>
      <c r="BP190">
        <v>49.322499999999998</v>
      </c>
      <c r="BQ190">
        <v>47.4255</v>
      </c>
      <c r="BR190">
        <v>51.490499999999997</v>
      </c>
      <c r="BS190">
        <v>40.108400000000003</v>
      </c>
      <c r="BT190">
        <v>42.547400000000003</v>
      </c>
      <c r="BU190">
        <v>37.669400000000003</v>
      </c>
      <c r="BV190" t="s">
        <v>4452</v>
      </c>
      <c r="BW190">
        <v>51.761499999999998</v>
      </c>
      <c r="BX190">
        <v>51.761499999999998</v>
      </c>
      <c r="BY190">
        <v>22.222200000000001</v>
      </c>
      <c r="BZ190">
        <v>33.604300000000002</v>
      </c>
      <c r="CA190">
        <v>47.967500000000001</v>
      </c>
      <c r="CB190">
        <v>42.005400000000002</v>
      </c>
      <c r="CC190">
        <v>38.482399999999998</v>
      </c>
      <c r="CE190">
        <v>36.856400000000001</v>
      </c>
      <c r="CF190">
        <v>43.9024</v>
      </c>
      <c r="CG190">
        <v>46.341500000000003</v>
      </c>
      <c r="CH190">
        <v>46.612499999999997</v>
      </c>
      <c r="CI190">
        <v>46.612499999999997</v>
      </c>
      <c r="CK190">
        <v>8</v>
      </c>
      <c r="CL190" t="s">
        <v>4</v>
      </c>
      <c r="CM190" t="s">
        <v>4453</v>
      </c>
      <c r="CN190" t="s">
        <v>4454</v>
      </c>
      <c r="CO190" t="s">
        <v>219</v>
      </c>
      <c r="CP190" t="s">
        <v>100</v>
      </c>
      <c r="CQ190">
        <v>189</v>
      </c>
      <c r="CR190" t="s">
        <v>100</v>
      </c>
      <c r="CS190" t="s">
        <v>100</v>
      </c>
      <c r="CT190" t="s">
        <v>152</v>
      </c>
      <c r="CU190" t="s">
        <v>102</v>
      </c>
      <c r="CV190" t="s">
        <v>100</v>
      </c>
    </row>
    <row r="191" spans="1:100">
      <c r="A191" s="3" t="s">
        <v>4455</v>
      </c>
      <c r="B191" s="4" t="s">
        <v>4456</v>
      </c>
      <c r="C191">
        <v>1988.2106715146899</v>
      </c>
      <c r="D191">
        <v>14471.708562023599</v>
      </c>
      <c r="E191">
        <f>-2.86371721550576</f>
        <v>-2.8637172155057602</v>
      </c>
      <c r="F191" s="5">
        <v>4.4562872348744403E-21</v>
      </c>
      <c r="G191" t="s">
        <v>4</v>
      </c>
      <c r="H191">
        <v>1988.2106715146899</v>
      </c>
      <c r="I191">
        <v>3262.88891487314</v>
      </c>
      <c r="J191">
        <f>0.714043157010169</f>
        <v>0.71404315701016896</v>
      </c>
      <c r="K191">
        <v>2.7010114919876899E-2</v>
      </c>
      <c r="L191" t="s">
        <v>4</v>
      </c>
      <c r="M191">
        <v>14471.708562023599</v>
      </c>
      <c r="N191">
        <v>3262.88891487314</v>
      </c>
      <c r="O191">
        <v>2.1496740584955898</v>
      </c>
      <c r="P191" s="5">
        <v>9.1281230615957694E-13</v>
      </c>
      <c r="Q191" t="s">
        <v>4</v>
      </c>
      <c r="R191" s="4" t="s">
        <v>87</v>
      </c>
      <c r="S191" t="s">
        <v>4</v>
      </c>
      <c r="T191" t="s">
        <v>2243</v>
      </c>
      <c r="U191" t="s">
        <v>2244</v>
      </c>
      <c r="V191" t="s">
        <v>2245</v>
      </c>
      <c r="W191" t="s">
        <v>123</v>
      </c>
      <c r="X191" t="s">
        <v>4</v>
      </c>
      <c r="Y191" t="s">
        <v>4457</v>
      </c>
      <c r="Z191" t="s">
        <v>4458</v>
      </c>
      <c r="AA191" t="s">
        <v>4459</v>
      </c>
      <c r="AB191" t="s">
        <v>4</v>
      </c>
      <c r="AC191" s="3" t="s">
        <v>2265</v>
      </c>
      <c r="AD191" t="s">
        <v>4</v>
      </c>
      <c r="AE191" s="4" t="s">
        <v>94</v>
      </c>
      <c r="AZ191" t="s">
        <v>4</v>
      </c>
      <c r="BA191" s="3" t="s">
        <v>95</v>
      </c>
      <c r="BB191" s="6" t="s">
        <v>95</v>
      </c>
      <c r="BC191" s="3" t="s">
        <v>95</v>
      </c>
      <c r="BD191" t="s">
        <v>4</v>
      </c>
      <c r="BE191">
        <v>6752</v>
      </c>
      <c r="BF191" t="s">
        <v>213</v>
      </c>
      <c r="BG191">
        <v>75.202200000000005</v>
      </c>
      <c r="BH191">
        <v>53.9084</v>
      </c>
      <c r="BI191">
        <v>80.256100000000004</v>
      </c>
      <c r="BJ191">
        <v>42.115900000000003</v>
      </c>
      <c r="BK191">
        <v>53.503999999999998</v>
      </c>
      <c r="BL191">
        <v>35.040399999999998</v>
      </c>
      <c r="BM191">
        <v>36.455500000000001</v>
      </c>
      <c r="BN191">
        <v>51.684600000000003</v>
      </c>
      <c r="BO191">
        <v>47.372</v>
      </c>
      <c r="BP191">
        <v>20.3504</v>
      </c>
      <c r="BT191">
        <v>11.9946</v>
      </c>
      <c r="BV191" t="s">
        <v>4460</v>
      </c>
      <c r="BW191">
        <v>19.137499999999999</v>
      </c>
      <c r="BX191">
        <v>21.832899999999999</v>
      </c>
      <c r="BY191">
        <v>19.0701</v>
      </c>
      <c r="BZ191">
        <v>12.1968</v>
      </c>
      <c r="CA191">
        <v>17.587599999999998</v>
      </c>
      <c r="CB191">
        <v>7.1428599999999998</v>
      </c>
      <c r="CC191">
        <v>12.3315</v>
      </c>
      <c r="CD191">
        <v>13.6792</v>
      </c>
      <c r="CE191">
        <v>6.1994600000000002</v>
      </c>
      <c r="CF191">
        <v>11.3881</v>
      </c>
      <c r="CG191" t="s">
        <v>4461</v>
      </c>
      <c r="CH191" t="s">
        <v>4462</v>
      </c>
      <c r="CI191" t="s">
        <v>4463</v>
      </c>
      <c r="CK191">
        <v>8</v>
      </c>
      <c r="CL191" t="s">
        <v>4</v>
      </c>
      <c r="CM191" t="s">
        <v>4464</v>
      </c>
      <c r="CN191" t="s">
        <v>4465</v>
      </c>
      <c r="CO191" t="s">
        <v>1218</v>
      </c>
      <c r="CP191" t="s">
        <v>100</v>
      </c>
      <c r="CQ191">
        <v>190</v>
      </c>
      <c r="CR191" t="s">
        <v>100</v>
      </c>
      <c r="CS191" t="s">
        <v>100</v>
      </c>
      <c r="CT191" t="s">
        <v>152</v>
      </c>
      <c r="CU191" t="s">
        <v>102</v>
      </c>
      <c r="CV191" t="s">
        <v>100</v>
      </c>
    </row>
    <row r="192" spans="1:100">
      <c r="A192" s="3" t="s">
        <v>4466</v>
      </c>
      <c r="B192" s="4" t="s">
        <v>4467</v>
      </c>
      <c r="C192">
        <v>114.77482692596701</v>
      </c>
      <c r="D192">
        <v>1251.7281441703301</v>
      </c>
      <c r="E192">
        <f>-3.44589142695744</f>
        <v>-3.4458914269574401</v>
      </c>
      <c r="F192" s="5">
        <v>1.0196398866874E-7</v>
      </c>
      <c r="G192" t="s">
        <v>4</v>
      </c>
      <c r="H192">
        <v>114.77482692596701</v>
      </c>
      <c r="I192">
        <v>31.522035001455698</v>
      </c>
      <c r="J192">
        <v>1.8744325485229401</v>
      </c>
      <c r="K192">
        <v>6.3380073077422498E-3</v>
      </c>
      <c r="L192" t="s">
        <v>4</v>
      </c>
      <c r="M192">
        <v>1251.7281441703301</v>
      </c>
      <c r="N192">
        <v>31.522035001455698</v>
      </c>
      <c r="O192">
        <v>5.3203239754803704</v>
      </c>
      <c r="P192" s="5">
        <v>1.2500390316253501E-16</v>
      </c>
      <c r="Q192" t="s">
        <v>4</v>
      </c>
      <c r="R192" s="4" t="s">
        <v>87</v>
      </c>
      <c r="S192" t="s">
        <v>4</v>
      </c>
      <c r="T192" t="s">
        <v>4468</v>
      </c>
      <c r="U192" t="s">
        <v>4469</v>
      </c>
      <c r="V192" t="s">
        <v>4470</v>
      </c>
      <c r="W192" t="s">
        <v>203</v>
      </c>
      <c r="X192" t="s">
        <v>4</v>
      </c>
      <c r="Y192" t="s">
        <v>4471</v>
      </c>
      <c r="Z192" t="s">
        <v>4472</v>
      </c>
      <c r="AA192" t="s">
        <v>4473</v>
      </c>
      <c r="AB192" t="s">
        <v>4</v>
      </c>
      <c r="AC192" s="3" t="s">
        <v>4474</v>
      </c>
      <c r="AD192" t="s">
        <v>4</v>
      </c>
      <c r="AE192" t="s">
        <v>4475</v>
      </c>
      <c r="AF192" t="s">
        <v>4476</v>
      </c>
      <c r="AG192" t="s">
        <v>4477</v>
      </c>
      <c r="AH192" t="s">
        <v>638</v>
      </c>
      <c r="AU192" t="s">
        <v>112</v>
      </c>
      <c r="AV192" t="s">
        <v>4478</v>
      </c>
      <c r="AW192" t="s">
        <v>114</v>
      </c>
      <c r="AX192" t="s">
        <v>1308</v>
      </c>
      <c r="AY192" t="s">
        <v>4479</v>
      </c>
      <c r="AZ192" t="s">
        <v>4</v>
      </c>
      <c r="BA192" s="3" t="s">
        <v>95</v>
      </c>
      <c r="BB192" s="6" t="s">
        <v>95</v>
      </c>
      <c r="BC192" s="3" t="s">
        <v>95</v>
      </c>
      <c r="BD192" t="s">
        <v>4</v>
      </c>
      <c r="BE192">
        <v>3643</v>
      </c>
      <c r="BF192" t="s">
        <v>112</v>
      </c>
      <c r="BG192">
        <v>84.126999999999995</v>
      </c>
      <c r="BH192">
        <v>84.656099999999995</v>
      </c>
      <c r="BR192">
        <v>38.624299999999998</v>
      </c>
      <c r="BW192">
        <v>40.211599999999997</v>
      </c>
      <c r="BX192">
        <v>39.153399999999998</v>
      </c>
      <c r="BY192">
        <v>30.1587</v>
      </c>
      <c r="CA192">
        <v>39.153399999999998</v>
      </c>
      <c r="CK192">
        <v>5</v>
      </c>
      <c r="CL192" t="s">
        <v>4</v>
      </c>
      <c r="CM192" t="s">
        <v>4480</v>
      </c>
      <c r="CN192" t="s">
        <v>4481</v>
      </c>
      <c r="CO192" t="s">
        <v>99</v>
      </c>
      <c r="CP192" t="s">
        <v>100</v>
      </c>
      <c r="CQ192">
        <v>191</v>
      </c>
      <c r="CR192" t="s">
        <v>100</v>
      </c>
      <c r="CS192" s="7" t="s">
        <v>101</v>
      </c>
      <c r="CT192" t="s">
        <v>152</v>
      </c>
      <c r="CU192" t="s">
        <v>102</v>
      </c>
      <c r="CV192" t="s">
        <v>100</v>
      </c>
    </row>
    <row r="193" spans="1:100">
      <c r="A193" s="3" t="s">
        <v>4482</v>
      </c>
      <c r="B193" s="4" t="s">
        <v>4483</v>
      </c>
      <c r="C193">
        <v>843.29870914273795</v>
      </c>
      <c r="D193">
        <v>3569.5552773143399</v>
      </c>
      <c r="E193">
        <f>-2.08152046703171</f>
        <v>-2.08152046703171</v>
      </c>
      <c r="F193" s="5">
        <v>6.1188161938999398E-16</v>
      </c>
      <c r="G193" t="s">
        <v>4</v>
      </c>
      <c r="H193">
        <v>843.29870914273795</v>
      </c>
      <c r="I193">
        <v>483.03292453093701</v>
      </c>
      <c r="J193">
        <v>0.79902346932243595</v>
      </c>
      <c r="K193">
        <v>3.1707268824053099E-3</v>
      </c>
      <c r="L193" t="s">
        <v>4</v>
      </c>
      <c r="M193">
        <v>3569.5552773143399</v>
      </c>
      <c r="N193">
        <v>483.03292453093701</v>
      </c>
      <c r="O193">
        <v>2.8805439363541501</v>
      </c>
      <c r="P193" s="5">
        <v>4.8257092505369803E-30</v>
      </c>
      <c r="Q193" t="s">
        <v>4</v>
      </c>
      <c r="R193" s="4" t="s">
        <v>87</v>
      </c>
      <c r="S193" t="s">
        <v>4</v>
      </c>
      <c r="T193" t="s">
        <v>4484</v>
      </c>
      <c r="U193" t="s">
        <v>4485</v>
      </c>
      <c r="V193" t="s">
        <v>4486</v>
      </c>
      <c r="W193" t="s">
        <v>328</v>
      </c>
      <c r="X193" t="s">
        <v>4</v>
      </c>
      <c r="Y193" t="s">
        <v>4487</v>
      </c>
      <c r="Z193" t="s">
        <v>4488</v>
      </c>
      <c r="AA193" t="s">
        <v>4489</v>
      </c>
      <c r="AB193" t="s">
        <v>4</v>
      </c>
      <c r="AC193" s="3" t="s">
        <v>4490</v>
      </c>
      <c r="AD193" t="s">
        <v>4</v>
      </c>
      <c r="AE193" t="s">
        <v>4491</v>
      </c>
      <c r="AF193" t="s">
        <v>834</v>
      </c>
      <c r="AG193" t="s">
        <v>4492</v>
      </c>
      <c r="AH193" t="s">
        <v>112</v>
      </c>
      <c r="AJ193" t="s">
        <v>4493</v>
      </c>
      <c r="AK193" t="s">
        <v>4494</v>
      </c>
      <c r="AL193" t="s">
        <v>4495</v>
      </c>
      <c r="AM193" t="s">
        <v>4496</v>
      </c>
      <c r="AQ193" t="s">
        <v>4497</v>
      </c>
      <c r="AR193" t="s">
        <v>4498</v>
      </c>
      <c r="AU193" t="s">
        <v>112</v>
      </c>
      <c r="AV193" t="s">
        <v>4499</v>
      </c>
      <c r="AW193" t="s">
        <v>114</v>
      </c>
      <c r="AX193" t="s">
        <v>4500</v>
      </c>
      <c r="AY193" t="s">
        <v>4501</v>
      </c>
      <c r="AZ193" t="s">
        <v>4</v>
      </c>
      <c r="BA193" s="3" t="s">
        <v>95</v>
      </c>
      <c r="BB193" t="s">
        <v>96</v>
      </c>
      <c r="BC193" s="3" t="s">
        <v>95</v>
      </c>
      <c r="BD193" t="s">
        <v>4</v>
      </c>
      <c r="BE193">
        <v>6783</v>
      </c>
      <c r="BF193" t="s">
        <v>213</v>
      </c>
      <c r="BG193">
        <v>97.606399999999994</v>
      </c>
      <c r="BH193">
        <v>28.125</v>
      </c>
      <c r="BI193">
        <v>34.1755</v>
      </c>
      <c r="BJ193">
        <v>89.827100000000002</v>
      </c>
      <c r="BK193">
        <v>85.837800000000001</v>
      </c>
      <c r="BL193">
        <v>61.569099999999999</v>
      </c>
      <c r="BM193">
        <v>73.138300000000001</v>
      </c>
      <c r="BN193">
        <v>87.233999999999995</v>
      </c>
      <c r="BO193">
        <v>87.5</v>
      </c>
      <c r="BP193">
        <v>69.148899999999998</v>
      </c>
      <c r="BQ193">
        <v>60.039900000000003</v>
      </c>
      <c r="BR193">
        <v>58.311199999999999</v>
      </c>
      <c r="BS193">
        <v>61.9681</v>
      </c>
      <c r="BT193" t="s">
        <v>4502</v>
      </c>
      <c r="BU193">
        <v>63.962800000000001</v>
      </c>
      <c r="BV193" t="s">
        <v>4503</v>
      </c>
      <c r="BW193">
        <v>58.710099999999997</v>
      </c>
      <c r="BX193" t="s">
        <v>4504</v>
      </c>
      <c r="BY193">
        <v>18.484000000000002</v>
      </c>
      <c r="BZ193">
        <v>59.0426</v>
      </c>
      <c r="CA193" t="s">
        <v>4505</v>
      </c>
      <c r="CB193">
        <v>51.662199999999999</v>
      </c>
      <c r="CC193">
        <v>49.933500000000002</v>
      </c>
      <c r="CD193">
        <v>51.196800000000003</v>
      </c>
      <c r="CF193">
        <v>37.234000000000002</v>
      </c>
      <c r="CG193" t="s">
        <v>4506</v>
      </c>
      <c r="CH193" t="s">
        <v>4507</v>
      </c>
      <c r="CI193">
        <v>30.518599999999999</v>
      </c>
      <c r="CJ193" t="s">
        <v>4508</v>
      </c>
      <c r="CK193">
        <v>8</v>
      </c>
      <c r="CL193" t="s">
        <v>4</v>
      </c>
      <c r="CM193" t="s">
        <v>4509</v>
      </c>
      <c r="CN193" t="s">
        <v>4510</v>
      </c>
      <c r="CO193" t="s">
        <v>219</v>
      </c>
      <c r="CP193" t="s">
        <v>100</v>
      </c>
      <c r="CQ193">
        <v>192</v>
      </c>
      <c r="CR193" t="s">
        <v>100</v>
      </c>
      <c r="CS193" t="s">
        <v>100</v>
      </c>
      <c r="CT193" t="s">
        <v>152</v>
      </c>
      <c r="CU193" t="s">
        <v>102</v>
      </c>
      <c r="CV193" t="s">
        <v>100</v>
      </c>
    </row>
    <row r="194" spans="1:100">
      <c r="A194" s="3" t="s">
        <v>4511</v>
      </c>
      <c r="B194" s="4" t="s">
        <v>4512</v>
      </c>
      <c r="C194">
        <v>155.370841550525</v>
      </c>
      <c r="D194">
        <v>1137.11082148226</v>
      </c>
      <c r="E194">
        <f>-2.86916983613237</f>
        <v>-2.8691698361323699</v>
      </c>
      <c r="F194" s="5">
        <v>6.6558767090029095E-23</v>
      </c>
      <c r="G194" t="s">
        <v>4</v>
      </c>
      <c r="H194">
        <v>155.370841550525</v>
      </c>
      <c r="I194">
        <v>183.22907442142699</v>
      </c>
      <c r="J194">
        <f>0.241553734250284</f>
        <v>0.24155373425028401</v>
      </c>
      <c r="K194">
        <v>0.47784295654728098</v>
      </c>
      <c r="L194" t="s">
        <v>4</v>
      </c>
      <c r="M194">
        <v>1137.11082148226</v>
      </c>
      <c r="N194">
        <v>183.22907442142699</v>
      </c>
      <c r="O194">
        <v>2.62761610188209</v>
      </c>
      <c r="P194" s="5">
        <v>1.49174004393535E-19</v>
      </c>
      <c r="Q194" t="s">
        <v>4</v>
      </c>
      <c r="R194" s="4" t="s">
        <v>87</v>
      </c>
      <c r="S194" t="s">
        <v>4</v>
      </c>
      <c r="T194" t="s">
        <v>3739</v>
      </c>
      <c r="U194" t="s">
        <v>3740</v>
      </c>
      <c r="V194" t="s">
        <v>3741</v>
      </c>
      <c r="W194" t="s">
        <v>976</v>
      </c>
      <c r="X194" t="s">
        <v>4</v>
      </c>
      <c r="Y194" t="s">
        <v>977</v>
      </c>
      <c r="Z194" t="s">
        <v>978</v>
      </c>
      <c r="AA194" t="s">
        <v>979</v>
      </c>
      <c r="AB194" t="s">
        <v>4</v>
      </c>
      <c r="AC194" s="3" t="s">
        <v>4513</v>
      </c>
      <c r="AD194" t="s">
        <v>4</v>
      </c>
      <c r="AE194" t="s">
        <v>4514</v>
      </c>
      <c r="AF194" t="s">
        <v>4515</v>
      </c>
      <c r="AG194" t="s">
        <v>4516</v>
      </c>
      <c r="AH194" t="s">
        <v>112</v>
      </c>
      <c r="AI194" t="s">
        <v>4517</v>
      </c>
      <c r="AJ194" t="s">
        <v>3748</v>
      </c>
      <c r="AU194" t="s">
        <v>112</v>
      </c>
      <c r="AV194" t="s">
        <v>4518</v>
      </c>
      <c r="AW194" t="s">
        <v>114</v>
      </c>
      <c r="AX194" t="s">
        <v>144</v>
      </c>
      <c r="AY194" t="s">
        <v>4519</v>
      </c>
      <c r="AZ194" t="s">
        <v>4</v>
      </c>
      <c r="BA194" s="3" t="s">
        <v>95</v>
      </c>
      <c r="BB194" t="s">
        <v>96</v>
      </c>
      <c r="BC194" s="3" t="s">
        <v>95</v>
      </c>
      <c r="BD194" t="s">
        <v>4</v>
      </c>
      <c r="BE194">
        <v>3644</v>
      </c>
      <c r="BF194" t="s">
        <v>112</v>
      </c>
      <c r="BG194">
        <v>97.153000000000006</v>
      </c>
      <c r="BH194">
        <v>42.526699999999998</v>
      </c>
      <c r="BI194">
        <v>91.992900000000006</v>
      </c>
      <c r="BJ194">
        <v>88.434200000000004</v>
      </c>
      <c r="BK194">
        <v>81.494699999999995</v>
      </c>
      <c r="BL194">
        <v>17.6157</v>
      </c>
      <c r="BN194">
        <v>79.537400000000005</v>
      </c>
      <c r="BO194">
        <v>71.886099999999999</v>
      </c>
      <c r="BP194">
        <v>59.608499999999999</v>
      </c>
      <c r="BQ194">
        <v>44.484000000000002</v>
      </c>
      <c r="BR194">
        <v>51.957299999999996</v>
      </c>
      <c r="BS194">
        <v>48.042700000000004</v>
      </c>
      <c r="BT194" t="s">
        <v>4520</v>
      </c>
      <c r="BU194">
        <v>45.551600000000001</v>
      </c>
      <c r="BV194" t="s">
        <v>4521</v>
      </c>
      <c r="BW194">
        <v>45.551600000000001</v>
      </c>
      <c r="BX194">
        <v>46.441299999999998</v>
      </c>
      <c r="BY194">
        <v>43.238399999999999</v>
      </c>
      <c r="BZ194">
        <v>45.373699999999999</v>
      </c>
      <c r="CA194">
        <v>43.950200000000002</v>
      </c>
      <c r="CK194">
        <v>5</v>
      </c>
      <c r="CL194" t="s">
        <v>4</v>
      </c>
      <c r="CM194" t="s">
        <v>4522</v>
      </c>
      <c r="CN194" t="s">
        <v>4523</v>
      </c>
      <c r="CO194" t="s">
        <v>663</v>
      </c>
      <c r="CP194" t="s">
        <v>100</v>
      </c>
      <c r="CQ194">
        <v>193</v>
      </c>
      <c r="CR194" t="s">
        <v>100</v>
      </c>
      <c r="CS194" t="s">
        <v>100</v>
      </c>
      <c r="CT194" t="s">
        <v>152</v>
      </c>
      <c r="CU194" t="s">
        <v>102</v>
      </c>
      <c r="CV194" t="s">
        <v>100</v>
      </c>
    </row>
    <row r="195" spans="1:100">
      <c r="A195" s="3" t="s">
        <v>4524</v>
      </c>
      <c r="B195" s="4" t="s">
        <v>4525</v>
      </c>
      <c r="C195">
        <v>1181.0935815005701</v>
      </c>
      <c r="D195">
        <v>5084.3625568609496</v>
      </c>
      <c r="E195">
        <f>-2.10594145726165</f>
        <v>-2.1059414572616499</v>
      </c>
      <c r="F195" s="5">
        <v>2.7602379647764499E-8</v>
      </c>
      <c r="G195" t="s">
        <v>4</v>
      </c>
      <c r="H195">
        <v>1181.0935815005701</v>
      </c>
      <c r="I195">
        <v>263.75195610152002</v>
      </c>
      <c r="J195">
        <v>2.1544322619985299</v>
      </c>
      <c r="K195" s="5">
        <v>1.08585636024141E-8</v>
      </c>
      <c r="L195" t="s">
        <v>4</v>
      </c>
      <c r="M195">
        <v>5084.3625568609496</v>
      </c>
      <c r="N195">
        <v>263.75195610152002</v>
      </c>
      <c r="O195">
        <v>4.2603737192601798</v>
      </c>
      <c r="P195" s="5">
        <v>2.3503472026736599E-31</v>
      </c>
      <c r="Q195" t="s">
        <v>4</v>
      </c>
      <c r="R195" s="4" t="s">
        <v>87</v>
      </c>
      <c r="S195" t="s">
        <v>4</v>
      </c>
      <c r="T195" t="s">
        <v>4526</v>
      </c>
      <c r="U195" t="s">
        <v>4527</v>
      </c>
      <c r="V195" t="s">
        <v>4528</v>
      </c>
      <c r="W195" t="s">
        <v>203</v>
      </c>
      <c r="X195" t="s">
        <v>4</v>
      </c>
      <c r="Y195" t="s">
        <v>4529</v>
      </c>
      <c r="Z195" t="s">
        <v>4530</v>
      </c>
      <c r="AA195" t="s">
        <v>4531</v>
      </c>
      <c r="AB195" t="s">
        <v>4</v>
      </c>
      <c r="AC195" s="3" t="s">
        <v>2151</v>
      </c>
      <c r="AD195" t="s">
        <v>4</v>
      </c>
      <c r="AE195" t="s">
        <v>4532</v>
      </c>
      <c r="AF195" t="s">
        <v>4533</v>
      </c>
      <c r="AG195" t="s">
        <v>4534</v>
      </c>
      <c r="AH195" t="s">
        <v>112</v>
      </c>
      <c r="AJ195" t="s">
        <v>4535</v>
      </c>
      <c r="AU195" t="s">
        <v>112</v>
      </c>
      <c r="AV195" t="s">
        <v>4536</v>
      </c>
      <c r="AW195" t="s">
        <v>114</v>
      </c>
      <c r="AX195" t="s">
        <v>2157</v>
      </c>
      <c r="AY195" t="s">
        <v>4537</v>
      </c>
      <c r="AZ195" t="s">
        <v>4</v>
      </c>
      <c r="BA195" s="3" t="s">
        <v>95</v>
      </c>
      <c r="BB195" s="6" t="s">
        <v>95</v>
      </c>
      <c r="BC195" s="3" t="s">
        <v>95</v>
      </c>
      <c r="BD195" t="s">
        <v>4</v>
      </c>
      <c r="BE195">
        <v>6785</v>
      </c>
      <c r="BF195" t="s">
        <v>213</v>
      </c>
      <c r="BG195">
        <v>99.5381</v>
      </c>
      <c r="BH195">
        <v>28.868400000000001</v>
      </c>
      <c r="BI195">
        <v>77.598200000000006</v>
      </c>
      <c r="BJ195">
        <v>89.607399999999998</v>
      </c>
      <c r="BK195">
        <v>72.979200000000006</v>
      </c>
      <c r="BL195">
        <v>51.039299999999997</v>
      </c>
      <c r="BM195">
        <v>57.505800000000001</v>
      </c>
      <c r="BN195">
        <v>78.983800000000002</v>
      </c>
      <c r="BP195">
        <v>30.023099999999999</v>
      </c>
      <c r="BR195">
        <v>11.7783</v>
      </c>
      <c r="BW195">
        <v>15.7044</v>
      </c>
      <c r="BX195">
        <v>23.0947</v>
      </c>
      <c r="BZ195">
        <v>23.787500000000001</v>
      </c>
      <c r="CA195">
        <v>21.2471</v>
      </c>
      <c r="CB195">
        <v>17.321000000000002</v>
      </c>
      <c r="CD195">
        <v>18.9376</v>
      </c>
      <c r="CE195">
        <v>16.397200000000002</v>
      </c>
      <c r="CF195">
        <v>13.8568</v>
      </c>
      <c r="CG195">
        <v>13.6259</v>
      </c>
      <c r="CH195">
        <v>14.7806</v>
      </c>
      <c r="CI195">
        <v>5.0808299999999997</v>
      </c>
      <c r="CK195">
        <v>8</v>
      </c>
      <c r="CL195" t="s">
        <v>4</v>
      </c>
      <c r="CM195" t="s">
        <v>4538</v>
      </c>
      <c r="CN195" t="s">
        <v>4539</v>
      </c>
      <c r="CO195" t="s">
        <v>219</v>
      </c>
      <c r="CP195" t="s">
        <v>100</v>
      </c>
      <c r="CQ195">
        <v>194</v>
      </c>
      <c r="CR195" t="s">
        <v>100</v>
      </c>
      <c r="CS195" t="s">
        <v>101</v>
      </c>
      <c r="CT195" t="s">
        <v>152</v>
      </c>
      <c r="CU195" t="s">
        <v>102</v>
      </c>
      <c r="CV195" t="s">
        <v>4540</v>
      </c>
    </row>
    <row r="196" spans="1:100">
      <c r="A196" s="3" t="s">
        <v>4541</v>
      </c>
      <c r="B196" s="4" t="s">
        <v>4542</v>
      </c>
      <c r="C196">
        <v>73.537890090179204</v>
      </c>
      <c r="D196">
        <v>1395.70025211338</v>
      </c>
      <c r="E196">
        <f>-4.24116725652098</f>
        <v>-4.2411672565209804</v>
      </c>
      <c r="F196" s="5">
        <v>7.6940088142235401E-27</v>
      </c>
      <c r="G196" t="s">
        <v>4</v>
      </c>
      <c r="H196">
        <v>73.537890090179204</v>
      </c>
      <c r="I196">
        <v>51.505490415629197</v>
      </c>
      <c r="J196">
        <v>0.50704627061840302</v>
      </c>
      <c r="K196">
        <v>0.27627841695210997</v>
      </c>
      <c r="L196" t="s">
        <v>4</v>
      </c>
      <c r="M196">
        <v>1395.70025211338</v>
      </c>
      <c r="N196">
        <v>51.505490415629197</v>
      </c>
      <c r="O196">
        <v>4.7482135271393799</v>
      </c>
      <c r="P196" s="5">
        <v>7.29146021227579E-32</v>
      </c>
      <c r="Q196" t="s">
        <v>4</v>
      </c>
      <c r="R196" s="4" t="s">
        <v>87</v>
      </c>
      <c r="S196" t="s">
        <v>4</v>
      </c>
      <c r="T196" t="s">
        <v>92</v>
      </c>
      <c r="U196" t="s">
        <v>92</v>
      </c>
      <c r="V196" t="s">
        <v>92</v>
      </c>
      <c r="W196" t="s">
        <v>92</v>
      </c>
      <c r="X196" t="s">
        <v>4</v>
      </c>
      <c r="Y196" t="s">
        <v>92</v>
      </c>
      <c r="Z196" t="s">
        <v>92</v>
      </c>
      <c r="AA196" t="s">
        <v>92</v>
      </c>
      <c r="AB196" t="s">
        <v>4</v>
      </c>
      <c r="AC196" s="3" t="s">
        <v>4543</v>
      </c>
      <c r="AD196" t="s">
        <v>4</v>
      </c>
      <c r="AE196" t="s">
        <v>4544</v>
      </c>
      <c r="AF196" t="s">
        <v>4545</v>
      </c>
      <c r="AG196" t="s">
        <v>4546</v>
      </c>
      <c r="AH196" t="s">
        <v>112</v>
      </c>
      <c r="AU196" t="s">
        <v>112</v>
      </c>
      <c r="AV196" t="s">
        <v>4547</v>
      </c>
      <c r="AW196" t="s">
        <v>114</v>
      </c>
      <c r="AZ196" t="s">
        <v>4</v>
      </c>
      <c r="BA196" s="3" t="s">
        <v>95</v>
      </c>
      <c r="BB196" s="6" t="s">
        <v>95</v>
      </c>
      <c r="BC196" s="3" t="s">
        <v>95</v>
      </c>
      <c r="BD196" t="s">
        <v>4</v>
      </c>
      <c r="BE196">
        <v>3656</v>
      </c>
      <c r="BF196" t="s">
        <v>112</v>
      </c>
      <c r="BI196">
        <v>68.148099999999999</v>
      </c>
      <c r="BM196">
        <v>11.1111</v>
      </c>
      <c r="BN196">
        <v>50.740699999999997</v>
      </c>
      <c r="BO196">
        <v>50</v>
      </c>
      <c r="BR196">
        <v>28.5185</v>
      </c>
      <c r="BS196">
        <v>31.851900000000001</v>
      </c>
      <c r="BT196">
        <v>23.703700000000001</v>
      </c>
      <c r="BW196">
        <v>26.296299999999999</v>
      </c>
      <c r="BZ196">
        <v>27.407399999999999</v>
      </c>
      <c r="CA196">
        <v>28.148099999999999</v>
      </c>
      <c r="CK196">
        <v>5</v>
      </c>
      <c r="CL196" t="s">
        <v>4</v>
      </c>
      <c r="CM196" t="s">
        <v>4548</v>
      </c>
      <c r="CN196" t="s">
        <v>4549</v>
      </c>
      <c r="CO196" t="s">
        <v>99</v>
      </c>
      <c r="CP196" t="s">
        <v>100</v>
      </c>
      <c r="CQ196">
        <v>195</v>
      </c>
      <c r="CR196" t="s">
        <v>100</v>
      </c>
      <c r="CS196" t="s">
        <v>100</v>
      </c>
      <c r="CT196" t="s">
        <v>152</v>
      </c>
      <c r="CU196" t="s">
        <v>102</v>
      </c>
      <c r="CV196" t="s">
        <v>100</v>
      </c>
    </row>
    <row r="197" spans="1:100">
      <c r="A197" s="3" t="s">
        <v>4550</v>
      </c>
      <c r="B197" s="4" t="s">
        <v>4551</v>
      </c>
      <c r="C197">
        <v>29.592342678031301</v>
      </c>
      <c r="D197">
        <v>210.77985551381499</v>
      </c>
      <c r="E197">
        <f>-2.82324937958246</f>
        <v>-2.8232493795824598</v>
      </c>
      <c r="F197" s="5">
        <v>9.4016486350546904E-14</v>
      </c>
      <c r="G197" t="s">
        <v>4</v>
      </c>
      <c r="H197">
        <v>29.592342678031301</v>
      </c>
      <c r="I197">
        <v>5.23082244164668</v>
      </c>
      <c r="J197">
        <v>2.4623252584699902</v>
      </c>
      <c r="K197" s="5">
        <v>2.9130906364481702E-5</v>
      </c>
      <c r="L197" t="s">
        <v>4</v>
      </c>
      <c r="M197">
        <v>210.77985551381499</v>
      </c>
      <c r="N197">
        <v>5.23082244164668</v>
      </c>
      <c r="O197">
        <v>5.2855746380524504</v>
      </c>
      <c r="P197" s="5">
        <v>8.4095977668384597E-22</v>
      </c>
      <c r="Q197" t="s">
        <v>4</v>
      </c>
      <c r="R197" s="4" t="s">
        <v>87</v>
      </c>
      <c r="S197" t="s">
        <v>4</v>
      </c>
      <c r="T197" t="s">
        <v>1974</v>
      </c>
      <c r="U197" t="s">
        <v>1975</v>
      </c>
      <c r="V197" t="s">
        <v>1976</v>
      </c>
      <c r="W197" t="s">
        <v>123</v>
      </c>
      <c r="X197" t="s">
        <v>4</v>
      </c>
      <c r="Y197" t="s">
        <v>4552</v>
      </c>
      <c r="Z197" t="s">
        <v>4553</v>
      </c>
      <c r="AA197" t="s">
        <v>4554</v>
      </c>
      <c r="AB197" t="s">
        <v>4</v>
      </c>
      <c r="AC197" s="3" t="s">
        <v>4555</v>
      </c>
      <c r="AD197" t="s">
        <v>4</v>
      </c>
      <c r="AE197" t="s">
        <v>4556</v>
      </c>
      <c r="AF197" t="s">
        <v>4557</v>
      </c>
      <c r="AG197" t="s">
        <v>4558</v>
      </c>
      <c r="AH197" t="s">
        <v>112</v>
      </c>
      <c r="AU197" t="s">
        <v>112</v>
      </c>
      <c r="AV197" t="s">
        <v>4559</v>
      </c>
      <c r="AW197" t="s">
        <v>114</v>
      </c>
      <c r="AX197" t="s">
        <v>144</v>
      </c>
      <c r="AY197" t="s">
        <v>4560</v>
      </c>
      <c r="AZ197" t="s">
        <v>4</v>
      </c>
      <c r="BA197" s="3" t="s">
        <v>95</v>
      </c>
      <c r="BB197" s="6" t="s">
        <v>95</v>
      </c>
      <c r="BC197" s="3" t="s">
        <v>197</v>
      </c>
      <c r="BD197" t="s">
        <v>4</v>
      </c>
      <c r="BE197">
        <v>6814</v>
      </c>
      <c r="BF197" t="s">
        <v>213</v>
      </c>
      <c r="BG197">
        <v>99.328900000000004</v>
      </c>
      <c r="BH197">
        <v>99.664400000000001</v>
      </c>
      <c r="BI197">
        <v>92.953000000000003</v>
      </c>
      <c r="BJ197">
        <v>85.234899999999996</v>
      </c>
      <c r="BK197">
        <v>76.845600000000005</v>
      </c>
      <c r="BM197">
        <v>23.154399999999999</v>
      </c>
      <c r="BN197">
        <v>60.402700000000003</v>
      </c>
      <c r="BO197">
        <v>71.140900000000002</v>
      </c>
      <c r="BP197">
        <v>54.026800000000001</v>
      </c>
      <c r="BQ197">
        <v>55.704700000000003</v>
      </c>
      <c r="BR197">
        <v>57.7181</v>
      </c>
      <c r="BS197" t="s">
        <v>4561</v>
      </c>
      <c r="BT197">
        <v>8.3892600000000002</v>
      </c>
      <c r="BV197" t="s">
        <v>4562</v>
      </c>
      <c r="BW197">
        <v>51.677900000000001</v>
      </c>
      <c r="BX197">
        <v>58.053699999999999</v>
      </c>
      <c r="BZ197">
        <v>57.3825</v>
      </c>
      <c r="CA197">
        <v>52.348999999999997</v>
      </c>
      <c r="CK197">
        <v>8</v>
      </c>
      <c r="CL197" t="s">
        <v>4</v>
      </c>
      <c r="CM197" t="s">
        <v>4563</v>
      </c>
      <c r="CN197" t="s">
        <v>4564</v>
      </c>
      <c r="CO197" t="s">
        <v>99</v>
      </c>
      <c r="CP197" t="s">
        <v>100</v>
      </c>
      <c r="CQ197">
        <v>196</v>
      </c>
      <c r="CR197" t="s">
        <v>100</v>
      </c>
      <c r="CS197" t="s">
        <v>101</v>
      </c>
      <c r="CT197" t="s">
        <v>152</v>
      </c>
      <c r="CU197" t="s">
        <v>102</v>
      </c>
      <c r="CV197" t="s">
        <v>100</v>
      </c>
    </row>
    <row r="198" spans="1:100">
      <c r="A198" s="3" t="s">
        <v>4565</v>
      </c>
      <c r="B198" s="4" t="s">
        <v>4566</v>
      </c>
      <c r="C198">
        <v>324.22148171541397</v>
      </c>
      <c r="D198">
        <v>1331.7991611454399</v>
      </c>
      <c r="E198">
        <f>-2.036861829917</f>
        <v>-2.036861829917</v>
      </c>
      <c r="F198" s="5">
        <v>1.08148490242385E-23</v>
      </c>
      <c r="G198" t="s">
        <v>4</v>
      </c>
      <c r="H198">
        <v>324.22148171541397</v>
      </c>
      <c r="I198">
        <v>205.53556087841099</v>
      </c>
      <c r="J198">
        <v>0.64970228686619602</v>
      </c>
      <c r="K198">
        <v>3.7793986464213802E-3</v>
      </c>
      <c r="L198" t="s">
        <v>4</v>
      </c>
      <c r="M198">
        <v>1331.7991611454399</v>
      </c>
      <c r="N198">
        <v>205.53556087841099</v>
      </c>
      <c r="O198">
        <v>2.6865641167832002</v>
      </c>
      <c r="P198" s="5">
        <v>1.23574307249658E-38</v>
      </c>
      <c r="Q198" t="s">
        <v>4</v>
      </c>
      <c r="R198" s="4" t="s">
        <v>87</v>
      </c>
      <c r="S198" t="s">
        <v>4</v>
      </c>
      <c r="T198" t="s">
        <v>92</v>
      </c>
      <c r="U198" t="s">
        <v>92</v>
      </c>
      <c r="V198" t="s">
        <v>92</v>
      </c>
      <c r="W198" t="s">
        <v>92</v>
      </c>
      <c r="X198" t="s">
        <v>4</v>
      </c>
      <c r="Y198" t="s">
        <v>92</v>
      </c>
      <c r="Z198" t="s">
        <v>92</v>
      </c>
      <c r="AA198" t="s">
        <v>92</v>
      </c>
      <c r="AB198" t="s">
        <v>4</v>
      </c>
      <c r="AC198" s="3" t="s">
        <v>4567</v>
      </c>
      <c r="AD198" t="s">
        <v>4</v>
      </c>
      <c r="AE198" s="4" t="s">
        <v>94</v>
      </c>
      <c r="AZ198" t="s">
        <v>4</v>
      </c>
      <c r="BA198" s="3" t="s">
        <v>95</v>
      </c>
      <c r="BB198" s="6" t="s">
        <v>95</v>
      </c>
      <c r="BC198" s="3" t="s">
        <v>95</v>
      </c>
      <c r="BD198" t="s">
        <v>4</v>
      </c>
      <c r="BE198">
        <v>1895</v>
      </c>
      <c r="BF198" t="s">
        <v>148</v>
      </c>
      <c r="BG198">
        <v>61.363599999999998</v>
      </c>
      <c r="BH198">
        <v>61.931800000000003</v>
      </c>
      <c r="BI198">
        <v>95.454499999999996</v>
      </c>
      <c r="BJ198">
        <v>84.659099999999995</v>
      </c>
      <c r="BK198">
        <v>50.568199999999997</v>
      </c>
      <c r="BL198">
        <v>80.113600000000005</v>
      </c>
      <c r="BM198">
        <v>81.25</v>
      </c>
      <c r="BN198">
        <v>81.25</v>
      </c>
      <c r="BO198" t="s">
        <v>4568</v>
      </c>
      <c r="CK198">
        <v>3</v>
      </c>
      <c r="CL198" t="s">
        <v>4</v>
      </c>
      <c r="CM198" t="s">
        <v>98</v>
      </c>
      <c r="CN198" t="s">
        <v>98</v>
      </c>
      <c r="CO198" t="s">
        <v>99</v>
      </c>
      <c r="CP198" t="s">
        <v>100</v>
      </c>
      <c r="CQ198">
        <v>197</v>
      </c>
      <c r="CR198" t="s">
        <v>100</v>
      </c>
      <c r="CS198" t="s">
        <v>100</v>
      </c>
      <c r="CT198" t="s">
        <v>152</v>
      </c>
      <c r="CU198" t="s">
        <v>102</v>
      </c>
      <c r="CV198" t="s">
        <v>100</v>
      </c>
    </row>
    <row r="199" spans="1:100">
      <c r="A199" s="3" t="s">
        <v>4569</v>
      </c>
      <c r="B199" s="4" t="s">
        <v>4570</v>
      </c>
      <c r="C199">
        <v>438.21032902199897</v>
      </c>
      <c r="D199">
        <v>3162.34353375308</v>
      </c>
      <c r="E199">
        <f>-2.8513710404255</f>
        <v>-2.8513710404255002</v>
      </c>
      <c r="F199" s="5">
        <v>4.1626017776115199E-22</v>
      </c>
      <c r="G199" t="s">
        <v>4</v>
      </c>
      <c r="H199">
        <v>438.21032902199897</v>
      </c>
      <c r="I199">
        <v>620.81476420029298</v>
      </c>
      <c r="J199">
        <f>0.506545010510675</f>
        <v>0.50654501051067502</v>
      </c>
      <c r="K199">
        <v>0.11585555731753901</v>
      </c>
      <c r="L199" t="s">
        <v>4</v>
      </c>
      <c r="M199">
        <v>3162.34353375308</v>
      </c>
      <c r="N199">
        <v>620.81476420029298</v>
      </c>
      <c r="O199">
        <v>2.3448260299148198</v>
      </c>
      <c r="P199" s="5">
        <v>9.6132160636164405E-16</v>
      </c>
      <c r="Q199" t="s">
        <v>4</v>
      </c>
      <c r="R199" s="4" t="s">
        <v>87</v>
      </c>
      <c r="S199" t="s">
        <v>4</v>
      </c>
      <c r="T199" t="s">
        <v>4571</v>
      </c>
      <c r="U199" t="s">
        <v>4572</v>
      </c>
      <c r="V199" t="s">
        <v>4573</v>
      </c>
      <c r="W199" t="s">
        <v>507</v>
      </c>
      <c r="X199" t="s">
        <v>4</v>
      </c>
      <c r="Y199" t="s">
        <v>4574</v>
      </c>
      <c r="Z199" t="s">
        <v>4575</v>
      </c>
      <c r="AA199" t="s">
        <v>4576</v>
      </c>
      <c r="AB199" t="s">
        <v>4</v>
      </c>
      <c r="AC199" s="3" t="s">
        <v>4577</v>
      </c>
      <c r="AD199" t="s">
        <v>4</v>
      </c>
      <c r="AE199" t="s">
        <v>4578</v>
      </c>
      <c r="AF199" t="s">
        <v>4579</v>
      </c>
      <c r="AG199" t="s">
        <v>4580</v>
      </c>
      <c r="AH199" t="s">
        <v>112</v>
      </c>
      <c r="AJ199" t="s">
        <v>4581</v>
      </c>
      <c r="AL199" t="s">
        <v>4582</v>
      </c>
      <c r="AM199" t="s">
        <v>4583</v>
      </c>
      <c r="AQ199" t="s">
        <v>879</v>
      </c>
      <c r="AU199" t="s">
        <v>112</v>
      </c>
      <c r="AV199" t="s">
        <v>4584</v>
      </c>
      <c r="AW199" t="s">
        <v>114</v>
      </c>
      <c r="AX199" t="s">
        <v>596</v>
      </c>
      <c r="AY199" t="s">
        <v>4585</v>
      </c>
      <c r="AZ199" t="s">
        <v>4</v>
      </c>
      <c r="BA199" s="3" t="s">
        <v>95</v>
      </c>
      <c r="BB199" t="s">
        <v>96</v>
      </c>
      <c r="BC199" s="3" t="s">
        <v>197</v>
      </c>
      <c r="BD199" t="s">
        <v>4</v>
      </c>
      <c r="BE199">
        <v>6844</v>
      </c>
      <c r="BF199" t="s">
        <v>213</v>
      </c>
      <c r="BG199">
        <v>96.074399999999997</v>
      </c>
      <c r="BI199">
        <v>87.603300000000004</v>
      </c>
      <c r="BJ199">
        <v>88.016499999999994</v>
      </c>
      <c r="BK199">
        <v>75.619799999999998</v>
      </c>
      <c r="BL199">
        <v>88.016499999999994</v>
      </c>
      <c r="BM199">
        <v>82.438000000000002</v>
      </c>
      <c r="BN199">
        <v>87.396699999999996</v>
      </c>
      <c r="BO199">
        <v>82.231399999999994</v>
      </c>
      <c r="BP199">
        <v>37.603299999999997</v>
      </c>
      <c r="BQ199">
        <v>40.702500000000001</v>
      </c>
      <c r="BR199">
        <v>40.495899999999999</v>
      </c>
      <c r="BS199">
        <v>42.561999999999998</v>
      </c>
      <c r="BX199">
        <v>40.495899999999999</v>
      </c>
      <c r="BZ199">
        <v>31.405000000000001</v>
      </c>
      <c r="CA199">
        <v>33.884300000000003</v>
      </c>
      <c r="CD199">
        <v>23.760300000000001</v>
      </c>
      <c r="CF199">
        <v>17.768599999999999</v>
      </c>
      <c r="CG199" t="s">
        <v>4586</v>
      </c>
      <c r="CH199" t="s">
        <v>4587</v>
      </c>
      <c r="CI199" t="s">
        <v>4588</v>
      </c>
      <c r="CK199">
        <v>8</v>
      </c>
      <c r="CL199" t="s">
        <v>4</v>
      </c>
      <c r="CM199" t="s">
        <v>4589</v>
      </c>
      <c r="CN199" t="s">
        <v>4590</v>
      </c>
      <c r="CO199" t="s">
        <v>663</v>
      </c>
      <c r="CP199" t="s">
        <v>100</v>
      </c>
      <c r="CQ199">
        <v>198</v>
      </c>
      <c r="CR199" t="s">
        <v>100</v>
      </c>
      <c r="CS199" t="s">
        <v>100</v>
      </c>
      <c r="CT199" t="s">
        <v>152</v>
      </c>
      <c r="CU199" t="s">
        <v>102</v>
      </c>
      <c r="CV199" t="s">
        <v>100</v>
      </c>
    </row>
    <row r="200" spans="1:100">
      <c r="A200" s="3" t="s">
        <v>4591</v>
      </c>
      <c r="B200" s="4" t="s">
        <v>4592</v>
      </c>
      <c r="C200">
        <v>664.63001672318796</v>
      </c>
      <c r="D200">
        <v>2898.0289521311502</v>
      </c>
      <c r="E200">
        <f>-2.12424836380471</f>
        <v>-2.12424836380471</v>
      </c>
      <c r="F200" s="5">
        <v>3.7372682098353301E-8</v>
      </c>
      <c r="G200" t="s">
        <v>4</v>
      </c>
      <c r="H200">
        <v>664.63001672318796</v>
      </c>
      <c r="I200">
        <v>583.27405742255803</v>
      </c>
      <c r="J200">
        <v>0.19186987223846599</v>
      </c>
      <c r="K200">
        <v>0.662832626411755</v>
      </c>
      <c r="L200" t="s">
        <v>4</v>
      </c>
      <c r="M200">
        <v>2898.0289521311502</v>
      </c>
      <c r="N200">
        <v>583.27405742255803</v>
      </c>
      <c r="O200">
        <v>2.3161182360431698</v>
      </c>
      <c r="P200" s="5">
        <v>6.7271615585367703E-10</v>
      </c>
      <c r="Q200" t="s">
        <v>4</v>
      </c>
      <c r="R200" s="4" t="s">
        <v>87</v>
      </c>
      <c r="S200" t="s">
        <v>4</v>
      </c>
      <c r="T200" t="s">
        <v>92</v>
      </c>
      <c r="U200" t="s">
        <v>92</v>
      </c>
      <c r="V200" t="s">
        <v>92</v>
      </c>
      <c r="W200" t="s">
        <v>92</v>
      </c>
      <c r="X200" t="s">
        <v>4</v>
      </c>
      <c r="Y200" t="s">
        <v>92</v>
      </c>
      <c r="Z200" t="s">
        <v>92</v>
      </c>
      <c r="AA200" t="s">
        <v>92</v>
      </c>
      <c r="AB200" t="s">
        <v>4</v>
      </c>
      <c r="AC200" s="3" t="s">
        <v>93</v>
      </c>
      <c r="AD200" t="s">
        <v>4</v>
      </c>
      <c r="AE200" s="4" t="s">
        <v>94</v>
      </c>
      <c r="AZ200" t="s">
        <v>4</v>
      </c>
      <c r="BA200" s="3" t="s">
        <v>95</v>
      </c>
      <c r="BB200" s="6" t="s">
        <v>95</v>
      </c>
      <c r="BC200" s="3" t="s">
        <v>95</v>
      </c>
      <c r="BD200" t="s">
        <v>4</v>
      </c>
      <c r="BE200">
        <v>1021</v>
      </c>
      <c r="BF200" t="s">
        <v>151</v>
      </c>
      <c r="BG200">
        <v>93.877499999999998</v>
      </c>
      <c r="BH200">
        <v>99.183700000000002</v>
      </c>
      <c r="BI200">
        <v>71.020399999999995</v>
      </c>
      <c r="BJ200">
        <v>55.918399999999998</v>
      </c>
      <c r="BK200">
        <v>47.346899999999998</v>
      </c>
      <c r="BL200">
        <v>42.448999999999998</v>
      </c>
      <c r="BM200">
        <v>45.714300000000001</v>
      </c>
      <c r="BN200">
        <v>53.061199999999999</v>
      </c>
      <c r="BO200">
        <v>43.673499999999997</v>
      </c>
      <c r="CK200">
        <v>2</v>
      </c>
      <c r="CL200" t="s">
        <v>4</v>
      </c>
      <c r="CM200" t="s">
        <v>98</v>
      </c>
      <c r="CN200" t="s">
        <v>98</v>
      </c>
      <c r="CO200" t="s">
        <v>99</v>
      </c>
      <c r="CP200" t="s">
        <v>100</v>
      </c>
      <c r="CQ200">
        <v>199</v>
      </c>
      <c r="CR200" t="s">
        <v>100</v>
      </c>
      <c r="CS200" t="s">
        <v>100</v>
      </c>
      <c r="CT200" t="s">
        <v>152</v>
      </c>
      <c r="CU200" t="s">
        <v>102</v>
      </c>
      <c r="CV200" t="s">
        <v>100</v>
      </c>
    </row>
    <row r="201" spans="1:100">
      <c r="A201" s="3" t="s">
        <v>4593</v>
      </c>
      <c r="B201" s="4" t="s">
        <v>4594</v>
      </c>
      <c r="C201">
        <v>87.658711929659603</v>
      </c>
      <c r="D201">
        <v>508.62247040206501</v>
      </c>
      <c r="E201">
        <f>-2.53400593413133</f>
        <v>-2.5340059341313301</v>
      </c>
      <c r="F201" s="5">
        <v>9.1538544714673802E-13</v>
      </c>
      <c r="G201" t="s">
        <v>4</v>
      </c>
      <c r="H201">
        <v>87.658711929659603</v>
      </c>
      <c r="I201">
        <v>11.844494975601499</v>
      </c>
      <c r="J201">
        <v>2.92591169338534</v>
      </c>
      <c r="K201" s="5">
        <v>2.32506795247209E-10</v>
      </c>
      <c r="L201" t="s">
        <v>4</v>
      </c>
      <c r="M201">
        <v>508.62247040206501</v>
      </c>
      <c r="N201">
        <v>11.844494975601499</v>
      </c>
      <c r="O201">
        <v>5.4599176275166696</v>
      </c>
      <c r="P201" s="5">
        <v>1.27013927849678E-34</v>
      </c>
      <c r="Q201" t="s">
        <v>4</v>
      </c>
      <c r="R201" s="4" t="s">
        <v>87</v>
      </c>
      <c r="S201" t="s">
        <v>4</v>
      </c>
      <c r="T201" t="s">
        <v>2325</v>
      </c>
      <c r="U201" t="s">
        <v>2326</v>
      </c>
      <c r="V201" t="s">
        <v>2327</v>
      </c>
      <c r="W201" t="s">
        <v>203</v>
      </c>
      <c r="X201" t="s">
        <v>4</v>
      </c>
      <c r="Y201" t="s">
        <v>3403</v>
      </c>
      <c r="Z201" t="s">
        <v>3404</v>
      </c>
      <c r="AA201" t="s">
        <v>3405</v>
      </c>
      <c r="AB201" t="s">
        <v>4</v>
      </c>
      <c r="AC201" s="3" t="s">
        <v>207</v>
      </c>
      <c r="AD201" t="s">
        <v>4</v>
      </c>
      <c r="AE201" t="s">
        <v>4595</v>
      </c>
      <c r="AF201" t="s">
        <v>4596</v>
      </c>
      <c r="AG201" t="s">
        <v>4597</v>
      </c>
      <c r="AH201" t="s">
        <v>112</v>
      </c>
      <c r="AU201" t="s">
        <v>112</v>
      </c>
      <c r="AV201" t="s">
        <v>211</v>
      </c>
      <c r="AW201" t="s">
        <v>114</v>
      </c>
      <c r="AX201" t="s">
        <v>132</v>
      </c>
      <c r="AY201" t="s">
        <v>212</v>
      </c>
      <c r="AZ201" t="s">
        <v>4</v>
      </c>
      <c r="BA201" s="3" t="s">
        <v>95</v>
      </c>
      <c r="BB201" s="6" t="s">
        <v>95</v>
      </c>
      <c r="BC201" s="3" t="s">
        <v>95</v>
      </c>
      <c r="BD201" t="s">
        <v>4</v>
      </c>
      <c r="BE201">
        <v>6876</v>
      </c>
      <c r="BF201" t="s">
        <v>213</v>
      </c>
      <c r="BG201">
        <v>92.1053</v>
      </c>
      <c r="BH201">
        <v>71.052599999999998</v>
      </c>
      <c r="BK201">
        <v>4.0935699999999997</v>
      </c>
      <c r="BM201">
        <v>50.584800000000001</v>
      </c>
      <c r="BN201">
        <v>46.198799999999999</v>
      </c>
      <c r="BQ201">
        <v>38.8889</v>
      </c>
      <c r="BR201">
        <v>35.087699999999998</v>
      </c>
      <c r="BS201">
        <v>37.134500000000003</v>
      </c>
      <c r="BT201">
        <v>28.947399999999998</v>
      </c>
      <c r="BU201">
        <v>34.210500000000003</v>
      </c>
      <c r="BV201" t="s">
        <v>4598</v>
      </c>
      <c r="BW201">
        <v>30.994199999999999</v>
      </c>
      <c r="BX201">
        <v>35.9649</v>
      </c>
      <c r="BZ201">
        <v>23.684200000000001</v>
      </c>
      <c r="CA201">
        <v>39.473700000000001</v>
      </c>
      <c r="CC201">
        <v>35.9649</v>
      </c>
      <c r="CD201" t="s">
        <v>4599</v>
      </c>
      <c r="CE201" t="s">
        <v>4600</v>
      </c>
      <c r="CF201">
        <v>35.380099999999999</v>
      </c>
      <c r="CG201">
        <v>36.549700000000001</v>
      </c>
      <c r="CH201">
        <v>36.549700000000001</v>
      </c>
      <c r="CI201">
        <v>37.134500000000003</v>
      </c>
      <c r="CK201">
        <v>8</v>
      </c>
      <c r="CL201" t="s">
        <v>4</v>
      </c>
      <c r="CM201" t="s">
        <v>217</v>
      </c>
      <c r="CN201" t="s">
        <v>4601</v>
      </c>
      <c r="CO201" t="s">
        <v>219</v>
      </c>
      <c r="CP201" t="s">
        <v>100</v>
      </c>
      <c r="CQ201">
        <v>200</v>
      </c>
      <c r="CR201" t="s">
        <v>100</v>
      </c>
      <c r="CS201" t="s">
        <v>101</v>
      </c>
      <c r="CT201" t="s">
        <v>152</v>
      </c>
      <c r="CU201" t="s">
        <v>102</v>
      </c>
      <c r="CV201" t="s">
        <v>100</v>
      </c>
    </row>
    <row r="202" spans="1:100">
      <c r="A202" s="3" t="s">
        <v>4602</v>
      </c>
      <c r="B202" s="4" t="s">
        <v>4603</v>
      </c>
      <c r="C202">
        <v>2484.5724666185702</v>
      </c>
      <c r="D202">
        <v>28828.315706718298</v>
      </c>
      <c r="E202">
        <f>-3.53632239538707</f>
        <v>-3.5363223953870699</v>
      </c>
      <c r="F202" s="5">
        <v>1.1285123900575201E-30</v>
      </c>
      <c r="G202" t="s">
        <v>4</v>
      </c>
      <c r="H202">
        <v>2484.5724666185702</v>
      </c>
      <c r="I202">
        <v>1368.47012471267</v>
      </c>
      <c r="J202">
        <v>0.86109925074539295</v>
      </c>
      <c r="K202">
        <v>8.2003761863944698E-3</v>
      </c>
      <c r="L202" t="s">
        <v>4</v>
      </c>
      <c r="M202">
        <v>28828.315706718298</v>
      </c>
      <c r="N202">
        <v>1368.47012471267</v>
      </c>
      <c r="O202">
        <v>4.39742164613246</v>
      </c>
      <c r="P202" s="5">
        <v>4.75880031989692E-48</v>
      </c>
      <c r="Q202" t="s">
        <v>4</v>
      </c>
      <c r="R202" s="4" t="s">
        <v>87</v>
      </c>
      <c r="S202" t="s">
        <v>4</v>
      </c>
      <c r="T202" t="s">
        <v>4604</v>
      </c>
      <c r="U202" t="s">
        <v>4605</v>
      </c>
      <c r="V202" t="s">
        <v>4606</v>
      </c>
      <c r="W202" t="s">
        <v>328</v>
      </c>
      <c r="X202" t="s">
        <v>4</v>
      </c>
      <c r="Y202" t="s">
        <v>4607</v>
      </c>
      <c r="Z202" t="s">
        <v>4608</v>
      </c>
      <c r="AA202" t="s">
        <v>4609</v>
      </c>
      <c r="AB202" t="s">
        <v>4</v>
      </c>
      <c r="AC202" s="3" t="s">
        <v>4610</v>
      </c>
      <c r="AD202" t="s">
        <v>4</v>
      </c>
      <c r="AE202" t="s">
        <v>4611</v>
      </c>
      <c r="AF202" t="s">
        <v>4612</v>
      </c>
      <c r="AG202" t="s">
        <v>4613</v>
      </c>
      <c r="AH202" t="s">
        <v>112</v>
      </c>
      <c r="AJ202" t="s">
        <v>4614</v>
      </c>
      <c r="AU202" t="s">
        <v>112</v>
      </c>
      <c r="AV202" t="s">
        <v>4615</v>
      </c>
      <c r="AW202" t="s">
        <v>114</v>
      </c>
      <c r="AX202" t="s">
        <v>167</v>
      </c>
      <c r="AY202" t="s">
        <v>4616</v>
      </c>
      <c r="AZ202" t="s">
        <v>4</v>
      </c>
      <c r="BA202" s="3" t="s">
        <v>95</v>
      </c>
      <c r="BB202" s="6" t="s">
        <v>95</v>
      </c>
      <c r="BC202" s="3" t="s">
        <v>95</v>
      </c>
      <c r="BD202" t="s">
        <v>4</v>
      </c>
      <c r="BE202">
        <v>3707</v>
      </c>
      <c r="BF202" t="s">
        <v>112</v>
      </c>
      <c r="BG202">
        <v>71.604900000000001</v>
      </c>
      <c r="BH202">
        <v>71.604900000000001</v>
      </c>
      <c r="BI202">
        <v>66.137600000000006</v>
      </c>
      <c r="BJ202">
        <v>61.728400000000001</v>
      </c>
      <c r="BK202">
        <v>47.619</v>
      </c>
      <c r="BM202">
        <v>41.446199999999997</v>
      </c>
      <c r="BN202" t="s">
        <v>4617</v>
      </c>
      <c r="BO202">
        <v>46.031700000000001</v>
      </c>
      <c r="BP202" t="s">
        <v>4618</v>
      </c>
      <c r="BR202">
        <v>18.342199999999998</v>
      </c>
      <c r="BS202" t="s">
        <v>4619</v>
      </c>
      <c r="BT202">
        <v>15.6966</v>
      </c>
      <c r="BV202" t="s">
        <v>4620</v>
      </c>
      <c r="BX202">
        <v>19.576699999999999</v>
      </c>
      <c r="BY202">
        <v>18.342199999999998</v>
      </c>
      <c r="BZ202">
        <v>14.4621</v>
      </c>
      <c r="CA202" t="s">
        <v>4621</v>
      </c>
      <c r="CG202" t="s">
        <v>4622</v>
      </c>
      <c r="CH202" t="s">
        <v>4623</v>
      </c>
      <c r="CJ202" t="s">
        <v>4624</v>
      </c>
      <c r="CK202">
        <v>5</v>
      </c>
      <c r="CL202" t="s">
        <v>4</v>
      </c>
      <c r="CM202" t="s">
        <v>4625</v>
      </c>
      <c r="CN202" t="s">
        <v>4626</v>
      </c>
      <c r="CO202" t="s">
        <v>1523</v>
      </c>
      <c r="CP202" t="s">
        <v>100</v>
      </c>
      <c r="CQ202">
        <v>201</v>
      </c>
      <c r="CR202" t="s">
        <v>100</v>
      </c>
      <c r="CS202" t="s">
        <v>100</v>
      </c>
      <c r="CT202" t="s">
        <v>152</v>
      </c>
      <c r="CU202" t="s">
        <v>102</v>
      </c>
      <c r="CV202" t="s">
        <v>100</v>
      </c>
    </row>
    <row r="203" spans="1:100">
      <c r="A203" s="3" t="s">
        <v>4627</v>
      </c>
      <c r="B203" s="4" t="s">
        <v>4628</v>
      </c>
      <c r="C203">
        <v>459.41743043298402</v>
      </c>
      <c r="D203">
        <v>3214.2330420182302</v>
      </c>
      <c r="E203">
        <f>-2.8064587580795</f>
        <v>-2.8064587580795002</v>
      </c>
      <c r="F203" s="5">
        <v>1.48371689759246E-38</v>
      </c>
      <c r="G203" t="s">
        <v>4</v>
      </c>
      <c r="H203">
        <v>459.41743043298402</v>
      </c>
      <c r="I203">
        <v>455.241993492924</v>
      </c>
      <c r="J203">
        <v>1.35958247550407E-2</v>
      </c>
      <c r="K203">
        <v>0.95921526371719701</v>
      </c>
      <c r="L203" t="s">
        <v>4</v>
      </c>
      <c r="M203">
        <v>3214.2330420182302</v>
      </c>
      <c r="N203">
        <v>455.241993492924</v>
      </c>
      <c r="O203">
        <v>2.82005458283454</v>
      </c>
      <c r="P203" s="5">
        <v>3.3435910313328297E-39</v>
      </c>
      <c r="Q203" t="s">
        <v>4</v>
      </c>
      <c r="R203" s="4" t="s">
        <v>87</v>
      </c>
      <c r="S203" t="s">
        <v>4</v>
      </c>
      <c r="T203" t="s">
        <v>92</v>
      </c>
      <c r="U203" t="s">
        <v>92</v>
      </c>
      <c r="V203" t="s">
        <v>92</v>
      </c>
      <c r="W203" t="s">
        <v>92</v>
      </c>
      <c r="X203" t="s">
        <v>4</v>
      </c>
      <c r="Y203" t="s">
        <v>92</v>
      </c>
      <c r="Z203" t="s">
        <v>92</v>
      </c>
      <c r="AA203" t="s">
        <v>92</v>
      </c>
      <c r="AB203" t="s">
        <v>4</v>
      </c>
      <c r="AC203" s="3" t="s">
        <v>93</v>
      </c>
      <c r="AD203" t="s">
        <v>4</v>
      </c>
      <c r="AE203" s="4" t="s">
        <v>94</v>
      </c>
      <c r="AZ203" t="s">
        <v>4</v>
      </c>
      <c r="BA203" s="3" t="s">
        <v>95</v>
      </c>
      <c r="BB203" s="6" t="s">
        <v>95</v>
      </c>
      <c r="BC203" s="3" t="s">
        <v>95</v>
      </c>
      <c r="BD203" t="s">
        <v>4</v>
      </c>
      <c r="BE203">
        <v>1024</v>
      </c>
      <c r="BF203" t="s">
        <v>151</v>
      </c>
      <c r="BG203">
        <v>96.733699999999999</v>
      </c>
      <c r="BH203" t="s">
        <v>4629</v>
      </c>
      <c r="BI203">
        <v>90.703500000000005</v>
      </c>
      <c r="BJ203">
        <v>49.246200000000002</v>
      </c>
      <c r="BL203" t="s">
        <v>4630</v>
      </c>
      <c r="BM203">
        <v>44.2211</v>
      </c>
      <c r="BN203">
        <v>47.738700000000001</v>
      </c>
      <c r="BO203">
        <v>47.989899999999999</v>
      </c>
      <c r="CK203">
        <v>2</v>
      </c>
      <c r="CL203" t="s">
        <v>4</v>
      </c>
      <c r="CM203" t="s">
        <v>98</v>
      </c>
      <c r="CN203" t="s">
        <v>98</v>
      </c>
      <c r="CO203" t="s">
        <v>99</v>
      </c>
      <c r="CP203" t="s">
        <v>100</v>
      </c>
      <c r="CQ203">
        <v>202</v>
      </c>
      <c r="CR203" t="s">
        <v>100</v>
      </c>
      <c r="CS203" t="s">
        <v>100</v>
      </c>
      <c r="CT203" t="s">
        <v>152</v>
      </c>
      <c r="CU203" t="s">
        <v>102</v>
      </c>
      <c r="CV203" t="s">
        <v>100</v>
      </c>
    </row>
    <row r="204" spans="1:100">
      <c r="A204" s="3" t="s">
        <v>4631</v>
      </c>
      <c r="B204" s="4" t="s">
        <v>4632</v>
      </c>
      <c r="C204">
        <v>503.66346699324401</v>
      </c>
      <c r="D204">
        <v>7787.1268805137797</v>
      </c>
      <c r="E204">
        <f>-3.95006447470092</f>
        <v>-3.9500644747009201</v>
      </c>
      <c r="F204" s="5">
        <v>1.9942353223995501E-37</v>
      </c>
      <c r="G204" t="s">
        <v>4</v>
      </c>
      <c r="H204">
        <v>503.66346699324401</v>
      </c>
      <c r="I204">
        <v>866.35708751777895</v>
      </c>
      <c r="J204">
        <f>0.781086231516052</f>
        <v>0.78108623151605205</v>
      </c>
      <c r="K204">
        <v>1.8415297704734199E-2</v>
      </c>
      <c r="L204" t="s">
        <v>4</v>
      </c>
      <c r="M204">
        <v>7787.1268805137797</v>
      </c>
      <c r="N204">
        <v>866.35708751777895</v>
      </c>
      <c r="O204">
        <v>3.1689782431848701</v>
      </c>
      <c r="P204" s="5">
        <v>3.5109504926069702E-25</v>
      </c>
      <c r="Q204" t="s">
        <v>4</v>
      </c>
      <c r="R204" s="4" t="s">
        <v>87</v>
      </c>
      <c r="S204" t="s">
        <v>4</v>
      </c>
      <c r="T204" t="s">
        <v>92</v>
      </c>
      <c r="U204" t="s">
        <v>92</v>
      </c>
      <c r="V204" t="s">
        <v>92</v>
      </c>
      <c r="W204" t="s">
        <v>92</v>
      </c>
      <c r="X204" t="s">
        <v>4</v>
      </c>
      <c r="Y204" t="s">
        <v>92</v>
      </c>
      <c r="Z204" t="s">
        <v>92</v>
      </c>
      <c r="AA204" t="s">
        <v>92</v>
      </c>
      <c r="AB204" t="s">
        <v>4</v>
      </c>
      <c r="AC204" s="3" t="s">
        <v>93</v>
      </c>
      <c r="AD204" t="s">
        <v>4</v>
      </c>
      <c r="AE204" s="4" t="s">
        <v>94</v>
      </c>
      <c r="AZ204" t="s">
        <v>4</v>
      </c>
      <c r="BA204" s="3" t="s">
        <v>95</v>
      </c>
      <c r="BB204" s="6" t="s">
        <v>95</v>
      </c>
      <c r="BC204" s="3" t="s">
        <v>95</v>
      </c>
      <c r="BD204" t="s">
        <v>4</v>
      </c>
      <c r="BE204">
        <v>726</v>
      </c>
      <c r="BF204" t="s">
        <v>604</v>
      </c>
      <c r="CK204">
        <v>1.5</v>
      </c>
      <c r="CL204" t="s">
        <v>4</v>
      </c>
      <c r="CM204" t="s">
        <v>98</v>
      </c>
      <c r="CN204" t="s">
        <v>98</v>
      </c>
      <c r="CO204" t="s">
        <v>99</v>
      </c>
      <c r="CP204" t="s">
        <v>100</v>
      </c>
      <c r="CQ204">
        <v>203</v>
      </c>
      <c r="CR204" t="s">
        <v>100</v>
      </c>
      <c r="CS204" t="s">
        <v>100</v>
      </c>
      <c r="CT204" t="s">
        <v>152</v>
      </c>
      <c r="CU204" t="s">
        <v>102</v>
      </c>
      <c r="CV204" t="s">
        <v>100</v>
      </c>
    </row>
    <row r="205" spans="1:100">
      <c r="A205" s="3" t="s">
        <v>4633</v>
      </c>
      <c r="B205" s="4" t="s">
        <v>4634</v>
      </c>
      <c r="C205">
        <v>432.874521576061</v>
      </c>
      <c r="D205">
        <v>4670.39928526323</v>
      </c>
      <c r="E205">
        <f>-3.43124397122064</f>
        <v>-3.4312439712206402</v>
      </c>
      <c r="F205" s="5">
        <v>1.6466381118086599E-11</v>
      </c>
      <c r="G205" t="s">
        <v>4</v>
      </c>
      <c r="H205">
        <v>432.874521576061</v>
      </c>
      <c r="I205">
        <v>266.48062139921001</v>
      </c>
      <c r="J205">
        <v>0.70154278391515501</v>
      </c>
      <c r="K205">
        <v>0.20501806125278199</v>
      </c>
      <c r="L205" t="s">
        <v>4</v>
      </c>
      <c r="M205">
        <v>4670.39928526323</v>
      </c>
      <c r="N205">
        <v>266.48062139921001</v>
      </c>
      <c r="O205">
        <v>4.1327867551357897</v>
      </c>
      <c r="P205" s="5">
        <v>9.3063359019812298E-17</v>
      </c>
      <c r="Q205" t="s">
        <v>4</v>
      </c>
      <c r="R205" s="4" t="s">
        <v>87</v>
      </c>
      <c r="S205" t="s">
        <v>4</v>
      </c>
      <c r="T205" t="s">
        <v>4635</v>
      </c>
      <c r="U205" t="s">
        <v>4636</v>
      </c>
      <c r="V205" t="s">
        <v>4637</v>
      </c>
      <c r="W205" t="s">
        <v>507</v>
      </c>
      <c r="X205" t="s">
        <v>4</v>
      </c>
      <c r="Y205" t="s">
        <v>4638</v>
      </c>
      <c r="Z205" t="s">
        <v>4639</v>
      </c>
      <c r="AA205" t="s">
        <v>4640</v>
      </c>
      <c r="AB205" t="s">
        <v>4</v>
      </c>
      <c r="AC205" s="3" t="s">
        <v>4641</v>
      </c>
      <c r="AD205" t="s">
        <v>4</v>
      </c>
      <c r="AE205" t="s">
        <v>4642</v>
      </c>
      <c r="AF205" t="s">
        <v>4643</v>
      </c>
      <c r="AG205" t="s">
        <v>4644</v>
      </c>
      <c r="AH205" t="s">
        <v>112</v>
      </c>
      <c r="AU205" t="s">
        <v>112</v>
      </c>
      <c r="AV205" t="s">
        <v>4645</v>
      </c>
      <c r="AW205" t="s">
        <v>114</v>
      </c>
      <c r="AX205" t="s">
        <v>144</v>
      </c>
      <c r="AY205" t="s">
        <v>4646</v>
      </c>
      <c r="AZ205" t="s">
        <v>4</v>
      </c>
      <c r="BA205" s="3" t="s">
        <v>115</v>
      </c>
      <c r="BB205" t="s">
        <v>96</v>
      </c>
      <c r="BC205" s="3" t="s">
        <v>197</v>
      </c>
      <c r="BD205" t="s">
        <v>4</v>
      </c>
      <c r="BE205">
        <v>6902</v>
      </c>
      <c r="BF205" t="s">
        <v>213</v>
      </c>
      <c r="BG205">
        <v>97.682100000000005</v>
      </c>
      <c r="BH205">
        <v>47.350999999999999</v>
      </c>
      <c r="BI205">
        <v>88.300200000000004</v>
      </c>
      <c r="BJ205">
        <v>82.891800000000003</v>
      </c>
      <c r="BM205">
        <v>73.730699999999999</v>
      </c>
      <c r="BN205">
        <v>79.139099999999999</v>
      </c>
      <c r="BP205">
        <v>53.421599999999998</v>
      </c>
      <c r="BQ205">
        <v>28.366399999999999</v>
      </c>
      <c r="BR205">
        <v>40.5077</v>
      </c>
      <c r="BZ205">
        <v>41.721899999999998</v>
      </c>
      <c r="CD205" t="s">
        <v>4647</v>
      </c>
      <c r="CK205">
        <v>8</v>
      </c>
      <c r="CL205" t="s">
        <v>4</v>
      </c>
      <c r="CM205" t="s">
        <v>98</v>
      </c>
      <c r="CN205" t="s">
        <v>98</v>
      </c>
      <c r="CO205" t="s">
        <v>99</v>
      </c>
      <c r="CP205" t="s">
        <v>100</v>
      </c>
      <c r="CQ205">
        <v>204</v>
      </c>
      <c r="CR205" t="s">
        <v>100</v>
      </c>
      <c r="CS205" t="s">
        <v>100</v>
      </c>
      <c r="CT205" t="s">
        <v>152</v>
      </c>
      <c r="CU205" t="s">
        <v>102</v>
      </c>
      <c r="CV205" t="s">
        <v>100</v>
      </c>
    </row>
    <row r="206" spans="1:100">
      <c r="A206" s="3" t="s">
        <v>4648</v>
      </c>
      <c r="B206" s="4" t="s">
        <v>4649</v>
      </c>
      <c r="C206">
        <v>140.71449547259701</v>
      </c>
      <c r="D206">
        <v>2036.87694625873</v>
      </c>
      <c r="E206">
        <f>-3.85408953106117</f>
        <v>-3.8540895310611698</v>
      </c>
      <c r="F206" s="5">
        <v>1.64659111053574E-21</v>
      </c>
      <c r="G206" t="s">
        <v>4</v>
      </c>
      <c r="H206">
        <v>140.71449547259701</v>
      </c>
      <c r="I206">
        <v>278.439960159257</v>
      </c>
      <c r="J206">
        <f>0.990754006335816</f>
        <v>0.99075400633581601</v>
      </c>
      <c r="K206">
        <v>2.2154506651084701E-2</v>
      </c>
      <c r="L206" t="s">
        <v>4</v>
      </c>
      <c r="M206">
        <v>2036.87694625873</v>
      </c>
      <c r="N206">
        <v>278.439960159257</v>
      </c>
      <c r="O206">
        <v>2.8633355247253598</v>
      </c>
      <c r="P206" s="5">
        <v>8.7090266961922605E-13</v>
      </c>
      <c r="Q206" t="s">
        <v>4</v>
      </c>
      <c r="R206" s="4" t="s">
        <v>87</v>
      </c>
      <c r="S206" t="s">
        <v>4</v>
      </c>
      <c r="T206" t="s">
        <v>4650</v>
      </c>
      <c r="U206" t="s">
        <v>4651</v>
      </c>
      <c r="V206" t="s">
        <v>4652</v>
      </c>
      <c r="W206" t="s">
        <v>203</v>
      </c>
      <c r="X206" t="s">
        <v>4</v>
      </c>
      <c r="Y206" t="s">
        <v>4653</v>
      </c>
      <c r="Z206" t="s">
        <v>4654</v>
      </c>
      <c r="AA206" t="s">
        <v>4655</v>
      </c>
      <c r="AB206" t="s">
        <v>4</v>
      </c>
      <c r="AC206" s="3" t="s">
        <v>4656</v>
      </c>
      <c r="AD206" t="s">
        <v>4</v>
      </c>
      <c r="AE206" t="s">
        <v>4657</v>
      </c>
      <c r="AF206" t="s">
        <v>4658</v>
      </c>
      <c r="AG206" t="s">
        <v>4659</v>
      </c>
      <c r="AH206" t="s">
        <v>112</v>
      </c>
      <c r="AJ206" t="s">
        <v>4660</v>
      </c>
      <c r="AU206" t="s">
        <v>112</v>
      </c>
      <c r="AV206" t="s">
        <v>4661</v>
      </c>
      <c r="AW206" t="s">
        <v>114</v>
      </c>
      <c r="AX206" t="s">
        <v>371</v>
      </c>
      <c r="AY206" t="s">
        <v>4662</v>
      </c>
      <c r="AZ206" t="s">
        <v>4</v>
      </c>
      <c r="BA206" s="3" t="s">
        <v>115</v>
      </c>
      <c r="BB206" s="6" t="s">
        <v>95</v>
      </c>
      <c r="BC206" s="3" t="s">
        <v>95</v>
      </c>
      <c r="BD206" t="s">
        <v>4</v>
      </c>
      <c r="BE206">
        <v>5519</v>
      </c>
      <c r="BF206" t="s">
        <v>386</v>
      </c>
      <c r="BK206">
        <v>75.126900000000006</v>
      </c>
      <c r="BO206">
        <v>67.512699999999995</v>
      </c>
      <c r="BW206">
        <v>20.304600000000001</v>
      </c>
      <c r="BX206">
        <v>24.873100000000001</v>
      </c>
      <c r="BZ206">
        <v>25.211500000000001</v>
      </c>
      <c r="CA206">
        <v>24.196300000000001</v>
      </c>
      <c r="CE206">
        <v>14.382400000000001</v>
      </c>
      <c r="CF206">
        <v>12.5212</v>
      </c>
      <c r="CG206">
        <v>13.0288</v>
      </c>
      <c r="CH206">
        <v>13.0288</v>
      </c>
      <c r="CI206" t="s">
        <v>4663</v>
      </c>
      <c r="CK206">
        <v>7</v>
      </c>
      <c r="CL206" t="s">
        <v>4</v>
      </c>
      <c r="CM206" t="s">
        <v>4664</v>
      </c>
      <c r="CN206" t="s">
        <v>4665</v>
      </c>
      <c r="CO206" t="s">
        <v>219</v>
      </c>
      <c r="CP206" t="s">
        <v>100</v>
      </c>
      <c r="CQ206">
        <v>205</v>
      </c>
      <c r="CR206" t="s">
        <v>100</v>
      </c>
      <c r="CS206" t="s">
        <v>100</v>
      </c>
      <c r="CT206" t="s">
        <v>152</v>
      </c>
      <c r="CU206" t="s">
        <v>102</v>
      </c>
      <c r="CV206" t="s">
        <v>100</v>
      </c>
    </row>
    <row r="207" spans="1:100">
      <c r="A207" s="3" t="s">
        <v>4666</v>
      </c>
      <c r="B207" s="4" t="s">
        <v>4667</v>
      </c>
      <c r="C207">
        <v>86.611771970058697</v>
      </c>
      <c r="D207">
        <v>881.18155847662899</v>
      </c>
      <c r="E207">
        <f>-3.34524169872186</f>
        <v>-3.3452416987218601</v>
      </c>
      <c r="F207" s="5">
        <v>3.4870649343802001E-9</v>
      </c>
      <c r="G207" t="s">
        <v>4</v>
      </c>
      <c r="H207">
        <v>86.611771970058697</v>
      </c>
      <c r="I207">
        <v>27.9486715690227</v>
      </c>
      <c r="J207">
        <v>1.6210349259463801</v>
      </c>
      <c r="K207">
        <v>8.5147976989751392E-3</v>
      </c>
      <c r="L207" t="s">
        <v>4</v>
      </c>
      <c r="M207">
        <v>881.18155847662899</v>
      </c>
      <c r="N207">
        <v>27.9486715690227</v>
      </c>
      <c r="O207">
        <v>4.9662766246682404</v>
      </c>
      <c r="P207" s="5">
        <v>4.4657723494103999E-18</v>
      </c>
      <c r="Q207" t="s">
        <v>4</v>
      </c>
      <c r="R207" s="4" t="s">
        <v>87</v>
      </c>
      <c r="S207" t="s">
        <v>4</v>
      </c>
      <c r="T207" t="s">
        <v>92</v>
      </c>
      <c r="U207" t="s">
        <v>92</v>
      </c>
      <c r="V207" t="s">
        <v>92</v>
      </c>
      <c r="W207" t="s">
        <v>92</v>
      </c>
      <c r="X207" t="s">
        <v>4</v>
      </c>
      <c r="Y207" t="s">
        <v>92</v>
      </c>
      <c r="Z207" t="s">
        <v>92</v>
      </c>
      <c r="AA207" t="s">
        <v>92</v>
      </c>
      <c r="AB207" t="s">
        <v>4</v>
      </c>
      <c r="AC207" s="3" t="s">
        <v>93</v>
      </c>
      <c r="AD207" t="s">
        <v>4</v>
      </c>
      <c r="AE207" t="s">
        <v>4668</v>
      </c>
      <c r="AF207" t="s">
        <v>4669</v>
      </c>
      <c r="AG207" t="s">
        <v>4670</v>
      </c>
      <c r="AH207" t="s">
        <v>112</v>
      </c>
      <c r="AU207" t="s">
        <v>112</v>
      </c>
      <c r="AV207" t="s">
        <v>4671</v>
      </c>
      <c r="AW207" t="s">
        <v>114</v>
      </c>
      <c r="AZ207" t="s">
        <v>4</v>
      </c>
      <c r="BA207" s="3" t="s">
        <v>95</v>
      </c>
      <c r="BB207" s="6" t="s">
        <v>95</v>
      </c>
      <c r="BC207" s="3" t="s">
        <v>95</v>
      </c>
      <c r="BD207" t="s">
        <v>4</v>
      </c>
      <c r="BE207">
        <v>3732</v>
      </c>
      <c r="BF207" t="s">
        <v>112</v>
      </c>
      <c r="BG207">
        <v>94.972099999999998</v>
      </c>
      <c r="BH207">
        <v>75.418999999999997</v>
      </c>
      <c r="BI207">
        <v>72.625699999999995</v>
      </c>
      <c r="BJ207">
        <v>68.156400000000005</v>
      </c>
      <c r="BK207">
        <v>59.497199999999999</v>
      </c>
      <c r="BN207">
        <v>76.257000000000005</v>
      </c>
      <c r="BO207">
        <v>78.212299999999999</v>
      </c>
      <c r="BP207">
        <v>39.106099999999998</v>
      </c>
      <c r="BW207">
        <v>24.022300000000001</v>
      </c>
      <c r="BX207">
        <v>26.536300000000001</v>
      </c>
      <c r="CA207">
        <v>29.888300000000001</v>
      </c>
      <c r="CK207">
        <v>5</v>
      </c>
      <c r="CL207" t="s">
        <v>4</v>
      </c>
      <c r="CM207" t="s">
        <v>4672</v>
      </c>
      <c r="CN207" t="s">
        <v>4673</v>
      </c>
      <c r="CO207" t="s">
        <v>219</v>
      </c>
      <c r="CP207" t="s">
        <v>100</v>
      </c>
      <c r="CQ207">
        <v>206</v>
      </c>
      <c r="CR207" t="s">
        <v>100</v>
      </c>
      <c r="CS207" s="7" t="s">
        <v>101</v>
      </c>
      <c r="CT207" t="s">
        <v>152</v>
      </c>
      <c r="CU207" t="s">
        <v>102</v>
      </c>
      <c r="CV207" t="s">
        <v>100</v>
      </c>
    </row>
    <row r="208" spans="1:100">
      <c r="A208" s="3" t="s">
        <v>4674</v>
      </c>
      <c r="B208" s="4" t="s">
        <v>4675</v>
      </c>
      <c r="C208">
        <v>34.309080035210499</v>
      </c>
      <c r="D208">
        <v>484.34007908567997</v>
      </c>
      <c r="E208">
        <f>-3.82068121135581</f>
        <v>-3.8206812113558102</v>
      </c>
      <c r="F208" s="5">
        <v>4.7553405061847701E-14</v>
      </c>
      <c r="G208" t="s">
        <v>4</v>
      </c>
      <c r="H208">
        <v>34.309080035210499</v>
      </c>
      <c r="I208">
        <v>23.757642180429301</v>
      </c>
      <c r="J208">
        <v>0.52967891482614204</v>
      </c>
      <c r="K208">
        <v>0.38310499168187501</v>
      </c>
      <c r="L208" t="s">
        <v>4</v>
      </c>
      <c r="M208">
        <v>484.34007908567997</v>
      </c>
      <c r="N208">
        <v>23.757642180429301</v>
      </c>
      <c r="O208">
        <v>4.3503601261819496</v>
      </c>
      <c r="P208" s="5">
        <v>7.6688949590282297E-17</v>
      </c>
      <c r="Q208" t="s">
        <v>4</v>
      </c>
      <c r="R208" s="4" t="s">
        <v>87</v>
      </c>
      <c r="S208" t="s">
        <v>4</v>
      </c>
      <c r="T208" t="s">
        <v>420</v>
      </c>
      <c r="U208" t="s">
        <v>421</v>
      </c>
      <c r="V208" t="s">
        <v>422</v>
      </c>
      <c r="W208" t="s">
        <v>91</v>
      </c>
      <c r="X208" t="s">
        <v>4</v>
      </c>
      <c r="Y208" t="s">
        <v>4676</v>
      </c>
      <c r="Z208" t="s">
        <v>4677</v>
      </c>
      <c r="AA208" t="s">
        <v>4677</v>
      </c>
      <c r="AB208" t="s">
        <v>4</v>
      </c>
      <c r="AC208" s="3" t="s">
        <v>93</v>
      </c>
      <c r="AD208" t="s">
        <v>4</v>
      </c>
      <c r="AE208" t="s">
        <v>4678</v>
      </c>
      <c r="AF208" t="s">
        <v>4679</v>
      </c>
      <c r="AG208" t="s">
        <v>4680</v>
      </c>
      <c r="AH208" t="s">
        <v>638</v>
      </c>
      <c r="AU208" t="s">
        <v>112</v>
      </c>
      <c r="AV208" t="s">
        <v>4681</v>
      </c>
      <c r="AW208" t="s">
        <v>114</v>
      </c>
      <c r="AX208" t="s">
        <v>144</v>
      </c>
      <c r="AY208" t="s">
        <v>1908</v>
      </c>
      <c r="AZ208" t="s">
        <v>4</v>
      </c>
      <c r="BA208" s="3" t="s">
        <v>95</v>
      </c>
      <c r="BB208" t="s">
        <v>96</v>
      </c>
      <c r="BC208" s="3" t="s">
        <v>95</v>
      </c>
      <c r="BD208" t="s">
        <v>4</v>
      </c>
      <c r="BE208">
        <v>1898</v>
      </c>
      <c r="BF208" t="s">
        <v>148</v>
      </c>
      <c r="BG208">
        <v>89.298900000000003</v>
      </c>
      <c r="BH208" t="s">
        <v>4682</v>
      </c>
      <c r="BI208" t="s">
        <v>4683</v>
      </c>
      <c r="BJ208" t="s">
        <v>4684</v>
      </c>
      <c r="BL208" t="s">
        <v>4685</v>
      </c>
      <c r="BM208" t="s">
        <v>4686</v>
      </c>
      <c r="BN208" t="s">
        <v>4687</v>
      </c>
      <c r="BO208">
        <v>47.786000000000001</v>
      </c>
      <c r="CK208">
        <v>3</v>
      </c>
      <c r="CL208" t="s">
        <v>4</v>
      </c>
      <c r="CM208" t="s">
        <v>98</v>
      </c>
      <c r="CN208" t="s">
        <v>98</v>
      </c>
      <c r="CO208" t="s">
        <v>99</v>
      </c>
      <c r="CP208" t="s">
        <v>100</v>
      </c>
      <c r="CQ208">
        <v>207</v>
      </c>
      <c r="CR208" t="s">
        <v>100</v>
      </c>
      <c r="CS208" t="s">
        <v>100</v>
      </c>
      <c r="CT208" t="s">
        <v>152</v>
      </c>
      <c r="CU208" t="s">
        <v>102</v>
      </c>
      <c r="CV208" t="s">
        <v>100</v>
      </c>
    </row>
    <row r="209" spans="1:100">
      <c r="A209" s="3" t="s">
        <v>4688</v>
      </c>
      <c r="B209" s="4" t="s">
        <v>4689</v>
      </c>
      <c r="C209">
        <v>1854.47272214963</v>
      </c>
      <c r="D209">
        <v>16203.5606482208</v>
      </c>
      <c r="E209">
        <f>-3.1271420501079</f>
        <v>-3.1271420501079001</v>
      </c>
      <c r="F209" s="5">
        <v>1.7800015047228801E-61</v>
      </c>
      <c r="G209" t="s">
        <v>4</v>
      </c>
      <c r="H209">
        <v>1854.47272214963</v>
      </c>
      <c r="I209">
        <v>1205.96875805113</v>
      </c>
      <c r="J209">
        <v>0.62140083542742597</v>
      </c>
      <c r="K209">
        <v>2.0689286683034198E-3</v>
      </c>
      <c r="L209" t="s">
        <v>4</v>
      </c>
      <c r="M209">
        <v>16203.5606482208</v>
      </c>
      <c r="N209">
        <v>1205.96875805113</v>
      </c>
      <c r="O209">
        <v>3.74854288553533</v>
      </c>
      <c r="P209" s="5">
        <v>3.8487907345448402E-89</v>
      </c>
      <c r="Q209" t="s">
        <v>4</v>
      </c>
      <c r="R209" s="4" t="s">
        <v>87</v>
      </c>
      <c r="S209" t="s">
        <v>4</v>
      </c>
      <c r="T209" t="s">
        <v>4635</v>
      </c>
      <c r="U209" t="s">
        <v>4636</v>
      </c>
      <c r="V209" t="s">
        <v>4637</v>
      </c>
      <c r="W209" t="s">
        <v>507</v>
      </c>
      <c r="X209" t="s">
        <v>4</v>
      </c>
      <c r="Y209" t="s">
        <v>4690</v>
      </c>
      <c r="Z209" t="s">
        <v>4691</v>
      </c>
      <c r="AA209" t="s">
        <v>4692</v>
      </c>
      <c r="AB209" t="s">
        <v>4</v>
      </c>
      <c r="AC209" s="3" t="s">
        <v>4693</v>
      </c>
      <c r="AD209" t="s">
        <v>4</v>
      </c>
      <c r="AE209" t="s">
        <v>4694</v>
      </c>
      <c r="AF209" t="s">
        <v>4695</v>
      </c>
      <c r="AG209" t="s">
        <v>2043</v>
      </c>
      <c r="AH209" t="s">
        <v>112</v>
      </c>
      <c r="AJ209" t="s">
        <v>4696</v>
      </c>
      <c r="AU209" t="s">
        <v>112</v>
      </c>
      <c r="AV209" t="s">
        <v>4697</v>
      </c>
      <c r="AW209" t="s">
        <v>114</v>
      </c>
      <c r="AX209" t="s">
        <v>132</v>
      </c>
      <c r="AY209" t="s">
        <v>4698</v>
      </c>
      <c r="AZ209" t="s">
        <v>4</v>
      </c>
      <c r="BA209" s="3" t="s">
        <v>95</v>
      </c>
      <c r="BB209" t="s">
        <v>96</v>
      </c>
      <c r="BC209" s="3" t="s">
        <v>95</v>
      </c>
      <c r="BD209" t="s">
        <v>4</v>
      </c>
      <c r="BE209">
        <v>5543</v>
      </c>
      <c r="BF209" t="s">
        <v>386</v>
      </c>
      <c r="BG209">
        <v>71.477699999999999</v>
      </c>
      <c r="BI209">
        <v>92.611699999999999</v>
      </c>
      <c r="BJ209">
        <v>85.395200000000003</v>
      </c>
      <c r="BK209">
        <v>79.381399999999999</v>
      </c>
      <c r="BM209">
        <v>74.7423</v>
      </c>
      <c r="BN209">
        <v>75.085899999999995</v>
      </c>
      <c r="BO209">
        <v>75.085899999999995</v>
      </c>
      <c r="BQ209">
        <v>35.910699999999999</v>
      </c>
      <c r="BR209">
        <v>38.316200000000002</v>
      </c>
      <c r="BW209">
        <v>30.756</v>
      </c>
      <c r="BX209">
        <v>34.707900000000002</v>
      </c>
      <c r="BY209">
        <v>32.302399999999999</v>
      </c>
      <c r="BZ209">
        <v>17.182099999999998</v>
      </c>
      <c r="CA209" t="s">
        <v>4699</v>
      </c>
      <c r="CC209">
        <v>22.3368</v>
      </c>
      <c r="CF209">
        <v>6.7010300000000003</v>
      </c>
      <c r="CH209">
        <v>20.962199999999999</v>
      </c>
      <c r="CI209">
        <v>24.7423</v>
      </c>
      <c r="CK209">
        <v>7</v>
      </c>
      <c r="CL209" t="s">
        <v>4</v>
      </c>
      <c r="CM209" t="s">
        <v>4700</v>
      </c>
      <c r="CN209" t="s">
        <v>4701</v>
      </c>
      <c r="CO209" t="s">
        <v>1523</v>
      </c>
      <c r="CP209" t="s">
        <v>100</v>
      </c>
      <c r="CQ209">
        <v>208</v>
      </c>
      <c r="CR209" t="s">
        <v>100</v>
      </c>
      <c r="CS209" t="s">
        <v>100</v>
      </c>
      <c r="CT209" t="s">
        <v>152</v>
      </c>
      <c r="CU209" t="s">
        <v>102</v>
      </c>
      <c r="CV209" t="s">
        <v>100</v>
      </c>
    </row>
    <row r="210" spans="1:100">
      <c r="A210" s="3" t="s">
        <v>4702</v>
      </c>
      <c r="B210" s="4" t="s">
        <v>4703</v>
      </c>
      <c r="C210">
        <v>81.859426189065204</v>
      </c>
      <c r="D210">
        <v>1070.07867354581</v>
      </c>
      <c r="E210">
        <f>-3.70581423735971</f>
        <v>-3.7058142373597098</v>
      </c>
      <c r="F210" s="5">
        <v>5.02487679232677E-29</v>
      </c>
      <c r="G210" t="s">
        <v>4</v>
      </c>
      <c r="H210">
        <v>81.859426189065204</v>
      </c>
      <c r="I210">
        <v>26.769007380588398</v>
      </c>
      <c r="J210">
        <v>1.64949306080448</v>
      </c>
      <c r="K210" s="5">
        <v>3.5269486495501603E-5</v>
      </c>
      <c r="L210" t="s">
        <v>4</v>
      </c>
      <c r="M210">
        <v>1070.07867354581</v>
      </c>
      <c r="N210">
        <v>26.769007380588398</v>
      </c>
      <c r="O210">
        <v>5.35530729816419</v>
      </c>
      <c r="P210" s="5">
        <v>2.9555411806306998E-47</v>
      </c>
      <c r="Q210" t="s">
        <v>4</v>
      </c>
      <c r="R210" s="4" t="s">
        <v>87</v>
      </c>
      <c r="S210" t="s">
        <v>4</v>
      </c>
      <c r="T210" t="s">
        <v>1974</v>
      </c>
      <c r="U210" t="s">
        <v>1975</v>
      </c>
      <c r="V210" t="s">
        <v>1976</v>
      </c>
      <c r="W210" t="s">
        <v>123</v>
      </c>
      <c r="X210" t="s">
        <v>4</v>
      </c>
      <c r="Y210" t="s">
        <v>1315</v>
      </c>
      <c r="Z210" t="s">
        <v>1316</v>
      </c>
      <c r="AA210" t="s">
        <v>1317</v>
      </c>
      <c r="AB210" t="s">
        <v>4</v>
      </c>
      <c r="AC210" s="3" t="s">
        <v>1318</v>
      </c>
      <c r="AD210" t="s">
        <v>4</v>
      </c>
      <c r="AE210" t="s">
        <v>4704</v>
      </c>
      <c r="AF210" t="s">
        <v>4705</v>
      </c>
      <c r="AG210" t="s">
        <v>4706</v>
      </c>
      <c r="AH210" t="s">
        <v>638</v>
      </c>
      <c r="AK210" t="s">
        <v>1322</v>
      </c>
      <c r="AL210" t="s">
        <v>4707</v>
      </c>
      <c r="AM210" t="s">
        <v>1324</v>
      </c>
      <c r="AQ210" t="s">
        <v>1325</v>
      </c>
      <c r="AU210" t="s">
        <v>112</v>
      </c>
      <c r="AV210" t="s">
        <v>4708</v>
      </c>
      <c r="AW210" t="s">
        <v>114</v>
      </c>
      <c r="AX210" t="s">
        <v>132</v>
      </c>
      <c r="AY210" t="s">
        <v>1327</v>
      </c>
      <c r="AZ210" t="s">
        <v>4</v>
      </c>
      <c r="BA210" s="3" t="s">
        <v>95</v>
      </c>
      <c r="BB210" s="6" t="s">
        <v>95</v>
      </c>
      <c r="BC210" s="3" t="s">
        <v>197</v>
      </c>
      <c r="BD210" t="s">
        <v>4</v>
      </c>
      <c r="BE210">
        <v>3762</v>
      </c>
      <c r="BF210" t="s">
        <v>112</v>
      </c>
      <c r="BG210">
        <v>97.096199999999996</v>
      </c>
      <c r="BH210">
        <v>50.816699999999997</v>
      </c>
      <c r="BI210">
        <v>93.466399999999993</v>
      </c>
      <c r="BJ210">
        <v>17.967300000000002</v>
      </c>
      <c r="BN210">
        <v>64.065299999999993</v>
      </c>
      <c r="BR210">
        <v>23.230499999999999</v>
      </c>
      <c r="BW210">
        <v>21.234100000000002</v>
      </c>
      <c r="BX210">
        <v>15.7895</v>
      </c>
      <c r="BZ210" t="s">
        <v>4709</v>
      </c>
      <c r="CA210">
        <v>21.415600000000001</v>
      </c>
      <c r="CK210">
        <v>5</v>
      </c>
      <c r="CL210" t="s">
        <v>4</v>
      </c>
      <c r="CM210" t="s">
        <v>4710</v>
      </c>
      <c r="CN210" t="s">
        <v>4711</v>
      </c>
      <c r="CO210" t="s">
        <v>663</v>
      </c>
      <c r="CP210" t="s">
        <v>100</v>
      </c>
      <c r="CQ210">
        <v>209</v>
      </c>
      <c r="CR210" t="s">
        <v>100</v>
      </c>
      <c r="CS210" s="7" t="s">
        <v>101</v>
      </c>
      <c r="CT210" t="s">
        <v>152</v>
      </c>
      <c r="CU210" t="s">
        <v>102</v>
      </c>
      <c r="CV210" t="s">
        <v>100</v>
      </c>
    </row>
    <row r="211" spans="1:100">
      <c r="A211" s="3" t="s">
        <v>4712</v>
      </c>
      <c r="B211" s="4" t="s">
        <v>4713</v>
      </c>
      <c r="C211">
        <v>397.10591519351101</v>
      </c>
      <c r="D211">
        <v>2096.1044607393201</v>
      </c>
      <c r="E211">
        <f>-2.40006357870921</f>
        <v>-2.4000635787092102</v>
      </c>
      <c r="F211" s="5">
        <v>2.7598120747709099E-15</v>
      </c>
      <c r="G211" t="s">
        <v>4</v>
      </c>
      <c r="H211">
        <v>397.10591519351101</v>
      </c>
      <c r="I211">
        <v>96.699546969275204</v>
      </c>
      <c r="J211">
        <v>2.0201170580607801</v>
      </c>
      <c r="K211" s="5">
        <v>2.4044356202103202E-10</v>
      </c>
      <c r="L211" t="s">
        <v>4</v>
      </c>
      <c r="M211">
        <v>2096.1044607393201</v>
      </c>
      <c r="N211">
        <v>96.699546969275204</v>
      </c>
      <c r="O211">
        <v>4.4201806367699898</v>
      </c>
      <c r="P211" s="5">
        <v>1.65997494354978E-46</v>
      </c>
      <c r="Q211" t="s">
        <v>4</v>
      </c>
      <c r="R211" s="4" t="s">
        <v>87</v>
      </c>
      <c r="S211" t="s">
        <v>4</v>
      </c>
      <c r="T211" t="s">
        <v>460</v>
      </c>
      <c r="U211" t="s">
        <v>461</v>
      </c>
      <c r="V211" t="s">
        <v>462</v>
      </c>
      <c r="W211" t="s">
        <v>123</v>
      </c>
      <c r="X211" t="s">
        <v>4</v>
      </c>
      <c r="Y211" t="s">
        <v>463</v>
      </c>
      <c r="Z211" t="s">
        <v>464</v>
      </c>
      <c r="AA211" t="s">
        <v>465</v>
      </c>
      <c r="AB211" t="s">
        <v>4</v>
      </c>
      <c r="AC211" s="3" t="s">
        <v>4714</v>
      </c>
      <c r="AD211" t="s">
        <v>4</v>
      </c>
      <c r="AE211" t="s">
        <v>4715</v>
      </c>
      <c r="AF211" t="s">
        <v>4716</v>
      </c>
      <c r="AG211" t="s">
        <v>4717</v>
      </c>
      <c r="AH211" t="s">
        <v>112</v>
      </c>
      <c r="AU211" t="s">
        <v>112</v>
      </c>
      <c r="AV211" t="s">
        <v>4718</v>
      </c>
      <c r="AW211" t="s">
        <v>114</v>
      </c>
      <c r="AX211" t="s">
        <v>144</v>
      </c>
      <c r="AY211" t="s">
        <v>471</v>
      </c>
      <c r="AZ211" t="s">
        <v>4</v>
      </c>
      <c r="BA211" s="3" t="s">
        <v>95</v>
      </c>
      <c r="BB211" s="6" t="s">
        <v>95</v>
      </c>
      <c r="BC211" s="3" t="s">
        <v>95</v>
      </c>
      <c r="BD211" t="s">
        <v>4</v>
      </c>
      <c r="BE211">
        <v>4980</v>
      </c>
      <c r="BF211" t="s">
        <v>282</v>
      </c>
      <c r="BG211">
        <v>55.628300000000003</v>
      </c>
      <c r="BH211">
        <v>50.392699999999998</v>
      </c>
      <c r="BI211">
        <v>87.565399999999997</v>
      </c>
      <c r="BJ211">
        <v>40.706800000000001</v>
      </c>
      <c r="BK211">
        <v>66.492099999999994</v>
      </c>
      <c r="BM211">
        <v>44.633499999999998</v>
      </c>
      <c r="BN211">
        <v>79.581199999999995</v>
      </c>
      <c r="BO211">
        <v>75</v>
      </c>
      <c r="BP211">
        <v>26.570699999999999</v>
      </c>
      <c r="CB211">
        <v>25.9162</v>
      </c>
      <c r="CC211">
        <v>19.895299999999999</v>
      </c>
      <c r="CD211">
        <v>15.8377</v>
      </c>
      <c r="CK211">
        <v>6</v>
      </c>
      <c r="CL211" t="s">
        <v>4</v>
      </c>
      <c r="CM211" t="s">
        <v>98</v>
      </c>
      <c r="CN211" t="s">
        <v>98</v>
      </c>
      <c r="CO211" t="s">
        <v>99</v>
      </c>
      <c r="CP211" t="s">
        <v>100</v>
      </c>
      <c r="CQ211">
        <v>210</v>
      </c>
      <c r="CR211" t="s">
        <v>100</v>
      </c>
      <c r="CS211" t="s">
        <v>101</v>
      </c>
      <c r="CT211" t="s">
        <v>152</v>
      </c>
      <c r="CU211" t="s">
        <v>102</v>
      </c>
      <c r="CV211" t="s">
        <v>100</v>
      </c>
    </row>
    <row r="212" spans="1:100">
      <c r="A212" s="3" t="s">
        <v>4719</v>
      </c>
      <c r="B212" s="4" t="s">
        <v>4720</v>
      </c>
      <c r="C212">
        <v>665.89199141991799</v>
      </c>
      <c r="D212">
        <v>4629.6667202621802</v>
      </c>
      <c r="E212">
        <f>-2.79746225140395</f>
        <v>-2.79746225140395</v>
      </c>
      <c r="F212" s="5">
        <v>2.1916465765975301E-21</v>
      </c>
      <c r="G212" t="s">
        <v>4</v>
      </c>
      <c r="H212">
        <v>665.89199141991799</v>
      </c>
      <c r="I212">
        <v>535.92746407545997</v>
      </c>
      <c r="J212">
        <v>0.31247843920527102</v>
      </c>
      <c r="K212">
        <v>0.345438765320146</v>
      </c>
      <c r="L212" t="s">
        <v>4</v>
      </c>
      <c r="M212">
        <v>4629.6667202621802</v>
      </c>
      <c r="N212">
        <v>535.92746407545997</v>
      </c>
      <c r="O212">
        <v>3.10994069060922</v>
      </c>
      <c r="P212" s="5">
        <v>9.9336281666229702E-27</v>
      </c>
      <c r="Q212" t="s">
        <v>4</v>
      </c>
      <c r="R212" s="4" t="s">
        <v>87</v>
      </c>
      <c r="S212" t="s">
        <v>4</v>
      </c>
      <c r="T212" t="s">
        <v>4721</v>
      </c>
      <c r="U212" t="s">
        <v>4722</v>
      </c>
      <c r="V212" t="s">
        <v>4723</v>
      </c>
      <c r="W212" t="s">
        <v>1845</v>
      </c>
      <c r="X212" t="s">
        <v>4</v>
      </c>
      <c r="Y212" t="s">
        <v>4724</v>
      </c>
      <c r="Z212" t="s">
        <v>4725</v>
      </c>
      <c r="AA212" t="s">
        <v>4726</v>
      </c>
      <c r="AB212" t="s">
        <v>4</v>
      </c>
      <c r="AC212" s="3" t="s">
        <v>4727</v>
      </c>
      <c r="AD212" t="s">
        <v>4</v>
      </c>
      <c r="AE212" t="s">
        <v>4728</v>
      </c>
      <c r="AF212" t="s">
        <v>4729</v>
      </c>
      <c r="AG212" t="s">
        <v>4730</v>
      </c>
      <c r="AH212" t="s">
        <v>112</v>
      </c>
      <c r="AL212" t="s">
        <v>4731</v>
      </c>
      <c r="AM212" t="s">
        <v>4732</v>
      </c>
      <c r="AQ212" t="s">
        <v>2941</v>
      </c>
      <c r="AR212" t="s">
        <v>4733</v>
      </c>
      <c r="AU212" t="s">
        <v>112</v>
      </c>
      <c r="AV212" t="s">
        <v>4734</v>
      </c>
      <c r="AW212" t="s">
        <v>114</v>
      </c>
      <c r="AX212" t="s">
        <v>596</v>
      </c>
      <c r="AY212" t="s">
        <v>4735</v>
      </c>
      <c r="AZ212" t="s">
        <v>4</v>
      </c>
      <c r="BA212" s="3" t="s">
        <v>115</v>
      </c>
      <c r="BB212" t="s">
        <v>96</v>
      </c>
      <c r="BC212" s="3" t="s">
        <v>95</v>
      </c>
      <c r="BD212" t="s">
        <v>4</v>
      </c>
      <c r="BE212">
        <v>1904</v>
      </c>
      <c r="BF212" t="s">
        <v>148</v>
      </c>
      <c r="BG212">
        <v>96.959500000000006</v>
      </c>
      <c r="BH212">
        <v>98.648700000000005</v>
      </c>
      <c r="BI212">
        <v>85.472999999999999</v>
      </c>
      <c r="BJ212">
        <v>61.824300000000001</v>
      </c>
      <c r="BK212">
        <v>51.013500000000001</v>
      </c>
      <c r="BL212">
        <v>20.6081</v>
      </c>
      <c r="BM212" t="s">
        <v>4736</v>
      </c>
      <c r="BN212">
        <v>57.0946</v>
      </c>
      <c r="BO212">
        <v>55.743200000000002</v>
      </c>
      <c r="CK212">
        <v>3</v>
      </c>
      <c r="CL212" t="s">
        <v>4</v>
      </c>
      <c r="CM212" t="s">
        <v>98</v>
      </c>
      <c r="CN212" t="s">
        <v>98</v>
      </c>
      <c r="CO212" t="s">
        <v>99</v>
      </c>
      <c r="CP212" t="s">
        <v>100</v>
      </c>
      <c r="CQ212">
        <v>211</v>
      </c>
      <c r="CR212" t="s">
        <v>100</v>
      </c>
      <c r="CS212" t="s">
        <v>100</v>
      </c>
      <c r="CT212" t="s">
        <v>152</v>
      </c>
      <c r="CU212" t="s">
        <v>102</v>
      </c>
      <c r="CV212" t="s">
        <v>100</v>
      </c>
    </row>
    <row r="213" spans="1:100">
      <c r="A213" s="3" t="s">
        <v>4737</v>
      </c>
      <c r="B213" s="4" t="s">
        <v>4738</v>
      </c>
      <c r="C213">
        <v>252.687548018238</v>
      </c>
      <c r="D213">
        <v>2038.71519074299</v>
      </c>
      <c r="E213">
        <f>-3.01195914051498</f>
        <v>-3.0119591405149801</v>
      </c>
      <c r="F213" s="5">
        <v>4.1047376992851201E-12</v>
      </c>
      <c r="G213" t="s">
        <v>4</v>
      </c>
      <c r="H213">
        <v>252.687548018238</v>
      </c>
      <c r="I213">
        <v>176.20182776772799</v>
      </c>
      <c r="J213">
        <v>0.52242396793277701</v>
      </c>
      <c r="K213">
        <v>0.27627841695210997</v>
      </c>
      <c r="L213" t="s">
        <v>4</v>
      </c>
      <c r="M213">
        <v>2038.71519074299</v>
      </c>
      <c r="N213">
        <v>176.20182776772799</v>
      </c>
      <c r="O213">
        <v>3.5343831084477602</v>
      </c>
      <c r="P213" s="5">
        <v>1.17826120052411E-16</v>
      </c>
      <c r="Q213" t="s">
        <v>4</v>
      </c>
      <c r="R213" s="4" t="s">
        <v>87</v>
      </c>
      <c r="S213" t="s">
        <v>4</v>
      </c>
      <c r="T213" t="s">
        <v>1261</v>
      </c>
      <c r="U213" t="s">
        <v>1262</v>
      </c>
      <c r="V213" t="s">
        <v>1263</v>
      </c>
      <c r="W213" t="s">
        <v>328</v>
      </c>
      <c r="X213" t="s">
        <v>4</v>
      </c>
      <c r="Y213" t="s">
        <v>3338</v>
      </c>
      <c r="Z213" t="s">
        <v>3339</v>
      </c>
      <c r="AA213" t="s">
        <v>3340</v>
      </c>
      <c r="AB213" t="s">
        <v>4</v>
      </c>
      <c r="AC213" s="3" t="s">
        <v>4739</v>
      </c>
      <c r="AD213" t="s">
        <v>4</v>
      </c>
      <c r="AE213" s="4" t="s">
        <v>94</v>
      </c>
      <c r="AZ213" t="s">
        <v>4</v>
      </c>
      <c r="BA213" s="3" t="s">
        <v>115</v>
      </c>
      <c r="BB213" s="6" t="s">
        <v>95</v>
      </c>
      <c r="BC213" s="3" t="s">
        <v>95</v>
      </c>
      <c r="BD213" t="s">
        <v>4</v>
      </c>
      <c r="BE213">
        <v>5556</v>
      </c>
      <c r="BF213" t="s">
        <v>386</v>
      </c>
      <c r="BG213">
        <v>98.305099999999996</v>
      </c>
      <c r="BH213">
        <v>99.661000000000001</v>
      </c>
      <c r="BI213">
        <v>92.090400000000002</v>
      </c>
      <c r="BJ213">
        <v>4.5197700000000003</v>
      </c>
      <c r="BK213">
        <v>44.406799999999997</v>
      </c>
      <c r="BM213">
        <v>8.7005700000000008</v>
      </c>
      <c r="BN213">
        <v>6.8926600000000002</v>
      </c>
      <c r="BO213">
        <v>67.570599999999999</v>
      </c>
      <c r="BP213">
        <v>12.994400000000001</v>
      </c>
      <c r="BS213">
        <v>9.6045200000000008</v>
      </c>
      <c r="BV213">
        <v>3.9548000000000001</v>
      </c>
      <c r="BW213">
        <v>7.9096000000000002</v>
      </c>
      <c r="BZ213">
        <v>8.1355900000000005</v>
      </c>
      <c r="CA213">
        <v>11.638400000000001</v>
      </c>
      <c r="CB213">
        <v>9.0395500000000002</v>
      </c>
      <c r="CK213">
        <v>7</v>
      </c>
      <c r="CL213" t="s">
        <v>4</v>
      </c>
      <c r="CM213" t="s">
        <v>3356</v>
      </c>
      <c r="CN213" t="s">
        <v>4740</v>
      </c>
      <c r="CO213" t="s">
        <v>1218</v>
      </c>
      <c r="CP213" t="s">
        <v>100</v>
      </c>
      <c r="CQ213">
        <v>212</v>
      </c>
      <c r="CR213" t="s">
        <v>100</v>
      </c>
      <c r="CS213" t="s">
        <v>100</v>
      </c>
      <c r="CT213" t="s">
        <v>152</v>
      </c>
      <c r="CU213" t="s">
        <v>102</v>
      </c>
      <c r="CV213" t="s">
        <v>100</v>
      </c>
    </row>
    <row r="214" spans="1:100">
      <c r="A214" s="3" t="s">
        <v>4741</v>
      </c>
      <c r="B214" s="4" t="s">
        <v>4742</v>
      </c>
      <c r="C214">
        <v>1251.72376719004</v>
      </c>
      <c r="D214">
        <v>9119.1966919891001</v>
      </c>
      <c r="E214">
        <f>-2.86470761756363</f>
        <v>-2.8647076175636301</v>
      </c>
      <c r="F214" s="5">
        <v>1.0058834210905201E-50</v>
      </c>
      <c r="G214" t="s">
        <v>4</v>
      </c>
      <c r="H214">
        <v>1251.72376719004</v>
      </c>
      <c r="I214">
        <v>340.67194401564802</v>
      </c>
      <c r="J214">
        <v>1.87113380142071</v>
      </c>
      <c r="K214" s="5">
        <v>4.24637628910549E-21</v>
      </c>
      <c r="L214" t="s">
        <v>4</v>
      </c>
      <c r="M214">
        <v>9119.1966919891001</v>
      </c>
      <c r="N214">
        <v>340.67194401564802</v>
      </c>
      <c r="O214">
        <v>4.7358414189843403</v>
      </c>
      <c r="P214" s="5">
        <v>2.3523921042997101E-131</v>
      </c>
      <c r="Q214" t="s">
        <v>4</v>
      </c>
      <c r="R214" s="4" t="s">
        <v>87</v>
      </c>
      <c r="S214" t="s">
        <v>4</v>
      </c>
      <c r="T214" t="s">
        <v>4635</v>
      </c>
      <c r="U214" t="s">
        <v>4636</v>
      </c>
      <c r="V214" t="s">
        <v>4637</v>
      </c>
      <c r="W214" t="s">
        <v>507</v>
      </c>
      <c r="X214" t="s">
        <v>4</v>
      </c>
      <c r="Y214" t="s">
        <v>4743</v>
      </c>
      <c r="Z214" t="s">
        <v>4744</v>
      </c>
      <c r="AA214" t="s">
        <v>4745</v>
      </c>
      <c r="AB214" t="s">
        <v>4</v>
      </c>
      <c r="AC214" s="3" t="s">
        <v>2650</v>
      </c>
      <c r="AD214" t="s">
        <v>4</v>
      </c>
      <c r="AE214" t="s">
        <v>4746</v>
      </c>
      <c r="AF214" t="s">
        <v>4747</v>
      </c>
      <c r="AG214" t="s">
        <v>4748</v>
      </c>
      <c r="AH214" t="s">
        <v>112</v>
      </c>
      <c r="AU214" t="s">
        <v>112</v>
      </c>
      <c r="AV214" t="s">
        <v>4749</v>
      </c>
      <c r="AW214" t="s">
        <v>114</v>
      </c>
      <c r="AX214" t="s">
        <v>596</v>
      </c>
      <c r="AY214" t="s">
        <v>4750</v>
      </c>
      <c r="AZ214" t="s">
        <v>4</v>
      </c>
      <c r="BA214" s="3" t="s">
        <v>115</v>
      </c>
      <c r="BB214" t="s">
        <v>96</v>
      </c>
      <c r="BC214" s="3" t="s">
        <v>95</v>
      </c>
      <c r="BD214" t="s">
        <v>4</v>
      </c>
      <c r="BE214">
        <v>2551</v>
      </c>
      <c r="BF214" t="s">
        <v>97</v>
      </c>
      <c r="BG214">
        <v>92.974199999999996</v>
      </c>
      <c r="BH214">
        <v>89.929699999999997</v>
      </c>
      <c r="BI214">
        <v>87.822000000000003</v>
      </c>
      <c r="BJ214">
        <v>69.320800000000006</v>
      </c>
      <c r="BK214">
        <v>32.084299999999999</v>
      </c>
      <c r="BL214">
        <v>59.016399999999997</v>
      </c>
      <c r="BM214" t="s">
        <v>4751</v>
      </c>
      <c r="BN214" t="s">
        <v>4752</v>
      </c>
      <c r="CK214">
        <v>4</v>
      </c>
      <c r="CL214" t="s">
        <v>4</v>
      </c>
      <c r="CM214" t="s">
        <v>98</v>
      </c>
      <c r="CN214" t="s">
        <v>98</v>
      </c>
      <c r="CO214" t="s">
        <v>99</v>
      </c>
      <c r="CP214" t="s">
        <v>100</v>
      </c>
      <c r="CQ214">
        <v>213</v>
      </c>
      <c r="CR214" t="s">
        <v>100</v>
      </c>
      <c r="CS214" s="7" t="s">
        <v>101</v>
      </c>
      <c r="CT214" t="s">
        <v>152</v>
      </c>
      <c r="CU214" t="s">
        <v>102</v>
      </c>
      <c r="CV214" t="s">
        <v>100</v>
      </c>
    </row>
    <row r="215" spans="1:100">
      <c r="A215" s="3" t="s">
        <v>4753</v>
      </c>
      <c r="B215" s="4" t="s">
        <v>4754</v>
      </c>
      <c r="C215">
        <v>60.892401326022402</v>
      </c>
      <c r="D215">
        <v>469.61461333641699</v>
      </c>
      <c r="E215">
        <f>-2.94681666961477</f>
        <v>-2.94681666961477</v>
      </c>
      <c r="F215" s="5">
        <v>2.8276889767872299E-9</v>
      </c>
      <c r="G215" t="s">
        <v>4</v>
      </c>
      <c r="H215">
        <v>60.892401326022402</v>
      </c>
      <c r="I215">
        <v>13.2718401515406</v>
      </c>
      <c r="J215">
        <v>2.2101413457218699</v>
      </c>
      <c r="K215">
        <v>1.31439422535826E-4</v>
      </c>
      <c r="L215" t="s">
        <v>4</v>
      </c>
      <c r="M215">
        <v>469.61461333641699</v>
      </c>
      <c r="N215">
        <v>13.2718401515406</v>
      </c>
      <c r="O215">
        <v>5.1569580153366301</v>
      </c>
      <c r="P215" s="5">
        <v>2.79282662740746E-21</v>
      </c>
      <c r="Q215" t="s">
        <v>4</v>
      </c>
      <c r="R215" s="4" t="s">
        <v>87</v>
      </c>
      <c r="S215" t="s">
        <v>4</v>
      </c>
      <c r="T215" t="s">
        <v>92</v>
      </c>
      <c r="U215" t="s">
        <v>92</v>
      </c>
      <c r="V215" t="s">
        <v>92</v>
      </c>
      <c r="W215" t="s">
        <v>92</v>
      </c>
      <c r="X215" t="s">
        <v>4</v>
      </c>
      <c r="Y215" t="s">
        <v>4755</v>
      </c>
      <c r="Z215" t="s">
        <v>4756</v>
      </c>
      <c r="AA215" t="s">
        <v>4757</v>
      </c>
      <c r="AB215" t="s">
        <v>4</v>
      </c>
      <c r="AC215" s="3" t="s">
        <v>4758</v>
      </c>
      <c r="AD215" t="s">
        <v>4</v>
      </c>
      <c r="AE215" t="s">
        <v>4759</v>
      </c>
      <c r="AF215" t="s">
        <v>4760</v>
      </c>
      <c r="AG215" t="s">
        <v>4761</v>
      </c>
      <c r="AH215" t="s">
        <v>112</v>
      </c>
      <c r="AU215" t="s">
        <v>112</v>
      </c>
      <c r="AV215" t="s">
        <v>4762</v>
      </c>
      <c r="AW215" t="s">
        <v>114</v>
      </c>
      <c r="AX215" t="s">
        <v>144</v>
      </c>
      <c r="AY215" t="s">
        <v>4763</v>
      </c>
      <c r="AZ215" t="s">
        <v>4</v>
      </c>
      <c r="BA215" s="3" t="s">
        <v>95</v>
      </c>
      <c r="BB215" s="6" t="s">
        <v>95</v>
      </c>
      <c r="BC215" s="3" t="s">
        <v>95</v>
      </c>
      <c r="BD215" t="s">
        <v>4</v>
      </c>
      <c r="BE215">
        <v>1907</v>
      </c>
      <c r="BF215" t="s">
        <v>148</v>
      </c>
      <c r="BG215">
        <v>97.762900000000002</v>
      </c>
      <c r="BH215">
        <v>73.601799999999997</v>
      </c>
      <c r="BJ215">
        <v>66.666700000000006</v>
      </c>
      <c r="BK215">
        <v>41.387</v>
      </c>
      <c r="BL215">
        <v>50.783000000000001</v>
      </c>
      <c r="BM215">
        <v>57.046999999999997</v>
      </c>
      <c r="BN215">
        <v>57.270699999999998</v>
      </c>
      <c r="BO215">
        <v>58.389299999999999</v>
      </c>
      <c r="CK215">
        <v>3</v>
      </c>
      <c r="CL215" t="s">
        <v>4</v>
      </c>
      <c r="CM215" t="s">
        <v>98</v>
      </c>
      <c r="CN215" t="s">
        <v>98</v>
      </c>
      <c r="CO215" t="s">
        <v>99</v>
      </c>
      <c r="CP215" t="s">
        <v>100</v>
      </c>
      <c r="CQ215">
        <v>214</v>
      </c>
      <c r="CR215" t="s">
        <v>100</v>
      </c>
      <c r="CS215" t="s">
        <v>101</v>
      </c>
      <c r="CT215" t="s">
        <v>152</v>
      </c>
      <c r="CU215" t="s">
        <v>102</v>
      </c>
      <c r="CV215" t="s">
        <v>100</v>
      </c>
    </row>
    <row r="216" spans="1:100">
      <c r="A216" s="3" t="s">
        <v>4764</v>
      </c>
      <c r="B216" s="4" t="s">
        <v>4765</v>
      </c>
      <c r="C216">
        <v>489.15300347922101</v>
      </c>
      <c r="D216">
        <v>3673.83673829497</v>
      </c>
      <c r="E216">
        <f>-2.90811137063109</f>
        <v>-2.9081113706310902</v>
      </c>
      <c r="F216" s="5">
        <v>7.2356257901455095E-35</v>
      </c>
      <c r="G216" t="s">
        <v>4</v>
      </c>
      <c r="H216">
        <v>489.15300347922101</v>
      </c>
      <c r="I216">
        <v>302.85624641331702</v>
      </c>
      <c r="J216">
        <v>0.68482049241957899</v>
      </c>
      <c r="K216">
        <v>7.6855354022349696E-3</v>
      </c>
      <c r="L216" t="s">
        <v>4</v>
      </c>
      <c r="M216">
        <v>3673.83673829497</v>
      </c>
      <c r="N216">
        <v>302.85624641331702</v>
      </c>
      <c r="O216">
        <v>3.5929318630506701</v>
      </c>
      <c r="P216" s="5">
        <v>3.5728099951642798E-52</v>
      </c>
      <c r="Q216" t="s">
        <v>4</v>
      </c>
      <c r="R216" s="4" t="s">
        <v>87</v>
      </c>
      <c r="S216" t="s">
        <v>4</v>
      </c>
      <c r="T216" t="s">
        <v>92</v>
      </c>
      <c r="U216" t="s">
        <v>92</v>
      </c>
      <c r="V216" t="s">
        <v>92</v>
      </c>
      <c r="W216" t="s">
        <v>92</v>
      </c>
      <c r="X216" t="s">
        <v>4</v>
      </c>
      <c r="Y216" t="s">
        <v>92</v>
      </c>
      <c r="Z216" t="s">
        <v>92</v>
      </c>
      <c r="AA216" t="s">
        <v>92</v>
      </c>
      <c r="AB216" t="s">
        <v>4</v>
      </c>
      <c r="AC216" s="3" t="s">
        <v>93</v>
      </c>
      <c r="AD216" t="s">
        <v>4</v>
      </c>
      <c r="AE216" t="s">
        <v>4766</v>
      </c>
      <c r="AF216" t="s">
        <v>4767</v>
      </c>
      <c r="AG216" t="s">
        <v>1714</v>
      </c>
      <c r="AH216" t="s">
        <v>112</v>
      </c>
      <c r="AU216" t="s">
        <v>112</v>
      </c>
      <c r="AV216" t="s">
        <v>4768</v>
      </c>
      <c r="AW216" t="s">
        <v>114</v>
      </c>
      <c r="AZ216" t="s">
        <v>4</v>
      </c>
      <c r="BA216" s="3" t="s">
        <v>95</v>
      </c>
      <c r="BB216" s="6" t="s">
        <v>95</v>
      </c>
      <c r="BC216" s="3" t="s">
        <v>95</v>
      </c>
      <c r="BD216" t="s">
        <v>4</v>
      </c>
      <c r="BE216">
        <v>5000</v>
      </c>
      <c r="BF216" t="s">
        <v>282</v>
      </c>
      <c r="BG216">
        <v>99.438199999999995</v>
      </c>
      <c r="BH216">
        <v>95.505600000000001</v>
      </c>
      <c r="BI216" t="s">
        <v>4769</v>
      </c>
      <c r="BJ216">
        <v>78.0899</v>
      </c>
      <c r="BK216">
        <v>75.842699999999994</v>
      </c>
      <c r="BL216">
        <v>40.449399999999997</v>
      </c>
      <c r="BM216">
        <v>37.921300000000002</v>
      </c>
      <c r="BN216">
        <v>69.943799999999996</v>
      </c>
      <c r="BO216">
        <v>71.9101</v>
      </c>
      <c r="BP216">
        <v>28.932600000000001</v>
      </c>
      <c r="BR216">
        <v>32.584299999999999</v>
      </c>
      <c r="BS216">
        <v>30.0562</v>
      </c>
      <c r="BV216" t="s">
        <v>4770</v>
      </c>
      <c r="CC216">
        <v>19.101099999999999</v>
      </c>
      <c r="CD216">
        <v>18.539300000000001</v>
      </c>
      <c r="CK216">
        <v>6</v>
      </c>
      <c r="CL216" t="s">
        <v>4</v>
      </c>
      <c r="CM216" t="s">
        <v>98</v>
      </c>
      <c r="CN216" t="s">
        <v>98</v>
      </c>
      <c r="CO216" t="s">
        <v>99</v>
      </c>
      <c r="CP216" t="s">
        <v>100</v>
      </c>
      <c r="CQ216">
        <v>215</v>
      </c>
      <c r="CR216" t="s">
        <v>100</v>
      </c>
      <c r="CS216" t="s">
        <v>100</v>
      </c>
      <c r="CT216" t="s">
        <v>152</v>
      </c>
      <c r="CU216" t="s">
        <v>102</v>
      </c>
      <c r="CV216" t="s">
        <v>100</v>
      </c>
    </row>
    <row r="217" spans="1:100">
      <c r="A217" s="3" t="s">
        <v>4771</v>
      </c>
      <c r="B217" s="4" t="s">
        <v>4772</v>
      </c>
      <c r="C217">
        <v>221.34706718977799</v>
      </c>
      <c r="D217">
        <v>972.35704808510297</v>
      </c>
      <c r="E217">
        <f>-2.13495496078826</f>
        <v>-2.1349549607882601</v>
      </c>
      <c r="F217" s="5">
        <v>1.0706490985163601E-12</v>
      </c>
      <c r="G217" t="s">
        <v>4</v>
      </c>
      <c r="H217">
        <v>221.34706718977799</v>
      </c>
      <c r="I217">
        <v>140.73498772767499</v>
      </c>
      <c r="J217">
        <v>0.66445086386170105</v>
      </c>
      <c r="K217">
        <v>4.2938741898803499E-2</v>
      </c>
      <c r="L217" t="s">
        <v>4</v>
      </c>
      <c r="M217">
        <v>972.35704808510297</v>
      </c>
      <c r="N217">
        <v>140.73498772767499</v>
      </c>
      <c r="O217">
        <v>2.79940582464996</v>
      </c>
      <c r="P217" s="5">
        <v>8.5843834705838897E-21</v>
      </c>
      <c r="Q217" t="s">
        <v>4</v>
      </c>
      <c r="R217" s="4" t="s">
        <v>87</v>
      </c>
      <c r="S217" t="s">
        <v>4</v>
      </c>
      <c r="T217" t="s">
        <v>4057</v>
      </c>
      <c r="U217" t="s">
        <v>4058</v>
      </c>
      <c r="V217" t="s">
        <v>4059</v>
      </c>
      <c r="W217" t="s">
        <v>203</v>
      </c>
      <c r="X217" t="s">
        <v>4</v>
      </c>
      <c r="Y217" t="s">
        <v>4060</v>
      </c>
      <c r="Z217" t="s">
        <v>4061</v>
      </c>
      <c r="AA217" t="s">
        <v>4062</v>
      </c>
      <c r="AB217" t="s">
        <v>4</v>
      </c>
      <c r="AC217" s="3" t="s">
        <v>4773</v>
      </c>
      <c r="AD217" t="s">
        <v>4</v>
      </c>
      <c r="AE217" t="s">
        <v>4774</v>
      </c>
      <c r="AF217" t="s">
        <v>4775</v>
      </c>
      <c r="AG217" t="s">
        <v>4776</v>
      </c>
      <c r="AH217" t="s">
        <v>112</v>
      </c>
      <c r="AI217" t="s">
        <v>4777</v>
      </c>
      <c r="AK217" t="s">
        <v>4778</v>
      </c>
      <c r="AL217" t="s">
        <v>4779</v>
      </c>
      <c r="AQ217" t="s">
        <v>4780</v>
      </c>
      <c r="AU217" t="s">
        <v>112</v>
      </c>
      <c r="AV217" t="s">
        <v>4781</v>
      </c>
      <c r="AW217" t="s">
        <v>114</v>
      </c>
      <c r="AX217" t="s">
        <v>536</v>
      </c>
      <c r="AY217" t="s">
        <v>2072</v>
      </c>
      <c r="AZ217" t="s">
        <v>4</v>
      </c>
      <c r="BA217" s="3" t="s">
        <v>95</v>
      </c>
      <c r="BB217" s="6" t="s">
        <v>95</v>
      </c>
      <c r="BC217" s="3" t="s">
        <v>197</v>
      </c>
      <c r="BD217" t="s">
        <v>4</v>
      </c>
      <c r="BE217">
        <v>5001</v>
      </c>
      <c r="BF217" t="s">
        <v>282</v>
      </c>
      <c r="BG217">
        <v>84.271799999999999</v>
      </c>
      <c r="BH217">
        <v>13.980600000000001</v>
      </c>
      <c r="BI217">
        <v>90.485399999999998</v>
      </c>
      <c r="BJ217">
        <v>67.961200000000005</v>
      </c>
      <c r="BK217">
        <v>55.533999999999999</v>
      </c>
      <c r="BL217">
        <v>67.961200000000005</v>
      </c>
      <c r="BM217">
        <v>69.320400000000006</v>
      </c>
      <c r="BN217">
        <v>69.320400000000006</v>
      </c>
      <c r="BO217">
        <v>59.223300000000002</v>
      </c>
      <c r="BP217">
        <v>12.427199999999999</v>
      </c>
      <c r="BQ217">
        <v>41.941699999999997</v>
      </c>
      <c r="BR217">
        <v>36.698999999999998</v>
      </c>
      <c r="BS217">
        <v>34.757300000000001</v>
      </c>
      <c r="BT217">
        <v>33.7864</v>
      </c>
      <c r="BU217">
        <v>17.281600000000001</v>
      </c>
      <c r="BV217" t="s">
        <v>4782</v>
      </c>
      <c r="BW217">
        <v>40.9709</v>
      </c>
      <c r="BX217">
        <v>15.1456</v>
      </c>
      <c r="BY217">
        <v>24.466000000000001</v>
      </c>
      <c r="BZ217">
        <v>41.747599999999998</v>
      </c>
      <c r="CA217">
        <v>41.941699999999997</v>
      </c>
      <c r="CB217">
        <v>16.116499999999998</v>
      </c>
      <c r="CC217">
        <v>29.320399999999999</v>
      </c>
      <c r="CD217" t="s">
        <v>4783</v>
      </c>
      <c r="CK217">
        <v>6</v>
      </c>
      <c r="CL217" t="s">
        <v>4</v>
      </c>
      <c r="CM217" t="s">
        <v>4784</v>
      </c>
      <c r="CN217" t="s">
        <v>4785</v>
      </c>
      <c r="CO217" t="s">
        <v>99</v>
      </c>
      <c r="CP217" t="s">
        <v>100</v>
      </c>
      <c r="CQ217">
        <v>216</v>
      </c>
      <c r="CR217" t="s">
        <v>100</v>
      </c>
      <c r="CS217" t="s">
        <v>100</v>
      </c>
      <c r="CT217" t="s">
        <v>152</v>
      </c>
      <c r="CU217" t="s">
        <v>102</v>
      </c>
      <c r="CV217" t="s">
        <v>100</v>
      </c>
    </row>
    <row r="218" spans="1:100">
      <c r="A218" s="3" t="s">
        <v>4786</v>
      </c>
      <c r="B218" s="4" t="s">
        <v>4787</v>
      </c>
      <c r="C218">
        <v>32.243101956463903</v>
      </c>
      <c r="D218">
        <v>264.86598351664901</v>
      </c>
      <c r="E218">
        <f>-3.03340538843113</f>
        <v>-3.0334053884311301</v>
      </c>
      <c r="F218" s="5">
        <v>3.51360831975841E-5</v>
      </c>
      <c r="G218" t="s">
        <v>4</v>
      </c>
      <c r="H218">
        <v>32.243101956463903</v>
      </c>
      <c r="I218">
        <v>22.834469049704001</v>
      </c>
      <c r="J218">
        <v>0.48949059456803301</v>
      </c>
      <c r="K218">
        <v>0.55749886180371599</v>
      </c>
      <c r="L218" t="s">
        <v>4</v>
      </c>
      <c r="M218">
        <v>264.86598351664901</v>
      </c>
      <c r="N218">
        <v>22.834469049704001</v>
      </c>
      <c r="O218">
        <v>3.52289598299916</v>
      </c>
      <c r="P218" s="5">
        <v>1.1126449490191199E-6</v>
      </c>
      <c r="Q218" t="s">
        <v>4</v>
      </c>
      <c r="R218" s="4" t="s">
        <v>87</v>
      </c>
      <c r="S218" t="s">
        <v>4</v>
      </c>
      <c r="T218" t="s">
        <v>270</v>
      </c>
      <c r="U218" t="s">
        <v>271</v>
      </c>
      <c r="V218" t="s">
        <v>272</v>
      </c>
      <c r="W218" t="s">
        <v>203</v>
      </c>
      <c r="X218" t="s">
        <v>4</v>
      </c>
      <c r="Y218" t="s">
        <v>273</v>
      </c>
      <c r="Z218" t="s">
        <v>274</v>
      </c>
      <c r="AA218" t="s">
        <v>275</v>
      </c>
      <c r="AB218" t="s">
        <v>4</v>
      </c>
      <c r="AC218" s="3" t="s">
        <v>276</v>
      </c>
      <c r="AD218" t="s">
        <v>4</v>
      </c>
      <c r="AE218" t="s">
        <v>4788</v>
      </c>
      <c r="AF218" t="s">
        <v>4789</v>
      </c>
      <c r="AG218" t="s">
        <v>4790</v>
      </c>
      <c r="AH218" t="s">
        <v>112</v>
      </c>
      <c r="AK218" t="s">
        <v>4791</v>
      </c>
      <c r="AL218" t="s">
        <v>4792</v>
      </c>
      <c r="AQ218" t="s">
        <v>1458</v>
      </c>
      <c r="AU218" t="s">
        <v>112</v>
      </c>
      <c r="AV218" t="s">
        <v>4793</v>
      </c>
      <c r="AW218" t="s">
        <v>114</v>
      </c>
      <c r="AX218" t="s">
        <v>132</v>
      </c>
      <c r="AY218" t="s">
        <v>1908</v>
      </c>
      <c r="AZ218" t="s">
        <v>4</v>
      </c>
      <c r="BA218" s="3" t="s">
        <v>95</v>
      </c>
      <c r="BB218" s="6" t="s">
        <v>95</v>
      </c>
      <c r="BC218" s="3" t="s">
        <v>95</v>
      </c>
      <c r="BD218" t="s">
        <v>4</v>
      </c>
      <c r="BE218">
        <v>5004</v>
      </c>
      <c r="BF218" t="s">
        <v>282</v>
      </c>
      <c r="BG218">
        <v>90.845100000000002</v>
      </c>
      <c r="BI218">
        <v>88.732399999999998</v>
      </c>
      <c r="BJ218">
        <v>95.539900000000003</v>
      </c>
      <c r="BK218">
        <v>94.835700000000003</v>
      </c>
      <c r="BL218">
        <v>87.089200000000005</v>
      </c>
      <c r="BM218">
        <v>87.089200000000005</v>
      </c>
      <c r="BN218">
        <v>93.192499999999995</v>
      </c>
      <c r="BO218">
        <v>25.1174</v>
      </c>
      <c r="BP218">
        <v>77.464799999999997</v>
      </c>
      <c r="BX218" t="s">
        <v>4794</v>
      </c>
      <c r="BZ218" t="s">
        <v>4795</v>
      </c>
      <c r="CK218">
        <v>6</v>
      </c>
      <c r="CL218" t="s">
        <v>4</v>
      </c>
      <c r="CM218" t="s">
        <v>98</v>
      </c>
      <c r="CN218" t="s">
        <v>98</v>
      </c>
      <c r="CO218" t="s">
        <v>99</v>
      </c>
      <c r="CP218" t="s">
        <v>100</v>
      </c>
      <c r="CQ218">
        <v>217</v>
      </c>
      <c r="CR218" t="s">
        <v>100</v>
      </c>
      <c r="CS218" t="s">
        <v>100</v>
      </c>
      <c r="CT218" t="s">
        <v>152</v>
      </c>
      <c r="CU218" t="s">
        <v>102</v>
      </c>
      <c r="CV218" t="s">
        <v>100</v>
      </c>
    </row>
    <row r="219" spans="1:100">
      <c r="A219" s="3" t="s">
        <v>4796</v>
      </c>
      <c r="B219" s="4" t="s">
        <v>4797</v>
      </c>
      <c r="C219">
        <v>6378.8917840469803</v>
      </c>
      <c r="D219">
        <v>26862.284714969399</v>
      </c>
      <c r="E219">
        <f>-2.07420695560673</f>
        <v>-2.07420695560673</v>
      </c>
      <c r="F219" s="5">
        <v>7.8134222405360997E-19</v>
      </c>
      <c r="G219" t="s">
        <v>4</v>
      </c>
      <c r="H219">
        <v>6378.8917840469803</v>
      </c>
      <c r="I219">
        <v>1186.7111242516701</v>
      </c>
      <c r="J219">
        <v>2.4240891167943599</v>
      </c>
      <c r="K219" s="5">
        <v>1.00943904537638E-25</v>
      </c>
      <c r="L219" t="s">
        <v>4</v>
      </c>
      <c r="M219">
        <v>26862.284714969399</v>
      </c>
      <c r="N219">
        <v>1186.7111242516701</v>
      </c>
      <c r="O219">
        <v>4.4982960724010903</v>
      </c>
      <c r="P219" s="5">
        <v>1.48486244399294E-86</v>
      </c>
      <c r="Q219" t="s">
        <v>4</v>
      </c>
      <c r="R219" s="4" t="s">
        <v>87</v>
      </c>
      <c r="S219" t="s">
        <v>4</v>
      </c>
      <c r="T219" t="s">
        <v>4798</v>
      </c>
      <c r="U219" t="s">
        <v>4799</v>
      </c>
      <c r="V219" t="s">
        <v>4800</v>
      </c>
      <c r="W219" t="s">
        <v>328</v>
      </c>
      <c r="X219" t="s">
        <v>4</v>
      </c>
      <c r="Y219" t="s">
        <v>4801</v>
      </c>
      <c r="Z219" t="s">
        <v>4802</v>
      </c>
      <c r="AA219" t="s">
        <v>4803</v>
      </c>
      <c r="AB219" t="s">
        <v>4</v>
      </c>
      <c r="AC219" s="3" t="s">
        <v>4804</v>
      </c>
      <c r="AD219" t="s">
        <v>4</v>
      </c>
      <c r="AE219" t="s">
        <v>4805</v>
      </c>
      <c r="AF219" t="s">
        <v>4806</v>
      </c>
      <c r="AG219" t="s">
        <v>4807</v>
      </c>
      <c r="AH219" t="s">
        <v>112</v>
      </c>
      <c r="AJ219" t="s">
        <v>4808</v>
      </c>
      <c r="AL219" t="s">
        <v>4809</v>
      </c>
      <c r="AM219" t="s">
        <v>4810</v>
      </c>
      <c r="AQ219" t="s">
        <v>4811</v>
      </c>
      <c r="AU219" t="s">
        <v>112</v>
      </c>
      <c r="AV219" t="s">
        <v>4812</v>
      </c>
      <c r="AW219" t="s">
        <v>114</v>
      </c>
      <c r="AX219" t="s">
        <v>167</v>
      </c>
      <c r="AY219" t="s">
        <v>4813</v>
      </c>
      <c r="AZ219" t="s">
        <v>4</v>
      </c>
      <c r="BA219" s="3" t="s">
        <v>115</v>
      </c>
      <c r="BB219" s="6" t="s">
        <v>95</v>
      </c>
      <c r="BC219" s="3" t="s">
        <v>95</v>
      </c>
      <c r="BD219" t="s">
        <v>4</v>
      </c>
      <c r="BE219">
        <v>7124</v>
      </c>
      <c r="BF219" t="s">
        <v>213</v>
      </c>
      <c r="BG219">
        <v>98.525800000000004</v>
      </c>
      <c r="BH219">
        <v>42.997500000000002</v>
      </c>
      <c r="BI219">
        <v>94.3489</v>
      </c>
      <c r="BJ219">
        <v>83.292400000000001</v>
      </c>
      <c r="BK219">
        <v>78.624099999999999</v>
      </c>
      <c r="BM219" t="s">
        <v>4814</v>
      </c>
      <c r="BN219" t="s">
        <v>4815</v>
      </c>
      <c r="BO219">
        <v>77.887</v>
      </c>
      <c r="BP219">
        <v>32.186700000000002</v>
      </c>
      <c r="BQ219">
        <v>30.466799999999999</v>
      </c>
      <c r="BR219" t="s">
        <v>4816</v>
      </c>
      <c r="BS219" t="s">
        <v>4817</v>
      </c>
      <c r="BU219">
        <v>28.7469</v>
      </c>
      <c r="BV219" t="s">
        <v>4818</v>
      </c>
      <c r="BW219" t="s">
        <v>4819</v>
      </c>
      <c r="BX219">
        <v>36.609299999999998</v>
      </c>
      <c r="BZ219">
        <v>27.2727</v>
      </c>
      <c r="CA219">
        <v>29.9754</v>
      </c>
      <c r="CB219">
        <v>28.501200000000001</v>
      </c>
      <c r="CC219">
        <v>30.2211</v>
      </c>
      <c r="CD219">
        <v>28.501200000000001</v>
      </c>
      <c r="CE219">
        <v>14.742000000000001</v>
      </c>
      <c r="CF219">
        <v>29.484000000000002</v>
      </c>
      <c r="CG219">
        <v>24.078600000000002</v>
      </c>
      <c r="CH219">
        <v>22.113</v>
      </c>
      <c r="CI219">
        <v>26.781300000000002</v>
      </c>
      <c r="CJ219" t="s">
        <v>4820</v>
      </c>
      <c r="CK219">
        <v>8</v>
      </c>
      <c r="CL219" t="s">
        <v>4</v>
      </c>
      <c r="CM219" t="s">
        <v>4821</v>
      </c>
      <c r="CN219" t="s">
        <v>4822</v>
      </c>
      <c r="CO219" t="s">
        <v>1218</v>
      </c>
      <c r="CP219" t="s">
        <v>100</v>
      </c>
      <c r="CQ219">
        <v>218</v>
      </c>
      <c r="CR219" t="s">
        <v>100</v>
      </c>
      <c r="CS219" t="s">
        <v>101</v>
      </c>
      <c r="CT219" t="s">
        <v>152</v>
      </c>
      <c r="CU219" t="s">
        <v>102</v>
      </c>
      <c r="CV219" t="s">
        <v>4823</v>
      </c>
    </row>
    <row r="220" spans="1:100">
      <c r="A220" s="3" t="s">
        <v>4824</v>
      </c>
      <c r="B220" s="4" t="s">
        <v>4825</v>
      </c>
      <c r="C220">
        <v>119.74040739503501</v>
      </c>
      <c r="D220">
        <v>753.34141256631904</v>
      </c>
      <c r="E220">
        <f>-2.65184018102653</f>
        <v>-2.6518401810265302</v>
      </c>
      <c r="F220" s="5">
        <v>4.7650588559838798E-5</v>
      </c>
      <c r="G220" t="s">
        <v>4</v>
      </c>
      <c r="H220">
        <v>119.74040739503501</v>
      </c>
      <c r="I220">
        <v>39.7931665446241</v>
      </c>
      <c r="J220">
        <v>1.5874922535590801</v>
      </c>
      <c r="K220">
        <v>1.93840122757656E-2</v>
      </c>
      <c r="L220" t="s">
        <v>4</v>
      </c>
      <c r="M220">
        <v>753.34141256631904</v>
      </c>
      <c r="N220">
        <v>39.7931665446241</v>
      </c>
      <c r="O220">
        <v>4.2393324345856103</v>
      </c>
      <c r="P220" s="5">
        <v>2.2928648297150298E-11</v>
      </c>
      <c r="Q220" t="s">
        <v>4</v>
      </c>
      <c r="R220" s="4" t="s">
        <v>87</v>
      </c>
      <c r="S220" t="s">
        <v>4</v>
      </c>
      <c r="T220" t="s">
        <v>88</v>
      </c>
      <c r="U220" t="s">
        <v>89</v>
      </c>
      <c r="V220" t="s">
        <v>90</v>
      </c>
      <c r="W220" t="s">
        <v>91</v>
      </c>
      <c r="X220" t="s">
        <v>4</v>
      </c>
      <c r="Y220" t="s">
        <v>4826</v>
      </c>
      <c r="Z220" t="s">
        <v>4827</v>
      </c>
      <c r="AA220" t="s">
        <v>4828</v>
      </c>
      <c r="AB220" t="s">
        <v>4</v>
      </c>
      <c r="AC220" s="3" t="s">
        <v>93</v>
      </c>
      <c r="AD220" t="s">
        <v>4</v>
      </c>
      <c r="AE220" t="s">
        <v>4829</v>
      </c>
      <c r="AF220" t="s">
        <v>4830</v>
      </c>
      <c r="AG220" t="s">
        <v>4831</v>
      </c>
      <c r="AH220" t="s">
        <v>638</v>
      </c>
      <c r="AI220" t="s">
        <v>4832</v>
      </c>
      <c r="AU220" t="s">
        <v>112</v>
      </c>
      <c r="AV220" t="s">
        <v>4833</v>
      </c>
      <c r="AW220" t="s">
        <v>114</v>
      </c>
      <c r="AX220" t="s">
        <v>144</v>
      </c>
      <c r="AY220" t="s">
        <v>4834</v>
      </c>
      <c r="AZ220" t="s">
        <v>4</v>
      </c>
      <c r="BA220" s="3" t="s">
        <v>95</v>
      </c>
      <c r="BB220" t="s">
        <v>96</v>
      </c>
      <c r="BC220" s="3" t="s">
        <v>95</v>
      </c>
      <c r="BD220" t="s">
        <v>4</v>
      </c>
      <c r="BE220">
        <v>3839</v>
      </c>
      <c r="BF220" t="s">
        <v>112</v>
      </c>
      <c r="BG220">
        <v>93.869699999999995</v>
      </c>
      <c r="BI220">
        <v>81.9923</v>
      </c>
      <c r="BJ220">
        <v>36.015300000000003</v>
      </c>
      <c r="BK220">
        <v>79.310299999999998</v>
      </c>
      <c r="BL220">
        <v>71.647499999999994</v>
      </c>
      <c r="BM220">
        <v>81.609200000000001</v>
      </c>
      <c r="BN220">
        <v>68.582400000000007</v>
      </c>
      <c r="BO220">
        <v>35.249000000000002</v>
      </c>
      <c r="BP220">
        <v>42.145600000000002</v>
      </c>
      <c r="BQ220">
        <v>44.827599999999997</v>
      </c>
      <c r="BR220">
        <v>46.360199999999999</v>
      </c>
      <c r="BS220">
        <v>49.4253</v>
      </c>
      <c r="BT220">
        <v>51.341000000000001</v>
      </c>
      <c r="BV220" t="s">
        <v>4835</v>
      </c>
      <c r="BW220">
        <v>50.5747</v>
      </c>
      <c r="BX220">
        <v>51.341000000000001</v>
      </c>
      <c r="BY220">
        <v>32.950200000000002</v>
      </c>
      <c r="BZ220">
        <v>50.957900000000002</v>
      </c>
      <c r="CA220">
        <v>49.808399999999999</v>
      </c>
      <c r="CF220">
        <v>16.8582</v>
      </c>
      <c r="CG220" t="s">
        <v>4836</v>
      </c>
      <c r="CH220" t="s">
        <v>4837</v>
      </c>
      <c r="CI220" t="s">
        <v>4838</v>
      </c>
      <c r="CJ220">
        <v>16.091999999999999</v>
      </c>
      <c r="CK220">
        <v>5</v>
      </c>
      <c r="CL220" t="s">
        <v>4</v>
      </c>
      <c r="CM220" t="s">
        <v>4839</v>
      </c>
      <c r="CN220" t="s">
        <v>4840</v>
      </c>
      <c r="CO220" t="s">
        <v>99</v>
      </c>
      <c r="CP220" t="s">
        <v>100</v>
      </c>
      <c r="CQ220">
        <v>219</v>
      </c>
      <c r="CR220" t="s">
        <v>100</v>
      </c>
      <c r="CS220" s="7" t="s">
        <v>101</v>
      </c>
      <c r="CT220" t="s">
        <v>152</v>
      </c>
      <c r="CU220" t="s">
        <v>102</v>
      </c>
      <c r="CV220" t="s">
        <v>100</v>
      </c>
    </row>
    <row r="221" spans="1:100">
      <c r="A221" s="3" t="s">
        <v>4841</v>
      </c>
      <c r="B221" s="4" t="s">
        <v>4842</v>
      </c>
      <c r="C221">
        <v>113.774033333452</v>
      </c>
      <c r="D221">
        <v>1027.3298666053499</v>
      </c>
      <c r="E221">
        <f>-3.17379408814928</f>
        <v>-3.1737940881492799</v>
      </c>
      <c r="F221" s="5">
        <v>1.7563823223198801E-8</v>
      </c>
      <c r="G221" t="s">
        <v>4</v>
      </c>
      <c r="H221">
        <v>113.774033333452</v>
      </c>
      <c r="I221">
        <v>52.148778784380802</v>
      </c>
      <c r="J221">
        <v>1.1324425470409301</v>
      </c>
      <c r="K221">
        <v>6.2437528709220702E-2</v>
      </c>
      <c r="L221" t="s">
        <v>4</v>
      </c>
      <c r="M221">
        <v>1027.3298666053499</v>
      </c>
      <c r="N221">
        <v>52.148778784380802</v>
      </c>
      <c r="O221">
        <v>4.3062366351902002</v>
      </c>
      <c r="P221" s="5">
        <v>1.00342420253743E-14</v>
      </c>
      <c r="Q221" t="s">
        <v>4</v>
      </c>
      <c r="R221" s="4" t="s">
        <v>87</v>
      </c>
      <c r="S221" t="s">
        <v>4</v>
      </c>
      <c r="T221" t="s">
        <v>4843</v>
      </c>
      <c r="U221" t="s">
        <v>4844</v>
      </c>
      <c r="V221" t="s">
        <v>4845</v>
      </c>
      <c r="W221" t="s">
        <v>328</v>
      </c>
      <c r="X221" t="s">
        <v>4</v>
      </c>
      <c r="Y221" t="s">
        <v>4846</v>
      </c>
      <c r="Z221" t="s">
        <v>4847</v>
      </c>
      <c r="AA221" t="s">
        <v>4848</v>
      </c>
      <c r="AB221" t="s">
        <v>4</v>
      </c>
      <c r="AC221" s="3" t="s">
        <v>4849</v>
      </c>
      <c r="AD221" t="s">
        <v>4</v>
      </c>
      <c r="AE221" t="s">
        <v>4850</v>
      </c>
      <c r="AF221" t="s">
        <v>4851</v>
      </c>
      <c r="AG221" t="s">
        <v>4852</v>
      </c>
      <c r="AH221" t="s">
        <v>112</v>
      </c>
      <c r="AL221" t="s">
        <v>4853</v>
      </c>
      <c r="AQ221" t="s">
        <v>1028</v>
      </c>
      <c r="AU221" t="s">
        <v>112</v>
      </c>
      <c r="AV221" t="s">
        <v>4854</v>
      </c>
      <c r="AW221" t="s">
        <v>114</v>
      </c>
      <c r="AX221" t="s">
        <v>1879</v>
      </c>
      <c r="AY221" t="s">
        <v>4855</v>
      </c>
      <c r="AZ221" t="s">
        <v>4</v>
      </c>
      <c r="BA221" s="3" t="s">
        <v>95</v>
      </c>
      <c r="BB221" t="s">
        <v>96</v>
      </c>
      <c r="BC221" s="3" t="s">
        <v>95</v>
      </c>
      <c r="BD221" t="s">
        <v>4</v>
      </c>
      <c r="BE221">
        <v>7157</v>
      </c>
      <c r="BF221" t="s">
        <v>213</v>
      </c>
      <c r="BG221">
        <v>92.2727</v>
      </c>
      <c r="BH221">
        <v>68.409099999999995</v>
      </c>
      <c r="BJ221">
        <v>47.2727</v>
      </c>
      <c r="BK221">
        <v>72.045500000000004</v>
      </c>
      <c r="BL221">
        <v>30</v>
      </c>
      <c r="BM221">
        <v>33.863599999999998</v>
      </c>
      <c r="BN221">
        <v>76.363600000000005</v>
      </c>
      <c r="BO221">
        <v>30.2273</v>
      </c>
      <c r="BP221">
        <v>23.863600000000002</v>
      </c>
      <c r="BQ221">
        <v>20.454499999999999</v>
      </c>
      <c r="BR221">
        <v>20.454499999999999</v>
      </c>
      <c r="BW221">
        <v>31.136399999999998</v>
      </c>
      <c r="BX221">
        <v>37.2727</v>
      </c>
      <c r="BY221">
        <v>13.4091</v>
      </c>
      <c r="CA221">
        <v>35.2273</v>
      </c>
      <c r="CC221">
        <v>26.818200000000001</v>
      </c>
      <c r="CD221">
        <v>26.590900000000001</v>
      </c>
      <c r="CF221" t="s">
        <v>4856</v>
      </c>
      <c r="CG221">
        <v>27.5</v>
      </c>
      <c r="CH221">
        <v>26.818200000000001</v>
      </c>
      <c r="CI221">
        <v>27.045500000000001</v>
      </c>
      <c r="CK221">
        <v>8</v>
      </c>
      <c r="CL221" t="s">
        <v>4</v>
      </c>
      <c r="CM221" t="s">
        <v>4857</v>
      </c>
      <c r="CN221" t="s">
        <v>4858</v>
      </c>
      <c r="CO221" t="s">
        <v>1218</v>
      </c>
      <c r="CP221" t="s">
        <v>100</v>
      </c>
      <c r="CQ221">
        <v>220</v>
      </c>
      <c r="CR221" t="s">
        <v>100</v>
      </c>
      <c r="CS221" t="s">
        <v>100</v>
      </c>
      <c r="CT221" t="s">
        <v>152</v>
      </c>
      <c r="CU221" t="s">
        <v>102</v>
      </c>
      <c r="CV221" t="s">
        <v>100</v>
      </c>
    </row>
    <row r="222" spans="1:100">
      <c r="A222" s="3" t="s">
        <v>4859</v>
      </c>
      <c r="B222" s="4" t="s">
        <v>4860</v>
      </c>
      <c r="C222">
        <v>30.657790471902199</v>
      </c>
      <c r="D222">
        <v>211.16518143570701</v>
      </c>
      <c r="E222">
        <f>-2.7842791433845</f>
        <v>-2.7842791433845</v>
      </c>
      <c r="F222" s="5">
        <v>6.4575678695076506E-11</v>
      </c>
      <c r="G222" t="s">
        <v>4</v>
      </c>
      <c r="H222">
        <v>30.657790471902199</v>
      </c>
      <c r="I222">
        <v>10.343568323456701</v>
      </c>
      <c r="J222">
        <v>1.62875016581156</v>
      </c>
      <c r="K222">
        <v>3.1194457643088998E-3</v>
      </c>
      <c r="L222" t="s">
        <v>4</v>
      </c>
      <c r="M222">
        <v>211.16518143570701</v>
      </c>
      <c r="N222">
        <v>10.343568323456701</v>
      </c>
      <c r="O222">
        <v>4.4130293091960597</v>
      </c>
      <c r="P222" s="5">
        <v>2.5306937235758401E-18</v>
      </c>
      <c r="Q222" t="s">
        <v>4</v>
      </c>
      <c r="R222" s="4" t="s">
        <v>87</v>
      </c>
      <c r="S222" t="s">
        <v>4</v>
      </c>
      <c r="T222" t="s">
        <v>92</v>
      </c>
      <c r="U222" t="s">
        <v>92</v>
      </c>
      <c r="V222" t="s">
        <v>92</v>
      </c>
      <c r="W222" t="s">
        <v>92</v>
      </c>
      <c r="X222" t="s">
        <v>4</v>
      </c>
      <c r="Y222" t="s">
        <v>92</v>
      </c>
      <c r="Z222" t="s">
        <v>92</v>
      </c>
      <c r="AA222" t="s">
        <v>92</v>
      </c>
      <c r="AB222" t="s">
        <v>4</v>
      </c>
      <c r="AC222" s="3" t="s">
        <v>93</v>
      </c>
      <c r="AD222" t="s">
        <v>4</v>
      </c>
      <c r="AE222" s="4" t="s">
        <v>94</v>
      </c>
      <c r="AZ222" t="s">
        <v>4</v>
      </c>
      <c r="BA222" s="3" t="s">
        <v>115</v>
      </c>
      <c r="BB222" t="s">
        <v>96</v>
      </c>
      <c r="BC222" s="3" t="s">
        <v>782</v>
      </c>
      <c r="BD222" t="s">
        <v>4</v>
      </c>
      <c r="BE222">
        <v>1030</v>
      </c>
      <c r="BF222" t="s">
        <v>151</v>
      </c>
      <c r="BH222">
        <v>74.175799999999995</v>
      </c>
      <c r="CK222">
        <v>2</v>
      </c>
      <c r="CL222" t="s">
        <v>4</v>
      </c>
      <c r="CM222" t="s">
        <v>98</v>
      </c>
      <c r="CN222" t="s">
        <v>98</v>
      </c>
      <c r="CO222" t="s">
        <v>99</v>
      </c>
      <c r="CP222" t="s">
        <v>100</v>
      </c>
      <c r="CQ222">
        <v>221</v>
      </c>
      <c r="CR222" t="s">
        <v>100</v>
      </c>
      <c r="CS222" s="7" t="s">
        <v>101</v>
      </c>
      <c r="CT222" t="s">
        <v>152</v>
      </c>
      <c r="CU222" t="s">
        <v>102</v>
      </c>
      <c r="CV222" t="s">
        <v>100</v>
      </c>
    </row>
    <row r="223" spans="1:100">
      <c r="A223" s="3" t="s">
        <v>4861</v>
      </c>
      <c r="B223" s="4" t="s">
        <v>4862</v>
      </c>
      <c r="C223">
        <v>88.795363641106405</v>
      </c>
      <c r="D223">
        <v>599.26955035444303</v>
      </c>
      <c r="E223">
        <f>-2.75426517018577</f>
        <v>-2.7542651701857701</v>
      </c>
      <c r="F223" s="5">
        <v>1.4166293051243099E-8</v>
      </c>
      <c r="G223" t="s">
        <v>4</v>
      </c>
      <c r="H223">
        <v>88.795363641106405</v>
      </c>
      <c r="I223">
        <v>61.885845162445101</v>
      </c>
      <c r="J223">
        <v>0.50523695108823197</v>
      </c>
      <c r="K223">
        <v>0.354634397110144</v>
      </c>
      <c r="L223" t="s">
        <v>4</v>
      </c>
      <c r="M223">
        <v>599.26955035444303</v>
      </c>
      <c r="N223">
        <v>61.885845162445101</v>
      </c>
      <c r="O223">
        <v>3.2595021212740001</v>
      </c>
      <c r="P223" s="5">
        <v>1.23281757148422E-11</v>
      </c>
      <c r="Q223" t="s">
        <v>4</v>
      </c>
      <c r="R223" s="4" t="s">
        <v>87</v>
      </c>
      <c r="S223" t="s">
        <v>4</v>
      </c>
      <c r="T223" t="s">
        <v>4863</v>
      </c>
      <c r="U223" t="s">
        <v>4864</v>
      </c>
      <c r="V223" t="s">
        <v>4865</v>
      </c>
      <c r="W223" t="s">
        <v>203</v>
      </c>
      <c r="X223" t="s">
        <v>4</v>
      </c>
      <c r="Y223" t="s">
        <v>4866</v>
      </c>
      <c r="Z223" t="s">
        <v>4867</v>
      </c>
      <c r="AA223" t="s">
        <v>4868</v>
      </c>
      <c r="AB223" t="s">
        <v>4</v>
      </c>
      <c r="AC223" s="3" t="s">
        <v>4869</v>
      </c>
      <c r="AD223" t="s">
        <v>4</v>
      </c>
      <c r="AE223" t="s">
        <v>4870</v>
      </c>
      <c r="AF223" t="s">
        <v>4871</v>
      </c>
      <c r="AG223" t="s">
        <v>4872</v>
      </c>
      <c r="AH223" t="s">
        <v>112</v>
      </c>
      <c r="AK223" t="s">
        <v>4873</v>
      </c>
      <c r="AL223" t="s">
        <v>4874</v>
      </c>
      <c r="AM223" t="s">
        <v>4875</v>
      </c>
      <c r="AN223" t="s">
        <v>4876</v>
      </c>
      <c r="AO223" t="s">
        <v>4877</v>
      </c>
      <c r="AP223" t="s">
        <v>2009</v>
      </c>
      <c r="AQ223" t="s">
        <v>4878</v>
      </c>
      <c r="AU223" t="s">
        <v>112</v>
      </c>
      <c r="AV223" t="s">
        <v>4879</v>
      </c>
      <c r="AW223" t="s">
        <v>114</v>
      </c>
      <c r="AX223" t="s">
        <v>345</v>
      </c>
      <c r="AY223" t="s">
        <v>4880</v>
      </c>
      <c r="AZ223" t="s">
        <v>4</v>
      </c>
      <c r="BA223" s="3" t="s">
        <v>95</v>
      </c>
      <c r="BB223" s="6" t="s">
        <v>95</v>
      </c>
      <c r="BC223" s="3" t="s">
        <v>95</v>
      </c>
      <c r="BD223" t="s">
        <v>4</v>
      </c>
      <c r="BE223">
        <v>7180</v>
      </c>
      <c r="BF223" t="s">
        <v>213</v>
      </c>
      <c r="BG223">
        <v>98.262200000000007</v>
      </c>
      <c r="BH223">
        <v>22.9068</v>
      </c>
      <c r="BJ223">
        <v>72.353899999999996</v>
      </c>
      <c r="BK223">
        <v>71.721999999999994</v>
      </c>
      <c r="BL223" t="s">
        <v>4881</v>
      </c>
      <c r="BM223" t="s">
        <v>4882</v>
      </c>
      <c r="BN223">
        <v>80.884699999999995</v>
      </c>
      <c r="BO223">
        <v>71.563999999999993</v>
      </c>
      <c r="BP223" t="s">
        <v>4883</v>
      </c>
      <c r="BQ223">
        <v>38.388599999999997</v>
      </c>
      <c r="BR223" t="s">
        <v>4884</v>
      </c>
      <c r="BS223">
        <v>30.489699999999999</v>
      </c>
      <c r="BT223" t="s">
        <v>4885</v>
      </c>
      <c r="BU223">
        <v>27.488199999999999</v>
      </c>
      <c r="BV223" t="s">
        <v>4886</v>
      </c>
      <c r="BW223">
        <v>41.548200000000001</v>
      </c>
      <c r="BX223">
        <v>46.761499999999998</v>
      </c>
      <c r="BY223">
        <v>19.747199999999999</v>
      </c>
      <c r="BZ223" t="s">
        <v>4887</v>
      </c>
      <c r="CA223">
        <v>46.919400000000003</v>
      </c>
      <c r="CB223" t="s">
        <v>4888</v>
      </c>
      <c r="CC223">
        <v>37.440800000000003</v>
      </c>
      <c r="CD223">
        <v>43.128</v>
      </c>
      <c r="CE223">
        <v>38.388599999999997</v>
      </c>
      <c r="CF223" t="s">
        <v>4889</v>
      </c>
      <c r="CG223" t="s">
        <v>4890</v>
      </c>
      <c r="CH223" t="s">
        <v>4891</v>
      </c>
      <c r="CI223" t="s">
        <v>4892</v>
      </c>
      <c r="CK223">
        <v>8</v>
      </c>
      <c r="CL223" t="s">
        <v>4</v>
      </c>
      <c r="CM223" t="s">
        <v>4893</v>
      </c>
      <c r="CN223" t="s">
        <v>4894</v>
      </c>
      <c r="CO223" t="s">
        <v>219</v>
      </c>
      <c r="CP223" t="s">
        <v>100</v>
      </c>
      <c r="CQ223">
        <v>222</v>
      </c>
      <c r="CR223" t="s">
        <v>100</v>
      </c>
      <c r="CS223" t="s">
        <v>100</v>
      </c>
      <c r="CT223" t="s">
        <v>152</v>
      </c>
      <c r="CU223" t="s">
        <v>102</v>
      </c>
      <c r="CV223" t="s">
        <v>100</v>
      </c>
    </row>
    <row r="224" spans="1:100">
      <c r="A224" s="3" t="s">
        <v>4895</v>
      </c>
      <c r="B224" s="4" t="s">
        <v>4896</v>
      </c>
      <c r="C224">
        <v>201.141149366013</v>
      </c>
      <c r="D224">
        <v>3324.4422632001701</v>
      </c>
      <c r="E224">
        <f>-4.04635092169444</f>
        <v>-4.0463509216944402</v>
      </c>
      <c r="F224" s="5">
        <v>6.55231210550584E-21</v>
      </c>
      <c r="G224" t="s">
        <v>4</v>
      </c>
      <c r="H224">
        <v>201.141149366013</v>
      </c>
      <c r="I224">
        <v>233.086609094225</v>
      </c>
      <c r="J224">
        <f>0.215501125745986</f>
        <v>0.21550112574598601</v>
      </c>
      <c r="K224">
        <v>0.67214853271050301</v>
      </c>
      <c r="L224" t="s">
        <v>4</v>
      </c>
      <c r="M224">
        <v>3324.4422632001701</v>
      </c>
      <c r="N224">
        <v>233.086609094225</v>
      </c>
      <c r="O224">
        <v>3.83084979594845</v>
      </c>
      <c r="P224" s="5">
        <v>2.5033850465029301E-19</v>
      </c>
      <c r="Q224" t="s">
        <v>4</v>
      </c>
      <c r="R224" s="4" t="s">
        <v>87</v>
      </c>
      <c r="S224" t="s">
        <v>4</v>
      </c>
      <c r="T224" t="s">
        <v>4897</v>
      </c>
      <c r="U224" t="s">
        <v>4898</v>
      </c>
      <c r="V224" t="s">
        <v>4899</v>
      </c>
      <c r="W224" t="s">
        <v>203</v>
      </c>
      <c r="X224" t="s">
        <v>4</v>
      </c>
      <c r="Y224" t="s">
        <v>4900</v>
      </c>
      <c r="Z224" t="s">
        <v>4901</v>
      </c>
      <c r="AA224" t="s">
        <v>4902</v>
      </c>
      <c r="AB224" t="s">
        <v>4</v>
      </c>
      <c r="AC224" s="3" t="s">
        <v>2294</v>
      </c>
      <c r="AD224" t="s">
        <v>4</v>
      </c>
      <c r="AE224" t="s">
        <v>3458</v>
      </c>
      <c r="AF224" t="s">
        <v>4903</v>
      </c>
      <c r="AG224" t="s">
        <v>4904</v>
      </c>
      <c r="AH224" t="s">
        <v>112</v>
      </c>
      <c r="AJ224" t="s">
        <v>3461</v>
      </c>
      <c r="AU224" t="s">
        <v>112</v>
      </c>
      <c r="AV224" t="s">
        <v>3462</v>
      </c>
      <c r="AW224" t="s">
        <v>114</v>
      </c>
      <c r="AX224" t="s">
        <v>132</v>
      </c>
      <c r="AY224" t="s">
        <v>3463</v>
      </c>
      <c r="AZ224" t="s">
        <v>4</v>
      </c>
      <c r="BA224" s="3" t="s">
        <v>95</v>
      </c>
      <c r="BB224" s="6" t="s">
        <v>95</v>
      </c>
      <c r="BC224" s="3" t="s">
        <v>95</v>
      </c>
      <c r="BD224" t="s">
        <v>4</v>
      </c>
      <c r="BE224">
        <v>3892</v>
      </c>
      <c r="BF224" t="s">
        <v>112</v>
      </c>
      <c r="BG224">
        <v>98.383399999999995</v>
      </c>
      <c r="BH224">
        <v>67.205500000000001</v>
      </c>
      <c r="BI224">
        <v>91.916899999999998</v>
      </c>
      <c r="BJ224">
        <v>89.838300000000004</v>
      </c>
      <c r="BL224">
        <v>42.725200000000001</v>
      </c>
      <c r="BM224">
        <v>86.374099999999999</v>
      </c>
      <c r="BN224">
        <v>78.983800000000002</v>
      </c>
      <c r="BO224">
        <v>81.755200000000002</v>
      </c>
      <c r="BP224">
        <v>50.808300000000003</v>
      </c>
      <c r="BQ224">
        <v>36.027700000000003</v>
      </c>
      <c r="BR224" t="s">
        <v>4905</v>
      </c>
      <c r="BS224">
        <v>44.572800000000001</v>
      </c>
      <c r="BT224">
        <v>51.501199999999997</v>
      </c>
      <c r="BU224">
        <v>45.034599999999998</v>
      </c>
      <c r="BV224" t="s">
        <v>4906</v>
      </c>
      <c r="BW224">
        <v>43.187100000000001</v>
      </c>
      <c r="BX224">
        <v>49.884500000000003</v>
      </c>
      <c r="BY224" t="s">
        <v>4907</v>
      </c>
      <c r="BZ224">
        <v>43.879899999999999</v>
      </c>
      <c r="CA224" t="s">
        <v>4908</v>
      </c>
      <c r="CK224">
        <v>5</v>
      </c>
      <c r="CL224" t="s">
        <v>4</v>
      </c>
      <c r="CM224" t="s">
        <v>4909</v>
      </c>
      <c r="CN224" t="s">
        <v>4910</v>
      </c>
      <c r="CO224" t="s">
        <v>1523</v>
      </c>
      <c r="CP224" t="s">
        <v>100</v>
      </c>
      <c r="CQ224">
        <v>223</v>
      </c>
      <c r="CR224" t="s">
        <v>100</v>
      </c>
      <c r="CS224" t="s">
        <v>100</v>
      </c>
      <c r="CT224" t="s">
        <v>152</v>
      </c>
      <c r="CU224" t="s">
        <v>102</v>
      </c>
      <c r="CV224" t="s">
        <v>100</v>
      </c>
    </row>
    <row r="225" spans="1:100">
      <c r="A225" s="3" t="s">
        <v>4911</v>
      </c>
      <c r="B225" s="4" t="s">
        <v>4912</v>
      </c>
      <c r="C225">
        <v>943.43280181487</v>
      </c>
      <c r="D225">
        <v>3972.9557289976001</v>
      </c>
      <c r="E225">
        <f>-2.07423354282022</f>
        <v>-2.0742335428202199</v>
      </c>
      <c r="F225" s="5">
        <v>9.6789067956395407E-30</v>
      </c>
      <c r="G225" t="s">
        <v>4</v>
      </c>
      <c r="H225">
        <v>943.43280181487</v>
      </c>
      <c r="I225">
        <v>646.28397050395802</v>
      </c>
      <c r="J225">
        <v>0.54246005904776595</v>
      </c>
      <c r="K225">
        <v>5.9520292800162404E-3</v>
      </c>
      <c r="L225" t="s">
        <v>4</v>
      </c>
      <c r="M225">
        <v>3972.9557289976001</v>
      </c>
      <c r="N225">
        <v>646.28397050395802</v>
      </c>
      <c r="O225">
        <v>2.6166936018679898</v>
      </c>
      <c r="P225" s="5">
        <v>1.0514720809741599E-46</v>
      </c>
      <c r="Q225" t="s">
        <v>4</v>
      </c>
      <c r="R225" s="4" t="s">
        <v>87</v>
      </c>
      <c r="S225" t="s">
        <v>4</v>
      </c>
      <c r="T225" t="s">
        <v>4913</v>
      </c>
      <c r="U225" t="s">
        <v>4914</v>
      </c>
      <c r="V225" t="s">
        <v>4915</v>
      </c>
      <c r="W225" t="s">
        <v>4916</v>
      </c>
      <c r="X225" t="s">
        <v>4</v>
      </c>
      <c r="Y225" t="s">
        <v>2361</v>
      </c>
      <c r="Z225" t="s">
        <v>2362</v>
      </c>
      <c r="AA225" t="s">
        <v>2363</v>
      </c>
      <c r="AB225" t="s">
        <v>4</v>
      </c>
      <c r="AC225" s="3" t="s">
        <v>4917</v>
      </c>
      <c r="AD225" t="s">
        <v>4</v>
      </c>
      <c r="AE225" t="s">
        <v>4918</v>
      </c>
      <c r="AF225" t="s">
        <v>4919</v>
      </c>
      <c r="AG225" t="s">
        <v>4920</v>
      </c>
      <c r="AH225" t="s">
        <v>112</v>
      </c>
      <c r="AJ225" t="s">
        <v>4921</v>
      </c>
      <c r="AU225" t="s">
        <v>112</v>
      </c>
      <c r="AV225" t="s">
        <v>4922</v>
      </c>
      <c r="AW225" t="s">
        <v>114</v>
      </c>
      <c r="AX225" t="s">
        <v>371</v>
      </c>
      <c r="AY225" t="s">
        <v>2369</v>
      </c>
      <c r="AZ225" t="s">
        <v>4</v>
      </c>
      <c r="BA225" s="3" t="s">
        <v>95</v>
      </c>
      <c r="BB225" s="6" t="s">
        <v>95</v>
      </c>
      <c r="BC225" s="3" t="s">
        <v>95</v>
      </c>
      <c r="BD225" t="s">
        <v>4</v>
      </c>
      <c r="BE225">
        <v>5586</v>
      </c>
      <c r="BF225" t="s">
        <v>386</v>
      </c>
      <c r="BG225">
        <v>88.815799999999996</v>
      </c>
      <c r="BI225">
        <v>88.157899999999998</v>
      </c>
      <c r="BJ225">
        <v>84.868399999999994</v>
      </c>
      <c r="BK225">
        <v>72.203900000000004</v>
      </c>
      <c r="BL225">
        <v>72.203900000000004</v>
      </c>
      <c r="BM225">
        <v>52.631599999999999</v>
      </c>
      <c r="BN225">
        <v>73.3553</v>
      </c>
      <c r="BO225">
        <v>69.572400000000002</v>
      </c>
      <c r="BP225">
        <v>45.888199999999998</v>
      </c>
      <c r="BQ225">
        <v>28.782900000000001</v>
      </c>
      <c r="BR225">
        <v>34.375</v>
      </c>
      <c r="BS225">
        <v>31.907900000000001</v>
      </c>
      <c r="BT225">
        <v>24.177600000000002</v>
      </c>
      <c r="BU225">
        <v>20.3947</v>
      </c>
      <c r="BV225" t="s">
        <v>4923</v>
      </c>
      <c r="BW225" t="s">
        <v>4924</v>
      </c>
      <c r="BX225">
        <v>37.335500000000003</v>
      </c>
      <c r="BY225">
        <v>36.0197</v>
      </c>
      <c r="BZ225">
        <v>37.5</v>
      </c>
      <c r="CA225">
        <v>33.552599999999998</v>
      </c>
      <c r="CB225" t="s">
        <v>4925</v>
      </c>
      <c r="CC225">
        <v>23.026299999999999</v>
      </c>
      <c r="CD225">
        <v>23.5197</v>
      </c>
      <c r="CE225">
        <v>22.861799999999999</v>
      </c>
      <c r="CF225">
        <v>23.3553</v>
      </c>
      <c r="CG225" t="s">
        <v>4926</v>
      </c>
      <c r="CH225" t="s">
        <v>4927</v>
      </c>
      <c r="CI225" t="s">
        <v>4928</v>
      </c>
      <c r="CK225">
        <v>7</v>
      </c>
      <c r="CL225" t="s">
        <v>4</v>
      </c>
      <c r="CM225" t="s">
        <v>4929</v>
      </c>
      <c r="CN225" t="s">
        <v>4930</v>
      </c>
      <c r="CO225" t="s">
        <v>219</v>
      </c>
      <c r="CP225" t="s">
        <v>100</v>
      </c>
      <c r="CQ225">
        <v>224</v>
      </c>
      <c r="CR225" t="s">
        <v>100</v>
      </c>
      <c r="CS225" t="s">
        <v>100</v>
      </c>
      <c r="CT225" t="s">
        <v>152</v>
      </c>
      <c r="CU225" t="s">
        <v>102</v>
      </c>
      <c r="CV225" t="s">
        <v>100</v>
      </c>
    </row>
    <row r="226" spans="1:100">
      <c r="A226" s="3" t="s">
        <v>4931</v>
      </c>
      <c r="B226" s="4" t="s">
        <v>4932</v>
      </c>
      <c r="C226">
        <v>1126.3593755201</v>
      </c>
      <c r="D226">
        <v>9363.1397170186101</v>
      </c>
      <c r="E226">
        <f>-3.05511031909698</f>
        <v>-3.0551103190969799</v>
      </c>
      <c r="F226" s="5">
        <v>4.4564180633016302E-58</v>
      </c>
      <c r="G226" t="s">
        <v>4</v>
      </c>
      <c r="H226">
        <v>1126.3593755201</v>
      </c>
      <c r="I226">
        <v>1343.99737277545</v>
      </c>
      <c r="J226">
        <f>0.255091622732806</f>
        <v>0.255091622732806</v>
      </c>
      <c r="K226">
        <v>0.232678473059409</v>
      </c>
      <c r="L226" t="s">
        <v>4</v>
      </c>
      <c r="M226">
        <v>9363.1397170186101</v>
      </c>
      <c r="N226">
        <v>1343.99737277545</v>
      </c>
      <c r="O226">
        <v>2.80001869636417</v>
      </c>
      <c r="P226" s="5">
        <v>5.4155950782981399E-50</v>
      </c>
      <c r="Q226" t="s">
        <v>4</v>
      </c>
      <c r="R226" s="4" t="s">
        <v>87</v>
      </c>
      <c r="S226" t="s">
        <v>4</v>
      </c>
      <c r="T226" t="s">
        <v>4933</v>
      </c>
      <c r="U226" t="s">
        <v>4934</v>
      </c>
      <c r="V226" t="s">
        <v>4935</v>
      </c>
      <c r="W226" t="s">
        <v>328</v>
      </c>
      <c r="X226" t="s">
        <v>4</v>
      </c>
      <c r="Y226" t="s">
        <v>4936</v>
      </c>
      <c r="Z226" t="s">
        <v>4937</v>
      </c>
      <c r="AA226" t="s">
        <v>4938</v>
      </c>
      <c r="AB226" t="s">
        <v>4</v>
      </c>
      <c r="AC226" s="3" t="s">
        <v>4939</v>
      </c>
      <c r="AD226" t="s">
        <v>4</v>
      </c>
      <c r="AE226" t="s">
        <v>4940</v>
      </c>
      <c r="AF226" t="s">
        <v>4941</v>
      </c>
      <c r="AG226" t="s">
        <v>4942</v>
      </c>
      <c r="AH226" t="s">
        <v>112</v>
      </c>
      <c r="AJ226" t="s">
        <v>4943</v>
      </c>
      <c r="AL226" t="s">
        <v>4944</v>
      </c>
      <c r="AM226" t="s">
        <v>4945</v>
      </c>
      <c r="AN226" t="s">
        <v>4310</v>
      </c>
      <c r="AQ226" t="s">
        <v>4946</v>
      </c>
      <c r="AU226" t="s">
        <v>112</v>
      </c>
      <c r="AV226" t="s">
        <v>4947</v>
      </c>
      <c r="AW226" t="s">
        <v>114</v>
      </c>
      <c r="AX226" t="s">
        <v>132</v>
      </c>
      <c r="AY226" t="s">
        <v>4948</v>
      </c>
      <c r="AZ226" t="s">
        <v>4</v>
      </c>
      <c r="BA226" s="3" t="s">
        <v>95</v>
      </c>
      <c r="BB226" t="s">
        <v>96</v>
      </c>
      <c r="BC226" s="3" t="s">
        <v>197</v>
      </c>
      <c r="BD226" t="s">
        <v>4</v>
      </c>
      <c r="BE226">
        <v>7215</v>
      </c>
      <c r="BF226" t="s">
        <v>213</v>
      </c>
      <c r="BG226">
        <v>99.459500000000006</v>
      </c>
      <c r="BH226">
        <v>45.585599999999999</v>
      </c>
      <c r="BI226">
        <v>98.378399999999999</v>
      </c>
      <c r="BJ226">
        <v>89.009</v>
      </c>
      <c r="BK226">
        <v>90.991</v>
      </c>
      <c r="BL226">
        <v>82.162199999999999</v>
      </c>
      <c r="BM226">
        <v>89.909899999999993</v>
      </c>
      <c r="BN226">
        <v>93.513499999999993</v>
      </c>
      <c r="BO226">
        <v>94.054100000000005</v>
      </c>
      <c r="BP226">
        <v>81.441400000000002</v>
      </c>
      <c r="BQ226">
        <v>49.009</v>
      </c>
      <c r="BR226" t="s">
        <v>4949</v>
      </c>
      <c r="BS226">
        <v>47.747700000000002</v>
      </c>
      <c r="BT226">
        <v>40</v>
      </c>
      <c r="BU226">
        <v>46.486499999999999</v>
      </c>
      <c r="BV226" t="s">
        <v>4950</v>
      </c>
      <c r="BW226">
        <v>38.558599999999998</v>
      </c>
      <c r="BX226">
        <v>54.954999999999998</v>
      </c>
      <c r="BY226">
        <v>50.991</v>
      </c>
      <c r="BZ226">
        <v>53.333300000000001</v>
      </c>
      <c r="CA226">
        <v>52.432400000000001</v>
      </c>
      <c r="CB226">
        <v>42.342300000000002</v>
      </c>
      <c r="CD226">
        <v>45.585599999999999</v>
      </c>
      <c r="CE226">
        <v>35.4955</v>
      </c>
      <c r="CF226">
        <v>36.756799999999998</v>
      </c>
      <c r="CG226" t="s">
        <v>4951</v>
      </c>
      <c r="CH226" t="s">
        <v>4952</v>
      </c>
      <c r="CI226" t="s">
        <v>4953</v>
      </c>
      <c r="CK226">
        <v>8</v>
      </c>
      <c r="CL226" t="s">
        <v>4</v>
      </c>
      <c r="CM226" t="s">
        <v>4954</v>
      </c>
      <c r="CN226" t="s">
        <v>4955</v>
      </c>
      <c r="CO226" t="s">
        <v>1218</v>
      </c>
      <c r="CP226" t="s">
        <v>100</v>
      </c>
      <c r="CQ226">
        <v>225</v>
      </c>
      <c r="CR226" t="s">
        <v>100</v>
      </c>
      <c r="CS226" t="s">
        <v>100</v>
      </c>
      <c r="CT226" t="s">
        <v>152</v>
      </c>
      <c r="CU226" t="s">
        <v>102</v>
      </c>
      <c r="CV226" t="s">
        <v>100</v>
      </c>
    </row>
    <row r="227" spans="1:100">
      <c r="A227" s="3" t="s">
        <v>4956</v>
      </c>
      <c r="B227" s="4" t="s">
        <v>4957</v>
      </c>
      <c r="C227">
        <v>1237.2796370455301</v>
      </c>
      <c r="D227">
        <v>5819.0766532928401</v>
      </c>
      <c r="E227">
        <f>-2.23355009813768</f>
        <v>-2.2335500981376799</v>
      </c>
      <c r="F227" s="5">
        <v>2.25184127482614E-18</v>
      </c>
      <c r="G227" t="s">
        <v>4</v>
      </c>
      <c r="H227">
        <v>1237.2796370455301</v>
      </c>
      <c r="I227">
        <v>528.63352127200403</v>
      </c>
      <c r="J227">
        <v>1.2276378223462601</v>
      </c>
      <c r="K227" s="5">
        <v>3.0101772656018699E-6</v>
      </c>
      <c r="L227" t="s">
        <v>4</v>
      </c>
      <c r="M227">
        <v>5819.0766532928401</v>
      </c>
      <c r="N227">
        <v>528.63352127200403</v>
      </c>
      <c r="O227">
        <v>3.46118792048394</v>
      </c>
      <c r="P227" s="5">
        <v>3.3490431022738099E-43</v>
      </c>
      <c r="Q227" t="s">
        <v>4</v>
      </c>
      <c r="R227" s="4" t="s">
        <v>87</v>
      </c>
      <c r="S227" t="s">
        <v>4</v>
      </c>
      <c r="T227" t="s">
        <v>92</v>
      </c>
      <c r="U227" t="s">
        <v>92</v>
      </c>
      <c r="V227" t="s">
        <v>92</v>
      </c>
      <c r="W227" t="s">
        <v>92</v>
      </c>
      <c r="X227" t="s">
        <v>4</v>
      </c>
      <c r="Y227" t="s">
        <v>92</v>
      </c>
      <c r="Z227" t="s">
        <v>92</v>
      </c>
      <c r="AA227" t="s">
        <v>92</v>
      </c>
      <c r="AB227" t="s">
        <v>4</v>
      </c>
      <c r="AC227" s="3" t="s">
        <v>93</v>
      </c>
      <c r="AD227" t="s">
        <v>4</v>
      </c>
      <c r="AE227" s="4" t="s">
        <v>94</v>
      </c>
      <c r="AZ227" t="s">
        <v>4</v>
      </c>
      <c r="BA227" s="3" t="s">
        <v>95</v>
      </c>
      <c r="BB227" s="6" t="s">
        <v>95</v>
      </c>
      <c r="BC227" s="3" t="s">
        <v>95</v>
      </c>
      <c r="BD227" t="s">
        <v>4</v>
      </c>
      <c r="BE227">
        <v>1158</v>
      </c>
      <c r="BF227" t="s">
        <v>151</v>
      </c>
      <c r="BH227">
        <v>94.560699999999997</v>
      </c>
      <c r="BI227">
        <v>87.866100000000003</v>
      </c>
      <c r="BJ227">
        <v>73.221800000000002</v>
      </c>
      <c r="BK227">
        <v>61.924700000000001</v>
      </c>
      <c r="BL227">
        <v>65.690399999999997</v>
      </c>
      <c r="BM227">
        <v>58.995800000000003</v>
      </c>
      <c r="BN227">
        <v>56.066899999999997</v>
      </c>
      <c r="BO227">
        <v>56.903799999999997</v>
      </c>
      <c r="CK227">
        <v>2</v>
      </c>
      <c r="CL227" t="s">
        <v>4</v>
      </c>
      <c r="CM227" t="s">
        <v>98</v>
      </c>
      <c r="CN227" t="s">
        <v>98</v>
      </c>
      <c r="CO227" t="s">
        <v>99</v>
      </c>
      <c r="CP227" t="s">
        <v>100</v>
      </c>
      <c r="CQ227">
        <v>226</v>
      </c>
      <c r="CR227" t="s">
        <v>100</v>
      </c>
      <c r="CS227" s="7" t="s">
        <v>101</v>
      </c>
      <c r="CT227" t="s">
        <v>152</v>
      </c>
      <c r="CU227" t="s">
        <v>102</v>
      </c>
      <c r="CV227" t="s">
        <v>100</v>
      </c>
    </row>
    <row r="228" spans="1:100">
      <c r="A228" s="3" t="s">
        <v>4958</v>
      </c>
      <c r="B228" s="4" t="s">
        <v>4959</v>
      </c>
      <c r="C228">
        <v>2816.3365262412999</v>
      </c>
      <c r="D228">
        <v>30359.055132903399</v>
      </c>
      <c r="E228">
        <f>-3.43019184790444</f>
        <v>-3.4301918479044402</v>
      </c>
      <c r="F228" s="5">
        <v>3.2445602344836199E-49</v>
      </c>
      <c r="G228" t="s">
        <v>4</v>
      </c>
      <c r="H228">
        <v>2816.3365262412999</v>
      </c>
      <c r="I228">
        <v>862.736812653833</v>
      </c>
      <c r="J228">
        <v>1.70430727722539</v>
      </c>
      <c r="K228" s="5">
        <v>6.2170290660149696E-13</v>
      </c>
      <c r="L228" t="s">
        <v>4</v>
      </c>
      <c r="M228">
        <v>30359.055132903399</v>
      </c>
      <c r="N228">
        <v>862.736812653833</v>
      </c>
      <c r="O228">
        <v>5.13449912512983</v>
      </c>
      <c r="P228" s="5">
        <v>2.98280854910557E-110</v>
      </c>
      <c r="Q228" t="s">
        <v>4</v>
      </c>
      <c r="R228" s="4" t="s">
        <v>87</v>
      </c>
      <c r="S228" t="s">
        <v>4</v>
      </c>
      <c r="T228" t="s">
        <v>4960</v>
      </c>
      <c r="U228" t="s">
        <v>4961</v>
      </c>
      <c r="V228" t="s">
        <v>4962</v>
      </c>
      <c r="W228" t="s">
        <v>328</v>
      </c>
      <c r="X228" t="s">
        <v>4</v>
      </c>
      <c r="Y228" t="s">
        <v>4963</v>
      </c>
      <c r="Z228" t="s">
        <v>4964</v>
      </c>
      <c r="AA228" t="s">
        <v>4965</v>
      </c>
      <c r="AB228" t="s">
        <v>4</v>
      </c>
      <c r="AC228" s="3" t="s">
        <v>4966</v>
      </c>
      <c r="AD228" t="s">
        <v>4</v>
      </c>
      <c r="AE228" t="s">
        <v>4967</v>
      </c>
      <c r="AF228" t="s">
        <v>4968</v>
      </c>
      <c r="AG228" t="s">
        <v>4969</v>
      </c>
      <c r="AH228" t="s">
        <v>112</v>
      </c>
      <c r="AJ228" t="s">
        <v>4970</v>
      </c>
      <c r="AU228" t="s">
        <v>112</v>
      </c>
      <c r="AV228" t="s">
        <v>4971</v>
      </c>
      <c r="AW228" t="s">
        <v>114</v>
      </c>
      <c r="AX228" t="s">
        <v>2157</v>
      </c>
      <c r="AY228" t="s">
        <v>4972</v>
      </c>
      <c r="AZ228" t="s">
        <v>4</v>
      </c>
      <c r="BA228" s="3" t="s">
        <v>95</v>
      </c>
      <c r="BB228" s="6" t="s">
        <v>95</v>
      </c>
      <c r="BC228" s="3" t="s">
        <v>95</v>
      </c>
      <c r="BD228" t="s">
        <v>4</v>
      </c>
      <c r="BE228">
        <v>7223</v>
      </c>
      <c r="BF228" t="s">
        <v>213</v>
      </c>
      <c r="BG228">
        <v>98.721199999999996</v>
      </c>
      <c r="BH228">
        <v>75.959100000000007</v>
      </c>
      <c r="BI228" t="s">
        <v>4973</v>
      </c>
      <c r="BJ228">
        <v>95.652199999999993</v>
      </c>
      <c r="BK228">
        <v>79.539599999999993</v>
      </c>
      <c r="BL228">
        <v>91.815899999999999</v>
      </c>
      <c r="BM228">
        <v>96.163700000000006</v>
      </c>
      <c r="BN228">
        <v>96.163700000000006</v>
      </c>
      <c r="BO228">
        <v>95.652199999999993</v>
      </c>
      <c r="BP228" t="s">
        <v>4974</v>
      </c>
      <c r="BQ228" t="s">
        <v>4975</v>
      </c>
      <c r="BT228">
        <v>36.572899999999997</v>
      </c>
      <c r="BU228">
        <v>34.526899999999998</v>
      </c>
      <c r="BV228" t="s">
        <v>4976</v>
      </c>
      <c r="BW228">
        <v>40.664999999999999</v>
      </c>
      <c r="BX228">
        <v>44.501300000000001</v>
      </c>
      <c r="BZ228">
        <v>42.966799999999999</v>
      </c>
      <c r="CA228">
        <v>43.989800000000002</v>
      </c>
      <c r="CE228">
        <v>21.4834</v>
      </c>
      <c r="CG228">
        <v>32.480800000000002</v>
      </c>
      <c r="CH228">
        <v>32.480800000000002</v>
      </c>
      <c r="CI228" t="s">
        <v>4977</v>
      </c>
      <c r="CK228">
        <v>8</v>
      </c>
      <c r="CL228" t="s">
        <v>4</v>
      </c>
      <c r="CM228" t="s">
        <v>4978</v>
      </c>
      <c r="CN228" t="s">
        <v>4979</v>
      </c>
      <c r="CO228" t="s">
        <v>1218</v>
      </c>
      <c r="CP228" t="s">
        <v>100</v>
      </c>
      <c r="CQ228">
        <v>227</v>
      </c>
      <c r="CR228" t="s">
        <v>100</v>
      </c>
      <c r="CS228" s="7" t="s">
        <v>101</v>
      </c>
      <c r="CT228" t="s">
        <v>152</v>
      </c>
      <c r="CU228" t="s">
        <v>102</v>
      </c>
      <c r="CV228" t="s">
        <v>100</v>
      </c>
    </row>
    <row r="229" spans="1:100">
      <c r="A229" s="3" t="s">
        <v>4980</v>
      </c>
      <c r="B229" s="4" t="s">
        <v>4981</v>
      </c>
      <c r="C229">
        <v>929.95365331937796</v>
      </c>
      <c r="D229">
        <v>4331.5855435685198</v>
      </c>
      <c r="E229">
        <f>-2.21984136280952</f>
        <v>-2.2198413628095199</v>
      </c>
      <c r="F229" s="5">
        <v>1.2403536071924799E-33</v>
      </c>
      <c r="G229" t="s">
        <v>4</v>
      </c>
      <c r="H229">
        <v>929.95365331937796</v>
      </c>
      <c r="I229">
        <v>954.77288229560997</v>
      </c>
      <c r="J229">
        <f>0.0351652511557276</f>
        <v>3.5165251155727599E-2</v>
      </c>
      <c r="K229">
        <v>0.87483556264276097</v>
      </c>
      <c r="L229" t="s">
        <v>4</v>
      </c>
      <c r="M229">
        <v>4331.5855435685198</v>
      </c>
      <c r="N229">
        <v>954.77288229560997</v>
      </c>
      <c r="O229">
        <v>2.1846761116538</v>
      </c>
      <c r="P229" s="5">
        <v>3.6539553400962099E-33</v>
      </c>
      <c r="Q229" t="s">
        <v>4</v>
      </c>
      <c r="R229" s="4" t="s">
        <v>87</v>
      </c>
      <c r="S229" t="s">
        <v>4</v>
      </c>
      <c r="T229" t="s">
        <v>92</v>
      </c>
      <c r="U229" t="s">
        <v>92</v>
      </c>
      <c r="V229" t="s">
        <v>92</v>
      </c>
      <c r="W229" t="s">
        <v>92</v>
      </c>
      <c r="X229" t="s">
        <v>4</v>
      </c>
      <c r="Y229" t="s">
        <v>92</v>
      </c>
      <c r="Z229" t="s">
        <v>92</v>
      </c>
      <c r="AA229" t="s">
        <v>92</v>
      </c>
      <c r="AB229" t="s">
        <v>4</v>
      </c>
      <c r="AC229" s="3" t="s">
        <v>4982</v>
      </c>
      <c r="AD229" t="s">
        <v>4</v>
      </c>
      <c r="AE229" t="s">
        <v>4983</v>
      </c>
      <c r="AF229" t="s">
        <v>4984</v>
      </c>
      <c r="AG229" t="s">
        <v>4985</v>
      </c>
      <c r="AH229" t="s">
        <v>112</v>
      </c>
      <c r="AJ229" t="s">
        <v>4986</v>
      </c>
      <c r="AU229" t="s">
        <v>112</v>
      </c>
      <c r="AV229" t="s">
        <v>4987</v>
      </c>
      <c r="AW229" t="s">
        <v>114</v>
      </c>
      <c r="AX229" t="s">
        <v>371</v>
      </c>
      <c r="AY229" t="s">
        <v>4988</v>
      </c>
      <c r="AZ229" t="s">
        <v>4</v>
      </c>
      <c r="BA229" s="3" t="s">
        <v>115</v>
      </c>
      <c r="BB229" s="6" t="s">
        <v>95</v>
      </c>
      <c r="BC229" s="3" t="s">
        <v>95</v>
      </c>
      <c r="BD229" t="s">
        <v>4</v>
      </c>
      <c r="BE229">
        <v>3911</v>
      </c>
      <c r="BF229" t="s">
        <v>112</v>
      </c>
      <c r="BG229">
        <v>98.028700000000001</v>
      </c>
      <c r="BJ229">
        <v>93.906800000000004</v>
      </c>
      <c r="BK229">
        <v>86.738299999999995</v>
      </c>
      <c r="BM229">
        <v>93.548400000000001</v>
      </c>
      <c r="BN229">
        <v>93.548400000000001</v>
      </c>
      <c r="BO229">
        <v>92.114699999999999</v>
      </c>
      <c r="BQ229">
        <v>27.957000000000001</v>
      </c>
      <c r="BR229">
        <v>22.042999999999999</v>
      </c>
      <c r="BS229">
        <v>24.731200000000001</v>
      </c>
      <c r="BV229" t="s">
        <v>4989</v>
      </c>
      <c r="BW229">
        <v>22.401399999999999</v>
      </c>
      <c r="BX229">
        <v>27.598600000000001</v>
      </c>
      <c r="BZ229">
        <v>25.985700000000001</v>
      </c>
      <c r="CA229">
        <v>23.835100000000001</v>
      </c>
      <c r="CK229">
        <v>5</v>
      </c>
      <c r="CL229" t="s">
        <v>4</v>
      </c>
      <c r="CM229" t="s">
        <v>4990</v>
      </c>
      <c r="CN229" t="s">
        <v>4991</v>
      </c>
      <c r="CO229" t="s">
        <v>219</v>
      </c>
      <c r="CP229" t="s">
        <v>100</v>
      </c>
      <c r="CQ229">
        <v>228</v>
      </c>
      <c r="CR229" t="s">
        <v>100</v>
      </c>
      <c r="CS229" t="s">
        <v>100</v>
      </c>
      <c r="CT229" t="s">
        <v>152</v>
      </c>
      <c r="CU229" t="s">
        <v>102</v>
      </c>
      <c r="CV229" t="s">
        <v>100</v>
      </c>
    </row>
    <row r="230" spans="1:100">
      <c r="A230" s="3" t="s">
        <v>4992</v>
      </c>
      <c r="B230" s="4" t="s">
        <v>4993</v>
      </c>
      <c r="C230">
        <v>557.51395080547002</v>
      </c>
      <c r="D230">
        <v>2679.18459241459</v>
      </c>
      <c r="E230">
        <f>-2.26462163044513</f>
        <v>-2.2646216304451299</v>
      </c>
      <c r="F230" s="5">
        <v>8.9687671780135407E-15</v>
      </c>
      <c r="G230" t="s">
        <v>4</v>
      </c>
      <c r="H230">
        <v>557.51395080547002</v>
      </c>
      <c r="I230">
        <v>165.392596182467</v>
      </c>
      <c r="J230">
        <v>1.73738612825788</v>
      </c>
      <c r="K230" s="5">
        <v>8.5786691791900506E-9</v>
      </c>
      <c r="L230" t="s">
        <v>4</v>
      </c>
      <c r="M230">
        <v>2679.18459241459</v>
      </c>
      <c r="N230">
        <v>165.392596182467</v>
      </c>
      <c r="O230">
        <v>4.0020077587030096</v>
      </c>
      <c r="P230" s="5">
        <v>6.0329008958443499E-43</v>
      </c>
      <c r="Q230" t="s">
        <v>4</v>
      </c>
      <c r="R230" s="4" t="s">
        <v>87</v>
      </c>
      <c r="S230" t="s">
        <v>4</v>
      </c>
      <c r="T230" t="s">
        <v>4994</v>
      </c>
      <c r="U230" t="s">
        <v>4995</v>
      </c>
      <c r="V230" t="s">
        <v>4996</v>
      </c>
      <c r="W230" t="s">
        <v>328</v>
      </c>
      <c r="X230" t="s">
        <v>4</v>
      </c>
      <c r="Y230" t="s">
        <v>4997</v>
      </c>
      <c r="Z230" t="s">
        <v>4998</v>
      </c>
      <c r="AA230" t="s">
        <v>4999</v>
      </c>
      <c r="AB230" t="s">
        <v>4</v>
      </c>
      <c r="AC230" s="3" t="s">
        <v>5000</v>
      </c>
      <c r="AD230" t="s">
        <v>4</v>
      </c>
      <c r="AE230" t="s">
        <v>5001</v>
      </c>
      <c r="AF230" t="s">
        <v>834</v>
      </c>
      <c r="AG230" t="s">
        <v>5002</v>
      </c>
      <c r="AH230" t="s">
        <v>112</v>
      </c>
      <c r="AJ230" t="s">
        <v>5003</v>
      </c>
      <c r="AK230" t="s">
        <v>5004</v>
      </c>
      <c r="AL230" t="s">
        <v>5005</v>
      </c>
      <c r="AM230" t="s">
        <v>5006</v>
      </c>
      <c r="AO230" t="s">
        <v>5007</v>
      </c>
      <c r="AP230" t="s">
        <v>5008</v>
      </c>
      <c r="AQ230" t="s">
        <v>5009</v>
      </c>
      <c r="AS230" t="s">
        <v>5010</v>
      </c>
      <c r="AU230" t="s">
        <v>112</v>
      </c>
      <c r="AV230" t="s">
        <v>5011</v>
      </c>
      <c r="AW230" t="s">
        <v>114</v>
      </c>
      <c r="AX230" t="s">
        <v>4098</v>
      </c>
      <c r="AY230" t="s">
        <v>5012</v>
      </c>
      <c r="AZ230" t="s">
        <v>4</v>
      </c>
      <c r="BA230" s="3" t="s">
        <v>115</v>
      </c>
      <c r="BB230" t="s">
        <v>96</v>
      </c>
      <c r="BC230" s="3" t="s">
        <v>95</v>
      </c>
      <c r="BD230" t="s">
        <v>4</v>
      </c>
      <c r="BE230">
        <v>5032</v>
      </c>
      <c r="BF230" t="s">
        <v>282</v>
      </c>
      <c r="BG230">
        <v>93.944000000000003</v>
      </c>
      <c r="BH230">
        <v>33.610900000000001</v>
      </c>
      <c r="BI230">
        <v>81.302000000000007</v>
      </c>
      <c r="BJ230" t="s">
        <v>5013</v>
      </c>
      <c r="BL230">
        <v>78.122600000000006</v>
      </c>
      <c r="BM230">
        <v>71.158199999999994</v>
      </c>
      <c r="BN230">
        <v>78.122600000000006</v>
      </c>
      <c r="BO230">
        <v>68.054500000000004</v>
      </c>
      <c r="BP230">
        <v>53.520099999999999</v>
      </c>
      <c r="BQ230">
        <v>41.408000000000001</v>
      </c>
      <c r="BR230">
        <v>30.2044</v>
      </c>
      <c r="BS230">
        <v>45.420099999999998</v>
      </c>
      <c r="BT230">
        <v>32.096899999999998</v>
      </c>
      <c r="BU230">
        <v>41.408000000000001</v>
      </c>
      <c r="BV230" t="s">
        <v>5014</v>
      </c>
      <c r="BW230">
        <v>47.539700000000003</v>
      </c>
      <c r="BX230">
        <v>47.236899999999999</v>
      </c>
      <c r="BY230">
        <v>30.961400000000001</v>
      </c>
      <c r="BZ230" t="s">
        <v>5015</v>
      </c>
      <c r="CA230">
        <v>44.738799999999998</v>
      </c>
      <c r="CJ230" t="s">
        <v>5016</v>
      </c>
      <c r="CK230">
        <v>6</v>
      </c>
      <c r="CL230" t="s">
        <v>4</v>
      </c>
      <c r="CM230" t="s">
        <v>5017</v>
      </c>
      <c r="CN230" t="s">
        <v>5018</v>
      </c>
      <c r="CO230" t="s">
        <v>99</v>
      </c>
      <c r="CP230" t="s">
        <v>100</v>
      </c>
      <c r="CQ230">
        <v>229</v>
      </c>
      <c r="CR230" t="s">
        <v>100</v>
      </c>
      <c r="CS230" s="7" t="s">
        <v>101</v>
      </c>
      <c r="CT230" t="s">
        <v>152</v>
      </c>
      <c r="CU230" t="s">
        <v>102</v>
      </c>
      <c r="CV230" t="s">
        <v>100</v>
      </c>
    </row>
    <row r="231" spans="1:100">
      <c r="A231" s="3" t="s">
        <v>5019</v>
      </c>
      <c r="B231" s="4" t="s">
        <v>5020</v>
      </c>
      <c r="C231">
        <v>65.632561288012297</v>
      </c>
      <c r="D231">
        <v>784.04981408262199</v>
      </c>
      <c r="E231">
        <f>-3.57716523015834</f>
        <v>-3.5771652301583399</v>
      </c>
      <c r="F231" s="5">
        <v>1.02232418368236E-8</v>
      </c>
      <c r="G231" t="s">
        <v>4</v>
      </c>
      <c r="H231">
        <v>65.632561288012297</v>
      </c>
      <c r="I231">
        <v>27.759376103031499</v>
      </c>
      <c r="J231">
        <v>1.26739380090429</v>
      </c>
      <c r="K231">
        <v>6.49427230385035E-2</v>
      </c>
      <c r="L231" t="s">
        <v>4</v>
      </c>
      <c r="M231">
        <v>784.04981408262199</v>
      </c>
      <c r="N231">
        <v>27.759376103031499</v>
      </c>
      <c r="O231">
        <v>4.8445590310626301</v>
      </c>
      <c r="P231" s="5">
        <v>1.0702064826017501E-14</v>
      </c>
      <c r="Q231" t="s">
        <v>4</v>
      </c>
      <c r="R231" s="4" t="s">
        <v>87</v>
      </c>
      <c r="S231" t="s">
        <v>4</v>
      </c>
      <c r="T231" t="s">
        <v>5021</v>
      </c>
      <c r="U231" t="s">
        <v>5022</v>
      </c>
      <c r="V231" t="s">
        <v>5023</v>
      </c>
      <c r="W231" t="s">
        <v>328</v>
      </c>
      <c r="X231" t="s">
        <v>4</v>
      </c>
      <c r="Y231" t="s">
        <v>5024</v>
      </c>
      <c r="Z231" t="s">
        <v>5025</v>
      </c>
      <c r="AA231" t="s">
        <v>5026</v>
      </c>
      <c r="AB231" t="s">
        <v>4</v>
      </c>
      <c r="AC231" s="3" t="s">
        <v>5027</v>
      </c>
      <c r="AD231" t="s">
        <v>4</v>
      </c>
      <c r="AE231" t="s">
        <v>5028</v>
      </c>
      <c r="AF231" t="s">
        <v>5029</v>
      </c>
      <c r="AG231" t="s">
        <v>5030</v>
      </c>
      <c r="AH231" t="s">
        <v>112</v>
      </c>
      <c r="AJ231" t="s">
        <v>5031</v>
      </c>
      <c r="AL231" t="s">
        <v>5032</v>
      </c>
      <c r="AQ231" t="s">
        <v>1003</v>
      </c>
      <c r="AU231" t="s">
        <v>112</v>
      </c>
      <c r="AV231" t="s">
        <v>5033</v>
      </c>
      <c r="AW231" t="s">
        <v>114</v>
      </c>
      <c r="AX231" t="s">
        <v>371</v>
      </c>
      <c r="AY231" t="s">
        <v>5034</v>
      </c>
      <c r="AZ231" t="s">
        <v>4</v>
      </c>
      <c r="BA231" s="3" t="s">
        <v>95</v>
      </c>
      <c r="BB231" s="6" t="s">
        <v>95</v>
      </c>
      <c r="BC231" s="3" t="s">
        <v>95</v>
      </c>
      <c r="BD231" t="s">
        <v>4</v>
      </c>
      <c r="BE231">
        <v>7254</v>
      </c>
      <c r="BF231" t="s">
        <v>213</v>
      </c>
      <c r="BG231">
        <v>42.920400000000001</v>
      </c>
      <c r="BH231">
        <v>38.495600000000003</v>
      </c>
      <c r="BI231">
        <v>65.486699999999999</v>
      </c>
      <c r="BJ231">
        <v>34.955800000000004</v>
      </c>
      <c r="BK231">
        <v>50.221200000000003</v>
      </c>
      <c r="BL231">
        <v>39.601799999999997</v>
      </c>
      <c r="BM231">
        <v>52.212400000000002</v>
      </c>
      <c r="BN231">
        <v>69.911500000000004</v>
      </c>
      <c r="BP231">
        <v>36.061900000000001</v>
      </c>
      <c r="BQ231">
        <v>36.946899999999999</v>
      </c>
      <c r="BR231">
        <v>40.265500000000003</v>
      </c>
      <c r="BS231">
        <v>29.424800000000001</v>
      </c>
      <c r="BT231">
        <v>27.876100000000001</v>
      </c>
      <c r="BV231" t="s">
        <v>5035</v>
      </c>
      <c r="BW231">
        <v>39.601799999999997</v>
      </c>
      <c r="BX231">
        <v>40.044199999999996</v>
      </c>
      <c r="BY231">
        <v>28.097300000000001</v>
      </c>
      <c r="BZ231">
        <v>21.6814</v>
      </c>
      <c r="CA231">
        <v>35.840699999999998</v>
      </c>
      <c r="CC231">
        <v>28.5398</v>
      </c>
      <c r="CD231">
        <v>30.752199999999998</v>
      </c>
      <c r="CE231">
        <v>32.079599999999999</v>
      </c>
      <c r="CF231" t="s">
        <v>5036</v>
      </c>
      <c r="CG231" t="s">
        <v>5037</v>
      </c>
      <c r="CH231" t="s">
        <v>5038</v>
      </c>
      <c r="CI231" t="s">
        <v>5039</v>
      </c>
      <c r="CK231">
        <v>8</v>
      </c>
      <c r="CL231" t="s">
        <v>4</v>
      </c>
      <c r="CM231" t="s">
        <v>5040</v>
      </c>
      <c r="CN231" t="s">
        <v>5041</v>
      </c>
      <c r="CO231" t="s">
        <v>99</v>
      </c>
      <c r="CP231" t="s">
        <v>100</v>
      </c>
      <c r="CQ231">
        <v>230</v>
      </c>
      <c r="CR231" t="s">
        <v>100</v>
      </c>
      <c r="CS231" t="s">
        <v>100</v>
      </c>
      <c r="CT231" t="s">
        <v>152</v>
      </c>
      <c r="CU231" t="s">
        <v>102</v>
      </c>
      <c r="CV231" t="s">
        <v>100</v>
      </c>
    </row>
    <row r="232" spans="1:100">
      <c r="A232" s="3" t="s">
        <v>5042</v>
      </c>
      <c r="B232" s="4" t="s">
        <v>5043</v>
      </c>
      <c r="C232">
        <v>90.535944571876001</v>
      </c>
      <c r="D232">
        <v>429.69086430701702</v>
      </c>
      <c r="E232">
        <f>-2.24846313712425</f>
        <v>-2.2484631371242498</v>
      </c>
      <c r="F232" s="5">
        <v>7.5518292019396702E-6</v>
      </c>
      <c r="G232" t="s">
        <v>4</v>
      </c>
      <c r="H232">
        <v>90.535944571876001</v>
      </c>
      <c r="I232">
        <v>20.905171907390201</v>
      </c>
      <c r="J232">
        <v>2.0888217758639098</v>
      </c>
      <c r="K232">
        <v>1.2935355680190899E-4</v>
      </c>
      <c r="L232" t="s">
        <v>4</v>
      </c>
      <c r="M232">
        <v>429.69086430701702</v>
      </c>
      <c r="N232">
        <v>20.905171907390201</v>
      </c>
      <c r="O232">
        <v>4.3372849129881503</v>
      </c>
      <c r="P232" s="5">
        <v>5.6310842477688406E-17</v>
      </c>
      <c r="Q232" t="s">
        <v>4</v>
      </c>
      <c r="R232" s="4" t="s">
        <v>87</v>
      </c>
      <c r="S232" t="s">
        <v>4</v>
      </c>
      <c r="T232" t="s">
        <v>5044</v>
      </c>
      <c r="U232" t="s">
        <v>5045</v>
      </c>
      <c r="V232" t="s">
        <v>5046</v>
      </c>
      <c r="W232" t="s">
        <v>976</v>
      </c>
      <c r="X232" t="s">
        <v>4</v>
      </c>
      <c r="Y232" t="s">
        <v>5047</v>
      </c>
      <c r="Z232" t="s">
        <v>5048</v>
      </c>
      <c r="AA232" t="s">
        <v>5049</v>
      </c>
      <c r="AB232" t="s">
        <v>4</v>
      </c>
      <c r="AC232" s="3" t="s">
        <v>5050</v>
      </c>
      <c r="AD232" t="s">
        <v>4</v>
      </c>
      <c r="AE232" t="s">
        <v>5051</v>
      </c>
      <c r="AF232" t="s">
        <v>5052</v>
      </c>
      <c r="AG232" t="s">
        <v>5053</v>
      </c>
      <c r="AH232" t="s">
        <v>112</v>
      </c>
      <c r="AJ232" t="s">
        <v>5054</v>
      </c>
      <c r="AU232" t="s">
        <v>112</v>
      </c>
      <c r="AV232" t="s">
        <v>5055</v>
      </c>
      <c r="AW232" t="s">
        <v>114</v>
      </c>
      <c r="AX232" t="s">
        <v>144</v>
      </c>
      <c r="AY232" t="s">
        <v>5056</v>
      </c>
      <c r="AZ232" t="s">
        <v>4</v>
      </c>
      <c r="BA232" s="3" t="s">
        <v>95</v>
      </c>
      <c r="BB232" t="s">
        <v>96</v>
      </c>
      <c r="BC232" s="3" t="s">
        <v>95</v>
      </c>
      <c r="BD232" t="s">
        <v>4</v>
      </c>
      <c r="BE232">
        <v>7282</v>
      </c>
      <c r="BF232" t="s">
        <v>213</v>
      </c>
      <c r="BG232">
        <v>98.734200000000001</v>
      </c>
      <c r="BH232">
        <v>59.634300000000003</v>
      </c>
      <c r="BI232">
        <v>93.389600000000002</v>
      </c>
      <c r="BJ232">
        <v>75.246099999999998</v>
      </c>
      <c r="BK232">
        <v>70.042199999999994</v>
      </c>
      <c r="BL232">
        <v>27.1449</v>
      </c>
      <c r="BM232">
        <v>68.917000000000002</v>
      </c>
      <c r="BN232">
        <v>69.198300000000003</v>
      </c>
      <c r="BO232">
        <v>59.353000000000002</v>
      </c>
      <c r="BP232">
        <v>36.146299999999997</v>
      </c>
      <c r="BQ232">
        <v>28.1294</v>
      </c>
      <c r="BR232">
        <v>35.021099999999997</v>
      </c>
      <c r="BS232">
        <v>35.865000000000002</v>
      </c>
      <c r="BT232" t="s">
        <v>5057</v>
      </c>
      <c r="BU232">
        <v>33.895899999999997</v>
      </c>
      <c r="BV232" t="s">
        <v>5058</v>
      </c>
      <c r="BW232" t="s">
        <v>5059</v>
      </c>
      <c r="BX232" t="s">
        <v>5060</v>
      </c>
      <c r="BY232" t="s">
        <v>5061</v>
      </c>
      <c r="BZ232" t="s">
        <v>5062</v>
      </c>
      <c r="CA232" t="s">
        <v>5063</v>
      </c>
      <c r="CK232">
        <v>8</v>
      </c>
      <c r="CL232" t="s">
        <v>4</v>
      </c>
      <c r="CM232" t="s">
        <v>5064</v>
      </c>
      <c r="CN232" t="s">
        <v>5065</v>
      </c>
      <c r="CO232" t="s">
        <v>1218</v>
      </c>
      <c r="CP232" t="s">
        <v>100</v>
      </c>
      <c r="CQ232">
        <v>231</v>
      </c>
      <c r="CR232" t="s">
        <v>100</v>
      </c>
      <c r="CS232" t="s">
        <v>101</v>
      </c>
      <c r="CT232" t="s">
        <v>152</v>
      </c>
      <c r="CU232" t="s">
        <v>102</v>
      </c>
      <c r="CV232" t="s">
        <v>100</v>
      </c>
    </row>
    <row r="233" spans="1:100">
      <c r="A233" s="3" t="s">
        <v>5066</v>
      </c>
      <c r="B233" s="4" t="s">
        <v>5067</v>
      </c>
      <c r="C233">
        <v>151.21834568142</v>
      </c>
      <c r="D233">
        <v>3533.4333075477698</v>
      </c>
      <c r="E233">
        <f>-4.54520290684135</f>
        <v>-4.5452029068413502</v>
      </c>
      <c r="F233" s="5">
        <v>3.6277605880636599E-15</v>
      </c>
      <c r="G233" t="s">
        <v>4</v>
      </c>
      <c r="H233">
        <v>151.21834568142</v>
      </c>
      <c r="I233">
        <v>87.502124913487194</v>
      </c>
      <c r="J233">
        <v>0.79138868040901</v>
      </c>
      <c r="K233">
        <v>0.216168078937057</v>
      </c>
      <c r="L233" t="s">
        <v>4</v>
      </c>
      <c r="M233">
        <v>3533.4333075477698</v>
      </c>
      <c r="N233">
        <v>87.502124913487194</v>
      </c>
      <c r="O233">
        <v>5.3365915872503598</v>
      </c>
      <c r="P233" s="5">
        <v>8.1661073419479799E-21</v>
      </c>
      <c r="Q233" t="s">
        <v>4</v>
      </c>
      <c r="R233" s="4" t="s">
        <v>87</v>
      </c>
      <c r="S233" t="s">
        <v>4</v>
      </c>
      <c r="T233" t="s">
        <v>684</v>
      </c>
      <c r="U233" t="s">
        <v>685</v>
      </c>
      <c r="V233" t="s">
        <v>686</v>
      </c>
      <c r="W233" t="s">
        <v>123</v>
      </c>
      <c r="X233" t="s">
        <v>4</v>
      </c>
      <c r="Y233" t="s">
        <v>3163</v>
      </c>
      <c r="Z233" t="s">
        <v>3164</v>
      </c>
      <c r="AA233" t="s">
        <v>3165</v>
      </c>
      <c r="AB233" t="s">
        <v>4</v>
      </c>
      <c r="AC233" s="3" t="s">
        <v>3166</v>
      </c>
      <c r="AD233" t="s">
        <v>4</v>
      </c>
      <c r="AE233" t="s">
        <v>5068</v>
      </c>
      <c r="AF233" t="s">
        <v>5069</v>
      </c>
      <c r="AG233" t="s">
        <v>957</v>
      </c>
      <c r="AH233" t="s">
        <v>112</v>
      </c>
      <c r="AJ233" t="s">
        <v>5070</v>
      </c>
      <c r="AL233" t="s">
        <v>5071</v>
      </c>
      <c r="AM233" t="s">
        <v>5072</v>
      </c>
      <c r="AQ233" t="s">
        <v>303</v>
      </c>
      <c r="AU233" t="s">
        <v>112</v>
      </c>
      <c r="AV233" t="s">
        <v>5073</v>
      </c>
      <c r="AW233" t="s">
        <v>114</v>
      </c>
      <c r="AX233" t="s">
        <v>144</v>
      </c>
      <c r="AY233" t="s">
        <v>5074</v>
      </c>
      <c r="AZ233" t="s">
        <v>4</v>
      </c>
      <c r="BA233" s="3" t="s">
        <v>95</v>
      </c>
      <c r="BB233" s="6" t="s">
        <v>95</v>
      </c>
      <c r="BC233" s="3" t="s">
        <v>95</v>
      </c>
      <c r="BD233" t="s">
        <v>4</v>
      </c>
      <c r="BE233">
        <v>3946</v>
      </c>
      <c r="BF233" t="s">
        <v>112</v>
      </c>
      <c r="BG233" t="s">
        <v>5075</v>
      </c>
      <c r="BH233">
        <v>99.730500000000006</v>
      </c>
      <c r="BI233">
        <v>71.159000000000006</v>
      </c>
      <c r="BJ233">
        <v>58.220999999999997</v>
      </c>
      <c r="BK233">
        <v>47.439399999999999</v>
      </c>
      <c r="BL233">
        <v>23.180599999999998</v>
      </c>
      <c r="BM233">
        <v>29.9191</v>
      </c>
      <c r="BN233">
        <v>47.7089</v>
      </c>
      <c r="BO233">
        <v>46.900300000000001</v>
      </c>
      <c r="BP233">
        <v>23.180599999999998</v>
      </c>
      <c r="BQ233" t="s">
        <v>5076</v>
      </c>
      <c r="BR233">
        <v>13.746600000000001</v>
      </c>
      <c r="BV233" t="s">
        <v>5077</v>
      </c>
      <c r="BW233">
        <v>17.250699999999998</v>
      </c>
      <c r="BX233">
        <v>18.867899999999999</v>
      </c>
      <c r="BZ233">
        <v>10.242599999999999</v>
      </c>
      <c r="CA233">
        <v>17.7898</v>
      </c>
      <c r="CG233" t="s">
        <v>5078</v>
      </c>
      <c r="CH233" t="s">
        <v>5079</v>
      </c>
      <c r="CI233">
        <v>12.938000000000001</v>
      </c>
      <c r="CK233">
        <v>5</v>
      </c>
      <c r="CL233" t="s">
        <v>4</v>
      </c>
      <c r="CM233" t="s">
        <v>5080</v>
      </c>
      <c r="CN233" t="s">
        <v>5081</v>
      </c>
      <c r="CO233" t="s">
        <v>1218</v>
      </c>
      <c r="CP233" t="s">
        <v>100</v>
      </c>
      <c r="CQ233">
        <v>232</v>
      </c>
      <c r="CR233" t="s">
        <v>100</v>
      </c>
      <c r="CS233" t="s">
        <v>100</v>
      </c>
      <c r="CT233" t="s">
        <v>152</v>
      </c>
      <c r="CU233" t="s">
        <v>102</v>
      </c>
      <c r="CV233" t="s">
        <v>100</v>
      </c>
    </row>
    <row r="234" spans="1:100">
      <c r="A234" s="3" t="s">
        <v>5082</v>
      </c>
      <c r="B234" s="4" t="s">
        <v>5083</v>
      </c>
      <c r="C234">
        <v>1604.02840721591</v>
      </c>
      <c r="D234">
        <v>9324.2734299481308</v>
      </c>
      <c r="E234">
        <f>-2.5391960653711</f>
        <v>-2.5391960653711001</v>
      </c>
      <c r="F234" s="5">
        <v>3.0339655729768498E-26</v>
      </c>
      <c r="G234" t="s">
        <v>4</v>
      </c>
      <c r="H234">
        <v>1604.02840721591</v>
      </c>
      <c r="I234">
        <v>838.82800146552995</v>
      </c>
      <c r="J234">
        <v>0.93396802539482504</v>
      </c>
      <c r="K234">
        <v>1.9591605112479201E-4</v>
      </c>
      <c r="L234" t="s">
        <v>4</v>
      </c>
      <c r="M234">
        <v>9324.2734299481308</v>
      </c>
      <c r="N234">
        <v>838.82800146552995</v>
      </c>
      <c r="O234">
        <v>3.47316409076593</v>
      </c>
      <c r="P234" s="5">
        <v>6.0391100871767702E-49</v>
      </c>
      <c r="Q234" t="s">
        <v>4</v>
      </c>
      <c r="R234" s="4" t="s">
        <v>87</v>
      </c>
      <c r="S234" t="s">
        <v>4</v>
      </c>
      <c r="T234" t="s">
        <v>92</v>
      </c>
      <c r="U234" t="s">
        <v>92</v>
      </c>
      <c r="V234" t="s">
        <v>92</v>
      </c>
      <c r="W234" t="s">
        <v>92</v>
      </c>
      <c r="X234" t="s">
        <v>4</v>
      </c>
      <c r="Y234" t="s">
        <v>92</v>
      </c>
      <c r="Z234" t="s">
        <v>92</v>
      </c>
      <c r="AA234" t="s">
        <v>92</v>
      </c>
      <c r="AB234" t="s">
        <v>4</v>
      </c>
      <c r="AC234" s="3" t="s">
        <v>93</v>
      </c>
      <c r="AD234" t="s">
        <v>4</v>
      </c>
      <c r="AE234" t="s">
        <v>5084</v>
      </c>
      <c r="AF234" t="s">
        <v>5085</v>
      </c>
      <c r="AG234" t="s">
        <v>5086</v>
      </c>
      <c r="AH234" t="s">
        <v>112</v>
      </c>
      <c r="AU234" t="s">
        <v>112</v>
      </c>
      <c r="AV234" t="s">
        <v>5087</v>
      </c>
      <c r="AW234" t="s">
        <v>114</v>
      </c>
      <c r="AZ234" t="s">
        <v>4</v>
      </c>
      <c r="BA234" s="3" t="s">
        <v>115</v>
      </c>
      <c r="BB234" s="6" t="s">
        <v>95</v>
      </c>
      <c r="BC234" s="3" t="s">
        <v>95</v>
      </c>
      <c r="BD234" t="s">
        <v>4</v>
      </c>
      <c r="BE234">
        <v>3949</v>
      </c>
      <c r="BF234" t="s">
        <v>112</v>
      </c>
      <c r="BG234">
        <v>98.125</v>
      </c>
      <c r="BH234">
        <v>71.041700000000006</v>
      </c>
      <c r="BI234" t="s">
        <v>5088</v>
      </c>
      <c r="BJ234">
        <v>90.208299999999994</v>
      </c>
      <c r="BK234">
        <v>80.625</v>
      </c>
      <c r="BL234">
        <v>46.875</v>
      </c>
      <c r="BM234">
        <v>85.416700000000006</v>
      </c>
      <c r="BN234">
        <v>88.333299999999994</v>
      </c>
      <c r="BO234">
        <v>87.708299999999994</v>
      </c>
      <c r="BQ234">
        <v>27.291699999999999</v>
      </c>
      <c r="BX234">
        <v>24.375</v>
      </c>
      <c r="CA234">
        <v>24.375</v>
      </c>
      <c r="CK234">
        <v>5</v>
      </c>
      <c r="CL234" t="s">
        <v>4</v>
      </c>
      <c r="CM234" t="s">
        <v>5089</v>
      </c>
      <c r="CN234" t="s">
        <v>5090</v>
      </c>
      <c r="CO234" t="s">
        <v>1218</v>
      </c>
      <c r="CP234" t="s">
        <v>100</v>
      </c>
      <c r="CQ234">
        <v>233</v>
      </c>
      <c r="CR234" t="s">
        <v>100</v>
      </c>
      <c r="CS234" t="s">
        <v>100</v>
      </c>
      <c r="CT234" t="s">
        <v>152</v>
      </c>
      <c r="CU234" t="s">
        <v>102</v>
      </c>
      <c r="CV234" t="s">
        <v>100</v>
      </c>
    </row>
    <row r="235" spans="1:100">
      <c r="A235" s="3" t="s">
        <v>5091</v>
      </c>
      <c r="B235" s="4" t="s">
        <v>5092</v>
      </c>
      <c r="C235">
        <v>151.370790704672</v>
      </c>
      <c r="D235">
        <v>3626.4984119057599</v>
      </c>
      <c r="E235">
        <f>-4.58134195844474</f>
        <v>-4.5813419584447397</v>
      </c>
      <c r="F235" s="5">
        <v>1.5214743622521601E-19</v>
      </c>
      <c r="G235" t="s">
        <v>4</v>
      </c>
      <c r="H235">
        <v>151.370790704672</v>
      </c>
      <c r="I235">
        <v>677.18531830097299</v>
      </c>
      <c r="J235">
        <f>-2.1599237378543</f>
        <v>-2.1599237378542999</v>
      </c>
      <c r="K235" s="5">
        <v>3.21926667849112E-5</v>
      </c>
      <c r="L235" t="s">
        <v>4</v>
      </c>
      <c r="M235">
        <v>3626.4984119057599</v>
      </c>
      <c r="N235">
        <v>677.18531830097299</v>
      </c>
      <c r="O235">
        <v>2.4214182205904402</v>
      </c>
      <c r="P235" s="5">
        <v>1.6976669302214701E-6</v>
      </c>
      <c r="Q235" t="s">
        <v>4</v>
      </c>
      <c r="R235" s="4" t="s">
        <v>87</v>
      </c>
      <c r="S235" t="s">
        <v>4</v>
      </c>
      <c r="T235" t="s">
        <v>5093</v>
      </c>
      <c r="U235" t="s">
        <v>5094</v>
      </c>
      <c r="V235" t="s">
        <v>5095</v>
      </c>
      <c r="W235" t="s">
        <v>328</v>
      </c>
      <c r="X235" t="s">
        <v>4</v>
      </c>
      <c r="Y235" t="s">
        <v>5096</v>
      </c>
      <c r="Z235" t="s">
        <v>5097</v>
      </c>
      <c r="AA235" t="s">
        <v>5098</v>
      </c>
      <c r="AB235" t="s">
        <v>4</v>
      </c>
      <c r="AC235" s="3" t="s">
        <v>5099</v>
      </c>
      <c r="AD235" t="s">
        <v>4</v>
      </c>
      <c r="AE235" t="s">
        <v>5100</v>
      </c>
      <c r="AF235" t="s">
        <v>5101</v>
      </c>
      <c r="AG235" t="s">
        <v>5102</v>
      </c>
      <c r="AH235" t="s">
        <v>112</v>
      </c>
      <c r="AJ235" t="s">
        <v>5103</v>
      </c>
      <c r="AK235" t="s">
        <v>5104</v>
      </c>
      <c r="AL235" t="s">
        <v>5105</v>
      </c>
      <c r="AM235" t="s">
        <v>5106</v>
      </c>
      <c r="AQ235" t="s">
        <v>3809</v>
      </c>
      <c r="AU235" t="s">
        <v>112</v>
      </c>
      <c r="AV235" t="s">
        <v>5107</v>
      </c>
      <c r="AW235" t="s">
        <v>114</v>
      </c>
      <c r="AX235" t="s">
        <v>132</v>
      </c>
      <c r="AY235" t="s">
        <v>5108</v>
      </c>
      <c r="AZ235" t="s">
        <v>4</v>
      </c>
      <c r="BA235" s="3" t="s">
        <v>95</v>
      </c>
      <c r="BB235" s="6" t="s">
        <v>95</v>
      </c>
      <c r="BC235" s="3" t="s">
        <v>95</v>
      </c>
      <c r="BD235" t="s">
        <v>4</v>
      </c>
      <c r="BE235">
        <v>7317</v>
      </c>
      <c r="BF235" t="s">
        <v>213</v>
      </c>
      <c r="BG235">
        <v>97.178100000000001</v>
      </c>
      <c r="BH235">
        <v>0.35273399999999999</v>
      </c>
      <c r="BI235">
        <v>85.361500000000007</v>
      </c>
      <c r="BJ235">
        <v>69.135800000000003</v>
      </c>
      <c r="BK235">
        <v>72.839500000000001</v>
      </c>
      <c r="BL235">
        <v>33.862400000000001</v>
      </c>
      <c r="BM235">
        <v>70.899500000000003</v>
      </c>
      <c r="BN235">
        <v>70.017600000000002</v>
      </c>
      <c r="BO235">
        <v>75.132300000000001</v>
      </c>
      <c r="BP235">
        <v>58.377400000000002</v>
      </c>
      <c r="BQ235" t="s">
        <v>5109</v>
      </c>
      <c r="BR235" t="s">
        <v>5110</v>
      </c>
      <c r="BS235">
        <v>28.747800000000002</v>
      </c>
      <c r="BT235">
        <v>42.680799999999998</v>
      </c>
      <c r="BU235">
        <v>29.982399999999998</v>
      </c>
      <c r="BV235" t="s">
        <v>5111</v>
      </c>
      <c r="BW235">
        <v>48.3245</v>
      </c>
      <c r="BX235">
        <v>56.790100000000002</v>
      </c>
      <c r="BY235">
        <v>50.264499999999998</v>
      </c>
      <c r="BZ235">
        <v>18.694900000000001</v>
      </c>
      <c r="CA235">
        <v>52.557299999999998</v>
      </c>
      <c r="CB235" t="s">
        <v>5112</v>
      </c>
      <c r="CC235">
        <v>48.8536</v>
      </c>
      <c r="CD235">
        <v>50.6173</v>
      </c>
      <c r="CE235">
        <v>35.273400000000002</v>
      </c>
      <c r="CF235">
        <v>41.622599999999998</v>
      </c>
      <c r="CG235" t="s">
        <v>5113</v>
      </c>
      <c r="CH235" t="s">
        <v>5114</v>
      </c>
      <c r="CI235" t="s">
        <v>5115</v>
      </c>
      <c r="CJ235" t="s">
        <v>5116</v>
      </c>
      <c r="CK235">
        <v>8</v>
      </c>
      <c r="CL235" t="s">
        <v>4</v>
      </c>
      <c r="CM235" t="s">
        <v>5117</v>
      </c>
      <c r="CN235" t="s">
        <v>5118</v>
      </c>
      <c r="CO235" t="s">
        <v>1218</v>
      </c>
      <c r="CP235" t="s">
        <v>100</v>
      </c>
      <c r="CQ235">
        <v>234</v>
      </c>
      <c r="CR235" t="s">
        <v>100</v>
      </c>
      <c r="CS235" t="s">
        <v>100</v>
      </c>
      <c r="CT235" t="s">
        <v>152</v>
      </c>
      <c r="CU235" t="s">
        <v>102</v>
      </c>
      <c r="CV235" t="s">
        <v>100</v>
      </c>
    </row>
    <row r="236" spans="1:100">
      <c r="A236" s="3" t="s">
        <v>5119</v>
      </c>
      <c r="B236" s="4" t="s">
        <v>5120</v>
      </c>
      <c r="C236">
        <v>1188.08023319995</v>
      </c>
      <c r="D236">
        <v>5019.2151314995199</v>
      </c>
      <c r="E236">
        <f>-2.07837985608341</f>
        <v>-2.0783798560834099</v>
      </c>
      <c r="F236" s="5">
        <v>2.31324353516884E-25</v>
      </c>
      <c r="G236" t="s">
        <v>4</v>
      </c>
      <c r="H236">
        <v>1188.08023319995</v>
      </c>
      <c r="I236">
        <v>184.245056926974</v>
      </c>
      <c r="J236">
        <v>2.6795636834599299</v>
      </c>
      <c r="K236" s="5">
        <v>1.7804790636963199E-37</v>
      </c>
      <c r="L236" t="s">
        <v>4</v>
      </c>
      <c r="M236">
        <v>5019.2151314995199</v>
      </c>
      <c r="N236">
        <v>184.245056926974</v>
      </c>
      <c r="O236">
        <v>4.7579435395433398</v>
      </c>
      <c r="P236" s="5">
        <v>3.5562217360528699E-117</v>
      </c>
      <c r="Q236" t="s">
        <v>4</v>
      </c>
      <c r="R236" s="4" t="s">
        <v>87</v>
      </c>
      <c r="S236" t="s">
        <v>4</v>
      </c>
      <c r="T236" t="s">
        <v>5121</v>
      </c>
      <c r="U236" t="s">
        <v>5122</v>
      </c>
      <c r="V236" t="s">
        <v>5123</v>
      </c>
      <c r="W236" t="s">
        <v>328</v>
      </c>
      <c r="X236" t="s">
        <v>4</v>
      </c>
      <c r="Y236" t="s">
        <v>5124</v>
      </c>
      <c r="Z236" t="s">
        <v>5125</v>
      </c>
      <c r="AA236" t="s">
        <v>5126</v>
      </c>
      <c r="AB236" t="s">
        <v>4</v>
      </c>
      <c r="AC236" s="3" t="s">
        <v>5127</v>
      </c>
      <c r="AD236" t="s">
        <v>4</v>
      </c>
      <c r="AE236" t="s">
        <v>5128</v>
      </c>
      <c r="AF236" t="s">
        <v>5129</v>
      </c>
      <c r="AG236" t="s">
        <v>5130</v>
      </c>
      <c r="AH236" t="s">
        <v>314</v>
      </c>
      <c r="AU236" t="s">
        <v>112</v>
      </c>
      <c r="AV236" t="s">
        <v>5131</v>
      </c>
      <c r="AW236" t="s">
        <v>114</v>
      </c>
      <c r="AX236" t="s">
        <v>144</v>
      </c>
      <c r="AY236" t="s">
        <v>5132</v>
      </c>
      <c r="AZ236" t="s">
        <v>4</v>
      </c>
      <c r="BA236" s="3" t="s">
        <v>95</v>
      </c>
      <c r="BB236" s="6" t="s">
        <v>95</v>
      </c>
      <c r="BC236" s="3" t="s">
        <v>95</v>
      </c>
      <c r="BD236" t="s">
        <v>4</v>
      </c>
      <c r="BE236">
        <v>1915</v>
      </c>
      <c r="BF236" t="s">
        <v>148</v>
      </c>
      <c r="BG236">
        <v>91.034499999999994</v>
      </c>
      <c r="BH236">
        <v>93.448300000000003</v>
      </c>
      <c r="BI236">
        <v>81.724100000000007</v>
      </c>
      <c r="BJ236">
        <v>64.137900000000002</v>
      </c>
      <c r="BK236">
        <v>51.7241</v>
      </c>
      <c r="BL236">
        <v>37.241399999999999</v>
      </c>
      <c r="BM236">
        <v>47.241399999999999</v>
      </c>
      <c r="BN236">
        <v>51.034500000000001</v>
      </c>
      <c r="BO236">
        <v>49.655200000000001</v>
      </c>
      <c r="CK236">
        <v>3</v>
      </c>
      <c r="CL236" t="s">
        <v>4</v>
      </c>
      <c r="CM236" t="s">
        <v>98</v>
      </c>
      <c r="CN236" t="s">
        <v>98</v>
      </c>
      <c r="CO236" t="s">
        <v>99</v>
      </c>
      <c r="CP236" t="s">
        <v>100</v>
      </c>
      <c r="CQ236">
        <v>235</v>
      </c>
      <c r="CR236" t="s">
        <v>100</v>
      </c>
      <c r="CS236" t="s">
        <v>101</v>
      </c>
      <c r="CT236" t="s">
        <v>152</v>
      </c>
      <c r="CU236" t="s">
        <v>102</v>
      </c>
      <c r="CV236" t="s">
        <v>100</v>
      </c>
    </row>
    <row r="237" spans="1:100">
      <c r="A237" s="3" t="s">
        <v>5133</v>
      </c>
      <c r="B237" s="4" t="s">
        <v>5134</v>
      </c>
      <c r="C237">
        <v>110.10360849363499</v>
      </c>
      <c r="D237">
        <v>1687.9420065480499</v>
      </c>
      <c r="E237">
        <f>-3.93711635741593</f>
        <v>-3.9371163574159298</v>
      </c>
      <c r="F237" s="5">
        <v>1.65152856527358E-10</v>
      </c>
      <c r="G237" t="s">
        <v>4</v>
      </c>
      <c r="H237">
        <v>110.10360849363499</v>
      </c>
      <c r="I237">
        <v>48.2614447052676</v>
      </c>
      <c r="J237">
        <v>1.1933926786062199</v>
      </c>
      <c r="K237">
        <v>7.4542608139992805E-2</v>
      </c>
      <c r="L237" t="s">
        <v>4</v>
      </c>
      <c r="M237">
        <v>1687.9420065480499</v>
      </c>
      <c r="N237">
        <v>48.2614447052676</v>
      </c>
      <c r="O237">
        <v>5.1305090360221604</v>
      </c>
      <c r="P237" s="5">
        <v>4.2326332829175302E-17</v>
      </c>
      <c r="Q237" t="s">
        <v>4</v>
      </c>
      <c r="R237" s="4" t="s">
        <v>87</v>
      </c>
      <c r="S237" t="s">
        <v>4</v>
      </c>
      <c r="T237" t="s">
        <v>92</v>
      </c>
      <c r="U237" t="s">
        <v>92</v>
      </c>
      <c r="V237" t="s">
        <v>92</v>
      </c>
      <c r="W237" t="s">
        <v>92</v>
      </c>
      <c r="X237" t="s">
        <v>4</v>
      </c>
      <c r="Y237" t="s">
        <v>1355</v>
      </c>
      <c r="Z237" t="s">
        <v>1356</v>
      </c>
      <c r="AA237" t="s">
        <v>1357</v>
      </c>
      <c r="AB237" t="s">
        <v>4</v>
      </c>
      <c r="AC237" s="3" t="s">
        <v>93</v>
      </c>
      <c r="AD237" t="s">
        <v>4</v>
      </c>
      <c r="AE237" t="s">
        <v>5135</v>
      </c>
      <c r="AF237" t="s">
        <v>5136</v>
      </c>
      <c r="AG237" t="s">
        <v>5137</v>
      </c>
      <c r="AH237" t="s">
        <v>112</v>
      </c>
      <c r="AU237" t="s">
        <v>112</v>
      </c>
      <c r="AV237" t="s">
        <v>5138</v>
      </c>
      <c r="AW237" t="s">
        <v>114</v>
      </c>
      <c r="AZ237" t="s">
        <v>4</v>
      </c>
      <c r="BA237" s="3" t="s">
        <v>95</v>
      </c>
      <c r="BB237" s="6" t="s">
        <v>95</v>
      </c>
      <c r="BC237" s="3" t="s">
        <v>197</v>
      </c>
      <c r="BD237" t="s">
        <v>4</v>
      </c>
      <c r="BE237">
        <v>5052</v>
      </c>
      <c r="BF237" t="s">
        <v>282</v>
      </c>
      <c r="BG237">
        <v>78.480999999999995</v>
      </c>
      <c r="BH237">
        <v>80.3797</v>
      </c>
      <c r="BI237">
        <v>84.810100000000006</v>
      </c>
      <c r="BJ237">
        <v>69.6203</v>
      </c>
      <c r="BK237">
        <v>75.316500000000005</v>
      </c>
      <c r="BL237">
        <v>36.7089</v>
      </c>
      <c r="BM237">
        <v>60.126600000000003</v>
      </c>
      <c r="BN237">
        <v>75.316500000000005</v>
      </c>
      <c r="BO237">
        <v>75.949399999999997</v>
      </c>
      <c r="BP237">
        <v>50.632899999999999</v>
      </c>
      <c r="BQ237">
        <v>32.9114</v>
      </c>
      <c r="BR237">
        <v>36.7089</v>
      </c>
      <c r="BS237">
        <v>34.810099999999998</v>
      </c>
      <c r="BT237">
        <v>33.5443</v>
      </c>
      <c r="BU237">
        <v>37.974699999999999</v>
      </c>
      <c r="BV237" t="s">
        <v>5139</v>
      </c>
      <c r="BW237">
        <v>31.645600000000002</v>
      </c>
      <c r="BX237">
        <v>36.076000000000001</v>
      </c>
      <c r="BY237">
        <v>29.113900000000001</v>
      </c>
      <c r="BZ237">
        <v>35.442999999999998</v>
      </c>
      <c r="CA237">
        <v>37.974699999999999</v>
      </c>
      <c r="CB237">
        <v>32.9114</v>
      </c>
      <c r="CK237">
        <v>6</v>
      </c>
      <c r="CL237" t="s">
        <v>4</v>
      </c>
      <c r="CM237" t="s">
        <v>5140</v>
      </c>
      <c r="CN237" t="s">
        <v>5141</v>
      </c>
      <c r="CO237" t="s">
        <v>99</v>
      </c>
      <c r="CP237" t="s">
        <v>100</v>
      </c>
      <c r="CQ237">
        <v>236</v>
      </c>
      <c r="CR237" t="s">
        <v>100</v>
      </c>
      <c r="CS237" t="s">
        <v>100</v>
      </c>
      <c r="CT237" t="s">
        <v>152</v>
      </c>
      <c r="CU237" t="s">
        <v>102</v>
      </c>
      <c r="CV237" t="s">
        <v>100</v>
      </c>
    </row>
    <row r="238" spans="1:100">
      <c r="A238" s="3" t="s">
        <v>5142</v>
      </c>
      <c r="B238" s="4" t="s">
        <v>5143</v>
      </c>
      <c r="C238">
        <v>346.45569196350402</v>
      </c>
      <c r="D238">
        <v>2908.9688284735698</v>
      </c>
      <c r="E238">
        <f>-3.06895089980584</f>
        <v>-3.0689508998058401</v>
      </c>
      <c r="F238" s="5">
        <v>1.9887444385949399E-48</v>
      </c>
      <c r="G238" t="s">
        <v>4</v>
      </c>
      <c r="H238">
        <v>346.45569196350402</v>
      </c>
      <c r="I238">
        <v>213.12350024757399</v>
      </c>
      <c r="J238">
        <v>0.69940766563018497</v>
      </c>
      <c r="K238">
        <v>2.6807772805937801E-3</v>
      </c>
      <c r="L238" t="s">
        <v>4</v>
      </c>
      <c r="M238">
        <v>2908.9688284735698</v>
      </c>
      <c r="N238">
        <v>213.12350024757399</v>
      </c>
      <c r="O238">
        <v>3.7683585654360199</v>
      </c>
      <c r="P238" s="5">
        <v>1.7704257235398599E-69</v>
      </c>
      <c r="Q238" t="s">
        <v>4</v>
      </c>
      <c r="R238" s="4" t="s">
        <v>87</v>
      </c>
      <c r="S238" t="s">
        <v>4</v>
      </c>
      <c r="T238" t="s">
        <v>92</v>
      </c>
      <c r="U238" t="s">
        <v>92</v>
      </c>
      <c r="V238" t="s">
        <v>92</v>
      </c>
      <c r="W238" t="s">
        <v>92</v>
      </c>
      <c r="X238" t="s">
        <v>4</v>
      </c>
      <c r="Y238" t="s">
        <v>3037</v>
      </c>
      <c r="Z238" t="s">
        <v>3038</v>
      </c>
      <c r="AA238" t="s">
        <v>3039</v>
      </c>
      <c r="AB238" t="s">
        <v>4</v>
      </c>
      <c r="AC238" s="3" t="s">
        <v>5144</v>
      </c>
      <c r="AD238" t="s">
        <v>4</v>
      </c>
      <c r="AE238" t="s">
        <v>5145</v>
      </c>
      <c r="AF238" t="s">
        <v>5146</v>
      </c>
      <c r="AG238" t="s">
        <v>1774</v>
      </c>
      <c r="AH238" t="s">
        <v>112</v>
      </c>
      <c r="AJ238" t="s">
        <v>5147</v>
      </c>
      <c r="AL238" t="s">
        <v>5148</v>
      </c>
      <c r="AM238" t="s">
        <v>5149</v>
      </c>
      <c r="AN238" t="s">
        <v>5150</v>
      </c>
      <c r="AQ238" t="s">
        <v>5151</v>
      </c>
      <c r="AU238" t="s">
        <v>112</v>
      </c>
      <c r="AV238" t="s">
        <v>5152</v>
      </c>
      <c r="AW238" t="s">
        <v>114</v>
      </c>
      <c r="AX238" t="s">
        <v>167</v>
      </c>
      <c r="AY238" t="s">
        <v>3045</v>
      </c>
      <c r="AZ238" t="s">
        <v>4</v>
      </c>
      <c r="BA238" s="3" t="s">
        <v>95</v>
      </c>
      <c r="BB238" s="6" t="s">
        <v>95</v>
      </c>
      <c r="BC238" s="3" t="s">
        <v>95</v>
      </c>
      <c r="BD238" t="s">
        <v>4</v>
      </c>
      <c r="BE238">
        <v>7373</v>
      </c>
      <c r="BF238" t="s">
        <v>213</v>
      </c>
      <c r="BG238">
        <v>99.656400000000005</v>
      </c>
      <c r="BH238">
        <v>88.316199999999995</v>
      </c>
      <c r="BI238">
        <v>92.783500000000004</v>
      </c>
      <c r="BJ238">
        <v>85.566999999999993</v>
      </c>
      <c r="BK238">
        <v>83.848799999999997</v>
      </c>
      <c r="BL238">
        <v>81.443299999999994</v>
      </c>
      <c r="BM238">
        <v>80.756</v>
      </c>
      <c r="BN238">
        <v>80.756</v>
      </c>
      <c r="BO238">
        <v>84.8797</v>
      </c>
      <c r="BP238">
        <v>52.577300000000001</v>
      </c>
      <c r="BR238">
        <v>26.116800000000001</v>
      </c>
      <c r="BS238">
        <v>22.3368</v>
      </c>
      <c r="BT238">
        <v>21.6495</v>
      </c>
      <c r="BV238" t="s">
        <v>5153</v>
      </c>
      <c r="BW238">
        <v>26.4605</v>
      </c>
      <c r="BX238">
        <v>36.082500000000003</v>
      </c>
      <c r="BZ238">
        <v>22.680399999999999</v>
      </c>
      <c r="CA238">
        <v>26.4605</v>
      </c>
      <c r="CB238">
        <v>23.024100000000001</v>
      </c>
      <c r="CC238">
        <v>20.274899999999999</v>
      </c>
      <c r="CD238">
        <v>19.587599999999998</v>
      </c>
      <c r="CE238">
        <v>14.433</v>
      </c>
      <c r="CF238">
        <v>20.618600000000001</v>
      </c>
      <c r="CG238" t="s">
        <v>5154</v>
      </c>
      <c r="CH238" t="s">
        <v>5155</v>
      </c>
      <c r="CI238" t="s">
        <v>5156</v>
      </c>
      <c r="CJ238" t="s">
        <v>5157</v>
      </c>
      <c r="CK238">
        <v>8</v>
      </c>
      <c r="CL238" t="s">
        <v>4</v>
      </c>
      <c r="CM238" t="s">
        <v>5158</v>
      </c>
      <c r="CN238" t="s">
        <v>5159</v>
      </c>
      <c r="CO238" t="s">
        <v>1218</v>
      </c>
      <c r="CP238" t="s">
        <v>100</v>
      </c>
      <c r="CQ238">
        <v>237</v>
      </c>
      <c r="CR238" t="s">
        <v>100</v>
      </c>
      <c r="CS238" t="s">
        <v>100</v>
      </c>
      <c r="CT238" t="s">
        <v>152</v>
      </c>
      <c r="CU238" t="s">
        <v>102</v>
      </c>
      <c r="CV238" t="s">
        <v>100</v>
      </c>
    </row>
    <row r="239" spans="1:100">
      <c r="A239" s="3" t="s">
        <v>5160</v>
      </c>
      <c r="B239" s="4" t="s">
        <v>5161</v>
      </c>
      <c r="C239">
        <v>154.12832653088401</v>
      </c>
      <c r="D239">
        <v>813.52881595287397</v>
      </c>
      <c r="E239">
        <f>-2.40043137773957</f>
        <v>-2.40043137773957</v>
      </c>
      <c r="F239" s="5">
        <v>3.9605437765972102E-17</v>
      </c>
      <c r="G239" t="s">
        <v>4</v>
      </c>
      <c r="H239">
        <v>154.12832653088401</v>
      </c>
      <c r="I239">
        <v>19.521211775662501</v>
      </c>
      <c r="J239">
        <v>2.9271207299494</v>
      </c>
      <c r="K239" s="5">
        <v>4.0024501871806401E-16</v>
      </c>
      <c r="L239" t="s">
        <v>4</v>
      </c>
      <c r="M239">
        <v>813.52881595287397</v>
      </c>
      <c r="N239">
        <v>19.521211775662501</v>
      </c>
      <c r="O239">
        <v>5.3275521076889696</v>
      </c>
      <c r="P239" s="5">
        <v>1.8093596141548502E-52</v>
      </c>
      <c r="Q239" t="s">
        <v>4</v>
      </c>
      <c r="R239" s="4" t="s">
        <v>87</v>
      </c>
      <c r="S239" t="s">
        <v>4</v>
      </c>
      <c r="T239" t="s">
        <v>5162</v>
      </c>
      <c r="U239" t="s">
        <v>5163</v>
      </c>
      <c r="V239" t="s">
        <v>5164</v>
      </c>
      <c r="W239" t="s">
        <v>123</v>
      </c>
      <c r="X239" t="s">
        <v>4</v>
      </c>
      <c r="Y239" t="s">
        <v>5165</v>
      </c>
      <c r="Z239" t="s">
        <v>5166</v>
      </c>
      <c r="AA239" t="s">
        <v>5167</v>
      </c>
      <c r="AB239" t="s">
        <v>4</v>
      </c>
      <c r="AC239" s="3" t="s">
        <v>5168</v>
      </c>
      <c r="AD239" t="s">
        <v>4</v>
      </c>
      <c r="AE239" t="s">
        <v>5169</v>
      </c>
      <c r="AF239" t="s">
        <v>5170</v>
      </c>
      <c r="AG239" t="s">
        <v>5171</v>
      </c>
      <c r="AH239" t="s">
        <v>112</v>
      </c>
      <c r="AU239" t="s">
        <v>112</v>
      </c>
      <c r="AV239" t="s">
        <v>5172</v>
      </c>
      <c r="AW239" t="s">
        <v>114</v>
      </c>
      <c r="AZ239" t="s">
        <v>4</v>
      </c>
      <c r="BA239" s="3" t="s">
        <v>95</v>
      </c>
      <c r="BB239" s="6" t="s">
        <v>95</v>
      </c>
      <c r="BC239" s="3" t="s">
        <v>95</v>
      </c>
      <c r="BD239" t="s">
        <v>4</v>
      </c>
      <c r="BE239">
        <v>3992</v>
      </c>
      <c r="BF239" t="s">
        <v>112</v>
      </c>
      <c r="BG239">
        <v>98.349100000000007</v>
      </c>
      <c r="BH239">
        <v>42.924500000000002</v>
      </c>
      <c r="BI239">
        <v>96.462299999999999</v>
      </c>
      <c r="BJ239" t="s">
        <v>5173</v>
      </c>
      <c r="BK239">
        <v>51.179200000000002</v>
      </c>
      <c r="BL239">
        <v>62.735799999999998</v>
      </c>
      <c r="BM239">
        <v>85.613200000000006</v>
      </c>
      <c r="BN239">
        <v>79.481099999999998</v>
      </c>
      <c r="BO239">
        <v>83.490600000000001</v>
      </c>
      <c r="BP239">
        <v>55.660400000000003</v>
      </c>
      <c r="BR239">
        <v>41.037700000000001</v>
      </c>
      <c r="BS239">
        <v>34.669800000000002</v>
      </c>
      <c r="BW239">
        <v>42.216999999999999</v>
      </c>
      <c r="BX239">
        <v>36.556600000000003</v>
      </c>
      <c r="CA239">
        <v>31.839600000000001</v>
      </c>
      <c r="CK239">
        <v>5</v>
      </c>
      <c r="CL239" t="s">
        <v>4</v>
      </c>
      <c r="CM239" t="s">
        <v>5174</v>
      </c>
      <c r="CN239" t="s">
        <v>5175</v>
      </c>
      <c r="CO239" t="s">
        <v>99</v>
      </c>
      <c r="CP239" t="s">
        <v>100</v>
      </c>
      <c r="CQ239">
        <v>238</v>
      </c>
      <c r="CR239" t="s">
        <v>100</v>
      </c>
      <c r="CS239" t="s">
        <v>101</v>
      </c>
      <c r="CT239" t="s">
        <v>152</v>
      </c>
      <c r="CU239" t="s">
        <v>102</v>
      </c>
      <c r="CV239" t="s">
        <v>100</v>
      </c>
    </row>
    <row r="240" spans="1:100">
      <c r="A240" s="3" t="s">
        <v>5176</v>
      </c>
      <c r="B240" s="4" t="s">
        <v>5177</v>
      </c>
      <c r="C240">
        <v>364.35347493342499</v>
      </c>
      <c r="D240">
        <v>1488.35059821001</v>
      </c>
      <c r="E240">
        <f>-2.02972058602829</f>
        <v>-2.0297205860282901</v>
      </c>
      <c r="F240" s="5">
        <v>7.5846863768549904E-17</v>
      </c>
      <c r="G240" t="s">
        <v>4</v>
      </c>
      <c r="H240">
        <v>364.35347493342499</v>
      </c>
      <c r="I240">
        <v>178.85125462810501</v>
      </c>
      <c r="J240">
        <v>1.0360602906906999</v>
      </c>
      <c r="K240" s="5">
        <v>6.8608608027853805E-5</v>
      </c>
      <c r="L240" t="s">
        <v>4</v>
      </c>
      <c r="M240">
        <v>1488.35059821001</v>
      </c>
      <c r="N240">
        <v>178.85125462810501</v>
      </c>
      <c r="O240">
        <v>3.06578087671899</v>
      </c>
      <c r="P240" s="5">
        <v>7.0769180086286896E-36</v>
      </c>
      <c r="Q240" t="s">
        <v>4</v>
      </c>
      <c r="R240" s="4" t="s">
        <v>87</v>
      </c>
      <c r="S240" t="s">
        <v>4</v>
      </c>
      <c r="T240" t="s">
        <v>5178</v>
      </c>
      <c r="U240" t="s">
        <v>5179</v>
      </c>
      <c r="V240" t="s">
        <v>5180</v>
      </c>
      <c r="W240" t="s">
        <v>123</v>
      </c>
      <c r="X240" t="s">
        <v>4</v>
      </c>
      <c r="Y240" t="s">
        <v>5181</v>
      </c>
      <c r="Z240" t="s">
        <v>5182</v>
      </c>
      <c r="AA240" t="s">
        <v>5183</v>
      </c>
      <c r="AB240" t="s">
        <v>4</v>
      </c>
      <c r="AC240" s="3" t="s">
        <v>5184</v>
      </c>
      <c r="AD240" t="s">
        <v>4</v>
      </c>
      <c r="AE240" t="s">
        <v>5185</v>
      </c>
      <c r="AF240" t="s">
        <v>5186</v>
      </c>
      <c r="AG240" t="s">
        <v>5187</v>
      </c>
      <c r="AH240" t="s">
        <v>112</v>
      </c>
      <c r="AU240" t="s">
        <v>112</v>
      </c>
      <c r="AV240" t="s">
        <v>5188</v>
      </c>
      <c r="AW240" t="s">
        <v>114</v>
      </c>
      <c r="AX240" t="s">
        <v>144</v>
      </c>
      <c r="AY240" t="s">
        <v>5189</v>
      </c>
      <c r="AZ240" t="s">
        <v>4</v>
      </c>
      <c r="BA240" s="3" t="s">
        <v>115</v>
      </c>
      <c r="BB240" s="6" t="s">
        <v>95</v>
      </c>
      <c r="BC240" s="3" t="s">
        <v>95</v>
      </c>
      <c r="BD240" t="s">
        <v>4</v>
      </c>
      <c r="BE240">
        <v>3996</v>
      </c>
      <c r="BF240" t="s">
        <v>112</v>
      </c>
      <c r="BH240">
        <v>36.612000000000002</v>
      </c>
      <c r="BI240">
        <v>63.934399999999997</v>
      </c>
      <c r="BK240" t="s">
        <v>5190</v>
      </c>
      <c r="BL240">
        <v>26.229500000000002</v>
      </c>
      <c r="BM240">
        <v>37.158499999999997</v>
      </c>
      <c r="BN240">
        <v>77.322400000000002</v>
      </c>
      <c r="BO240">
        <v>39.344299999999997</v>
      </c>
      <c r="BP240">
        <v>43.989100000000001</v>
      </c>
      <c r="CK240">
        <v>5</v>
      </c>
      <c r="CL240" t="s">
        <v>4</v>
      </c>
      <c r="CM240" t="s">
        <v>98</v>
      </c>
      <c r="CN240" t="s">
        <v>98</v>
      </c>
      <c r="CO240" t="s">
        <v>99</v>
      </c>
      <c r="CP240" t="s">
        <v>100</v>
      </c>
      <c r="CQ240">
        <v>239</v>
      </c>
      <c r="CR240" t="s">
        <v>100</v>
      </c>
      <c r="CS240" s="7" t="s">
        <v>101</v>
      </c>
      <c r="CT240" t="s">
        <v>152</v>
      </c>
      <c r="CU240" t="s">
        <v>102</v>
      </c>
      <c r="CV240" t="s">
        <v>100</v>
      </c>
    </row>
    <row r="241" spans="1:100">
      <c r="A241" s="3" t="s">
        <v>5191</v>
      </c>
      <c r="B241" s="4" t="s">
        <v>5192</v>
      </c>
      <c r="C241">
        <v>173.03863369734199</v>
      </c>
      <c r="D241">
        <v>1846.7440522836901</v>
      </c>
      <c r="E241">
        <f>-3.4150147134106</f>
        <v>-3.4150147134106001</v>
      </c>
      <c r="F241" s="5">
        <v>6.2769057131056698E-11</v>
      </c>
      <c r="G241" t="s">
        <v>4</v>
      </c>
      <c r="H241">
        <v>173.03863369734199</v>
      </c>
      <c r="I241">
        <v>82.595690946932606</v>
      </c>
      <c r="J241">
        <v>1.0761633525769001</v>
      </c>
      <c r="K241">
        <v>5.5943859025446303E-2</v>
      </c>
      <c r="L241" t="s">
        <v>4</v>
      </c>
      <c r="M241">
        <v>1846.7440522836901</v>
      </c>
      <c r="N241">
        <v>82.595690946932606</v>
      </c>
      <c r="O241">
        <v>4.4911780659874996</v>
      </c>
      <c r="P241" s="5">
        <v>2.84014675514578E-18</v>
      </c>
      <c r="Q241" t="s">
        <v>4</v>
      </c>
      <c r="R241" s="4" t="s">
        <v>87</v>
      </c>
      <c r="S241" t="s">
        <v>4</v>
      </c>
      <c r="T241" t="s">
        <v>88</v>
      </c>
      <c r="U241" t="s">
        <v>89</v>
      </c>
      <c r="V241" t="s">
        <v>90</v>
      </c>
      <c r="W241" t="s">
        <v>91</v>
      </c>
      <c r="X241" t="s">
        <v>4</v>
      </c>
      <c r="Y241" t="s">
        <v>92</v>
      </c>
      <c r="Z241" t="s">
        <v>92</v>
      </c>
      <c r="AA241" t="s">
        <v>92</v>
      </c>
      <c r="AB241" t="s">
        <v>4</v>
      </c>
      <c r="AC241" s="3" t="s">
        <v>93</v>
      </c>
      <c r="AD241" t="s">
        <v>4</v>
      </c>
      <c r="AE241" t="s">
        <v>5193</v>
      </c>
      <c r="AF241" t="s">
        <v>5194</v>
      </c>
      <c r="AG241" t="s">
        <v>5195</v>
      </c>
      <c r="AH241" t="s">
        <v>112</v>
      </c>
      <c r="AU241" t="s">
        <v>112</v>
      </c>
      <c r="AV241" t="s">
        <v>5196</v>
      </c>
      <c r="AW241" t="s">
        <v>114</v>
      </c>
      <c r="AZ241" t="s">
        <v>4</v>
      </c>
      <c r="BA241" s="3" t="s">
        <v>95</v>
      </c>
      <c r="BB241" t="s">
        <v>96</v>
      </c>
      <c r="BC241" s="3" t="s">
        <v>197</v>
      </c>
      <c r="BD241" t="s">
        <v>4</v>
      </c>
      <c r="BE241">
        <v>5063</v>
      </c>
      <c r="BF241" t="s">
        <v>282</v>
      </c>
      <c r="BG241">
        <v>91.203699999999998</v>
      </c>
      <c r="BH241">
        <v>30.902799999999999</v>
      </c>
      <c r="BI241" t="s">
        <v>5197</v>
      </c>
      <c r="BJ241">
        <v>37.847200000000001</v>
      </c>
      <c r="BK241">
        <v>32.291699999999999</v>
      </c>
      <c r="BL241">
        <v>59.027799999999999</v>
      </c>
      <c r="BM241">
        <v>60.7639</v>
      </c>
      <c r="BN241">
        <v>62.731499999999997</v>
      </c>
      <c r="BO241">
        <v>68.402799999999999</v>
      </c>
      <c r="BP241">
        <v>36.921300000000002</v>
      </c>
      <c r="BQ241">
        <v>22.800899999999999</v>
      </c>
      <c r="BR241">
        <v>28.2407</v>
      </c>
      <c r="BS241">
        <v>25.2315</v>
      </c>
      <c r="BT241">
        <v>23.3796</v>
      </c>
      <c r="BV241" t="s">
        <v>5198</v>
      </c>
      <c r="BW241">
        <v>22.1065</v>
      </c>
      <c r="BX241">
        <v>27.661999999999999</v>
      </c>
      <c r="BY241">
        <v>24.189800000000002</v>
      </c>
      <c r="BZ241">
        <v>14.351900000000001</v>
      </c>
      <c r="CA241">
        <v>29.5139</v>
      </c>
      <c r="CC241">
        <v>14.351900000000001</v>
      </c>
      <c r="CK241">
        <v>6</v>
      </c>
      <c r="CL241" t="s">
        <v>4</v>
      </c>
      <c r="CM241" t="s">
        <v>5199</v>
      </c>
      <c r="CN241" t="s">
        <v>5200</v>
      </c>
      <c r="CO241" t="s">
        <v>99</v>
      </c>
      <c r="CP241" t="s">
        <v>100</v>
      </c>
      <c r="CQ241">
        <v>240</v>
      </c>
      <c r="CR241" t="s">
        <v>100</v>
      </c>
      <c r="CS241" t="s">
        <v>100</v>
      </c>
      <c r="CT241" t="s">
        <v>152</v>
      </c>
      <c r="CU241" t="s">
        <v>102</v>
      </c>
      <c r="CV241" t="s">
        <v>100</v>
      </c>
    </row>
    <row r="242" spans="1:100">
      <c r="A242" s="3" t="s">
        <v>5201</v>
      </c>
      <c r="B242" s="4" t="s">
        <v>5202</v>
      </c>
      <c r="C242">
        <v>46.426874834798497</v>
      </c>
      <c r="D242">
        <v>204.517213284083</v>
      </c>
      <c r="E242">
        <f>-2.13861520396231</f>
        <v>-2.1386152039623099</v>
      </c>
      <c r="F242" s="5">
        <v>1.2043757080905699E-5</v>
      </c>
      <c r="G242" t="s">
        <v>4</v>
      </c>
      <c r="H242">
        <v>46.426874834798497</v>
      </c>
      <c r="I242">
        <v>39.367362731383302</v>
      </c>
      <c r="J242">
        <v>0.21873346259194101</v>
      </c>
      <c r="K242">
        <v>0.70447683129975502</v>
      </c>
      <c r="L242" t="s">
        <v>4</v>
      </c>
      <c r="M242">
        <v>204.517213284083</v>
      </c>
      <c r="N242">
        <v>39.367362731383302</v>
      </c>
      <c r="O242">
        <v>2.3573486665542598</v>
      </c>
      <c r="P242" s="5">
        <v>1.2029803950045201E-6</v>
      </c>
      <c r="Q242" t="s">
        <v>4</v>
      </c>
      <c r="R242" s="4" t="s">
        <v>87</v>
      </c>
      <c r="S242" t="s">
        <v>4</v>
      </c>
      <c r="T242" t="s">
        <v>92</v>
      </c>
      <c r="U242" t="s">
        <v>92</v>
      </c>
      <c r="V242" t="s">
        <v>92</v>
      </c>
      <c r="W242" t="s">
        <v>92</v>
      </c>
      <c r="X242" t="s">
        <v>4</v>
      </c>
      <c r="Y242" t="s">
        <v>5203</v>
      </c>
      <c r="Z242" t="s">
        <v>5204</v>
      </c>
      <c r="AA242" t="s">
        <v>5205</v>
      </c>
      <c r="AB242" t="s">
        <v>4</v>
      </c>
      <c r="AC242" s="3" t="s">
        <v>5206</v>
      </c>
      <c r="AD242" t="s">
        <v>4</v>
      </c>
      <c r="AE242" s="4" t="s">
        <v>94</v>
      </c>
      <c r="AZ242" t="s">
        <v>4</v>
      </c>
      <c r="BA242" s="3" t="s">
        <v>95</v>
      </c>
      <c r="BB242" s="6" t="s">
        <v>95</v>
      </c>
      <c r="BC242" s="3" t="s">
        <v>197</v>
      </c>
      <c r="BD242" t="s">
        <v>4</v>
      </c>
      <c r="BE242">
        <v>1920</v>
      </c>
      <c r="BF242" t="s">
        <v>148</v>
      </c>
      <c r="BG242">
        <v>99.256500000000003</v>
      </c>
      <c r="BH242">
        <v>37.174700000000001</v>
      </c>
      <c r="BI242">
        <v>97.025999999999996</v>
      </c>
      <c r="BJ242">
        <v>84.758399999999995</v>
      </c>
      <c r="BK242">
        <v>81.040899999999993</v>
      </c>
      <c r="BL242">
        <v>37.918199999999999</v>
      </c>
      <c r="BM242">
        <v>43.866199999999999</v>
      </c>
      <c r="BN242">
        <v>46.8401</v>
      </c>
      <c r="BO242">
        <v>69.5167</v>
      </c>
      <c r="CK242">
        <v>3</v>
      </c>
      <c r="CL242" t="s">
        <v>4</v>
      </c>
      <c r="CM242" t="s">
        <v>98</v>
      </c>
      <c r="CN242" t="s">
        <v>98</v>
      </c>
      <c r="CO242" t="s">
        <v>99</v>
      </c>
      <c r="CP242" t="s">
        <v>100</v>
      </c>
      <c r="CQ242">
        <v>241</v>
      </c>
      <c r="CR242" t="s">
        <v>100</v>
      </c>
      <c r="CS242" t="s">
        <v>100</v>
      </c>
      <c r="CT242" t="s">
        <v>152</v>
      </c>
      <c r="CU242" t="s">
        <v>102</v>
      </c>
      <c r="CV242" t="s">
        <v>100</v>
      </c>
    </row>
    <row r="243" spans="1:100">
      <c r="A243" s="3" t="s">
        <v>5207</v>
      </c>
      <c r="B243" s="4" t="s">
        <v>5208</v>
      </c>
      <c r="C243">
        <v>27.0766191724015</v>
      </c>
      <c r="D243">
        <v>128.71345974425199</v>
      </c>
      <c r="E243">
        <f>-2.24553873958823</f>
        <v>-2.24553873958823</v>
      </c>
      <c r="F243">
        <v>9.2952385449241695E-4</v>
      </c>
      <c r="G243" t="s">
        <v>4</v>
      </c>
      <c r="H243">
        <v>27.0766191724015</v>
      </c>
      <c r="I243">
        <v>12.7940453307613</v>
      </c>
      <c r="J243">
        <v>1.0958756180678799</v>
      </c>
      <c r="K243">
        <v>0.147146852100244</v>
      </c>
      <c r="L243" t="s">
        <v>4</v>
      </c>
      <c r="M243">
        <v>128.71345974425199</v>
      </c>
      <c r="N243">
        <v>12.7940453307613</v>
      </c>
      <c r="O243">
        <v>3.3414143576561099</v>
      </c>
      <c r="P243" s="5">
        <v>1.1784366298069501E-6</v>
      </c>
      <c r="Q243" t="s">
        <v>4</v>
      </c>
      <c r="R243" s="4" t="s">
        <v>87</v>
      </c>
      <c r="S243" t="s">
        <v>4</v>
      </c>
      <c r="T243" t="s">
        <v>92</v>
      </c>
      <c r="U243" t="s">
        <v>92</v>
      </c>
      <c r="V243" t="s">
        <v>92</v>
      </c>
      <c r="W243" t="s">
        <v>92</v>
      </c>
      <c r="X243" t="s">
        <v>4</v>
      </c>
      <c r="Y243" t="s">
        <v>650</v>
      </c>
      <c r="Z243" t="s">
        <v>651</v>
      </c>
      <c r="AA243" t="s">
        <v>652</v>
      </c>
      <c r="AB243" t="s">
        <v>4</v>
      </c>
      <c r="AC243" s="3" t="s">
        <v>653</v>
      </c>
      <c r="AD243" t="s">
        <v>4</v>
      </c>
      <c r="AE243" t="s">
        <v>5209</v>
      </c>
      <c r="AF243" t="s">
        <v>5210</v>
      </c>
      <c r="AG243" t="s">
        <v>5211</v>
      </c>
      <c r="AH243" t="s">
        <v>112</v>
      </c>
      <c r="AU243" t="s">
        <v>112</v>
      </c>
      <c r="AV243" t="s">
        <v>5212</v>
      </c>
      <c r="AW243" t="s">
        <v>114</v>
      </c>
      <c r="AX243" t="s">
        <v>144</v>
      </c>
      <c r="AY243" t="s">
        <v>658</v>
      </c>
      <c r="AZ243" t="s">
        <v>4</v>
      </c>
      <c r="BA243" s="3" t="s">
        <v>95</v>
      </c>
      <c r="BB243" s="6" t="s">
        <v>95</v>
      </c>
      <c r="BC243" s="3" t="s">
        <v>95</v>
      </c>
      <c r="BD243" t="s">
        <v>4</v>
      </c>
      <c r="BE243">
        <v>4011</v>
      </c>
      <c r="BF243" t="s">
        <v>112</v>
      </c>
      <c r="BG243">
        <v>98.994</v>
      </c>
      <c r="BI243">
        <v>94.768600000000006</v>
      </c>
      <c r="BJ243">
        <v>70.422499999999999</v>
      </c>
      <c r="BK243">
        <v>75.050299999999993</v>
      </c>
      <c r="BM243">
        <v>56.338000000000001</v>
      </c>
      <c r="BN243">
        <v>83.299800000000005</v>
      </c>
      <c r="BO243">
        <v>83.903400000000005</v>
      </c>
      <c r="BP243">
        <v>60.965800000000002</v>
      </c>
      <c r="BR243">
        <v>53.923499999999997</v>
      </c>
      <c r="BS243">
        <v>50.3018</v>
      </c>
      <c r="BT243" t="s">
        <v>5213</v>
      </c>
      <c r="BU243">
        <v>40.442700000000002</v>
      </c>
      <c r="BV243" t="s">
        <v>5214</v>
      </c>
      <c r="BW243">
        <v>45.271599999999999</v>
      </c>
      <c r="BX243">
        <v>52.313899999999997</v>
      </c>
      <c r="BZ243">
        <v>45.875300000000003</v>
      </c>
      <c r="CA243">
        <v>50.503</v>
      </c>
      <c r="CK243">
        <v>5</v>
      </c>
      <c r="CL243" t="s">
        <v>4</v>
      </c>
      <c r="CM243" t="s">
        <v>5215</v>
      </c>
      <c r="CN243" t="s">
        <v>5216</v>
      </c>
      <c r="CO243" t="s">
        <v>99</v>
      </c>
      <c r="CP243" t="s">
        <v>100</v>
      </c>
      <c r="CQ243">
        <v>242</v>
      </c>
      <c r="CR243" t="s">
        <v>100</v>
      </c>
      <c r="CS243" t="s">
        <v>100</v>
      </c>
      <c r="CT243" t="s">
        <v>152</v>
      </c>
      <c r="CU243" t="s">
        <v>102</v>
      </c>
      <c r="CV243" t="s">
        <v>100</v>
      </c>
    </row>
    <row r="244" spans="1:100">
      <c r="A244" s="3" t="s">
        <v>5217</v>
      </c>
      <c r="B244" s="4" t="s">
        <v>5218</v>
      </c>
      <c r="C244">
        <v>63.568331911958502</v>
      </c>
      <c r="D244">
        <v>902.98602066158298</v>
      </c>
      <c r="E244">
        <f>-3.82672898806425</f>
        <v>-3.8267289880642501</v>
      </c>
      <c r="F244" s="5">
        <v>7.6393253893307999E-14</v>
      </c>
      <c r="G244" t="s">
        <v>4</v>
      </c>
      <c r="H244">
        <v>63.568331911958502</v>
      </c>
      <c r="I244">
        <v>58.495187204638299</v>
      </c>
      <c r="J244">
        <v>9.9204681710571702E-2</v>
      </c>
      <c r="K244">
        <v>0.87365354280461205</v>
      </c>
      <c r="L244" t="s">
        <v>4</v>
      </c>
      <c r="M244">
        <v>902.98602066158298</v>
      </c>
      <c r="N244">
        <v>58.495187204638299</v>
      </c>
      <c r="O244">
        <v>3.9259336697748202</v>
      </c>
      <c r="P244" s="5">
        <v>1.24804472911219E-14</v>
      </c>
      <c r="Q244" t="s">
        <v>4</v>
      </c>
      <c r="R244" s="4" t="s">
        <v>87</v>
      </c>
      <c r="S244" t="s">
        <v>4</v>
      </c>
      <c r="T244" t="s">
        <v>92</v>
      </c>
      <c r="U244" t="s">
        <v>92</v>
      </c>
      <c r="V244" t="s">
        <v>92</v>
      </c>
      <c r="W244" t="s">
        <v>92</v>
      </c>
      <c r="X244" t="s">
        <v>4</v>
      </c>
      <c r="Y244" t="s">
        <v>650</v>
      </c>
      <c r="Z244" t="s">
        <v>651</v>
      </c>
      <c r="AA244" t="s">
        <v>652</v>
      </c>
      <c r="AB244" t="s">
        <v>4</v>
      </c>
      <c r="AC244" s="3" t="s">
        <v>653</v>
      </c>
      <c r="AD244" t="s">
        <v>4</v>
      </c>
      <c r="AE244" t="s">
        <v>5219</v>
      </c>
      <c r="AF244" t="s">
        <v>5220</v>
      </c>
      <c r="AG244" t="s">
        <v>5221</v>
      </c>
      <c r="AH244" t="s">
        <v>112</v>
      </c>
      <c r="AU244" t="s">
        <v>112</v>
      </c>
      <c r="AV244" t="s">
        <v>5222</v>
      </c>
      <c r="AW244" t="s">
        <v>114</v>
      </c>
      <c r="AX244" t="s">
        <v>132</v>
      </c>
      <c r="AY244" t="s">
        <v>658</v>
      </c>
      <c r="AZ244" t="s">
        <v>4</v>
      </c>
      <c r="BA244" s="3" t="s">
        <v>95</v>
      </c>
      <c r="BB244" s="6" t="s">
        <v>95</v>
      </c>
      <c r="BC244" s="3" t="s">
        <v>95</v>
      </c>
      <c r="BD244" t="s">
        <v>4</v>
      </c>
      <c r="BE244">
        <v>5612</v>
      </c>
      <c r="BF244" t="s">
        <v>386</v>
      </c>
      <c r="BG244">
        <v>97.249499999999998</v>
      </c>
      <c r="BH244">
        <v>99.8035</v>
      </c>
      <c r="BI244">
        <v>92.730800000000002</v>
      </c>
      <c r="BJ244">
        <v>78.192499999999995</v>
      </c>
      <c r="BK244">
        <v>70.334000000000003</v>
      </c>
      <c r="BL244">
        <v>53.831000000000003</v>
      </c>
      <c r="BM244">
        <v>79.764200000000002</v>
      </c>
      <c r="BN244">
        <v>74.459699999999998</v>
      </c>
      <c r="BO244">
        <v>77.406700000000001</v>
      </c>
      <c r="BP244">
        <v>42.043199999999999</v>
      </c>
      <c r="BQ244">
        <v>26.719100000000001</v>
      </c>
      <c r="BR244">
        <v>37.5246</v>
      </c>
      <c r="BS244" t="s">
        <v>5223</v>
      </c>
      <c r="BT244" t="s">
        <v>5224</v>
      </c>
      <c r="BV244" t="s">
        <v>5225</v>
      </c>
      <c r="BW244">
        <v>43.222000000000001</v>
      </c>
      <c r="BX244">
        <v>42.239699999999999</v>
      </c>
      <c r="BY244">
        <v>11.984299999999999</v>
      </c>
      <c r="CA244">
        <v>39.489199999999997</v>
      </c>
      <c r="CB244">
        <v>11.5914</v>
      </c>
      <c r="CC244" t="s">
        <v>5226</v>
      </c>
      <c r="CD244">
        <v>27.8978</v>
      </c>
      <c r="CF244" t="s">
        <v>5227</v>
      </c>
      <c r="CK244">
        <v>7</v>
      </c>
      <c r="CL244" t="s">
        <v>4</v>
      </c>
      <c r="CM244" t="s">
        <v>5228</v>
      </c>
      <c r="CN244" t="s">
        <v>5229</v>
      </c>
      <c r="CO244" t="s">
        <v>99</v>
      </c>
      <c r="CP244" t="s">
        <v>100</v>
      </c>
      <c r="CQ244">
        <v>243</v>
      </c>
      <c r="CR244" t="s">
        <v>100</v>
      </c>
      <c r="CS244" t="s">
        <v>100</v>
      </c>
      <c r="CT244" t="s">
        <v>152</v>
      </c>
      <c r="CU244" t="s">
        <v>102</v>
      </c>
      <c r="CV244" t="s">
        <v>100</v>
      </c>
    </row>
    <row r="245" spans="1:100">
      <c r="A245" s="3" t="s">
        <v>5230</v>
      </c>
      <c r="B245" s="4" t="s">
        <v>5231</v>
      </c>
      <c r="C245">
        <v>550.87874294562198</v>
      </c>
      <c r="D245">
        <v>5783.1285467892803</v>
      </c>
      <c r="E245">
        <f>-3.3918618858743</f>
        <v>-3.3918618858743002</v>
      </c>
      <c r="F245" s="5">
        <v>2.8783724057078798E-22</v>
      </c>
      <c r="G245" t="s">
        <v>4</v>
      </c>
      <c r="H245">
        <v>550.87874294562198</v>
      </c>
      <c r="I245">
        <v>1203.26612258813</v>
      </c>
      <c r="J245">
        <f>-1.12864256861993</f>
        <v>-1.12864256861993</v>
      </c>
      <c r="K245">
        <v>2.0125202320434802E-3</v>
      </c>
      <c r="L245" t="s">
        <v>4</v>
      </c>
      <c r="M245">
        <v>5783.1285467892803</v>
      </c>
      <c r="N245">
        <v>1203.26612258813</v>
      </c>
      <c r="O245">
        <v>2.26321931725438</v>
      </c>
      <c r="P245" s="5">
        <v>7.0411127637489296E-11</v>
      </c>
      <c r="Q245" t="s">
        <v>4</v>
      </c>
      <c r="R245" s="4" t="s">
        <v>87</v>
      </c>
      <c r="S245" t="s">
        <v>4</v>
      </c>
      <c r="T245" t="s">
        <v>5232</v>
      </c>
      <c r="U245" t="s">
        <v>5233</v>
      </c>
      <c r="V245" t="s">
        <v>5234</v>
      </c>
      <c r="W245" t="s">
        <v>328</v>
      </c>
      <c r="X245" t="s">
        <v>4</v>
      </c>
      <c r="Y245" t="s">
        <v>5235</v>
      </c>
      <c r="Z245" t="s">
        <v>5236</v>
      </c>
      <c r="AA245" t="s">
        <v>5237</v>
      </c>
      <c r="AB245" t="s">
        <v>4</v>
      </c>
      <c r="AC245" s="3" t="s">
        <v>5238</v>
      </c>
      <c r="AD245" t="s">
        <v>4</v>
      </c>
      <c r="AE245" t="s">
        <v>5239</v>
      </c>
      <c r="AF245" t="s">
        <v>5240</v>
      </c>
      <c r="AG245" t="s">
        <v>5241</v>
      </c>
      <c r="AH245" t="s">
        <v>112</v>
      </c>
      <c r="AJ245" t="s">
        <v>5242</v>
      </c>
      <c r="AL245" t="s">
        <v>5243</v>
      </c>
      <c r="AM245" t="s">
        <v>5244</v>
      </c>
      <c r="AQ245" t="s">
        <v>3133</v>
      </c>
      <c r="AR245" t="s">
        <v>5245</v>
      </c>
      <c r="AU245" t="s">
        <v>112</v>
      </c>
      <c r="AV245" t="s">
        <v>5246</v>
      </c>
      <c r="AW245" t="s">
        <v>114</v>
      </c>
      <c r="AX245" t="s">
        <v>909</v>
      </c>
      <c r="AY245" t="s">
        <v>5247</v>
      </c>
      <c r="AZ245" t="s">
        <v>4</v>
      </c>
      <c r="BA245" s="3" t="s">
        <v>95</v>
      </c>
      <c r="BB245" t="s">
        <v>96</v>
      </c>
      <c r="BC245" s="3" t="s">
        <v>197</v>
      </c>
      <c r="BD245" t="s">
        <v>4</v>
      </c>
      <c r="BE245">
        <v>7474</v>
      </c>
      <c r="BF245" t="s">
        <v>213</v>
      </c>
      <c r="BG245" t="s">
        <v>5248</v>
      </c>
      <c r="BH245">
        <v>52.717399999999998</v>
      </c>
      <c r="BI245">
        <v>96.920299999999997</v>
      </c>
      <c r="BK245">
        <v>75.996399999999994</v>
      </c>
      <c r="BL245">
        <v>27.717400000000001</v>
      </c>
      <c r="BM245">
        <v>40.670299999999997</v>
      </c>
      <c r="BN245">
        <v>97.282600000000002</v>
      </c>
      <c r="BO245">
        <v>68.840599999999995</v>
      </c>
      <c r="BP245">
        <v>91.123199999999997</v>
      </c>
      <c r="BQ245">
        <v>85.326099999999997</v>
      </c>
      <c r="BR245">
        <v>82.518100000000004</v>
      </c>
      <c r="BS245">
        <v>81.068799999999996</v>
      </c>
      <c r="BT245" t="s">
        <v>5249</v>
      </c>
      <c r="BV245" t="s">
        <v>5250</v>
      </c>
      <c r="BW245">
        <v>81.25</v>
      </c>
      <c r="BX245">
        <v>81.521699999999996</v>
      </c>
      <c r="BY245">
        <v>74.909400000000005</v>
      </c>
      <c r="BZ245">
        <v>56.431199999999997</v>
      </c>
      <c r="CA245">
        <v>79.800700000000006</v>
      </c>
      <c r="CB245" t="s">
        <v>5251</v>
      </c>
      <c r="CC245">
        <v>63.405799999999999</v>
      </c>
      <c r="CD245">
        <v>69.927499999999995</v>
      </c>
      <c r="CE245">
        <v>36.865900000000003</v>
      </c>
      <c r="CF245">
        <v>65.941999999999993</v>
      </c>
      <c r="CG245" t="s">
        <v>5252</v>
      </c>
      <c r="CH245" t="s">
        <v>5253</v>
      </c>
      <c r="CI245">
        <v>54.257199999999997</v>
      </c>
      <c r="CK245">
        <v>8</v>
      </c>
      <c r="CL245" t="s">
        <v>4</v>
      </c>
      <c r="CM245" t="s">
        <v>5254</v>
      </c>
      <c r="CN245" t="s">
        <v>5255</v>
      </c>
      <c r="CO245" t="s">
        <v>663</v>
      </c>
      <c r="CP245" t="s">
        <v>100</v>
      </c>
      <c r="CQ245">
        <v>244</v>
      </c>
      <c r="CR245" t="s">
        <v>100</v>
      </c>
      <c r="CS245" t="s">
        <v>100</v>
      </c>
      <c r="CT245" t="s">
        <v>152</v>
      </c>
      <c r="CU245" t="s">
        <v>102</v>
      </c>
      <c r="CV245" t="s">
        <v>100</v>
      </c>
    </row>
    <row r="246" spans="1:100">
      <c r="A246" s="3" t="s">
        <v>5256</v>
      </c>
      <c r="B246" s="4" t="s">
        <v>5257</v>
      </c>
      <c r="C246">
        <v>11.8483636262741</v>
      </c>
      <c r="D246">
        <v>52.439378140033902</v>
      </c>
      <c r="E246">
        <f>-2.13559620992487</f>
        <v>-2.13559620992487</v>
      </c>
      <c r="F246">
        <v>2.2417313380953502E-3</v>
      </c>
      <c r="G246" t="s">
        <v>4</v>
      </c>
      <c r="H246">
        <v>11.8483636262741</v>
      </c>
      <c r="I246">
        <v>0.483834107178163</v>
      </c>
      <c r="J246">
        <v>4.5633680879281799</v>
      </c>
      <c r="K246">
        <v>1.5329733810948399E-3</v>
      </c>
      <c r="L246" t="s">
        <v>4</v>
      </c>
      <c r="M246">
        <v>52.439378140033902</v>
      </c>
      <c r="N246">
        <v>0.483834107178163</v>
      </c>
      <c r="O246">
        <v>6.6989642978530499</v>
      </c>
      <c r="P246" s="5">
        <v>1.1895838036123599E-6</v>
      </c>
      <c r="Q246" t="s">
        <v>4</v>
      </c>
      <c r="R246" s="4" t="s">
        <v>87</v>
      </c>
      <c r="S246" t="s">
        <v>4</v>
      </c>
      <c r="T246" t="s">
        <v>189</v>
      </c>
      <c r="U246" t="s">
        <v>190</v>
      </c>
      <c r="V246" t="s">
        <v>191</v>
      </c>
      <c r="W246" t="s">
        <v>192</v>
      </c>
      <c r="X246" t="s">
        <v>4</v>
      </c>
      <c r="Y246" t="s">
        <v>92</v>
      </c>
      <c r="Z246" t="s">
        <v>92</v>
      </c>
      <c r="AA246" t="s">
        <v>92</v>
      </c>
      <c r="AB246" t="s">
        <v>4</v>
      </c>
      <c r="AC246" s="3" t="s">
        <v>93</v>
      </c>
      <c r="AD246" t="s">
        <v>4</v>
      </c>
      <c r="AE246" s="4" t="s">
        <v>94</v>
      </c>
      <c r="AZ246" t="s">
        <v>4</v>
      </c>
      <c r="BA246" s="3" t="s">
        <v>95</v>
      </c>
      <c r="BB246" t="s">
        <v>96</v>
      </c>
      <c r="BC246" s="3" t="s">
        <v>95</v>
      </c>
      <c r="BD246" t="s">
        <v>4</v>
      </c>
      <c r="BE246">
        <v>1038</v>
      </c>
      <c r="BF246" t="s">
        <v>151</v>
      </c>
      <c r="BG246">
        <v>96.710499999999996</v>
      </c>
      <c r="BH246">
        <v>100</v>
      </c>
      <c r="BI246">
        <v>79.6053</v>
      </c>
      <c r="BJ246">
        <v>65.789500000000004</v>
      </c>
      <c r="BK246">
        <v>45.3947</v>
      </c>
      <c r="BN246">
        <v>63.815800000000003</v>
      </c>
      <c r="CK246">
        <v>2</v>
      </c>
      <c r="CL246" t="s">
        <v>4</v>
      </c>
      <c r="CM246" t="s">
        <v>98</v>
      </c>
      <c r="CN246" t="s">
        <v>98</v>
      </c>
      <c r="CO246" t="s">
        <v>99</v>
      </c>
      <c r="CP246" t="s">
        <v>100</v>
      </c>
      <c r="CQ246">
        <v>245</v>
      </c>
      <c r="CR246" t="s">
        <v>100</v>
      </c>
      <c r="CS246" t="s">
        <v>101</v>
      </c>
      <c r="CT246" t="s">
        <v>152</v>
      </c>
      <c r="CU246" t="s">
        <v>102</v>
      </c>
      <c r="CV246" t="s">
        <v>100</v>
      </c>
    </row>
    <row r="247" spans="1:100">
      <c r="A247" s="3" t="s">
        <v>5258</v>
      </c>
      <c r="B247" s="4" t="s">
        <v>5259</v>
      </c>
      <c r="C247">
        <v>1619.38286356715</v>
      </c>
      <c r="D247">
        <v>7515.2607082277</v>
      </c>
      <c r="E247">
        <f>-2.21440745329733</f>
        <v>-2.2144074532973299</v>
      </c>
      <c r="F247" s="5">
        <v>6.55231210550584E-21</v>
      </c>
      <c r="G247" t="s">
        <v>4</v>
      </c>
      <c r="H247">
        <v>1619.38286356715</v>
      </c>
      <c r="I247">
        <v>1723.6820859858999</v>
      </c>
      <c r="J247">
        <f>0.0907163181375148</f>
        <v>9.0716318137514795E-2</v>
      </c>
      <c r="K247">
        <v>0.74498523664793503</v>
      </c>
      <c r="L247" t="s">
        <v>4</v>
      </c>
      <c r="M247">
        <v>7515.2607082277</v>
      </c>
      <c r="N247">
        <v>1723.6820859858999</v>
      </c>
      <c r="O247">
        <v>2.1236911351598202</v>
      </c>
      <c r="P247" s="5">
        <v>6.87424230934231E-20</v>
      </c>
      <c r="Q247" t="s">
        <v>4</v>
      </c>
      <c r="R247" s="4" t="s">
        <v>87</v>
      </c>
      <c r="S247" t="s">
        <v>4</v>
      </c>
      <c r="T247" t="s">
        <v>5260</v>
      </c>
      <c r="U247" t="s">
        <v>5261</v>
      </c>
      <c r="V247" t="s">
        <v>5262</v>
      </c>
      <c r="W247" t="s">
        <v>203</v>
      </c>
      <c r="X247" t="s">
        <v>4</v>
      </c>
      <c r="Y247" t="s">
        <v>5263</v>
      </c>
      <c r="Z247" t="s">
        <v>5264</v>
      </c>
      <c r="AA247" t="s">
        <v>5265</v>
      </c>
      <c r="AB247" t="s">
        <v>4</v>
      </c>
      <c r="AC247" s="3" t="s">
        <v>5266</v>
      </c>
      <c r="AD247" t="s">
        <v>4</v>
      </c>
      <c r="AE247" t="s">
        <v>5267</v>
      </c>
      <c r="AF247" t="s">
        <v>5268</v>
      </c>
      <c r="AG247" t="s">
        <v>5269</v>
      </c>
      <c r="AH247" t="s">
        <v>112</v>
      </c>
      <c r="AK247" t="s">
        <v>3114</v>
      </c>
      <c r="AL247" t="s">
        <v>5270</v>
      </c>
      <c r="AQ247" t="s">
        <v>3116</v>
      </c>
      <c r="AU247" t="s">
        <v>112</v>
      </c>
      <c r="AV247" t="s">
        <v>5271</v>
      </c>
      <c r="AW247" t="s">
        <v>114</v>
      </c>
      <c r="AX247" t="s">
        <v>536</v>
      </c>
      <c r="AY247" t="s">
        <v>5272</v>
      </c>
      <c r="AZ247" t="s">
        <v>4</v>
      </c>
      <c r="BA247" s="3" t="s">
        <v>95</v>
      </c>
      <c r="BB247" s="6" t="s">
        <v>95</v>
      </c>
      <c r="BC247" s="3" t="s">
        <v>95</v>
      </c>
      <c r="BD247" t="s">
        <v>4</v>
      </c>
      <c r="BE247">
        <v>7492</v>
      </c>
      <c r="BF247" t="s">
        <v>213</v>
      </c>
      <c r="BG247">
        <v>98.280799999999999</v>
      </c>
      <c r="BH247">
        <v>100</v>
      </c>
      <c r="BI247">
        <v>91.117500000000007</v>
      </c>
      <c r="BJ247">
        <v>69.340999999999994</v>
      </c>
      <c r="BK247">
        <v>52.149000000000001</v>
      </c>
      <c r="BL247">
        <v>36.676200000000001</v>
      </c>
      <c r="BN247">
        <v>53.295099999999998</v>
      </c>
      <c r="BP247">
        <v>32.091700000000003</v>
      </c>
      <c r="BX247">
        <v>24.9284</v>
      </c>
      <c r="CA247">
        <v>24.9284</v>
      </c>
      <c r="CB247">
        <v>19.484200000000001</v>
      </c>
      <c r="CE247">
        <v>10.315200000000001</v>
      </c>
      <c r="CF247">
        <v>11.4613</v>
      </c>
      <c r="CG247">
        <v>12.894</v>
      </c>
      <c r="CH247">
        <v>13.467000000000001</v>
      </c>
      <c r="CI247">
        <v>14.326599999999999</v>
      </c>
      <c r="CK247">
        <v>8</v>
      </c>
      <c r="CL247" t="s">
        <v>4</v>
      </c>
      <c r="CM247" t="s">
        <v>5273</v>
      </c>
      <c r="CN247" t="s">
        <v>5274</v>
      </c>
      <c r="CO247" t="s">
        <v>219</v>
      </c>
      <c r="CP247" t="s">
        <v>100</v>
      </c>
      <c r="CQ247">
        <v>246</v>
      </c>
      <c r="CR247" t="s">
        <v>100</v>
      </c>
      <c r="CS247" t="s">
        <v>100</v>
      </c>
      <c r="CT247" t="s">
        <v>152</v>
      </c>
      <c r="CU247" t="s">
        <v>102</v>
      </c>
      <c r="CV247" t="s">
        <v>100</v>
      </c>
    </row>
    <row r="248" spans="1:100">
      <c r="A248" s="3" t="s">
        <v>5275</v>
      </c>
      <c r="B248" s="4" t="s">
        <v>5276</v>
      </c>
      <c r="C248">
        <v>260.83262184388502</v>
      </c>
      <c r="D248">
        <v>3825.5236103658399</v>
      </c>
      <c r="E248">
        <f>-3.87376200229331</f>
        <v>-3.8737620022933101</v>
      </c>
      <c r="F248" s="5">
        <v>1.6746898107338999E-19</v>
      </c>
      <c r="G248" t="s">
        <v>4</v>
      </c>
      <c r="H248">
        <v>260.83262184388502</v>
      </c>
      <c r="I248">
        <v>638.78169981328494</v>
      </c>
      <c r="J248">
        <f>-1.29198384238038</f>
        <v>-1.29198384238038</v>
      </c>
      <c r="K248">
        <v>4.0364951705763302E-3</v>
      </c>
      <c r="L248" t="s">
        <v>4</v>
      </c>
      <c r="M248">
        <v>3825.5236103658399</v>
      </c>
      <c r="N248">
        <v>638.78169981328494</v>
      </c>
      <c r="O248">
        <v>2.5817781599129201</v>
      </c>
      <c r="P248" s="5">
        <v>1.2954451099812199E-9</v>
      </c>
      <c r="Q248" t="s">
        <v>4</v>
      </c>
      <c r="R248" s="4" t="s">
        <v>87</v>
      </c>
      <c r="S248" t="s">
        <v>4</v>
      </c>
      <c r="T248" t="s">
        <v>92</v>
      </c>
      <c r="U248" t="s">
        <v>92</v>
      </c>
      <c r="V248" t="s">
        <v>92</v>
      </c>
      <c r="W248" t="s">
        <v>92</v>
      </c>
      <c r="X248" t="s">
        <v>4</v>
      </c>
      <c r="Y248" t="s">
        <v>92</v>
      </c>
      <c r="Z248" t="s">
        <v>92</v>
      </c>
      <c r="AA248" t="s">
        <v>92</v>
      </c>
      <c r="AB248" t="s">
        <v>4</v>
      </c>
      <c r="AC248" s="3" t="s">
        <v>93</v>
      </c>
      <c r="AD248" t="s">
        <v>4</v>
      </c>
      <c r="AE248" t="s">
        <v>5277</v>
      </c>
      <c r="AF248" t="s">
        <v>5278</v>
      </c>
      <c r="AG248" t="s">
        <v>5279</v>
      </c>
      <c r="AH248" t="s">
        <v>112</v>
      </c>
      <c r="AU248" t="s">
        <v>112</v>
      </c>
      <c r="AV248" t="s">
        <v>5280</v>
      </c>
      <c r="AW248" t="s">
        <v>114</v>
      </c>
      <c r="AZ248" t="s">
        <v>4</v>
      </c>
      <c r="BA248" s="3" t="s">
        <v>95</v>
      </c>
      <c r="BB248" s="6" t="s">
        <v>95</v>
      </c>
      <c r="BC248" s="3" t="s">
        <v>95</v>
      </c>
      <c r="BD248" t="s">
        <v>4</v>
      </c>
      <c r="BE248">
        <v>4042</v>
      </c>
      <c r="BF248" t="s">
        <v>112</v>
      </c>
      <c r="BG248">
        <v>97.345100000000002</v>
      </c>
      <c r="BH248">
        <v>99.557500000000005</v>
      </c>
      <c r="BI248">
        <v>95.1327</v>
      </c>
      <c r="BJ248">
        <v>74.336299999999994</v>
      </c>
      <c r="BK248">
        <v>66.8142</v>
      </c>
      <c r="BL248">
        <v>58.4071</v>
      </c>
      <c r="BM248">
        <v>67.256600000000006</v>
      </c>
      <c r="BN248">
        <v>66.8142</v>
      </c>
      <c r="BO248">
        <v>65.486699999999999</v>
      </c>
      <c r="BP248">
        <v>45.1327</v>
      </c>
      <c r="BQ248">
        <v>38.053100000000001</v>
      </c>
      <c r="BR248">
        <v>40.707999999999998</v>
      </c>
      <c r="BS248">
        <v>43.3628</v>
      </c>
      <c r="BW248">
        <v>40.265500000000003</v>
      </c>
      <c r="BX248">
        <v>41.150399999999998</v>
      </c>
      <c r="BY248">
        <v>25.663699999999999</v>
      </c>
      <c r="BZ248">
        <v>40.265500000000003</v>
      </c>
      <c r="CA248">
        <v>42.035400000000003</v>
      </c>
      <c r="CK248">
        <v>5</v>
      </c>
      <c r="CL248" t="s">
        <v>4</v>
      </c>
      <c r="CM248" t="s">
        <v>5281</v>
      </c>
      <c r="CN248" t="s">
        <v>5282</v>
      </c>
      <c r="CO248" t="s">
        <v>99</v>
      </c>
      <c r="CP248" t="s">
        <v>100</v>
      </c>
      <c r="CQ248">
        <v>247</v>
      </c>
      <c r="CR248" t="s">
        <v>100</v>
      </c>
      <c r="CS248" t="s">
        <v>100</v>
      </c>
      <c r="CT248" t="s">
        <v>152</v>
      </c>
      <c r="CU248" t="s">
        <v>102</v>
      </c>
      <c r="CV248" t="s">
        <v>100</v>
      </c>
    </row>
    <row r="249" spans="1:100">
      <c r="A249" s="3" t="s">
        <v>5283</v>
      </c>
      <c r="B249" s="4" t="s">
        <v>5284</v>
      </c>
      <c r="C249">
        <v>3885.9002507199698</v>
      </c>
      <c r="D249">
        <v>23263.156547005201</v>
      </c>
      <c r="E249">
        <f>-2.58169883238309</f>
        <v>-2.5816988323830898</v>
      </c>
      <c r="F249" s="5">
        <v>6.0436251230955398E-43</v>
      </c>
      <c r="G249" t="s">
        <v>4</v>
      </c>
      <c r="H249">
        <v>3885.9002507199698</v>
      </c>
      <c r="I249">
        <v>1899.45460160372</v>
      </c>
      <c r="J249">
        <v>1.03262907393155</v>
      </c>
      <c r="K249" s="5">
        <v>9.0920069663953004E-8</v>
      </c>
      <c r="L249" t="s">
        <v>4</v>
      </c>
      <c r="M249">
        <v>23263.156547005201</v>
      </c>
      <c r="N249">
        <v>1899.45460160372</v>
      </c>
      <c r="O249">
        <v>3.6143279063146401</v>
      </c>
      <c r="P249" s="5">
        <v>1.2203871312528101E-84</v>
      </c>
      <c r="Q249" t="s">
        <v>4</v>
      </c>
      <c r="R249" s="4" t="s">
        <v>87</v>
      </c>
      <c r="S249" t="s">
        <v>4</v>
      </c>
      <c r="T249" t="s">
        <v>5285</v>
      </c>
      <c r="U249" t="s">
        <v>5286</v>
      </c>
      <c r="V249" t="s">
        <v>5287</v>
      </c>
      <c r="W249" t="s">
        <v>203</v>
      </c>
      <c r="X249" t="s">
        <v>4</v>
      </c>
      <c r="Y249" t="s">
        <v>5288</v>
      </c>
      <c r="Z249" t="s">
        <v>5289</v>
      </c>
      <c r="AA249" t="s">
        <v>5290</v>
      </c>
      <c r="AB249" t="s">
        <v>4</v>
      </c>
      <c r="AC249" s="3" t="s">
        <v>5291</v>
      </c>
      <c r="AD249" t="s">
        <v>4</v>
      </c>
      <c r="AE249" t="s">
        <v>5292</v>
      </c>
      <c r="AF249" t="s">
        <v>5293</v>
      </c>
      <c r="AG249" t="s">
        <v>5294</v>
      </c>
      <c r="AH249" t="s">
        <v>112</v>
      </c>
      <c r="AJ249" t="s">
        <v>5295</v>
      </c>
      <c r="AL249" t="s">
        <v>5296</v>
      </c>
      <c r="AM249" t="s">
        <v>302</v>
      </c>
      <c r="AN249" t="s">
        <v>5297</v>
      </c>
      <c r="AQ249" t="s">
        <v>5298</v>
      </c>
      <c r="AU249" t="s">
        <v>112</v>
      </c>
      <c r="AV249" t="s">
        <v>5299</v>
      </c>
      <c r="AW249" t="s">
        <v>114</v>
      </c>
      <c r="AX249" t="s">
        <v>5300</v>
      </c>
      <c r="AY249" t="s">
        <v>5301</v>
      </c>
      <c r="AZ249" t="s">
        <v>4</v>
      </c>
      <c r="BA249" s="3" t="s">
        <v>95</v>
      </c>
      <c r="BB249" s="6" t="s">
        <v>95</v>
      </c>
      <c r="BC249" s="3" t="s">
        <v>95</v>
      </c>
      <c r="BD249" t="s">
        <v>4</v>
      </c>
      <c r="BE249">
        <v>9885</v>
      </c>
      <c r="BF249" t="s">
        <v>169</v>
      </c>
      <c r="BG249">
        <v>99.114999999999995</v>
      </c>
      <c r="BI249">
        <v>94.690299999999993</v>
      </c>
      <c r="BJ249">
        <v>75.811199999999999</v>
      </c>
      <c r="BK249">
        <v>32.448399999999999</v>
      </c>
      <c r="BL249">
        <v>71.091399999999993</v>
      </c>
      <c r="BM249">
        <v>75.221199999999996</v>
      </c>
      <c r="BN249">
        <v>72.2714</v>
      </c>
      <c r="BO249">
        <v>68.436599999999999</v>
      </c>
      <c r="BP249">
        <v>36.578200000000002</v>
      </c>
      <c r="BQ249">
        <v>19.469000000000001</v>
      </c>
      <c r="BS249">
        <v>20.943999999999999</v>
      </c>
      <c r="BT249">
        <v>17.109100000000002</v>
      </c>
      <c r="BV249" t="s">
        <v>5302</v>
      </c>
      <c r="BW249">
        <v>23.008900000000001</v>
      </c>
      <c r="BX249">
        <v>28.023599999999998</v>
      </c>
      <c r="BZ249">
        <v>27.7286</v>
      </c>
      <c r="CA249">
        <v>23.893799999999999</v>
      </c>
      <c r="CB249">
        <v>10.9145</v>
      </c>
      <c r="CC249">
        <v>15.0442</v>
      </c>
      <c r="CD249">
        <v>17.109100000000002</v>
      </c>
      <c r="CE249">
        <v>20.649000000000001</v>
      </c>
      <c r="CF249">
        <v>21.828900000000001</v>
      </c>
      <c r="CG249" t="s">
        <v>5303</v>
      </c>
      <c r="CH249" t="s">
        <v>5304</v>
      </c>
      <c r="CI249" t="s">
        <v>5305</v>
      </c>
      <c r="CK249">
        <v>9</v>
      </c>
      <c r="CL249" t="s">
        <v>4</v>
      </c>
      <c r="CM249" t="s">
        <v>5306</v>
      </c>
      <c r="CN249" t="s">
        <v>5307</v>
      </c>
      <c r="CO249" t="s">
        <v>1218</v>
      </c>
      <c r="CP249" t="s">
        <v>100</v>
      </c>
      <c r="CQ249">
        <v>248</v>
      </c>
      <c r="CR249" t="s">
        <v>100</v>
      </c>
      <c r="CS249" s="7" t="s">
        <v>101</v>
      </c>
      <c r="CT249" t="s">
        <v>152</v>
      </c>
      <c r="CU249" t="s">
        <v>102</v>
      </c>
      <c r="CV249" t="s">
        <v>100</v>
      </c>
    </row>
    <row r="250" spans="1:100">
      <c r="A250" s="3" t="s">
        <v>5308</v>
      </c>
      <c r="B250" s="4" t="s">
        <v>5309</v>
      </c>
      <c r="C250">
        <v>176.27541912643301</v>
      </c>
      <c r="D250">
        <v>3409.8005351516599</v>
      </c>
      <c r="E250">
        <f>-4.2718885565598</f>
        <v>-4.2718885565597997</v>
      </c>
      <c r="F250" s="5">
        <v>2.4153252054412701E-31</v>
      </c>
      <c r="G250" t="s">
        <v>4</v>
      </c>
      <c r="H250">
        <v>176.27541912643301</v>
      </c>
      <c r="I250">
        <v>636.08371882763697</v>
      </c>
      <c r="J250">
        <f>-1.84822527304965</f>
        <v>-1.84822527304965</v>
      </c>
      <c r="K250" s="5">
        <v>9.3273263871849898E-7</v>
      </c>
      <c r="L250" t="s">
        <v>4</v>
      </c>
      <c r="M250">
        <v>3409.8005351516599</v>
      </c>
      <c r="N250">
        <v>636.08371882763697</v>
      </c>
      <c r="O250">
        <v>2.4236632835101601</v>
      </c>
      <c r="P250" s="5">
        <v>2.86218794011244E-11</v>
      </c>
      <c r="Q250" t="s">
        <v>4</v>
      </c>
      <c r="R250" s="4" t="s">
        <v>87</v>
      </c>
      <c r="S250" t="s">
        <v>4</v>
      </c>
      <c r="T250" t="s">
        <v>189</v>
      </c>
      <c r="U250" t="s">
        <v>190</v>
      </c>
      <c r="V250" t="s">
        <v>191</v>
      </c>
      <c r="W250" t="s">
        <v>192</v>
      </c>
      <c r="X250" t="s">
        <v>4</v>
      </c>
      <c r="Y250" t="s">
        <v>5310</v>
      </c>
      <c r="Z250" t="s">
        <v>5311</v>
      </c>
      <c r="AA250" t="s">
        <v>5312</v>
      </c>
      <c r="AB250" t="s">
        <v>4</v>
      </c>
      <c r="AC250" s="3" t="s">
        <v>5313</v>
      </c>
      <c r="AD250" t="s">
        <v>4</v>
      </c>
      <c r="AE250" t="s">
        <v>5314</v>
      </c>
      <c r="AF250" t="s">
        <v>5315</v>
      </c>
      <c r="AG250" t="s">
        <v>3547</v>
      </c>
      <c r="AH250" t="s">
        <v>112</v>
      </c>
      <c r="AU250" t="s">
        <v>112</v>
      </c>
      <c r="AV250" t="s">
        <v>5316</v>
      </c>
      <c r="AW250" t="s">
        <v>114</v>
      </c>
      <c r="AX250" t="s">
        <v>144</v>
      </c>
      <c r="AY250" t="s">
        <v>5317</v>
      </c>
      <c r="AZ250" t="s">
        <v>4</v>
      </c>
      <c r="BA250" s="3" t="s">
        <v>95</v>
      </c>
      <c r="BB250" t="s">
        <v>96</v>
      </c>
      <c r="BC250" s="3" t="s">
        <v>95</v>
      </c>
      <c r="BD250" t="s">
        <v>4</v>
      </c>
      <c r="BE250">
        <v>5085</v>
      </c>
      <c r="BF250" t="s">
        <v>282</v>
      </c>
      <c r="BG250">
        <v>98.559700000000007</v>
      </c>
      <c r="BI250">
        <v>94.650199999999998</v>
      </c>
      <c r="BJ250">
        <v>84.156400000000005</v>
      </c>
      <c r="BK250">
        <v>51.440300000000001</v>
      </c>
      <c r="BL250" t="s">
        <v>5318</v>
      </c>
      <c r="BN250">
        <v>77.160499999999999</v>
      </c>
      <c r="BO250" t="s">
        <v>5319</v>
      </c>
      <c r="BP250">
        <v>63.374499999999998</v>
      </c>
      <c r="BQ250">
        <v>52.674900000000001</v>
      </c>
      <c r="BR250">
        <v>51.440300000000001</v>
      </c>
      <c r="BS250">
        <v>52.263399999999997</v>
      </c>
      <c r="BT250">
        <v>18.5185</v>
      </c>
      <c r="BU250">
        <v>51.440300000000001</v>
      </c>
      <c r="BV250" t="s">
        <v>5320</v>
      </c>
      <c r="BW250">
        <v>50.6173</v>
      </c>
      <c r="BX250">
        <v>50.411499999999997</v>
      </c>
      <c r="BY250">
        <v>37.654299999999999</v>
      </c>
      <c r="CA250" t="s">
        <v>5321</v>
      </c>
      <c r="CB250">
        <v>12.345700000000001</v>
      </c>
      <c r="CK250">
        <v>6</v>
      </c>
      <c r="CL250" t="s">
        <v>4</v>
      </c>
      <c r="CM250" t="s">
        <v>5322</v>
      </c>
      <c r="CN250" t="s">
        <v>5323</v>
      </c>
      <c r="CO250" t="s">
        <v>99</v>
      </c>
      <c r="CP250" t="s">
        <v>100</v>
      </c>
      <c r="CQ250">
        <v>249</v>
      </c>
      <c r="CR250" t="s">
        <v>100</v>
      </c>
      <c r="CS250" t="s">
        <v>100</v>
      </c>
      <c r="CT250" t="s">
        <v>152</v>
      </c>
      <c r="CU250" t="s">
        <v>102</v>
      </c>
      <c r="CV250" t="s">
        <v>100</v>
      </c>
    </row>
    <row r="251" spans="1:100">
      <c r="A251" s="3" t="s">
        <v>5324</v>
      </c>
      <c r="B251" s="4" t="s">
        <v>5325</v>
      </c>
      <c r="C251">
        <v>616.02194922583101</v>
      </c>
      <c r="D251">
        <v>3262.0860886248602</v>
      </c>
      <c r="E251">
        <f>-2.4041907952788</f>
        <v>-2.4041907952788</v>
      </c>
      <c r="F251" s="5">
        <v>8.9992059556960994E-18</v>
      </c>
      <c r="G251" t="s">
        <v>4</v>
      </c>
      <c r="H251">
        <v>616.02194922583101</v>
      </c>
      <c r="I251">
        <v>768.68995904662199</v>
      </c>
      <c r="J251">
        <f>0.320947624545609</f>
        <v>0.32094762454560899</v>
      </c>
      <c r="K251">
        <v>0.30124839974445999</v>
      </c>
      <c r="L251" t="s">
        <v>4</v>
      </c>
      <c r="M251">
        <v>3262.0860886248602</v>
      </c>
      <c r="N251">
        <v>768.68995904662199</v>
      </c>
      <c r="O251">
        <v>2.0832431707331902</v>
      </c>
      <c r="P251" s="5">
        <v>4.6933611205282801E-14</v>
      </c>
      <c r="Q251" t="s">
        <v>4</v>
      </c>
      <c r="R251" s="4" t="s">
        <v>87</v>
      </c>
      <c r="S251" t="s">
        <v>4</v>
      </c>
      <c r="T251" t="s">
        <v>92</v>
      </c>
      <c r="U251" t="s">
        <v>92</v>
      </c>
      <c r="V251" t="s">
        <v>92</v>
      </c>
      <c r="W251" t="s">
        <v>92</v>
      </c>
      <c r="X251" t="s">
        <v>4</v>
      </c>
      <c r="Y251" t="s">
        <v>92</v>
      </c>
      <c r="Z251" t="s">
        <v>92</v>
      </c>
      <c r="AA251" t="s">
        <v>92</v>
      </c>
      <c r="AB251" t="s">
        <v>4</v>
      </c>
      <c r="AC251" s="3" t="s">
        <v>93</v>
      </c>
      <c r="AD251" t="s">
        <v>4</v>
      </c>
      <c r="AE251" t="s">
        <v>5326</v>
      </c>
      <c r="AF251" t="s">
        <v>5327</v>
      </c>
      <c r="AG251" t="s">
        <v>5328</v>
      </c>
      <c r="AH251" t="s">
        <v>112</v>
      </c>
      <c r="AU251" t="s">
        <v>112</v>
      </c>
      <c r="AV251" t="s">
        <v>5329</v>
      </c>
      <c r="AW251" t="s">
        <v>114</v>
      </c>
      <c r="AZ251" t="s">
        <v>4</v>
      </c>
      <c r="BA251" s="3" t="s">
        <v>95</v>
      </c>
      <c r="BB251" s="6" t="s">
        <v>95</v>
      </c>
      <c r="BC251" s="3" t="s">
        <v>95</v>
      </c>
      <c r="BD251" t="s">
        <v>4</v>
      </c>
      <c r="BE251">
        <v>4060</v>
      </c>
      <c r="BF251" t="s">
        <v>112</v>
      </c>
      <c r="BG251">
        <v>98.728800000000007</v>
      </c>
      <c r="BH251">
        <v>99.576300000000003</v>
      </c>
      <c r="BI251">
        <v>94.491500000000002</v>
      </c>
      <c r="BJ251">
        <v>84.745800000000003</v>
      </c>
      <c r="BK251">
        <v>79.237300000000005</v>
      </c>
      <c r="BL251">
        <v>66.101699999999994</v>
      </c>
      <c r="BM251">
        <v>66.525400000000005</v>
      </c>
      <c r="BN251">
        <v>81.355900000000005</v>
      </c>
      <c r="BO251">
        <v>30.508500000000002</v>
      </c>
      <c r="BP251">
        <v>39.830500000000001</v>
      </c>
      <c r="BR251">
        <v>26.2712</v>
      </c>
      <c r="CK251">
        <v>5</v>
      </c>
      <c r="CL251" t="s">
        <v>4</v>
      </c>
      <c r="CM251" t="s">
        <v>98</v>
      </c>
      <c r="CN251" t="s">
        <v>98</v>
      </c>
      <c r="CO251" t="s">
        <v>99</v>
      </c>
      <c r="CP251" t="s">
        <v>100</v>
      </c>
      <c r="CQ251">
        <v>250</v>
      </c>
      <c r="CR251" t="s">
        <v>100</v>
      </c>
      <c r="CS251" t="s">
        <v>100</v>
      </c>
      <c r="CT251" t="s">
        <v>152</v>
      </c>
      <c r="CU251" t="s">
        <v>102</v>
      </c>
      <c r="CV251" t="s">
        <v>100</v>
      </c>
    </row>
    <row r="252" spans="1:100">
      <c r="A252" s="3" t="s">
        <v>5330</v>
      </c>
      <c r="B252" s="4" t="s">
        <v>5331</v>
      </c>
      <c r="C252">
        <v>2562.3833533776101</v>
      </c>
      <c r="D252">
        <v>29493.833102369601</v>
      </c>
      <c r="E252">
        <f>-3.52471180614539</f>
        <v>-3.5247118061453899</v>
      </c>
      <c r="F252" s="5">
        <v>4.7585737173709905E-41</v>
      </c>
      <c r="G252" t="s">
        <v>4</v>
      </c>
      <c r="H252">
        <v>2562.3833533776101</v>
      </c>
      <c r="I252">
        <v>2408.0247888142299</v>
      </c>
      <c r="J252">
        <v>8.9457058069490794E-2</v>
      </c>
      <c r="K252">
        <v>0.77579755302268405</v>
      </c>
      <c r="L252" t="s">
        <v>4</v>
      </c>
      <c r="M252">
        <v>29493.833102369601</v>
      </c>
      <c r="N252">
        <v>2408.0247888142299</v>
      </c>
      <c r="O252">
        <v>3.6141688642148799</v>
      </c>
      <c r="P252" s="5">
        <v>2.7821719212041799E-44</v>
      </c>
      <c r="Q252" t="s">
        <v>4</v>
      </c>
      <c r="R252" s="4" t="s">
        <v>87</v>
      </c>
      <c r="S252" t="s">
        <v>4</v>
      </c>
      <c r="T252" t="s">
        <v>5332</v>
      </c>
      <c r="U252" t="s">
        <v>5333</v>
      </c>
      <c r="V252" t="s">
        <v>5334</v>
      </c>
      <c r="W252" t="s">
        <v>123</v>
      </c>
      <c r="X252" t="s">
        <v>4</v>
      </c>
      <c r="Y252" t="s">
        <v>5335</v>
      </c>
      <c r="Z252" t="s">
        <v>5336</v>
      </c>
      <c r="AA252" t="s">
        <v>5337</v>
      </c>
      <c r="AB252" t="s">
        <v>4</v>
      </c>
      <c r="AC252" s="3" t="s">
        <v>5338</v>
      </c>
      <c r="AD252" t="s">
        <v>4</v>
      </c>
      <c r="AE252" t="s">
        <v>5339</v>
      </c>
      <c r="AF252" t="s">
        <v>834</v>
      </c>
      <c r="AG252" t="s">
        <v>5340</v>
      </c>
      <c r="AH252" t="s">
        <v>112</v>
      </c>
      <c r="AL252" t="s">
        <v>5341</v>
      </c>
      <c r="AM252" t="s">
        <v>5342</v>
      </c>
      <c r="AQ252" t="s">
        <v>5343</v>
      </c>
      <c r="AU252" t="s">
        <v>112</v>
      </c>
      <c r="AV252" t="s">
        <v>5344</v>
      </c>
      <c r="AW252" t="s">
        <v>114</v>
      </c>
      <c r="AX252" t="s">
        <v>1938</v>
      </c>
      <c r="AY252" t="s">
        <v>5345</v>
      </c>
      <c r="AZ252" t="s">
        <v>4</v>
      </c>
      <c r="BA252" s="3" t="s">
        <v>95</v>
      </c>
      <c r="BB252" s="6" t="s">
        <v>95</v>
      </c>
      <c r="BC252" s="3" t="s">
        <v>95</v>
      </c>
      <c r="BD252" t="s">
        <v>4</v>
      </c>
      <c r="BE252">
        <v>5094</v>
      </c>
      <c r="BF252" t="s">
        <v>282</v>
      </c>
      <c r="BG252">
        <v>97.157799999999995</v>
      </c>
      <c r="BH252">
        <v>34.222700000000003</v>
      </c>
      <c r="BI252">
        <v>87.876999999999995</v>
      </c>
      <c r="BJ252">
        <v>79.176299999999998</v>
      </c>
      <c r="BK252">
        <v>70.997699999999995</v>
      </c>
      <c r="BL252">
        <v>26.1601</v>
      </c>
      <c r="BM252">
        <v>45.823700000000002</v>
      </c>
      <c r="BN252">
        <v>73.7239</v>
      </c>
      <c r="BO252">
        <v>8.5846900000000002</v>
      </c>
      <c r="BP252">
        <v>42.749400000000001</v>
      </c>
      <c r="CC252">
        <v>18.503499999999999</v>
      </c>
      <c r="CE252">
        <v>9.5127600000000001</v>
      </c>
      <c r="CF252">
        <v>10.3828</v>
      </c>
      <c r="CG252" t="s">
        <v>5346</v>
      </c>
      <c r="CH252" t="s">
        <v>5347</v>
      </c>
      <c r="CI252" t="s">
        <v>5348</v>
      </c>
      <c r="CK252">
        <v>6</v>
      </c>
      <c r="CL252" t="s">
        <v>4</v>
      </c>
      <c r="CM252" t="s">
        <v>98</v>
      </c>
      <c r="CN252" t="s">
        <v>98</v>
      </c>
      <c r="CO252" t="s">
        <v>99</v>
      </c>
      <c r="CP252" t="s">
        <v>100</v>
      </c>
      <c r="CQ252">
        <v>251</v>
      </c>
      <c r="CR252" t="s">
        <v>100</v>
      </c>
      <c r="CS252" t="s">
        <v>100</v>
      </c>
      <c r="CT252" t="s">
        <v>152</v>
      </c>
      <c r="CU252" t="s">
        <v>102</v>
      </c>
      <c r="CV252" t="s">
        <v>100</v>
      </c>
    </row>
    <row r="253" spans="1:100">
      <c r="A253" s="3" t="s">
        <v>5349</v>
      </c>
      <c r="B253" s="4" t="s">
        <v>5350</v>
      </c>
      <c r="C253">
        <v>145.92410810652299</v>
      </c>
      <c r="D253">
        <v>797.04287614011696</v>
      </c>
      <c r="E253">
        <f>-2.44825657712236</f>
        <v>-2.4482565771223599</v>
      </c>
      <c r="F253" s="5">
        <v>9.7687607618683906E-11</v>
      </c>
      <c r="G253" t="s">
        <v>4</v>
      </c>
      <c r="H253">
        <v>145.92410810652299</v>
      </c>
      <c r="I253">
        <v>54.686576585074398</v>
      </c>
      <c r="J253">
        <v>1.3952580436595401</v>
      </c>
      <c r="K253">
        <v>6.7450711122104005E-4</v>
      </c>
      <c r="L253" t="s">
        <v>4</v>
      </c>
      <c r="M253">
        <v>797.04287614011696</v>
      </c>
      <c r="N253">
        <v>54.686576585074398</v>
      </c>
      <c r="O253">
        <v>3.8435146207819</v>
      </c>
      <c r="P253" s="5">
        <v>1.68994389038431E-23</v>
      </c>
      <c r="Q253" t="s">
        <v>4</v>
      </c>
      <c r="R253" s="4" t="s">
        <v>87</v>
      </c>
      <c r="S253" t="s">
        <v>4</v>
      </c>
      <c r="T253" t="s">
        <v>628</v>
      </c>
      <c r="U253" t="s">
        <v>629</v>
      </c>
      <c r="V253" t="s">
        <v>630</v>
      </c>
      <c r="W253" t="s">
        <v>328</v>
      </c>
      <c r="X253" t="s">
        <v>4</v>
      </c>
      <c r="Y253" t="s">
        <v>631</v>
      </c>
      <c r="Z253" t="s">
        <v>632</v>
      </c>
      <c r="AA253" t="s">
        <v>633</v>
      </c>
      <c r="AB253" t="s">
        <v>4</v>
      </c>
      <c r="AC253" s="3" t="s">
        <v>5351</v>
      </c>
      <c r="AD253" t="s">
        <v>4</v>
      </c>
      <c r="AE253" t="s">
        <v>5352</v>
      </c>
      <c r="AF253" t="s">
        <v>5353</v>
      </c>
      <c r="AG253" t="s">
        <v>5354</v>
      </c>
      <c r="AH253" t="s">
        <v>638</v>
      </c>
      <c r="AU253" t="s">
        <v>112</v>
      </c>
      <c r="AV253" t="s">
        <v>5355</v>
      </c>
      <c r="AW253" t="s">
        <v>114</v>
      </c>
      <c r="AX253" t="s">
        <v>132</v>
      </c>
      <c r="AY253" t="s">
        <v>5356</v>
      </c>
      <c r="AZ253" t="s">
        <v>4</v>
      </c>
      <c r="BA253" s="3" t="s">
        <v>95</v>
      </c>
      <c r="BB253" t="s">
        <v>96</v>
      </c>
      <c r="BC253" s="3" t="s">
        <v>95</v>
      </c>
      <c r="BD253" t="s">
        <v>4</v>
      </c>
      <c r="BE253">
        <v>5099</v>
      </c>
      <c r="BF253" t="s">
        <v>282</v>
      </c>
      <c r="BG253">
        <v>94.194800000000001</v>
      </c>
      <c r="BH253">
        <v>24.157299999999999</v>
      </c>
      <c r="BI253">
        <v>92.509399999999999</v>
      </c>
      <c r="BJ253" t="s">
        <v>5357</v>
      </c>
      <c r="BK253">
        <v>81.273399999999995</v>
      </c>
      <c r="BL253">
        <v>80.524299999999997</v>
      </c>
      <c r="BM253">
        <v>81.273399999999995</v>
      </c>
      <c r="BN253">
        <v>83.520600000000002</v>
      </c>
      <c r="BO253">
        <v>86.891400000000004</v>
      </c>
      <c r="BP253">
        <v>39.138599999999997</v>
      </c>
      <c r="BQ253">
        <v>57.116100000000003</v>
      </c>
      <c r="BR253">
        <v>62.3596</v>
      </c>
      <c r="BS253">
        <v>62.734099999999998</v>
      </c>
      <c r="BT253">
        <v>45.505600000000001</v>
      </c>
      <c r="BU253">
        <v>33.895099999999999</v>
      </c>
      <c r="BV253">
        <v>19.6629</v>
      </c>
      <c r="BW253">
        <v>62.921300000000002</v>
      </c>
      <c r="BX253">
        <v>64.606700000000004</v>
      </c>
      <c r="BY253">
        <v>60.674199999999999</v>
      </c>
      <c r="BZ253">
        <v>49.625500000000002</v>
      </c>
      <c r="CA253">
        <v>61.610500000000002</v>
      </c>
      <c r="CB253">
        <v>40.636699999999998</v>
      </c>
      <c r="CC253">
        <v>48.314599999999999</v>
      </c>
      <c r="CD253" t="s">
        <v>5358</v>
      </c>
      <c r="CK253">
        <v>6</v>
      </c>
      <c r="CL253" t="s">
        <v>4</v>
      </c>
      <c r="CM253" t="s">
        <v>5359</v>
      </c>
      <c r="CN253" t="s">
        <v>5360</v>
      </c>
      <c r="CO253" t="s">
        <v>99</v>
      </c>
      <c r="CP253" t="s">
        <v>100</v>
      </c>
      <c r="CQ253">
        <v>252</v>
      </c>
      <c r="CR253" t="s">
        <v>100</v>
      </c>
      <c r="CS253" s="7" t="s">
        <v>101</v>
      </c>
      <c r="CT253" t="s">
        <v>152</v>
      </c>
      <c r="CU253" t="s">
        <v>102</v>
      </c>
      <c r="CV253" t="s">
        <v>100</v>
      </c>
    </row>
    <row r="254" spans="1:100">
      <c r="A254" s="3" t="s">
        <v>5361</v>
      </c>
      <c r="B254" s="4" t="s">
        <v>5362</v>
      </c>
      <c r="C254">
        <v>99.065583007772204</v>
      </c>
      <c r="D254">
        <v>519.97282978175701</v>
      </c>
      <c r="E254">
        <f>-2.39074120411658</f>
        <v>-2.3907412041165799</v>
      </c>
      <c r="F254" s="5">
        <v>2.03260200743905E-19</v>
      </c>
      <c r="G254" t="s">
        <v>4</v>
      </c>
      <c r="H254">
        <v>99.065583007772204</v>
      </c>
      <c r="I254">
        <v>117.666221780073</v>
      </c>
      <c r="J254">
        <f>0.266969634823919</f>
        <v>0.266969634823919</v>
      </c>
      <c r="K254">
        <v>0.39181503088009201</v>
      </c>
      <c r="L254" t="s">
        <v>4</v>
      </c>
      <c r="M254">
        <v>519.97282978175701</v>
      </c>
      <c r="N254">
        <v>117.666221780073</v>
      </c>
      <c r="O254">
        <v>2.1237715692926602</v>
      </c>
      <c r="P254" s="5">
        <v>1.9560462283965501E-15</v>
      </c>
      <c r="Q254" t="s">
        <v>4</v>
      </c>
      <c r="R254" s="4" t="s">
        <v>87</v>
      </c>
      <c r="S254" t="s">
        <v>4</v>
      </c>
      <c r="T254" t="s">
        <v>88</v>
      </c>
      <c r="U254" t="s">
        <v>89</v>
      </c>
      <c r="V254" t="s">
        <v>90</v>
      </c>
      <c r="W254" t="s">
        <v>91</v>
      </c>
      <c r="X254" t="s">
        <v>4</v>
      </c>
      <c r="Y254" t="s">
        <v>5363</v>
      </c>
      <c r="Z254" t="s">
        <v>5364</v>
      </c>
      <c r="AA254" t="s">
        <v>5365</v>
      </c>
      <c r="AB254" t="s">
        <v>4</v>
      </c>
      <c r="AC254" s="3" t="s">
        <v>5366</v>
      </c>
      <c r="AD254" t="s">
        <v>4</v>
      </c>
      <c r="AE254" t="s">
        <v>5367</v>
      </c>
      <c r="AF254" t="s">
        <v>5368</v>
      </c>
      <c r="AG254" t="s">
        <v>5369</v>
      </c>
      <c r="AH254" t="s">
        <v>112</v>
      </c>
      <c r="AL254" t="s">
        <v>5370</v>
      </c>
      <c r="AM254" t="s">
        <v>5371</v>
      </c>
      <c r="AQ254" t="s">
        <v>879</v>
      </c>
      <c r="AU254" t="s">
        <v>112</v>
      </c>
      <c r="AV254" t="s">
        <v>5372</v>
      </c>
      <c r="AW254" t="s">
        <v>114</v>
      </c>
      <c r="AX254" t="s">
        <v>132</v>
      </c>
      <c r="AY254" t="s">
        <v>5373</v>
      </c>
      <c r="AZ254" t="s">
        <v>4</v>
      </c>
      <c r="BA254" s="3" t="s">
        <v>95</v>
      </c>
      <c r="BB254" t="s">
        <v>96</v>
      </c>
      <c r="BC254" s="3" t="s">
        <v>95</v>
      </c>
      <c r="BD254" t="s">
        <v>4</v>
      </c>
      <c r="BE254">
        <v>7618</v>
      </c>
      <c r="BF254" t="s">
        <v>213</v>
      </c>
      <c r="BG254">
        <v>98.661600000000007</v>
      </c>
      <c r="BH254">
        <v>44.933100000000003</v>
      </c>
      <c r="BI254">
        <v>89.101299999999995</v>
      </c>
      <c r="BJ254">
        <v>82.218000000000004</v>
      </c>
      <c r="BK254">
        <v>72.084100000000007</v>
      </c>
      <c r="BL254">
        <v>56.4054</v>
      </c>
      <c r="BM254">
        <v>51.433999999999997</v>
      </c>
      <c r="BN254">
        <v>65.391999999999996</v>
      </c>
      <c r="BO254">
        <v>72.657700000000006</v>
      </c>
      <c r="BP254">
        <v>41.873800000000003</v>
      </c>
      <c r="BQ254">
        <v>35.181600000000003</v>
      </c>
      <c r="BR254">
        <v>35.181600000000003</v>
      </c>
      <c r="BS254">
        <v>34.607999999999997</v>
      </c>
      <c r="BU254">
        <v>25.430199999999999</v>
      </c>
      <c r="BV254" t="s">
        <v>5374</v>
      </c>
      <c r="BW254">
        <v>28.298300000000001</v>
      </c>
      <c r="BX254">
        <v>33.843200000000003</v>
      </c>
      <c r="BY254">
        <v>29.063099999999999</v>
      </c>
      <c r="BZ254">
        <v>34.799199999999999</v>
      </c>
      <c r="CA254">
        <v>32.504800000000003</v>
      </c>
      <c r="CK254">
        <v>8</v>
      </c>
      <c r="CL254" t="s">
        <v>4</v>
      </c>
      <c r="CM254" t="s">
        <v>5375</v>
      </c>
      <c r="CN254" t="s">
        <v>5376</v>
      </c>
      <c r="CO254" t="s">
        <v>1218</v>
      </c>
      <c r="CP254" t="s">
        <v>100</v>
      </c>
      <c r="CQ254">
        <v>253</v>
      </c>
      <c r="CR254" t="s">
        <v>100</v>
      </c>
      <c r="CS254" t="s">
        <v>100</v>
      </c>
      <c r="CT254" t="s">
        <v>152</v>
      </c>
      <c r="CU254" t="s">
        <v>102</v>
      </c>
      <c r="CV254" t="s">
        <v>100</v>
      </c>
    </row>
    <row r="255" spans="1:100">
      <c r="A255" s="3" t="s">
        <v>5377</v>
      </c>
      <c r="B255" s="4" t="s">
        <v>5378</v>
      </c>
      <c r="C255">
        <v>2697.53457759095</v>
      </c>
      <c r="D255">
        <v>15880.003125391901</v>
      </c>
      <c r="E255">
        <f>-2.5575006077716</f>
        <v>-2.5575006077715998</v>
      </c>
      <c r="F255" s="5">
        <v>1.6239225489032199E-22</v>
      </c>
      <c r="G255" t="s">
        <v>4</v>
      </c>
      <c r="H255">
        <v>2697.53457759095</v>
      </c>
      <c r="I255">
        <v>2561.6457076383699</v>
      </c>
      <c r="J255">
        <v>7.5102959010061393E-2</v>
      </c>
      <c r="K255">
        <v>0.80987669507773197</v>
      </c>
      <c r="L255" t="s">
        <v>4</v>
      </c>
      <c r="M255">
        <v>15880.003125391901</v>
      </c>
      <c r="N255">
        <v>2561.6457076383699</v>
      </c>
      <c r="O255">
        <v>2.6326035667816599</v>
      </c>
      <c r="P255" s="5">
        <v>1.56598415844095E-24</v>
      </c>
      <c r="Q255" t="s">
        <v>4</v>
      </c>
      <c r="R255" s="4" t="s">
        <v>87</v>
      </c>
      <c r="S255" t="s">
        <v>4</v>
      </c>
      <c r="T255" t="s">
        <v>92</v>
      </c>
      <c r="U255" t="s">
        <v>92</v>
      </c>
      <c r="V255" t="s">
        <v>92</v>
      </c>
      <c r="W255" t="s">
        <v>92</v>
      </c>
      <c r="X255" t="s">
        <v>4</v>
      </c>
      <c r="Y255" t="s">
        <v>5379</v>
      </c>
      <c r="Z255" t="s">
        <v>5380</v>
      </c>
      <c r="AA255" t="s">
        <v>5381</v>
      </c>
      <c r="AB255" t="s">
        <v>4</v>
      </c>
      <c r="AC255" s="3" t="s">
        <v>5382</v>
      </c>
      <c r="AD255" t="s">
        <v>4</v>
      </c>
      <c r="AE255" t="s">
        <v>5383</v>
      </c>
      <c r="AF255" t="s">
        <v>834</v>
      </c>
      <c r="AG255" t="s">
        <v>5384</v>
      </c>
      <c r="AH255" t="s">
        <v>112</v>
      </c>
      <c r="AU255" t="s">
        <v>112</v>
      </c>
      <c r="AV255" t="s">
        <v>5385</v>
      </c>
      <c r="AW255" t="s">
        <v>114</v>
      </c>
      <c r="AX255" t="s">
        <v>371</v>
      </c>
      <c r="AY255" t="s">
        <v>5386</v>
      </c>
      <c r="AZ255" t="s">
        <v>4</v>
      </c>
      <c r="BA255" s="3" t="s">
        <v>115</v>
      </c>
      <c r="BB255" s="6" t="s">
        <v>95</v>
      </c>
      <c r="BC255" s="3" t="s">
        <v>95</v>
      </c>
      <c r="BD255" t="s">
        <v>4</v>
      </c>
      <c r="BE255">
        <v>9982</v>
      </c>
      <c r="BF255" t="s">
        <v>169</v>
      </c>
      <c r="BG255" t="s">
        <v>5387</v>
      </c>
      <c r="BJ255">
        <v>82.787800000000004</v>
      </c>
      <c r="BK255">
        <v>79.091899999999995</v>
      </c>
      <c r="BL255" t="s">
        <v>5388</v>
      </c>
      <c r="BM255">
        <v>82.154200000000003</v>
      </c>
      <c r="BN255">
        <v>82.154200000000003</v>
      </c>
      <c r="BO255">
        <v>81.942999999999998</v>
      </c>
      <c r="BP255">
        <v>60.295699999999997</v>
      </c>
      <c r="BQ255">
        <v>46.568100000000001</v>
      </c>
      <c r="BR255">
        <v>44.456200000000003</v>
      </c>
      <c r="BS255">
        <v>43.928199999999997</v>
      </c>
      <c r="BT255">
        <v>31.678999999999998</v>
      </c>
      <c r="BU255">
        <v>29.5671</v>
      </c>
      <c r="BV255" t="s">
        <v>5389</v>
      </c>
      <c r="BX255">
        <v>40.4435</v>
      </c>
      <c r="BY255" t="s">
        <v>5390</v>
      </c>
      <c r="BZ255" t="s">
        <v>5391</v>
      </c>
      <c r="CA255">
        <v>42.133099999999999</v>
      </c>
      <c r="CB255">
        <v>43.400199999999998</v>
      </c>
      <c r="CC255" t="s">
        <v>5392</v>
      </c>
      <c r="CD255">
        <v>39.2819</v>
      </c>
      <c r="CE255">
        <v>32.312600000000003</v>
      </c>
      <c r="CF255">
        <v>41.077100000000002</v>
      </c>
      <c r="CG255">
        <v>44.033799999999999</v>
      </c>
      <c r="CH255">
        <v>43.294600000000003</v>
      </c>
      <c r="CI255">
        <v>7.3917599999999997</v>
      </c>
      <c r="CJ255">
        <v>24.815200000000001</v>
      </c>
      <c r="CK255">
        <v>9</v>
      </c>
      <c r="CL255" t="s">
        <v>4</v>
      </c>
      <c r="CM255" t="s">
        <v>5393</v>
      </c>
      <c r="CN255" t="s">
        <v>5394</v>
      </c>
      <c r="CO255" t="s">
        <v>219</v>
      </c>
      <c r="CP255" t="s">
        <v>100</v>
      </c>
      <c r="CQ255">
        <v>254</v>
      </c>
      <c r="CR255" t="s">
        <v>100</v>
      </c>
      <c r="CS255" t="s">
        <v>100</v>
      </c>
      <c r="CT255" t="s">
        <v>152</v>
      </c>
      <c r="CU255" t="s">
        <v>102</v>
      </c>
      <c r="CV255" t="s">
        <v>100</v>
      </c>
    </row>
    <row r="256" spans="1:100">
      <c r="A256" s="3" t="s">
        <v>5395</v>
      </c>
      <c r="B256" s="4" t="s">
        <v>5396</v>
      </c>
      <c r="C256">
        <v>1173.36698523114</v>
      </c>
      <c r="D256">
        <v>9698.7773221527896</v>
      </c>
      <c r="E256">
        <f>-3.0467179705133</f>
        <v>-3.0467179705133001</v>
      </c>
      <c r="F256" s="5">
        <v>7.4237804162398199E-32</v>
      </c>
      <c r="G256" t="s">
        <v>4</v>
      </c>
      <c r="H256">
        <v>1173.36698523114</v>
      </c>
      <c r="I256">
        <v>597.78679815174598</v>
      </c>
      <c r="J256">
        <v>0.97245611865044401</v>
      </c>
      <c r="K256">
        <v>3.7558461108284198E-4</v>
      </c>
      <c r="L256" t="s">
        <v>4</v>
      </c>
      <c r="M256">
        <v>9698.7773221527896</v>
      </c>
      <c r="N256">
        <v>597.78679815174598</v>
      </c>
      <c r="O256">
        <v>4.01917408916374</v>
      </c>
      <c r="P256" s="5">
        <v>2.52961801588653E-55</v>
      </c>
      <c r="Q256" t="s">
        <v>4</v>
      </c>
      <c r="R256" s="4" t="s">
        <v>87</v>
      </c>
      <c r="S256" t="s">
        <v>4</v>
      </c>
      <c r="T256" t="s">
        <v>5397</v>
      </c>
      <c r="U256" t="s">
        <v>5398</v>
      </c>
      <c r="V256" t="s">
        <v>5399</v>
      </c>
      <c r="W256" t="s">
        <v>328</v>
      </c>
      <c r="X256" t="s">
        <v>4</v>
      </c>
      <c r="Y256" t="s">
        <v>5400</v>
      </c>
      <c r="Z256" t="s">
        <v>5401</v>
      </c>
      <c r="AA256" t="s">
        <v>5402</v>
      </c>
      <c r="AB256" t="s">
        <v>4</v>
      </c>
      <c r="AC256" s="3" t="s">
        <v>5403</v>
      </c>
      <c r="AD256" t="s">
        <v>4</v>
      </c>
      <c r="AE256" t="s">
        <v>5404</v>
      </c>
      <c r="AF256" t="s">
        <v>5405</v>
      </c>
      <c r="AG256" t="s">
        <v>5406</v>
      </c>
      <c r="AH256" t="s">
        <v>112</v>
      </c>
      <c r="AJ256" t="s">
        <v>5407</v>
      </c>
      <c r="AK256" t="s">
        <v>5408</v>
      </c>
      <c r="AL256" t="s">
        <v>5409</v>
      </c>
      <c r="AM256" t="s">
        <v>302</v>
      </c>
      <c r="AO256" t="s">
        <v>5410</v>
      </c>
      <c r="AP256" t="s">
        <v>5411</v>
      </c>
      <c r="AQ256" t="s">
        <v>5412</v>
      </c>
      <c r="AU256" t="s">
        <v>112</v>
      </c>
      <c r="AV256" t="s">
        <v>5413</v>
      </c>
      <c r="AW256" t="s">
        <v>114</v>
      </c>
      <c r="AX256" t="s">
        <v>144</v>
      </c>
      <c r="AY256" t="s">
        <v>5414</v>
      </c>
      <c r="AZ256" t="s">
        <v>4</v>
      </c>
      <c r="BA256" s="3" t="s">
        <v>95</v>
      </c>
      <c r="BB256" s="6" t="s">
        <v>95</v>
      </c>
      <c r="BC256" s="3" t="s">
        <v>95</v>
      </c>
      <c r="BD256" t="s">
        <v>4</v>
      </c>
      <c r="BE256">
        <v>10026</v>
      </c>
      <c r="BF256" t="s">
        <v>169</v>
      </c>
      <c r="BG256">
        <v>50.645200000000003</v>
      </c>
      <c r="BH256">
        <v>54.516100000000002</v>
      </c>
      <c r="BJ256">
        <v>79.032300000000006</v>
      </c>
      <c r="BK256">
        <v>50</v>
      </c>
      <c r="BL256">
        <v>76.774199999999993</v>
      </c>
      <c r="BM256">
        <v>78.709699999999998</v>
      </c>
      <c r="BN256">
        <v>77.741900000000001</v>
      </c>
      <c r="BO256">
        <v>75.806399999999996</v>
      </c>
      <c r="BP256">
        <v>51.612900000000003</v>
      </c>
      <c r="BQ256">
        <v>31.6129</v>
      </c>
      <c r="BR256">
        <v>33.548400000000001</v>
      </c>
      <c r="BS256">
        <v>31.290299999999998</v>
      </c>
      <c r="BU256">
        <v>27.741900000000001</v>
      </c>
      <c r="BV256" t="s">
        <v>5415</v>
      </c>
      <c r="BW256">
        <v>35.161299999999997</v>
      </c>
      <c r="BX256">
        <v>40</v>
      </c>
      <c r="BY256">
        <v>40</v>
      </c>
      <c r="BZ256">
        <v>37.741900000000001</v>
      </c>
      <c r="CA256">
        <v>36.451599999999999</v>
      </c>
      <c r="CB256">
        <v>29.354800000000001</v>
      </c>
      <c r="CC256">
        <v>18.3871</v>
      </c>
      <c r="CD256" t="s">
        <v>5416</v>
      </c>
      <c r="CE256">
        <v>25.483899999999998</v>
      </c>
      <c r="CF256">
        <v>33.2258</v>
      </c>
      <c r="CG256">
        <v>33.2258</v>
      </c>
      <c r="CH256">
        <v>33.871000000000002</v>
      </c>
      <c r="CI256">
        <v>35.161299999999997</v>
      </c>
      <c r="CJ256" t="s">
        <v>5417</v>
      </c>
      <c r="CK256">
        <v>9</v>
      </c>
      <c r="CL256" t="s">
        <v>4</v>
      </c>
      <c r="CM256" t="s">
        <v>5418</v>
      </c>
      <c r="CN256" t="s">
        <v>5419</v>
      </c>
      <c r="CO256" t="s">
        <v>219</v>
      </c>
      <c r="CP256" t="s">
        <v>100</v>
      </c>
      <c r="CQ256">
        <v>255</v>
      </c>
      <c r="CR256" t="s">
        <v>100</v>
      </c>
      <c r="CS256" t="s">
        <v>100</v>
      </c>
      <c r="CT256" t="s">
        <v>152</v>
      </c>
      <c r="CU256" t="s">
        <v>102</v>
      </c>
      <c r="CV256" t="s">
        <v>100</v>
      </c>
    </row>
    <row r="257" spans="1:100">
      <c r="A257" s="3" t="s">
        <v>5420</v>
      </c>
      <c r="B257" s="4" t="s">
        <v>5421</v>
      </c>
      <c r="C257">
        <v>29.672634750510898</v>
      </c>
      <c r="D257">
        <v>238.83012122584</v>
      </c>
      <c r="E257">
        <f>-3.00013993835292</f>
        <v>-3.0001399383529201</v>
      </c>
      <c r="F257" s="5">
        <v>6.76584865263395E-10</v>
      </c>
      <c r="G257" t="s">
        <v>4</v>
      </c>
      <c r="H257">
        <v>29.672634750510898</v>
      </c>
      <c r="I257">
        <v>15.9694388118966</v>
      </c>
      <c r="J257">
        <v>0.84765411354412501</v>
      </c>
      <c r="K257">
        <v>0.14637270928687901</v>
      </c>
      <c r="L257" t="s">
        <v>4</v>
      </c>
      <c r="M257">
        <v>238.83012122584</v>
      </c>
      <c r="N257">
        <v>15.9694388118966</v>
      </c>
      <c r="O257">
        <v>3.8477940518970399</v>
      </c>
      <c r="P257" s="5">
        <v>8.9062972562284701E-14</v>
      </c>
      <c r="Q257" t="s">
        <v>4</v>
      </c>
      <c r="R257" s="4" t="s">
        <v>87</v>
      </c>
      <c r="S257" t="s">
        <v>4</v>
      </c>
      <c r="T257" t="s">
        <v>5422</v>
      </c>
      <c r="U257" t="s">
        <v>5423</v>
      </c>
      <c r="V257" t="s">
        <v>5424</v>
      </c>
      <c r="W257" t="s">
        <v>328</v>
      </c>
      <c r="X257" t="s">
        <v>4</v>
      </c>
      <c r="Y257" t="s">
        <v>5425</v>
      </c>
      <c r="Z257" t="s">
        <v>5426</v>
      </c>
      <c r="AA257" t="s">
        <v>5427</v>
      </c>
      <c r="AB257" t="s">
        <v>4</v>
      </c>
      <c r="AC257" s="3" t="s">
        <v>5428</v>
      </c>
      <c r="AD257" t="s">
        <v>4</v>
      </c>
      <c r="AE257" t="s">
        <v>5429</v>
      </c>
      <c r="AF257" t="s">
        <v>5430</v>
      </c>
      <c r="AG257" t="s">
        <v>5431</v>
      </c>
      <c r="AH257" t="s">
        <v>112</v>
      </c>
      <c r="AU257" t="s">
        <v>112</v>
      </c>
      <c r="AV257" t="s">
        <v>5432</v>
      </c>
      <c r="AW257" t="s">
        <v>114</v>
      </c>
      <c r="AX257" t="s">
        <v>5433</v>
      </c>
      <c r="AY257" t="s">
        <v>5434</v>
      </c>
      <c r="AZ257" t="s">
        <v>4</v>
      </c>
      <c r="BA257" s="3" t="s">
        <v>95</v>
      </c>
      <c r="BB257" t="s">
        <v>96</v>
      </c>
      <c r="BC257" s="3" t="s">
        <v>95</v>
      </c>
      <c r="BD257" t="s">
        <v>4</v>
      </c>
      <c r="BE257">
        <v>5116</v>
      </c>
      <c r="BF257" t="s">
        <v>282</v>
      </c>
      <c r="BG257">
        <v>84.987300000000005</v>
      </c>
      <c r="BH257">
        <v>100</v>
      </c>
      <c r="BI257">
        <v>83.460599999999999</v>
      </c>
      <c r="BJ257">
        <v>87.022900000000007</v>
      </c>
      <c r="BK257">
        <v>78.880399999999995</v>
      </c>
      <c r="BL257">
        <v>41.4758</v>
      </c>
      <c r="BM257">
        <v>79.134900000000002</v>
      </c>
      <c r="BN257">
        <v>78.626000000000005</v>
      </c>
      <c r="BO257">
        <v>77.8626</v>
      </c>
      <c r="BP257">
        <v>38.422400000000003</v>
      </c>
      <c r="BR257" t="s">
        <v>5435</v>
      </c>
      <c r="BT257">
        <v>42.239199999999997</v>
      </c>
      <c r="BV257" t="s">
        <v>5436</v>
      </c>
      <c r="BW257">
        <v>44.274799999999999</v>
      </c>
      <c r="BX257">
        <v>41.984699999999997</v>
      </c>
      <c r="CA257" t="s">
        <v>5437</v>
      </c>
      <c r="CB257" t="s">
        <v>5438</v>
      </c>
      <c r="CC257">
        <v>16.285</v>
      </c>
      <c r="CD257" t="s">
        <v>5439</v>
      </c>
      <c r="CF257" t="s">
        <v>5440</v>
      </c>
      <c r="CG257" t="s">
        <v>5441</v>
      </c>
      <c r="CH257" t="s">
        <v>5442</v>
      </c>
      <c r="CI257" t="s">
        <v>5443</v>
      </c>
      <c r="CJ257" t="s">
        <v>5444</v>
      </c>
      <c r="CK257">
        <v>6</v>
      </c>
      <c r="CL257" t="s">
        <v>4</v>
      </c>
      <c r="CM257" t="s">
        <v>5445</v>
      </c>
      <c r="CN257" t="s">
        <v>5446</v>
      </c>
      <c r="CO257" t="s">
        <v>99</v>
      </c>
      <c r="CP257" t="s">
        <v>100</v>
      </c>
      <c r="CQ257">
        <v>256</v>
      </c>
      <c r="CR257" t="s">
        <v>100</v>
      </c>
      <c r="CS257" t="s">
        <v>100</v>
      </c>
      <c r="CT257" t="s">
        <v>152</v>
      </c>
      <c r="CU257" t="s">
        <v>102</v>
      </c>
      <c r="CV257" t="s">
        <v>100</v>
      </c>
    </row>
    <row r="258" spans="1:100">
      <c r="A258" s="3" t="s">
        <v>5447</v>
      </c>
      <c r="B258" s="4" t="s">
        <v>5448</v>
      </c>
      <c r="C258">
        <v>80.107380771535404</v>
      </c>
      <c r="D258">
        <v>369.96028208563501</v>
      </c>
      <c r="E258">
        <f>-2.20659432258462</f>
        <v>-2.2065943225846198</v>
      </c>
      <c r="F258">
        <v>1.1101132907776301E-3</v>
      </c>
      <c r="G258" t="s">
        <v>4</v>
      </c>
      <c r="H258">
        <v>80.107380771535404</v>
      </c>
      <c r="I258">
        <v>22.567009458616901</v>
      </c>
      <c r="J258">
        <v>1.8475999592336501</v>
      </c>
      <c r="K258">
        <v>8.6563642459806592E-3</v>
      </c>
      <c r="L258" t="s">
        <v>4</v>
      </c>
      <c r="M258">
        <v>369.96028208563501</v>
      </c>
      <c r="N258">
        <v>22.567009458616901</v>
      </c>
      <c r="O258">
        <v>4.0541942818182699</v>
      </c>
      <c r="P258" s="5">
        <v>9.793106238443199E-10</v>
      </c>
      <c r="Q258" t="s">
        <v>4</v>
      </c>
      <c r="R258" s="4" t="s">
        <v>87</v>
      </c>
      <c r="S258" t="s">
        <v>4</v>
      </c>
      <c r="T258" t="s">
        <v>5449</v>
      </c>
      <c r="U258" t="s">
        <v>5450</v>
      </c>
      <c r="V258" t="s">
        <v>5451</v>
      </c>
      <c r="W258" t="s">
        <v>328</v>
      </c>
      <c r="X258" t="s">
        <v>4</v>
      </c>
      <c r="Y258" t="s">
        <v>5452</v>
      </c>
      <c r="Z258" t="s">
        <v>5453</v>
      </c>
      <c r="AA258" t="s">
        <v>5454</v>
      </c>
      <c r="AB258" t="s">
        <v>4</v>
      </c>
      <c r="AC258" s="3" t="s">
        <v>5455</v>
      </c>
      <c r="AD258" t="s">
        <v>4</v>
      </c>
      <c r="AE258" t="s">
        <v>5456</v>
      </c>
      <c r="AF258" t="s">
        <v>5457</v>
      </c>
      <c r="AG258" t="s">
        <v>5458</v>
      </c>
      <c r="AH258" t="s">
        <v>112</v>
      </c>
      <c r="AJ258" t="s">
        <v>5459</v>
      </c>
      <c r="AL258" t="s">
        <v>5460</v>
      </c>
      <c r="AM258" t="s">
        <v>5461</v>
      </c>
      <c r="AQ258" t="s">
        <v>3133</v>
      </c>
      <c r="AR258" t="s">
        <v>5462</v>
      </c>
      <c r="AU258" t="s">
        <v>112</v>
      </c>
      <c r="AV258" t="s">
        <v>5463</v>
      </c>
      <c r="AW258" t="s">
        <v>114</v>
      </c>
      <c r="AX258" t="s">
        <v>909</v>
      </c>
      <c r="AY258" t="s">
        <v>5464</v>
      </c>
      <c r="AZ258" t="s">
        <v>4</v>
      </c>
      <c r="BA258" s="3" t="s">
        <v>115</v>
      </c>
      <c r="BB258" t="s">
        <v>96</v>
      </c>
      <c r="BC258" s="3" t="s">
        <v>95</v>
      </c>
      <c r="BD258" t="s">
        <v>4</v>
      </c>
      <c r="BE258">
        <v>7683</v>
      </c>
      <c r="BF258" t="s">
        <v>213</v>
      </c>
      <c r="BG258">
        <v>98.033299999999997</v>
      </c>
      <c r="BH258">
        <v>59.152799999999999</v>
      </c>
      <c r="BI258">
        <v>87.745800000000003</v>
      </c>
      <c r="BJ258">
        <v>76.096800000000002</v>
      </c>
      <c r="BK258">
        <v>80.938000000000002</v>
      </c>
      <c r="BL258" t="s">
        <v>5465</v>
      </c>
      <c r="BM258" t="s">
        <v>5466</v>
      </c>
      <c r="BN258">
        <v>73.373699999999999</v>
      </c>
      <c r="BO258" t="s">
        <v>5467</v>
      </c>
      <c r="BP258">
        <v>59.757899999999999</v>
      </c>
      <c r="BQ258">
        <v>61.119500000000002</v>
      </c>
      <c r="BR258" t="s">
        <v>5468</v>
      </c>
      <c r="BS258" t="s">
        <v>5469</v>
      </c>
      <c r="BT258" t="s">
        <v>5470</v>
      </c>
      <c r="BU258" t="s">
        <v>5471</v>
      </c>
      <c r="BV258" t="s">
        <v>5472</v>
      </c>
      <c r="BW258">
        <v>48.260199999999998</v>
      </c>
      <c r="BX258">
        <v>60.816899999999997</v>
      </c>
      <c r="BY258">
        <v>26.323799999999999</v>
      </c>
      <c r="BZ258">
        <v>55.8245</v>
      </c>
      <c r="CA258">
        <v>55.673200000000001</v>
      </c>
      <c r="CB258">
        <v>48.108899999999998</v>
      </c>
      <c r="CD258">
        <v>42.965200000000003</v>
      </c>
      <c r="CE258">
        <v>22.9955</v>
      </c>
      <c r="CF258">
        <v>42.057499999999997</v>
      </c>
      <c r="CG258" t="s">
        <v>5473</v>
      </c>
      <c r="CH258" t="s">
        <v>5474</v>
      </c>
      <c r="CI258" t="s">
        <v>5475</v>
      </c>
      <c r="CK258">
        <v>8</v>
      </c>
      <c r="CL258" t="s">
        <v>4</v>
      </c>
      <c r="CM258" t="s">
        <v>5476</v>
      </c>
      <c r="CN258" t="s">
        <v>5477</v>
      </c>
      <c r="CO258" t="s">
        <v>99</v>
      </c>
      <c r="CP258" t="s">
        <v>100</v>
      </c>
      <c r="CQ258">
        <v>257</v>
      </c>
      <c r="CR258" t="s">
        <v>100</v>
      </c>
      <c r="CS258" s="7" t="s">
        <v>101</v>
      </c>
      <c r="CT258" t="s">
        <v>152</v>
      </c>
      <c r="CU258" t="s">
        <v>102</v>
      </c>
      <c r="CV258" t="s">
        <v>100</v>
      </c>
    </row>
    <row r="259" spans="1:100">
      <c r="A259" s="3" t="s">
        <v>5478</v>
      </c>
      <c r="B259" s="4" t="s">
        <v>5479</v>
      </c>
      <c r="C259">
        <v>21.012212263428001</v>
      </c>
      <c r="D259">
        <v>121.73730840329399</v>
      </c>
      <c r="E259">
        <f>-2.52866540149228</f>
        <v>-2.52866540149228</v>
      </c>
      <c r="F259" s="5">
        <v>8.4458453953181696E-5</v>
      </c>
      <c r="G259" t="s">
        <v>4</v>
      </c>
      <c r="H259">
        <v>21.012212263428001</v>
      </c>
      <c r="I259">
        <v>18.886537999725299</v>
      </c>
      <c r="J259">
        <v>0.185733512303183</v>
      </c>
      <c r="K259">
        <v>0.81066163577589601</v>
      </c>
      <c r="L259" t="s">
        <v>4</v>
      </c>
      <c r="M259">
        <v>121.73730840329399</v>
      </c>
      <c r="N259">
        <v>18.886537999725299</v>
      </c>
      <c r="O259">
        <v>2.7143989137954598</v>
      </c>
      <c r="P259" s="5">
        <v>2.4316585068232599E-5</v>
      </c>
      <c r="Q259" t="s">
        <v>4</v>
      </c>
      <c r="R259" s="4" t="s">
        <v>95</v>
      </c>
      <c r="S259" t="s">
        <v>4</v>
      </c>
      <c r="X259" t="s">
        <v>4</v>
      </c>
      <c r="AB259" t="s">
        <v>4</v>
      </c>
      <c r="AC259" s="3" t="s">
        <v>5480</v>
      </c>
      <c r="AD259" t="s">
        <v>4</v>
      </c>
      <c r="AE259" t="s">
        <v>5481</v>
      </c>
      <c r="AF259" t="s">
        <v>5482</v>
      </c>
      <c r="AG259" t="s">
        <v>5483</v>
      </c>
      <c r="AH259" t="s">
        <v>112</v>
      </c>
      <c r="AL259" t="s">
        <v>5484</v>
      </c>
      <c r="AQ259" t="s">
        <v>1003</v>
      </c>
      <c r="AU259" t="s">
        <v>112</v>
      </c>
      <c r="AV259" t="s">
        <v>5485</v>
      </c>
      <c r="AW259" t="s">
        <v>114</v>
      </c>
      <c r="AX259" t="s">
        <v>371</v>
      </c>
      <c r="AY259" t="s">
        <v>573</v>
      </c>
      <c r="AZ259" t="s">
        <v>4</v>
      </c>
      <c r="BA259" s="3" t="s">
        <v>812</v>
      </c>
      <c r="BB259" s="3" t="s">
        <v>812</v>
      </c>
      <c r="BC259" s="3" t="s">
        <v>812</v>
      </c>
      <c r="BD259" t="s">
        <v>4</v>
      </c>
      <c r="BE259" s="3" t="s">
        <v>812</v>
      </c>
      <c r="BF259" s="3" t="s">
        <v>812</v>
      </c>
      <c r="BG259" s="3" t="s">
        <v>812</v>
      </c>
      <c r="BH259" s="3" t="s">
        <v>812</v>
      </c>
      <c r="BI259" s="3" t="s">
        <v>812</v>
      </c>
      <c r="BJ259" s="3" t="s">
        <v>812</v>
      </c>
      <c r="BK259" s="3" t="s">
        <v>812</v>
      </c>
      <c r="BL259" s="3" t="s">
        <v>812</v>
      </c>
      <c r="BM259" s="3" t="s">
        <v>812</v>
      </c>
      <c r="BN259" s="3" t="s">
        <v>812</v>
      </c>
      <c r="BO259" s="3" t="s">
        <v>812</v>
      </c>
      <c r="BP259" s="3" t="s">
        <v>812</v>
      </c>
      <c r="BQ259" s="3" t="s">
        <v>812</v>
      </c>
      <c r="BR259" s="3" t="s">
        <v>812</v>
      </c>
      <c r="BS259" s="3" t="s">
        <v>812</v>
      </c>
      <c r="BT259" s="3" t="s">
        <v>812</v>
      </c>
      <c r="BU259" s="3" t="s">
        <v>812</v>
      </c>
      <c r="BV259" s="3" t="s">
        <v>812</v>
      </c>
      <c r="BW259" s="3" t="s">
        <v>812</v>
      </c>
      <c r="BX259" s="3" t="s">
        <v>812</v>
      </c>
      <c r="BY259" s="3" t="s">
        <v>812</v>
      </c>
      <c r="BZ259" s="3" t="s">
        <v>812</v>
      </c>
      <c r="CA259" s="3" t="s">
        <v>812</v>
      </c>
      <c r="CB259" s="3" t="s">
        <v>812</v>
      </c>
      <c r="CC259" s="3" t="s">
        <v>812</v>
      </c>
      <c r="CD259" s="3" t="s">
        <v>812</v>
      </c>
      <c r="CE259" s="3" t="s">
        <v>812</v>
      </c>
      <c r="CF259" s="3" t="s">
        <v>812</v>
      </c>
      <c r="CG259" s="3" t="s">
        <v>812</v>
      </c>
      <c r="CH259" s="3" t="s">
        <v>812</v>
      </c>
      <c r="CI259" s="3" t="s">
        <v>812</v>
      </c>
      <c r="CJ259" s="3" t="s">
        <v>812</v>
      </c>
      <c r="CK259" s="3" t="s">
        <v>812</v>
      </c>
      <c r="CL259" t="s">
        <v>4</v>
      </c>
      <c r="CM259" t="s">
        <v>5486</v>
      </c>
      <c r="CP259" t="s">
        <v>100</v>
      </c>
      <c r="CQ259">
        <v>258</v>
      </c>
      <c r="CR259" t="s">
        <v>100</v>
      </c>
      <c r="CS259" t="s">
        <v>100</v>
      </c>
      <c r="CT259" t="s">
        <v>152</v>
      </c>
      <c r="CU259" t="s">
        <v>102</v>
      </c>
      <c r="CV259" t="s">
        <v>100</v>
      </c>
    </row>
    <row r="260" spans="1:100">
      <c r="A260" s="3" t="s">
        <v>5487</v>
      </c>
      <c r="B260" s="4" t="s">
        <v>5488</v>
      </c>
      <c r="C260">
        <v>54.492891605433897</v>
      </c>
      <c r="D260">
        <v>413.64258909312701</v>
      </c>
      <c r="E260">
        <f>-2.9238778645267</f>
        <v>-2.9238778645267001</v>
      </c>
      <c r="F260" s="5">
        <v>8.2738691113469905E-9</v>
      </c>
      <c r="G260" t="s">
        <v>4</v>
      </c>
      <c r="H260">
        <v>54.492891605433897</v>
      </c>
      <c r="I260">
        <v>56.270250011205199</v>
      </c>
      <c r="J260">
        <f>0.053547393055622</f>
        <v>5.3547393055621999E-2</v>
      </c>
      <c r="K260">
        <v>0.92974965543955301</v>
      </c>
      <c r="L260" t="s">
        <v>4</v>
      </c>
      <c r="M260">
        <v>413.64258909312701</v>
      </c>
      <c r="N260">
        <v>56.270250011205199</v>
      </c>
      <c r="O260">
        <v>2.8703304714710698</v>
      </c>
      <c r="P260" s="5">
        <v>1.1559621139559E-8</v>
      </c>
      <c r="Q260" t="s">
        <v>4</v>
      </c>
      <c r="R260" s="4" t="s">
        <v>87</v>
      </c>
      <c r="S260" t="s">
        <v>4</v>
      </c>
      <c r="T260" t="s">
        <v>5489</v>
      </c>
      <c r="U260" t="s">
        <v>5490</v>
      </c>
      <c r="V260" t="s">
        <v>5491</v>
      </c>
      <c r="W260" t="s">
        <v>203</v>
      </c>
      <c r="X260" t="s">
        <v>4</v>
      </c>
      <c r="Y260" t="s">
        <v>5492</v>
      </c>
      <c r="Z260" t="s">
        <v>5493</v>
      </c>
      <c r="AA260" t="s">
        <v>5494</v>
      </c>
      <c r="AB260" t="s">
        <v>4</v>
      </c>
      <c r="AC260" s="3" t="s">
        <v>5495</v>
      </c>
      <c r="AD260" t="s">
        <v>4</v>
      </c>
      <c r="AE260" t="s">
        <v>5496</v>
      </c>
      <c r="AF260" t="s">
        <v>5497</v>
      </c>
      <c r="AG260" t="s">
        <v>5498</v>
      </c>
      <c r="AH260" t="s">
        <v>638</v>
      </c>
      <c r="AU260" t="s">
        <v>112</v>
      </c>
      <c r="AV260" t="s">
        <v>5499</v>
      </c>
      <c r="AW260" t="s">
        <v>114</v>
      </c>
      <c r="AX260" t="s">
        <v>536</v>
      </c>
      <c r="AY260" t="s">
        <v>5500</v>
      </c>
      <c r="AZ260" t="s">
        <v>4</v>
      </c>
      <c r="BA260" s="3" t="s">
        <v>95</v>
      </c>
      <c r="BB260" s="6" t="s">
        <v>95</v>
      </c>
      <c r="BC260" s="3" t="s">
        <v>197</v>
      </c>
      <c r="BD260" t="s">
        <v>4</v>
      </c>
      <c r="BE260">
        <v>4120</v>
      </c>
      <c r="BF260" t="s">
        <v>112</v>
      </c>
      <c r="BG260">
        <v>89.411799999999999</v>
      </c>
      <c r="BI260">
        <v>80.882400000000004</v>
      </c>
      <c r="BK260">
        <v>52.058799999999998</v>
      </c>
      <c r="BL260">
        <v>52.941200000000002</v>
      </c>
      <c r="BM260">
        <v>55.2941</v>
      </c>
      <c r="BN260">
        <v>54.411799999999999</v>
      </c>
      <c r="BO260">
        <v>53.823500000000003</v>
      </c>
      <c r="BP260">
        <v>26.176500000000001</v>
      </c>
      <c r="BQ260">
        <v>29.7059</v>
      </c>
      <c r="BR260">
        <v>31.176500000000001</v>
      </c>
      <c r="BS260">
        <v>3.5294099999999999</v>
      </c>
      <c r="BT260">
        <v>26.470600000000001</v>
      </c>
      <c r="BW260">
        <v>26.470600000000001</v>
      </c>
      <c r="BX260">
        <v>28.823499999999999</v>
      </c>
      <c r="BZ260">
        <v>29.7059</v>
      </c>
      <c r="CA260">
        <v>31.470600000000001</v>
      </c>
      <c r="CK260">
        <v>5</v>
      </c>
      <c r="CL260" t="s">
        <v>4</v>
      </c>
      <c r="CM260" t="s">
        <v>5501</v>
      </c>
      <c r="CN260" t="s">
        <v>5502</v>
      </c>
      <c r="CO260" t="s">
        <v>99</v>
      </c>
      <c r="CP260" t="s">
        <v>100</v>
      </c>
      <c r="CQ260">
        <v>259</v>
      </c>
      <c r="CR260" t="s">
        <v>100</v>
      </c>
      <c r="CS260" t="s">
        <v>100</v>
      </c>
      <c r="CT260" t="s">
        <v>152</v>
      </c>
      <c r="CU260" t="s">
        <v>102</v>
      </c>
      <c r="CV260" t="s">
        <v>100</v>
      </c>
    </row>
    <row r="261" spans="1:100">
      <c r="A261" s="3" t="s">
        <v>5503</v>
      </c>
      <c r="B261" s="4" t="s">
        <v>5504</v>
      </c>
      <c r="C261">
        <v>120.849852925089</v>
      </c>
      <c r="D261">
        <v>563.41117666578498</v>
      </c>
      <c r="E261">
        <f>-2.22071423997041</f>
        <v>-2.2207142399704098</v>
      </c>
      <c r="F261" s="5">
        <v>4.1287130649712098E-7</v>
      </c>
      <c r="G261" t="s">
        <v>4</v>
      </c>
      <c r="H261">
        <v>120.849852925089</v>
      </c>
      <c r="I261">
        <v>90.157101970962202</v>
      </c>
      <c r="J261">
        <v>0.42001218726322997</v>
      </c>
      <c r="K261">
        <v>0.38996118902215399</v>
      </c>
      <c r="L261" t="s">
        <v>4</v>
      </c>
      <c r="M261">
        <v>563.41117666578498</v>
      </c>
      <c r="N261">
        <v>90.157101970962202</v>
      </c>
      <c r="O261">
        <v>2.6407264272336399</v>
      </c>
      <c r="P261" s="5">
        <v>8.9164651216814004E-10</v>
      </c>
      <c r="Q261" t="s">
        <v>4</v>
      </c>
      <c r="R261" s="4" t="s">
        <v>87</v>
      </c>
      <c r="S261" t="s">
        <v>4</v>
      </c>
      <c r="T261" t="s">
        <v>5505</v>
      </c>
      <c r="U261" t="s">
        <v>5506</v>
      </c>
      <c r="V261" t="s">
        <v>5507</v>
      </c>
      <c r="W261" t="s">
        <v>328</v>
      </c>
      <c r="X261" t="s">
        <v>4</v>
      </c>
      <c r="Y261" t="s">
        <v>5508</v>
      </c>
      <c r="Z261" t="s">
        <v>5509</v>
      </c>
      <c r="AA261" t="s">
        <v>5510</v>
      </c>
      <c r="AB261" t="s">
        <v>4</v>
      </c>
      <c r="AC261" s="3" t="s">
        <v>5511</v>
      </c>
      <c r="AD261" t="s">
        <v>4</v>
      </c>
      <c r="AE261" t="s">
        <v>5512</v>
      </c>
      <c r="AF261" t="s">
        <v>5513</v>
      </c>
      <c r="AG261" t="s">
        <v>5514</v>
      </c>
      <c r="AH261" t="s">
        <v>112</v>
      </c>
      <c r="AJ261" t="s">
        <v>5515</v>
      </c>
      <c r="AL261" t="s">
        <v>5516</v>
      </c>
      <c r="AM261" t="s">
        <v>5517</v>
      </c>
      <c r="AQ261" t="s">
        <v>3868</v>
      </c>
      <c r="AR261" t="s">
        <v>5518</v>
      </c>
      <c r="AU261" t="s">
        <v>112</v>
      </c>
      <c r="AV261" t="s">
        <v>5519</v>
      </c>
      <c r="AW261" t="s">
        <v>114</v>
      </c>
      <c r="AX261" t="s">
        <v>596</v>
      </c>
      <c r="AY261" t="s">
        <v>5520</v>
      </c>
      <c r="AZ261" t="s">
        <v>4</v>
      </c>
      <c r="BA261" s="3" t="s">
        <v>95</v>
      </c>
      <c r="BB261" t="s">
        <v>96</v>
      </c>
      <c r="BC261" s="3" t="s">
        <v>95</v>
      </c>
      <c r="BD261" t="s">
        <v>4</v>
      </c>
      <c r="BE261">
        <v>5646</v>
      </c>
      <c r="BF261" t="s">
        <v>386</v>
      </c>
      <c r="BG261">
        <v>99.431799999999996</v>
      </c>
      <c r="BI261">
        <v>96.590900000000005</v>
      </c>
      <c r="BJ261">
        <v>88.257599999999996</v>
      </c>
      <c r="BK261">
        <v>87.5</v>
      </c>
      <c r="BL261">
        <v>87.310599999999994</v>
      </c>
      <c r="BM261">
        <v>87.878799999999998</v>
      </c>
      <c r="BN261">
        <v>87.121200000000002</v>
      </c>
      <c r="BO261">
        <v>83.712100000000007</v>
      </c>
      <c r="BP261">
        <v>77.462100000000007</v>
      </c>
      <c r="BQ261">
        <v>67.234800000000007</v>
      </c>
      <c r="BR261">
        <v>70.833299999999994</v>
      </c>
      <c r="BS261">
        <v>68.560599999999994</v>
      </c>
      <c r="BT261">
        <v>68.371200000000002</v>
      </c>
      <c r="BU261">
        <v>66.098500000000001</v>
      </c>
      <c r="BV261">
        <v>65.719700000000003</v>
      </c>
      <c r="BX261">
        <v>67.613600000000005</v>
      </c>
      <c r="BY261">
        <v>67.045500000000004</v>
      </c>
      <c r="BZ261">
        <v>67.424199999999999</v>
      </c>
      <c r="CA261">
        <v>64.583299999999994</v>
      </c>
      <c r="CB261">
        <v>56.25</v>
      </c>
      <c r="CC261">
        <v>58.5227</v>
      </c>
      <c r="CD261">
        <v>56.439399999999999</v>
      </c>
      <c r="CE261">
        <v>47.7273</v>
      </c>
      <c r="CF261">
        <v>53.409100000000002</v>
      </c>
      <c r="CG261">
        <v>44.886400000000002</v>
      </c>
      <c r="CH261">
        <v>45.2652</v>
      </c>
      <c r="CI261">
        <v>43.371200000000002</v>
      </c>
      <c r="CJ261" t="s">
        <v>5521</v>
      </c>
      <c r="CK261">
        <v>7</v>
      </c>
      <c r="CL261" t="s">
        <v>4</v>
      </c>
      <c r="CM261" t="s">
        <v>5522</v>
      </c>
      <c r="CN261" t="s">
        <v>5523</v>
      </c>
      <c r="CO261" t="s">
        <v>99</v>
      </c>
      <c r="CP261" t="s">
        <v>100</v>
      </c>
      <c r="CQ261">
        <v>260</v>
      </c>
      <c r="CR261" t="s">
        <v>100</v>
      </c>
      <c r="CS261" t="s">
        <v>100</v>
      </c>
      <c r="CT261" t="s">
        <v>152</v>
      </c>
      <c r="CU261" t="s">
        <v>102</v>
      </c>
      <c r="CV261" t="s">
        <v>100</v>
      </c>
    </row>
    <row r="262" spans="1:100">
      <c r="A262" s="3" t="s">
        <v>5524</v>
      </c>
      <c r="B262" s="4" t="s">
        <v>5525</v>
      </c>
      <c r="C262">
        <v>390.98556236380801</v>
      </c>
      <c r="D262">
        <v>1615.7496305832001</v>
      </c>
      <c r="E262">
        <f>-2.04617371450632</f>
        <v>-2.0461737145063199</v>
      </c>
      <c r="F262" s="5">
        <v>5.4250717759777996E-13</v>
      </c>
      <c r="G262" t="s">
        <v>4</v>
      </c>
      <c r="H262">
        <v>390.98556236380801</v>
      </c>
      <c r="I262">
        <v>82.6174768929896</v>
      </c>
      <c r="J262">
        <v>2.2212558682840999</v>
      </c>
      <c r="K262" s="5">
        <v>1.28999642644777E-13</v>
      </c>
      <c r="L262" t="s">
        <v>4</v>
      </c>
      <c r="M262">
        <v>1615.7496305832001</v>
      </c>
      <c r="N262">
        <v>82.6174768929896</v>
      </c>
      <c r="O262">
        <v>4.2674295827904203</v>
      </c>
      <c r="P262" s="5">
        <v>2.3243943158721502E-48</v>
      </c>
      <c r="Q262" t="s">
        <v>4</v>
      </c>
      <c r="R262" s="4" t="s">
        <v>87</v>
      </c>
      <c r="S262" t="s">
        <v>4</v>
      </c>
      <c r="T262" t="s">
        <v>1332</v>
      </c>
      <c r="U262" t="s">
        <v>1333</v>
      </c>
      <c r="V262" t="s">
        <v>1334</v>
      </c>
      <c r="W262" t="s">
        <v>328</v>
      </c>
      <c r="X262" t="s">
        <v>4</v>
      </c>
      <c r="Y262" t="s">
        <v>1658</v>
      </c>
      <c r="Z262" t="s">
        <v>1659</v>
      </c>
      <c r="AA262" t="s">
        <v>1660</v>
      </c>
      <c r="AB262" t="s">
        <v>4</v>
      </c>
      <c r="AC262" s="3" t="s">
        <v>5526</v>
      </c>
      <c r="AD262" t="s">
        <v>4</v>
      </c>
      <c r="AE262" t="s">
        <v>5527</v>
      </c>
      <c r="AF262" t="s">
        <v>834</v>
      </c>
      <c r="AG262" t="s">
        <v>5528</v>
      </c>
      <c r="AH262" t="s">
        <v>638</v>
      </c>
      <c r="AJ262" t="s">
        <v>5529</v>
      </c>
      <c r="AL262" t="s">
        <v>5530</v>
      </c>
      <c r="AM262" t="s">
        <v>5531</v>
      </c>
      <c r="AQ262" t="s">
        <v>1343</v>
      </c>
      <c r="AU262" t="s">
        <v>112</v>
      </c>
      <c r="AV262" t="s">
        <v>5532</v>
      </c>
      <c r="AW262" t="s">
        <v>114</v>
      </c>
      <c r="AX262" t="s">
        <v>1345</v>
      </c>
      <c r="AY262" t="s">
        <v>5533</v>
      </c>
      <c r="AZ262" t="s">
        <v>4</v>
      </c>
      <c r="BA262" s="3" t="s">
        <v>95</v>
      </c>
      <c r="BB262" t="s">
        <v>96</v>
      </c>
      <c r="BC262" s="3" t="s">
        <v>197</v>
      </c>
      <c r="BD262" t="s">
        <v>4</v>
      </c>
      <c r="BE262">
        <v>7694</v>
      </c>
      <c r="BF262" t="s">
        <v>213</v>
      </c>
      <c r="BG262">
        <v>91.537700000000001</v>
      </c>
      <c r="BH262">
        <v>74.922600000000003</v>
      </c>
      <c r="BI262" t="s">
        <v>5534</v>
      </c>
      <c r="BJ262" t="s">
        <v>5535</v>
      </c>
      <c r="BK262">
        <v>74.716200000000001</v>
      </c>
      <c r="BL262">
        <v>79.669799999999995</v>
      </c>
      <c r="BM262">
        <v>79.463399999999993</v>
      </c>
      <c r="BN262">
        <v>81.424099999999996</v>
      </c>
      <c r="BO262">
        <v>79.463399999999993</v>
      </c>
      <c r="BP262" t="s">
        <v>5536</v>
      </c>
      <c r="BQ262">
        <v>59.133099999999999</v>
      </c>
      <c r="BR262">
        <v>56.4499</v>
      </c>
      <c r="BS262">
        <v>62.0227</v>
      </c>
      <c r="BT262">
        <v>55.211599999999997</v>
      </c>
      <c r="BU262">
        <v>53.766800000000003</v>
      </c>
      <c r="BV262" t="s">
        <v>5537</v>
      </c>
      <c r="BW262">
        <v>50.051600000000001</v>
      </c>
      <c r="BY262" t="s">
        <v>5538</v>
      </c>
      <c r="BZ262">
        <v>24.251799999999999</v>
      </c>
      <c r="CA262">
        <v>62.332299999999996</v>
      </c>
      <c r="CB262">
        <v>20.123799999999999</v>
      </c>
      <c r="CC262">
        <v>15.0671</v>
      </c>
      <c r="CK262">
        <v>8</v>
      </c>
      <c r="CL262" t="s">
        <v>4</v>
      </c>
      <c r="CM262" t="s">
        <v>5539</v>
      </c>
      <c r="CN262" t="s">
        <v>5540</v>
      </c>
      <c r="CO262" t="s">
        <v>99</v>
      </c>
      <c r="CP262" t="s">
        <v>100</v>
      </c>
      <c r="CQ262">
        <v>261</v>
      </c>
      <c r="CR262" t="s">
        <v>100</v>
      </c>
      <c r="CS262" t="s">
        <v>101</v>
      </c>
      <c r="CT262" t="s">
        <v>152</v>
      </c>
      <c r="CU262" t="s">
        <v>102</v>
      </c>
      <c r="CV262" t="s">
        <v>100</v>
      </c>
    </row>
    <row r="263" spans="1:100">
      <c r="A263" s="3" t="s">
        <v>5541</v>
      </c>
      <c r="B263" s="4" t="s">
        <v>5542</v>
      </c>
      <c r="C263">
        <v>531.30304709606196</v>
      </c>
      <c r="D263">
        <v>9547.0393618605995</v>
      </c>
      <c r="E263">
        <f>-4.1669640509195</f>
        <v>-4.1669640509194998</v>
      </c>
      <c r="F263" s="5">
        <v>3.8777346809607998E-30</v>
      </c>
      <c r="G263" t="s">
        <v>4</v>
      </c>
      <c r="H263">
        <v>531.30304709606196</v>
      </c>
      <c r="I263">
        <v>877.01978573023405</v>
      </c>
      <c r="J263">
        <f>0.721342076778259</f>
        <v>0.72134207677825901</v>
      </c>
      <c r="K263">
        <v>6.8598606481169805E-2</v>
      </c>
      <c r="L263" t="s">
        <v>4</v>
      </c>
      <c r="M263">
        <v>9547.0393618605995</v>
      </c>
      <c r="N263">
        <v>877.01978573023405</v>
      </c>
      <c r="O263">
        <v>3.4456219741412402</v>
      </c>
      <c r="P263" s="5">
        <v>1.4742135154611201E-21</v>
      </c>
      <c r="Q263" t="s">
        <v>4</v>
      </c>
      <c r="R263" s="4" t="s">
        <v>87</v>
      </c>
      <c r="S263" t="s">
        <v>4</v>
      </c>
      <c r="T263" t="s">
        <v>684</v>
      </c>
      <c r="U263" t="s">
        <v>685</v>
      </c>
      <c r="V263" t="s">
        <v>686</v>
      </c>
      <c r="W263" t="s">
        <v>123</v>
      </c>
      <c r="X263" t="s">
        <v>4</v>
      </c>
      <c r="Y263" t="s">
        <v>3163</v>
      </c>
      <c r="Z263" t="s">
        <v>3164</v>
      </c>
      <c r="AA263" t="s">
        <v>3165</v>
      </c>
      <c r="AB263" t="s">
        <v>4</v>
      </c>
      <c r="AC263" s="3" t="s">
        <v>3166</v>
      </c>
      <c r="AD263" t="s">
        <v>4</v>
      </c>
      <c r="AE263" t="s">
        <v>5543</v>
      </c>
      <c r="AF263" t="s">
        <v>5544</v>
      </c>
      <c r="AG263" t="s">
        <v>5545</v>
      </c>
      <c r="AH263" t="s">
        <v>112</v>
      </c>
      <c r="AJ263" t="s">
        <v>5546</v>
      </c>
      <c r="AU263" t="s">
        <v>112</v>
      </c>
      <c r="AV263" t="s">
        <v>5547</v>
      </c>
      <c r="AW263" t="s">
        <v>114</v>
      </c>
      <c r="AX263" t="s">
        <v>144</v>
      </c>
      <c r="AY263" t="s">
        <v>5548</v>
      </c>
      <c r="AZ263" t="s">
        <v>4</v>
      </c>
      <c r="BA263" s="3" t="s">
        <v>95</v>
      </c>
      <c r="BB263" s="6" t="s">
        <v>95</v>
      </c>
      <c r="BC263" s="3" t="s">
        <v>95</v>
      </c>
      <c r="BD263" t="s">
        <v>4</v>
      </c>
      <c r="BE263">
        <v>4128</v>
      </c>
      <c r="BF263" t="s">
        <v>112</v>
      </c>
      <c r="BG263">
        <v>89.260099999999994</v>
      </c>
      <c r="BI263">
        <v>89.021500000000003</v>
      </c>
      <c r="BJ263">
        <v>66.587100000000007</v>
      </c>
      <c r="BK263">
        <v>59.665900000000001</v>
      </c>
      <c r="BL263">
        <v>43.675400000000003</v>
      </c>
      <c r="BM263">
        <v>66.109800000000007</v>
      </c>
      <c r="BN263">
        <v>66.109800000000007</v>
      </c>
      <c r="BO263">
        <v>66.587100000000007</v>
      </c>
      <c r="BP263">
        <v>30.5489</v>
      </c>
      <c r="BQ263">
        <v>20.2864</v>
      </c>
      <c r="BR263">
        <v>20.525099999999998</v>
      </c>
      <c r="BS263">
        <v>20.525099999999998</v>
      </c>
      <c r="BT263">
        <v>17.899799999999999</v>
      </c>
      <c r="BU263" t="s">
        <v>5549</v>
      </c>
      <c r="BV263" t="s">
        <v>5550</v>
      </c>
      <c r="BW263">
        <v>24.105</v>
      </c>
      <c r="BX263">
        <v>25.059699999999999</v>
      </c>
      <c r="BZ263">
        <v>24.821000000000002</v>
      </c>
      <c r="CA263" t="s">
        <v>5551</v>
      </c>
      <c r="CG263" t="s">
        <v>5552</v>
      </c>
      <c r="CH263" t="s">
        <v>5553</v>
      </c>
      <c r="CI263">
        <v>11.933199999999999</v>
      </c>
      <c r="CK263">
        <v>5</v>
      </c>
      <c r="CL263" t="s">
        <v>4</v>
      </c>
      <c r="CM263" t="s">
        <v>5554</v>
      </c>
      <c r="CN263" t="s">
        <v>5555</v>
      </c>
      <c r="CO263" t="s">
        <v>5556</v>
      </c>
      <c r="CP263" t="s">
        <v>100</v>
      </c>
      <c r="CQ263">
        <v>262</v>
      </c>
      <c r="CR263" t="s">
        <v>100</v>
      </c>
      <c r="CS263" t="s">
        <v>100</v>
      </c>
      <c r="CT263" t="s">
        <v>152</v>
      </c>
      <c r="CU263" t="s">
        <v>102</v>
      </c>
      <c r="CV263" t="s">
        <v>100</v>
      </c>
    </row>
    <row r="264" spans="1:100">
      <c r="A264" s="3" t="s">
        <v>5557</v>
      </c>
      <c r="B264" s="4" t="s">
        <v>5558</v>
      </c>
      <c r="C264">
        <v>57.149469147413001</v>
      </c>
      <c r="D264">
        <v>433.30867007482402</v>
      </c>
      <c r="E264">
        <f>-2.92215720500859</f>
        <v>-2.92215720500859</v>
      </c>
      <c r="F264" s="5">
        <v>3.112103731518E-9</v>
      </c>
      <c r="G264" t="s">
        <v>4</v>
      </c>
      <c r="H264">
        <v>57.149469147413001</v>
      </c>
      <c r="I264">
        <v>23.654210870318501</v>
      </c>
      <c r="J264">
        <v>1.26533752533758</v>
      </c>
      <c r="K264">
        <v>2.3041217878917601E-2</v>
      </c>
      <c r="L264" t="s">
        <v>4</v>
      </c>
      <c r="M264">
        <v>433.30867007482402</v>
      </c>
      <c r="N264">
        <v>23.654210870318501</v>
      </c>
      <c r="O264">
        <v>4.1874947303461703</v>
      </c>
      <c r="P264" s="5">
        <v>2.34966047263133E-16</v>
      </c>
      <c r="Q264" t="s">
        <v>4</v>
      </c>
      <c r="R264" s="4" t="s">
        <v>87</v>
      </c>
      <c r="S264" t="s">
        <v>4</v>
      </c>
      <c r="T264" t="s">
        <v>92</v>
      </c>
      <c r="U264" t="s">
        <v>92</v>
      </c>
      <c r="V264" t="s">
        <v>92</v>
      </c>
      <c r="W264" t="s">
        <v>92</v>
      </c>
      <c r="X264" t="s">
        <v>4</v>
      </c>
      <c r="Y264" t="s">
        <v>5559</v>
      </c>
      <c r="Z264" t="s">
        <v>5560</v>
      </c>
      <c r="AA264" t="s">
        <v>5561</v>
      </c>
      <c r="AB264" t="s">
        <v>4</v>
      </c>
      <c r="AC264" s="3" t="s">
        <v>5562</v>
      </c>
      <c r="AD264" t="s">
        <v>4</v>
      </c>
      <c r="AE264" t="s">
        <v>5563</v>
      </c>
      <c r="AF264" t="s">
        <v>5564</v>
      </c>
      <c r="AG264" t="s">
        <v>5565</v>
      </c>
      <c r="AH264" t="s">
        <v>638</v>
      </c>
      <c r="AJ264" t="s">
        <v>5566</v>
      </c>
      <c r="AU264" t="s">
        <v>112</v>
      </c>
      <c r="AV264" t="s">
        <v>5567</v>
      </c>
      <c r="AW264" t="s">
        <v>114</v>
      </c>
      <c r="AX264" t="s">
        <v>144</v>
      </c>
      <c r="AY264" t="s">
        <v>5568</v>
      </c>
      <c r="AZ264" t="s">
        <v>4</v>
      </c>
      <c r="BA264" s="3" t="s">
        <v>95</v>
      </c>
      <c r="BB264" s="6" t="s">
        <v>95</v>
      </c>
      <c r="BC264" s="3" t="s">
        <v>197</v>
      </c>
      <c r="BD264" t="s">
        <v>4</v>
      </c>
      <c r="BE264">
        <v>4141</v>
      </c>
      <c r="BF264" t="s">
        <v>112</v>
      </c>
      <c r="BG264">
        <v>98.9071</v>
      </c>
      <c r="BH264">
        <v>100</v>
      </c>
      <c r="BI264">
        <v>97.8142</v>
      </c>
      <c r="BJ264">
        <v>68.852500000000006</v>
      </c>
      <c r="BK264">
        <v>53.551900000000003</v>
      </c>
      <c r="BL264">
        <v>66.120199999999997</v>
      </c>
      <c r="BM264">
        <v>69.945400000000006</v>
      </c>
      <c r="BN264">
        <v>69.945400000000006</v>
      </c>
      <c r="BO264">
        <v>74.863399999999999</v>
      </c>
      <c r="BW264" t="s">
        <v>5569</v>
      </c>
      <c r="BX264">
        <v>30.601099999999999</v>
      </c>
      <c r="CA264">
        <v>25.136600000000001</v>
      </c>
      <c r="CK264">
        <v>5</v>
      </c>
      <c r="CL264" t="s">
        <v>4</v>
      </c>
      <c r="CM264" t="s">
        <v>5570</v>
      </c>
      <c r="CN264" t="s">
        <v>5571</v>
      </c>
      <c r="CO264" t="s">
        <v>99</v>
      </c>
      <c r="CP264" t="s">
        <v>100</v>
      </c>
      <c r="CQ264">
        <v>263</v>
      </c>
      <c r="CR264" t="s">
        <v>100</v>
      </c>
      <c r="CS264" s="7" t="s">
        <v>101</v>
      </c>
      <c r="CT264" t="s">
        <v>152</v>
      </c>
      <c r="CU264" t="s">
        <v>102</v>
      </c>
      <c r="CV264" t="s">
        <v>100</v>
      </c>
    </row>
    <row r="265" spans="1:100">
      <c r="A265" s="3" t="s">
        <v>5572</v>
      </c>
      <c r="B265" s="4" t="s">
        <v>5573</v>
      </c>
      <c r="C265">
        <v>2116.9132266931801</v>
      </c>
      <c r="D265">
        <v>14524.537394130301</v>
      </c>
      <c r="E265">
        <f>-2.7784147990364</f>
        <v>-2.7784147990363999</v>
      </c>
      <c r="F265" s="5">
        <v>4.4262775032826301E-55</v>
      </c>
      <c r="G265" t="s">
        <v>4</v>
      </c>
      <c r="H265">
        <v>2116.9132266931801</v>
      </c>
      <c r="I265">
        <v>791.47703036807195</v>
      </c>
      <c r="J265">
        <v>1.4177666161781</v>
      </c>
      <c r="K265" s="5">
        <v>7.6722208111071802E-15</v>
      </c>
      <c r="L265" t="s">
        <v>4</v>
      </c>
      <c r="M265">
        <v>14524.537394130301</v>
      </c>
      <c r="N265">
        <v>791.47703036807195</v>
      </c>
      <c r="O265">
        <v>4.19618141521451</v>
      </c>
      <c r="P265" s="5">
        <v>1.3750568373114499E-123</v>
      </c>
      <c r="Q265" t="s">
        <v>4</v>
      </c>
      <c r="R265" s="4" t="s">
        <v>87</v>
      </c>
      <c r="S265" t="s">
        <v>4</v>
      </c>
      <c r="T265" t="s">
        <v>2229</v>
      </c>
      <c r="U265" t="s">
        <v>2230</v>
      </c>
      <c r="V265" t="s">
        <v>2231</v>
      </c>
      <c r="W265" t="s">
        <v>91</v>
      </c>
      <c r="X265" t="s">
        <v>4</v>
      </c>
      <c r="Y265" t="s">
        <v>5574</v>
      </c>
      <c r="Z265" t="s">
        <v>5575</v>
      </c>
      <c r="AA265" t="s">
        <v>5576</v>
      </c>
      <c r="AB265" t="s">
        <v>4</v>
      </c>
      <c r="AC265" s="3" t="s">
        <v>5577</v>
      </c>
      <c r="AD265" t="s">
        <v>4</v>
      </c>
      <c r="AE265" t="s">
        <v>5578</v>
      </c>
      <c r="AF265" t="s">
        <v>5579</v>
      </c>
      <c r="AG265" t="s">
        <v>5580</v>
      </c>
      <c r="AH265" t="s">
        <v>112</v>
      </c>
      <c r="AJ265" t="s">
        <v>5581</v>
      </c>
      <c r="AL265" t="s">
        <v>5582</v>
      </c>
      <c r="AM265" t="s">
        <v>5583</v>
      </c>
      <c r="AN265" t="s">
        <v>5584</v>
      </c>
      <c r="AQ265" t="s">
        <v>5585</v>
      </c>
      <c r="AU265" t="s">
        <v>112</v>
      </c>
      <c r="AV265" t="s">
        <v>5586</v>
      </c>
      <c r="AW265" t="s">
        <v>114</v>
      </c>
      <c r="AX265" t="s">
        <v>167</v>
      </c>
      <c r="AY265" t="s">
        <v>3045</v>
      </c>
      <c r="AZ265" t="s">
        <v>4</v>
      </c>
      <c r="BA265" s="3" t="s">
        <v>95</v>
      </c>
      <c r="BB265" s="6" t="s">
        <v>95</v>
      </c>
      <c r="BC265" s="3" t="s">
        <v>95</v>
      </c>
      <c r="BD265" t="s">
        <v>4</v>
      </c>
      <c r="BE265">
        <v>7710</v>
      </c>
      <c r="BF265" t="s">
        <v>213</v>
      </c>
      <c r="BG265">
        <v>98.102500000000006</v>
      </c>
      <c r="BH265">
        <v>100</v>
      </c>
      <c r="BI265">
        <v>93.738100000000003</v>
      </c>
      <c r="BJ265">
        <v>82.352900000000005</v>
      </c>
      <c r="BK265">
        <v>8.72865</v>
      </c>
      <c r="BL265">
        <v>44.022799999999997</v>
      </c>
      <c r="BM265">
        <v>70.778000000000006</v>
      </c>
      <c r="BN265">
        <v>70.778000000000006</v>
      </c>
      <c r="BO265">
        <v>66.603399999999993</v>
      </c>
      <c r="BP265">
        <v>14.041700000000001</v>
      </c>
      <c r="BV265">
        <v>12.7135</v>
      </c>
      <c r="BW265">
        <v>16.3188</v>
      </c>
      <c r="BX265">
        <v>21.0626</v>
      </c>
      <c r="BY265">
        <v>16.129000000000001</v>
      </c>
      <c r="BZ265">
        <v>18.026599999999998</v>
      </c>
      <c r="CA265" t="s">
        <v>5587</v>
      </c>
      <c r="CB265">
        <v>18.785599999999999</v>
      </c>
      <c r="CC265" t="s">
        <v>5588</v>
      </c>
      <c r="CD265">
        <v>17.0778</v>
      </c>
      <c r="CF265">
        <v>17.0778</v>
      </c>
      <c r="CG265" t="s">
        <v>5589</v>
      </c>
      <c r="CH265" t="s">
        <v>5590</v>
      </c>
      <c r="CI265" t="s">
        <v>5591</v>
      </c>
      <c r="CJ265" t="s">
        <v>5592</v>
      </c>
      <c r="CK265">
        <v>8</v>
      </c>
      <c r="CL265" t="s">
        <v>4</v>
      </c>
      <c r="CM265" t="s">
        <v>5593</v>
      </c>
      <c r="CN265" t="s">
        <v>5594</v>
      </c>
      <c r="CO265" t="s">
        <v>5595</v>
      </c>
      <c r="CP265" t="s">
        <v>100</v>
      </c>
      <c r="CQ265">
        <v>264</v>
      </c>
      <c r="CR265" t="s">
        <v>100</v>
      </c>
      <c r="CS265" s="7" t="s">
        <v>101</v>
      </c>
      <c r="CT265" t="s">
        <v>152</v>
      </c>
      <c r="CU265" t="s">
        <v>102</v>
      </c>
      <c r="CV265" t="s">
        <v>100</v>
      </c>
    </row>
    <row r="266" spans="1:100">
      <c r="A266" s="3" t="s">
        <v>5596</v>
      </c>
      <c r="B266" s="4" t="s">
        <v>5597</v>
      </c>
      <c r="C266">
        <v>94.840921257842695</v>
      </c>
      <c r="D266">
        <v>401.72837297186499</v>
      </c>
      <c r="E266">
        <f>-2.08140505517442</f>
        <v>-2.0814050551744199</v>
      </c>
      <c r="F266" s="5">
        <v>1.9294998339948601E-6</v>
      </c>
      <c r="G266" t="s">
        <v>4</v>
      </c>
      <c r="H266">
        <v>94.840921257842695</v>
      </c>
      <c r="I266">
        <v>31.199315900236599</v>
      </c>
      <c r="J266">
        <v>1.6030046686011801</v>
      </c>
      <c r="K266">
        <v>7.4572541563157596E-4</v>
      </c>
      <c r="L266" t="s">
        <v>4</v>
      </c>
      <c r="M266">
        <v>401.72837297186499</v>
      </c>
      <c r="N266">
        <v>31.199315900236599</v>
      </c>
      <c r="O266">
        <v>3.6844097237755999</v>
      </c>
      <c r="P266" s="5">
        <v>1.80673730753831E-16</v>
      </c>
      <c r="Q266" t="s">
        <v>4</v>
      </c>
      <c r="R266" s="4" t="s">
        <v>87</v>
      </c>
      <c r="S266" t="s">
        <v>4</v>
      </c>
      <c r="T266" t="s">
        <v>5598</v>
      </c>
      <c r="U266" t="s">
        <v>5599</v>
      </c>
      <c r="V266" t="s">
        <v>5600</v>
      </c>
      <c r="W266" t="s">
        <v>976</v>
      </c>
      <c r="X266" t="s">
        <v>4</v>
      </c>
      <c r="Y266" t="s">
        <v>5601</v>
      </c>
      <c r="Z266" t="s">
        <v>5602</v>
      </c>
      <c r="AA266" t="s">
        <v>5603</v>
      </c>
      <c r="AB266" t="s">
        <v>4</v>
      </c>
      <c r="AC266" s="3" t="s">
        <v>5604</v>
      </c>
      <c r="AD266" t="s">
        <v>4</v>
      </c>
      <c r="AE266" t="s">
        <v>5605</v>
      </c>
      <c r="AF266" t="s">
        <v>5606</v>
      </c>
      <c r="AG266" t="s">
        <v>5607</v>
      </c>
      <c r="AH266" t="s">
        <v>638</v>
      </c>
      <c r="AU266" t="s">
        <v>112</v>
      </c>
      <c r="AV266" t="s">
        <v>5608</v>
      </c>
      <c r="AW266" t="s">
        <v>114</v>
      </c>
      <c r="AX266" t="s">
        <v>345</v>
      </c>
      <c r="AY266" t="s">
        <v>5520</v>
      </c>
      <c r="AZ266" t="s">
        <v>4</v>
      </c>
      <c r="BA266" s="3" t="s">
        <v>95</v>
      </c>
      <c r="BB266" t="s">
        <v>96</v>
      </c>
      <c r="BC266" s="3" t="s">
        <v>95</v>
      </c>
      <c r="BD266" t="s">
        <v>4</v>
      </c>
      <c r="BE266">
        <v>7712</v>
      </c>
      <c r="BF266" t="s">
        <v>213</v>
      </c>
      <c r="BG266">
        <v>81.692599999999999</v>
      </c>
      <c r="BI266">
        <v>90.673599999999993</v>
      </c>
      <c r="BJ266" t="s">
        <v>5609</v>
      </c>
      <c r="BK266">
        <v>86.528499999999994</v>
      </c>
      <c r="BL266">
        <v>44.214199999999998</v>
      </c>
      <c r="BM266">
        <v>86.010400000000004</v>
      </c>
      <c r="BN266">
        <v>86.355800000000002</v>
      </c>
      <c r="BO266">
        <v>85.319500000000005</v>
      </c>
      <c r="BP266">
        <v>69.775499999999994</v>
      </c>
      <c r="BQ266">
        <v>65.457700000000003</v>
      </c>
      <c r="BR266">
        <v>60.276299999999999</v>
      </c>
      <c r="BS266">
        <v>61.8307</v>
      </c>
      <c r="BT266" t="s">
        <v>5610</v>
      </c>
      <c r="BU266">
        <v>51.813499999999998</v>
      </c>
      <c r="BV266" t="s">
        <v>5611</v>
      </c>
      <c r="BW266">
        <v>63.039700000000003</v>
      </c>
      <c r="BX266">
        <v>64.248699999999999</v>
      </c>
      <c r="BY266">
        <v>47.668399999999998</v>
      </c>
      <c r="BZ266">
        <v>61.8307</v>
      </c>
      <c r="CA266">
        <v>62.521599999999999</v>
      </c>
      <c r="CB266">
        <v>17.789300000000001</v>
      </c>
      <c r="CC266">
        <v>24.8705</v>
      </c>
      <c r="CD266">
        <v>33.506</v>
      </c>
      <c r="CE266" t="s">
        <v>5612</v>
      </c>
      <c r="CF266">
        <v>40.069099999999999</v>
      </c>
      <c r="CK266">
        <v>8</v>
      </c>
      <c r="CL266" t="s">
        <v>4</v>
      </c>
      <c r="CM266" t="s">
        <v>5613</v>
      </c>
      <c r="CN266" t="s">
        <v>5614</v>
      </c>
      <c r="CO266" t="s">
        <v>99</v>
      </c>
      <c r="CP266" t="s">
        <v>100</v>
      </c>
      <c r="CQ266">
        <v>265</v>
      </c>
      <c r="CR266" t="s">
        <v>100</v>
      </c>
      <c r="CS266" s="7" t="s">
        <v>101</v>
      </c>
      <c r="CT266" t="s">
        <v>152</v>
      </c>
      <c r="CU266" t="s">
        <v>102</v>
      </c>
      <c r="CV266" t="s">
        <v>100</v>
      </c>
    </row>
    <row r="267" spans="1:100">
      <c r="A267" s="3" t="s">
        <v>5615</v>
      </c>
      <c r="B267" s="4" t="s">
        <v>5616</v>
      </c>
      <c r="C267">
        <v>100.912885199551</v>
      </c>
      <c r="D267">
        <v>441.47561050120299</v>
      </c>
      <c r="E267">
        <f>-2.1296174932021</f>
        <v>-2.1296174932021001</v>
      </c>
      <c r="F267">
        <v>8.6622127287168805E-4</v>
      </c>
      <c r="G267" t="s">
        <v>4</v>
      </c>
      <c r="H267">
        <v>100.912885199551</v>
      </c>
      <c r="I267">
        <v>70.601102484928006</v>
      </c>
      <c r="J267">
        <v>0.49938302120608602</v>
      </c>
      <c r="K267">
        <v>0.46993546077016701</v>
      </c>
      <c r="L267" t="s">
        <v>4</v>
      </c>
      <c r="M267">
        <v>441.47561050120299</v>
      </c>
      <c r="N267">
        <v>70.601102484928006</v>
      </c>
      <c r="O267">
        <v>2.6290005144081898</v>
      </c>
      <c r="P267" s="5">
        <v>1.88785626260542E-5</v>
      </c>
      <c r="Q267" t="s">
        <v>4</v>
      </c>
      <c r="R267" s="4" t="s">
        <v>87</v>
      </c>
      <c r="S267" t="s">
        <v>4</v>
      </c>
      <c r="T267" t="s">
        <v>92</v>
      </c>
      <c r="U267" t="s">
        <v>92</v>
      </c>
      <c r="V267" t="s">
        <v>92</v>
      </c>
      <c r="W267" t="s">
        <v>92</v>
      </c>
      <c r="X267" t="s">
        <v>4</v>
      </c>
      <c r="Y267" t="s">
        <v>92</v>
      </c>
      <c r="Z267" t="s">
        <v>92</v>
      </c>
      <c r="AA267" t="s">
        <v>92</v>
      </c>
      <c r="AB267" t="s">
        <v>4</v>
      </c>
      <c r="AC267" s="3" t="s">
        <v>93</v>
      </c>
      <c r="AD267" t="s">
        <v>4</v>
      </c>
      <c r="AE267" t="s">
        <v>5617</v>
      </c>
      <c r="AF267" t="s">
        <v>5618</v>
      </c>
      <c r="AG267" t="s">
        <v>5619</v>
      </c>
      <c r="AH267" t="s">
        <v>112</v>
      </c>
      <c r="AU267" t="s">
        <v>112</v>
      </c>
      <c r="AV267" t="s">
        <v>5620</v>
      </c>
      <c r="AW267" t="s">
        <v>114</v>
      </c>
      <c r="AX267" t="s">
        <v>144</v>
      </c>
      <c r="AY267" t="s">
        <v>5621</v>
      </c>
      <c r="AZ267" t="s">
        <v>4</v>
      </c>
      <c r="BA267" s="3" t="s">
        <v>95</v>
      </c>
      <c r="BB267" s="6" t="s">
        <v>95</v>
      </c>
      <c r="BC267" s="3" t="s">
        <v>95</v>
      </c>
      <c r="BD267" t="s">
        <v>4</v>
      </c>
      <c r="BE267">
        <v>4153</v>
      </c>
      <c r="BF267" t="s">
        <v>112</v>
      </c>
      <c r="BG267">
        <v>96.587900000000005</v>
      </c>
      <c r="BH267">
        <v>100</v>
      </c>
      <c r="BI267">
        <v>75.590599999999995</v>
      </c>
      <c r="BJ267">
        <v>75.328100000000006</v>
      </c>
      <c r="BK267">
        <v>64.829400000000007</v>
      </c>
      <c r="BL267">
        <v>58.530200000000001</v>
      </c>
      <c r="BM267">
        <v>53.543300000000002</v>
      </c>
      <c r="BN267">
        <v>60.3675</v>
      </c>
      <c r="BO267">
        <v>62.729700000000001</v>
      </c>
      <c r="BR267">
        <v>30.9711</v>
      </c>
      <c r="BS267">
        <v>26.5092</v>
      </c>
      <c r="BW267">
        <v>30.7087</v>
      </c>
      <c r="CA267">
        <v>27.296600000000002</v>
      </c>
      <c r="CK267">
        <v>5</v>
      </c>
      <c r="CL267" t="s">
        <v>4</v>
      </c>
      <c r="CM267" t="s">
        <v>5622</v>
      </c>
      <c r="CN267" t="s">
        <v>5623</v>
      </c>
      <c r="CO267" t="s">
        <v>99</v>
      </c>
      <c r="CP267" t="s">
        <v>100</v>
      </c>
      <c r="CQ267">
        <v>266</v>
      </c>
      <c r="CR267" t="s">
        <v>100</v>
      </c>
      <c r="CS267" t="s">
        <v>100</v>
      </c>
      <c r="CT267" t="s">
        <v>152</v>
      </c>
      <c r="CU267" t="s">
        <v>102</v>
      </c>
      <c r="CV267" t="s">
        <v>100</v>
      </c>
    </row>
    <row r="268" spans="1:100">
      <c r="A268" s="3" t="s">
        <v>5624</v>
      </c>
      <c r="B268" s="4" t="s">
        <v>5625</v>
      </c>
      <c r="C268">
        <v>625.35958807351597</v>
      </c>
      <c r="D268">
        <v>3421.82507771463</v>
      </c>
      <c r="E268">
        <f>-2.45184087156065</f>
        <v>-2.4518408715606501</v>
      </c>
      <c r="F268" s="5">
        <v>5.9309702931299202E-11</v>
      </c>
      <c r="G268" t="s">
        <v>4</v>
      </c>
      <c r="H268">
        <v>625.35958807351597</v>
      </c>
      <c r="I268">
        <v>644.70155040011196</v>
      </c>
      <c r="J268">
        <f>0.040597466004599</f>
        <v>4.0597466004599E-2</v>
      </c>
      <c r="K268">
        <v>0.92659896273152298</v>
      </c>
      <c r="L268" t="s">
        <v>4</v>
      </c>
      <c r="M268">
        <v>3421.82507771463</v>
      </c>
      <c r="N268">
        <v>644.70155040011196</v>
      </c>
      <c r="O268">
        <v>2.4112434055560499</v>
      </c>
      <c r="P268" s="5">
        <v>4.8087937718516497E-11</v>
      </c>
      <c r="Q268" t="s">
        <v>4</v>
      </c>
      <c r="R268" s="4" t="s">
        <v>87</v>
      </c>
      <c r="S268" t="s">
        <v>4</v>
      </c>
      <c r="T268" t="s">
        <v>5626</v>
      </c>
      <c r="U268" t="s">
        <v>5627</v>
      </c>
      <c r="V268" t="s">
        <v>5628</v>
      </c>
      <c r="W268" t="s">
        <v>976</v>
      </c>
      <c r="X268" t="s">
        <v>4</v>
      </c>
      <c r="Y268" t="s">
        <v>5629</v>
      </c>
      <c r="Z268" t="s">
        <v>5630</v>
      </c>
      <c r="AA268" t="s">
        <v>5631</v>
      </c>
      <c r="AB268" t="s">
        <v>4</v>
      </c>
      <c r="AC268" s="3" t="s">
        <v>5632</v>
      </c>
      <c r="AD268" t="s">
        <v>4</v>
      </c>
      <c r="AE268" t="s">
        <v>5633</v>
      </c>
      <c r="AF268" t="s">
        <v>5634</v>
      </c>
      <c r="AG268" t="s">
        <v>5635</v>
      </c>
      <c r="AH268" t="s">
        <v>112</v>
      </c>
      <c r="AL268" t="s">
        <v>5636</v>
      </c>
      <c r="AM268" t="s">
        <v>5637</v>
      </c>
      <c r="AN268" t="s">
        <v>5638</v>
      </c>
      <c r="AQ268" t="s">
        <v>5639</v>
      </c>
      <c r="AU268" t="s">
        <v>112</v>
      </c>
      <c r="AV268" t="s">
        <v>5640</v>
      </c>
      <c r="AW268" t="s">
        <v>114</v>
      </c>
      <c r="AX268" t="s">
        <v>5641</v>
      </c>
      <c r="AY268" t="s">
        <v>5642</v>
      </c>
      <c r="AZ268" t="s">
        <v>4</v>
      </c>
      <c r="BA268" s="3" t="s">
        <v>95</v>
      </c>
      <c r="BB268" s="6" t="s">
        <v>95</v>
      </c>
      <c r="BC268" s="3" t="s">
        <v>95</v>
      </c>
      <c r="BD268" t="s">
        <v>4</v>
      </c>
      <c r="BE268">
        <v>10111</v>
      </c>
      <c r="BF268" t="s">
        <v>169</v>
      </c>
      <c r="BG268">
        <v>93.065700000000007</v>
      </c>
      <c r="BI268">
        <v>97.445300000000003</v>
      </c>
      <c r="BJ268">
        <v>88.686099999999996</v>
      </c>
      <c r="BK268">
        <v>84.306600000000003</v>
      </c>
      <c r="BL268">
        <v>84.671499999999995</v>
      </c>
      <c r="BM268">
        <v>79.927000000000007</v>
      </c>
      <c r="BN268">
        <v>79.197100000000006</v>
      </c>
      <c r="BO268">
        <v>79.561999999999998</v>
      </c>
      <c r="BP268">
        <v>50.365000000000002</v>
      </c>
      <c r="BQ268">
        <v>30.292000000000002</v>
      </c>
      <c r="BR268">
        <v>24.4526</v>
      </c>
      <c r="BS268">
        <v>32.846699999999998</v>
      </c>
      <c r="BU268">
        <v>30.6569</v>
      </c>
      <c r="BV268" t="s">
        <v>5643</v>
      </c>
      <c r="BX268">
        <v>31.751799999999999</v>
      </c>
      <c r="BZ268">
        <v>31.386900000000001</v>
      </c>
      <c r="CA268">
        <v>37.226300000000002</v>
      </c>
      <c r="CB268">
        <v>24.817499999999999</v>
      </c>
      <c r="CD268">
        <v>28.832100000000001</v>
      </c>
      <c r="CF268">
        <v>27.007300000000001</v>
      </c>
      <c r="CG268">
        <v>31.021899999999999</v>
      </c>
      <c r="CH268">
        <v>29.927</v>
      </c>
      <c r="CI268">
        <v>30.6569</v>
      </c>
      <c r="CJ268">
        <v>24.817499999999999</v>
      </c>
      <c r="CK268">
        <v>9</v>
      </c>
      <c r="CL268" t="s">
        <v>4</v>
      </c>
      <c r="CM268" t="s">
        <v>5644</v>
      </c>
      <c r="CN268" t="s">
        <v>5645</v>
      </c>
      <c r="CO268" t="s">
        <v>219</v>
      </c>
      <c r="CP268" t="s">
        <v>100</v>
      </c>
      <c r="CQ268">
        <v>267</v>
      </c>
      <c r="CR268" t="s">
        <v>100</v>
      </c>
      <c r="CS268" t="s">
        <v>100</v>
      </c>
      <c r="CT268" t="s">
        <v>152</v>
      </c>
      <c r="CU268" t="s">
        <v>102</v>
      </c>
      <c r="CV268" t="s">
        <v>100</v>
      </c>
    </row>
    <row r="269" spans="1:100">
      <c r="A269" s="3" t="s">
        <v>5646</v>
      </c>
      <c r="B269" s="4" t="s">
        <v>5647</v>
      </c>
      <c r="C269">
        <v>52.121451324715601</v>
      </c>
      <c r="D269">
        <v>221.89734086774499</v>
      </c>
      <c r="E269">
        <f>-2.09173429396988</f>
        <v>-2.0917342939698802</v>
      </c>
      <c r="F269" s="5">
        <v>8.1721120944092204E-7</v>
      </c>
      <c r="G269" t="s">
        <v>4</v>
      </c>
      <c r="H269">
        <v>52.121451324715601</v>
      </c>
      <c r="I269">
        <v>3.8948300030206702</v>
      </c>
      <c r="J269">
        <v>3.8276523629466599</v>
      </c>
      <c r="K269" s="5">
        <v>1.38215299854075E-8</v>
      </c>
      <c r="L269" t="s">
        <v>4</v>
      </c>
      <c r="M269">
        <v>221.89734086774499</v>
      </c>
      <c r="N269">
        <v>3.8948300030206702</v>
      </c>
      <c r="O269">
        <v>5.9193866569165303</v>
      </c>
      <c r="P269" s="5">
        <v>1.27050724333306E-19</v>
      </c>
      <c r="Q269" t="s">
        <v>4</v>
      </c>
      <c r="R269" s="4" t="s">
        <v>87</v>
      </c>
      <c r="S269" t="s">
        <v>4</v>
      </c>
      <c r="T269" t="s">
        <v>5648</v>
      </c>
      <c r="U269" t="s">
        <v>5649</v>
      </c>
      <c r="V269" t="s">
        <v>5650</v>
      </c>
      <c r="W269" t="s">
        <v>203</v>
      </c>
      <c r="X269" t="s">
        <v>4</v>
      </c>
      <c r="Y269" t="s">
        <v>5651</v>
      </c>
      <c r="Z269" t="s">
        <v>5652</v>
      </c>
      <c r="AA269" t="s">
        <v>5653</v>
      </c>
      <c r="AB269" t="s">
        <v>4</v>
      </c>
      <c r="AC269" s="3" t="s">
        <v>5654</v>
      </c>
      <c r="AD269" t="s">
        <v>4</v>
      </c>
      <c r="AE269" t="s">
        <v>5655</v>
      </c>
      <c r="AF269" t="s">
        <v>5656</v>
      </c>
      <c r="AG269" t="s">
        <v>5657</v>
      </c>
      <c r="AH269" t="s">
        <v>112</v>
      </c>
      <c r="AU269" t="s">
        <v>112</v>
      </c>
      <c r="AV269" t="s">
        <v>5658</v>
      </c>
      <c r="AW269" t="s">
        <v>114</v>
      </c>
      <c r="AX269" t="s">
        <v>536</v>
      </c>
      <c r="AY269" t="s">
        <v>5659</v>
      </c>
      <c r="AZ269" t="s">
        <v>4</v>
      </c>
      <c r="BA269" s="3" t="s">
        <v>95</v>
      </c>
      <c r="BB269" s="6" t="s">
        <v>95</v>
      </c>
      <c r="BC269" s="3" t="s">
        <v>197</v>
      </c>
      <c r="BD269" t="s">
        <v>4</v>
      </c>
      <c r="BE269">
        <v>5664</v>
      </c>
      <c r="BF269" t="s">
        <v>386</v>
      </c>
      <c r="BG269">
        <v>70.256399999999999</v>
      </c>
      <c r="BH269">
        <v>42.307699999999997</v>
      </c>
      <c r="BK269">
        <v>62.051299999999998</v>
      </c>
      <c r="BL269">
        <v>51.2821</v>
      </c>
      <c r="BO269">
        <v>21.794899999999998</v>
      </c>
      <c r="BP269" t="s">
        <v>5660</v>
      </c>
      <c r="BQ269" t="s">
        <v>5661</v>
      </c>
      <c r="BR269" t="s">
        <v>5662</v>
      </c>
      <c r="BS269" t="s">
        <v>5663</v>
      </c>
      <c r="BT269" t="s">
        <v>5664</v>
      </c>
      <c r="BU269">
        <v>8.4615399999999994</v>
      </c>
      <c r="BV269" t="s">
        <v>5665</v>
      </c>
      <c r="BW269" t="s">
        <v>5666</v>
      </c>
      <c r="BX269" t="s">
        <v>5667</v>
      </c>
      <c r="BY269" t="s">
        <v>5668</v>
      </c>
      <c r="BZ269" t="s">
        <v>5669</v>
      </c>
      <c r="CA269" t="s">
        <v>5670</v>
      </c>
      <c r="CB269">
        <v>9.7435899999999993</v>
      </c>
      <c r="CD269">
        <v>18.7179</v>
      </c>
      <c r="CF269" t="s">
        <v>5671</v>
      </c>
      <c r="CG269">
        <v>37.179499999999997</v>
      </c>
      <c r="CH269">
        <v>37.435899999999997</v>
      </c>
      <c r="CI269">
        <v>36.923099999999998</v>
      </c>
      <c r="CK269">
        <v>7</v>
      </c>
      <c r="CL269" t="s">
        <v>4</v>
      </c>
      <c r="CM269" t="s">
        <v>5672</v>
      </c>
      <c r="CN269" t="s">
        <v>5673</v>
      </c>
      <c r="CO269" t="s">
        <v>5674</v>
      </c>
      <c r="CP269" t="s">
        <v>100</v>
      </c>
      <c r="CQ269">
        <v>268</v>
      </c>
      <c r="CR269" t="s">
        <v>100</v>
      </c>
      <c r="CS269" t="s">
        <v>101</v>
      </c>
      <c r="CT269" t="s">
        <v>152</v>
      </c>
      <c r="CU269" t="s">
        <v>102</v>
      </c>
      <c r="CV269" t="s">
        <v>100</v>
      </c>
    </row>
    <row r="270" spans="1:100">
      <c r="A270" s="3" t="s">
        <v>5675</v>
      </c>
      <c r="B270" s="4" t="s">
        <v>5676</v>
      </c>
      <c r="C270">
        <v>2640.5570255258799</v>
      </c>
      <c r="D270">
        <v>11447.5566611339</v>
      </c>
      <c r="E270">
        <f>-2.11615833452842</f>
        <v>-2.1161583345284201</v>
      </c>
      <c r="F270" s="5">
        <v>5.62763679218127E-37</v>
      </c>
      <c r="G270" t="s">
        <v>4</v>
      </c>
      <c r="H270">
        <v>2640.5570255258799</v>
      </c>
      <c r="I270">
        <v>386.45945639368102</v>
      </c>
      <c r="J270">
        <v>2.7713124320788198</v>
      </c>
      <c r="K270" s="5">
        <v>8.3935400985205103E-59</v>
      </c>
      <c r="L270" t="s">
        <v>4</v>
      </c>
      <c r="M270">
        <v>11447.5566611339</v>
      </c>
      <c r="N270">
        <v>386.45945639368102</v>
      </c>
      <c r="O270">
        <v>4.8874707666072403</v>
      </c>
      <c r="P270" s="5">
        <v>5.9383647745787797E-182</v>
      </c>
      <c r="Q270" t="s">
        <v>4</v>
      </c>
      <c r="R270" s="4" t="s">
        <v>87</v>
      </c>
      <c r="S270" t="s">
        <v>4</v>
      </c>
      <c r="T270" t="s">
        <v>5677</v>
      </c>
      <c r="U270" t="s">
        <v>5678</v>
      </c>
      <c r="V270" t="s">
        <v>5679</v>
      </c>
      <c r="W270" t="s">
        <v>328</v>
      </c>
      <c r="X270" t="s">
        <v>4</v>
      </c>
      <c r="Y270" t="s">
        <v>5680</v>
      </c>
      <c r="Z270" t="s">
        <v>5681</v>
      </c>
      <c r="AA270" t="s">
        <v>5682</v>
      </c>
      <c r="AB270" t="s">
        <v>4</v>
      </c>
      <c r="AC270" s="3" t="s">
        <v>5683</v>
      </c>
      <c r="AD270" t="s">
        <v>4</v>
      </c>
      <c r="AE270" t="s">
        <v>5684</v>
      </c>
      <c r="AF270" t="s">
        <v>834</v>
      </c>
      <c r="AG270" t="s">
        <v>5685</v>
      </c>
      <c r="AH270" t="s">
        <v>112</v>
      </c>
      <c r="AI270" t="s">
        <v>5686</v>
      </c>
      <c r="AU270" t="s">
        <v>112</v>
      </c>
      <c r="AV270" t="s">
        <v>5687</v>
      </c>
      <c r="AW270" t="s">
        <v>114</v>
      </c>
      <c r="AX270" t="s">
        <v>5688</v>
      </c>
      <c r="AY270" t="s">
        <v>5689</v>
      </c>
      <c r="AZ270" t="s">
        <v>4</v>
      </c>
      <c r="BA270" s="3" t="s">
        <v>115</v>
      </c>
      <c r="BB270" t="s">
        <v>96</v>
      </c>
      <c r="BC270" s="3" t="s">
        <v>95</v>
      </c>
      <c r="BD270" t="s">
        <v>4</v>
      </c>
      <c r="BE270">
        <v>7773</v>
      </c>
      <c r="BF270" t="s">
        <v>213</v>
      </c>
      <c r="BH270">
        <v>39.792700000000004</v>
      </c>
      <c r="BI270">
        <v>86.321200000000005</v>
      </c>
      <c r="BJ270">
        <v>71.088099999999997</v>
      </c>
      <c r="BK270">
        <v>11.813499999999999</v>
      </c>
      <c r="BM270">
        <v>65.388599999999997</v>
      </c>
      <c r="BN270">
        <v>66.528499999999994</v>
      </c>
      <c r="BO270">
        <v>63.834200000000003</v>
      </c>
      <c r="BP270">
        <v>38.341999999999999</v>
      </c>
      <c r="BR270">
        <v>10.1554</v>
      </c>
      <c r="BV270">
        <v>11.9171</v>
      </c>
      <c r="BY270">
        <v>13.160600000000001</v>
      </c>
      <c r="BZ270">
        <v>6.8393800000000002</v>
      </c>
      <c r="CA270">
        <v>14.4041</v>
      </c>
      <c r="CG270" t="s">
        <v>5690</v>
      </c>
      <c r="CH270" t="s">
        <v>5691</v>
      </c>
      <c r="CI270" t="s">
        <v>5692</v>
      </c>
      <c r="CK270">
        <v>8</v>
      </c>
      <c r="CL270" t="s">
        <v>4</v>
      </c>
      <c r="CM270" t="s">
        <v>5693</v>
      </c>
      <c r="CN270" t="s">
        <v>5694</v>
      </c>
      <c r="CO270" t="s">
        <v>219</v>
      </c>
      <c r="CP270" t="s">
        <v>100</v>
      </c>
      <c r="CQ270">
        <v>269</v>
      </c>
      <c r="CR270" t="s">
        <v>100</v>
      </c>
      <c r="CS270" t="s">
        <v>101</v>
      </c>
      <c r="CT270" t="s">
        <v>152</v>
      </c>
      <c r="CU270" t="s">
        <v>102</v>
      </c>
      <c r="CV270" t="s">
        <v>100</v>
      </c>
    </row>
    <row r="271" spans="1:100">
      <c r="A271" s="3" t="s">
        <v>5695</v>
      </c>
      <c r="B271" s="4" t="s">
        <v>5696</v>
      </c>
      <c r="C271">
        <v>46.089805553042602</v>
      </c>
      <c r="D271">
        <v>240.83869528031701</v>
      </c>
      <c r="E271">
        <f>-2.3825943906311</f>
        <v>-2.3825943906311</v>
      </c>
      <c r="F271" s="5">
        <v>6.9378917470981504E-9</v>
      </c>
      <c r="G271" t="s">
        <v>4</v>
      </c>
      <c r="H271">
        <v>46.089805553042602</v>
      </c>
      <c r="I271">
        <v>11.715796480475801</v>
      </c>
      <c r="J271">
        <v>2.01210408031959</v>
      </c>
      <c r="K271" s="5">
        <v>9.39387970560174E-5</v>
      </c>
      <c r="L271" t="s">
        <v>4</v>
      </c>
      <c r="M271">
        <v>240.83869528031701</v>
      </c>
      <c r="N271">
        <v>11.715796480475801</v>
      </c>
      <c r="O271">
        <v>4.39469847095069</v>
      </c>
      <c r="P271" s="5">
        <v>9.5773444585229097E-20</v>
      </c>
      <c r="Q271" t="s">
        <v>4</v>
      </c>
      <c r="R271" s="4" t="s">
        <v>87</v>
      </c>
      <c r="S271" t="s">
        <v>4</v>
      </c>
      <c r="T271" t="s">
        <v>5697</v>
      </c>
      <c r="U271" t="s">
        <v>5698</v>
      </c>
      <c r="V271" t="s">
        <v>5699</v>
      </c>
      <c r="W271" t="s">
        <v>328</v>
      </c>
      <c r="X271" t="s">
        <v>4</v>
      </c>
      <c r="Y271" t="s">
        <v>5700</v>
      </c>
      <c r="Z271" t="s">
        <v>5701</v>
      </c>
      <c r="AA271" t="s">
        <v>5702</v>
      </c>
      <c r="AB271" t="s">
        <v>4</v>
      </c>
      <c r="AC271" s="3" t="s">
        <v>5703</v>
      </c>
      <c r="AD271" t="s">
        <v>4</v>
      </c>
      <c r="AE271" t="s">
        <v>5704</v>
      </c>
      <c r="AF271" t="s">
        <v>5705</v>
      </c>
      <c r="AG271" t="s">
        <v>5706</v>
      </c>
      <c r="AH271" t="s">
        <v>112</v>
      </c>
      <c r="AL271" t="s">
        <v>4135</v>
      </c>
      <c r="AQ271" t="s">
        <v>641</v>
      </c>
      <c r="AR271" t="s">
        <v>4136</v>
      </c>
      <c r="AU271" t="s">
        <v>112</v>
      </c>
      <c r="AV271" t="s">
        <v>4137</v>
      </c>
      <c r="AW271" t="s">
        <v>114</v>
      </c>
      <c r="AX271" t="s">
        <v>909</v>
      </c>
      <c r="AY271" t="s">
        <v>4138</v>
      </c>
      <c r="AZ271" t="s">
        <v>4</v>
      </c>
      <c r="BA271" s="3" t="s">
        <v>115</v>
      </c>
      <c r="BB271" t="s">
        <v>96</v>
      </c>
      <c r="BC271" s="3" t="s">
        <v>95</v>
      </c>
      <c r="BD271" t="s">
        <v>4</v>
      </c>
      <c r="BE271">
        <v>7779</v>
      </c>
      <c r="BF271" t="s">
        <v>213</v>
      </c>
      <c r="BG271">
        <v>91.354500000000002</v>
      </c>
      <c r="BH271">
        <v>55.907800000000002</v>
      </c>
      <c r="BI271">
        <v>47.550400000000003</v>
      </c>
      <c r="BJ271">
        <v>78.674400000000006</v>
      </c>
      <c r="BK271">
        <v>80.115300000000005</v>
      </c>
      <c r="BL271">
        <v>33.141199999999998</v>
      </c>
      <c r="BM271">
        <v>80.403499999999994</v>
      </c>
      <c r="BN271">
        <v>80.115300000000005</v>
      </c>
      <c r="BO271" t="s">
        <v>5707</v>
      </c>
      <c r="BP271">
        <v>5.1873199999999997</v>
      </c>
      <c r="BQ271">
        <v>60.518700000000003</v>
      </c>
      <c r="BS271">
        <v>45.244999999999997</v>
      </c>
      <c r="BT271">
        <v>46.9741</v>
      </c>
      <c r="BU271">
        <v>38.328499999999998</v>
      </c>
      <c r="BV271" t="s">
        <v>5708</v>
      </c>
      <c r="BX271">
        <v>62.247799999999998</v>
      </c>
      <c r="BY271" t="s">
        <v>5709</v>
      </c>
      <c r="CA271">
        <v>64.265100000000004</v>
      </c>
      <c r="CB271" t="s">
        <v>5710</v>
      </c>
      <c r="CC271" t="s">
        <v>5711</v>
      </c>
      <c r="CD271">
        <v>49.855899999999998</v>
      </c>
      <c r="CE271" t="s">
        <v>5712</v>
      </c>
      <c r="CF271">
        <v>46.3977</v>
      </c>
      <c r="CG271" t="s">
        <v>5713</v>
      </c>
      <c r="CH271" t="s">
        <v>5714</v>
      </c>
      <c r="CI271" t="s">
        <v>5715</v>
      </c>
      <c r="CK271">
        <v>8</v>
      </c>
      <c r="CL271" t="s">
        <v>4</v>
      </c>
      <c r="CM271" t="s">
        <v>5716</v>
      </c>
      <c r="CN271" t="s">
        <v>5717</v>
      </c>
      <c r="CO271" t="s">
        <v>1218</v>
      </c>
      <c r="CP271" t="s">
        <v>100</v>
      </c>
      <c r="CQ271">
        <v>270</v>
      </c>
      <c r="CR271" t="s">
        <v>100</v>
      </c>
      <c r="CS271" t="s">
        <v>101</v>
      </c>
      <c r="CT271" t="s">
        <v>152</v>
      </c>
      <c r="CU271" t="s">
        <v>102</v>
      </c>
      <c r="CV271" t="s">
        <v>100</v>
      </c>
    </row>
    <row r="272" spans="1:100">
      <c r="A272" s="3" t="s">
        <v>5718</v>
      </c>
      <c r="B272" s="4" t="s">
        <v>5719</v>
      </c>
      <c r="C272">
        <v>67.054441341100997</v>
      </c>
      <c r="D272">
        <v>269.41196721587698</v>
      </c>
      <c r="E272">
        <f>-2.00498288285853</f>
        <v>-2.0049828828585299</v>
      </c>
      <c r="F272" s="5">
        <v>6.0485086629485702E-6</v>
      </c>
      <c r="G272" t="s">
        <v>4</v>
      </c>
      <c r="H272">
        <v>67.054441341100997</v>
      </c>
      <c r="I272">
        <v>14.912433832189199</v>
      </c>
      <c r="J272">
        <v>2.2094019914307701</v>
      </c>
      <c r="K272" s="5">
        <v>1.65943145671635E-5</v>
      </c>
      <c r="L272" t="s">
        <v>4</v>
      </c>
      <c r="M272">
        <v>269.41196721587698</v>
      </c>
      <c r="N272">
        <v>14.912433832189199</v>
      </c>
      <c r="O272">
        <v>4.2143848742893102</v>
      </c>
      <c r="P272" s="5">
        <v>6.0966058368660197E-18</v>
      </c>
      <c r="Q272" t="s">
        <v>4</v>
      </c>
      <c r="R272" s="4" t="s">
        <v>87</v>
      </c>
      <c r="S272" t="s">
        <v>4</v>
      </c>
      <c r="T272" t="s">
        <v>2243</v>
      </c>
      <c r="U272" t="s">
        <v>2244</v>
      </c>
      <c r="V272" t="s">
        <v>2245</v>
      </c>
      <c r="W272" t="s">
        <v>123</v>
      </c>
      <c r="X272" t="s">
        <v>4</v>
      </c>
      <c r="Y272" t="s">
        <v>2647</v>
      </c>
      <c r="Z272" t="s">
        <v>2648</v>
      </c>
      <c r="AA272" t="s">
        <v>2649</v>
      </c>
      <c r="AB272" t="s">
        <v>4</v>
      </c>
      <c r="AC272" s="3" t="s">
        <v>2650</v>
      </c>
      <c r="AD272" t="s">
        <v>4</v>
      </c>
      <c r="AE272" t="s">
        <v>5720</v>
      </c>
      <c r="AF272" t="s">
        <v>5721</v>
      </c>
      <c r="AG272" t="s">
        <v>5722</v>
      </c>
      <c r="AH272" t="s">
        <v>112</v>
      </c>
      <c r="AI272" t="s">
        <v>5723</v>
      </c>
      <c r="AJ272" t="s">
        <v>5724</v>
      </c>
      <c r="AU272" t="s">
        <v>112</v>
      </c>
      <c r="AV272" t="s">
        <v>5725</v>
      </c>
      <c r="AW272" t="s">
        <v>114</v>
      </c>
      <c r="AX272" t="s">
        <v>144</v>
      </c>
      <c r="AY272" t="s">
        <v>5726</v>
      </c>
      <c r="AZ272" t="s">
        <v>4</v>
      </c>
      <c r="BA272" s="3" t="s">
        <v>115</v>
      </c>
      <c r="BB272" s="6" t="s">
        <v>95</v>
      </c>
      <c r="BC272" s="3" t="s">
        <v>95</v>
      </c>
      <c r="BD272" t="s">
        <v>4</v>
      </c>
      <c r="BE272">
        <v>7786</v>
      </c>
      <c r="BF272" t="s">
        <v>213</v>
      </c>
      <c r="BG272">
        <v>78.463300000000004</v>
      </c>
      <c r="BH272">
        <v>28.288699999999999</v>
      </c>
      <c r="BJ272">
        <v>36.088500000000003</v>
      </c>
      <c r="BK272">
        <v>47.962699999999998</v>
      </c>
      <c r="BN272">
        <v>55.180399999999999</v>
      </c>
      <c r="BO272">
        <v>62.631</v>
      </c>
      <c r="BP272">
        <v>37.485399999999998</v>
      </c>
      <c r="BQ272">
        <v>29.685700000000001</v>
      </c>
      <c r="BS272">
        <v>30.617000000000001</v>
      </c>
      <c r="BT272">
        <v>22.468</v>
      </c>
      <c r="BU272">
        <v>30.267800000000001</v>
      </c>
      <c r="BV272" t="s">
        <v>5727</v>
      </c>
      <c r="BW272">
        <v>32.828899999999997</v>
      </c>
      <c r="BX272">
        <v>36.786999999999999</v>
      </c>
      <c r="BY272">
        <v>18.509899999999998</v>
      </c>
      <c r="BZ272">
        <v>13.038399999999999</v>
      </c>
      <c r="CD272">
        <v>15.7159</v>
      </c>
      <c r="CE272">
        <v>8.2654200000000007</v>
      </c>
      <c r="CG272">
        <v>11.9907</v>
      </c>
      <c r="CH272">
        <v>11.175800000000001</v>
      </c>
      <c r="CI272">
        <v>12.107100000000001</v>
      </c>
      <c r="CK272">
        <v>8</v>
      </c>
      <c r="CL272" t="s">
        <v>4</v>
      </c>
      <c r="CM272" t="s">
        <v>98</v>
      </c>
      <c r="CN272" t="s">
        <v>98</v>
      </c>
      <c r="CO272" t="s">
        <v>99</v>
      </c>
      <c r="CP272" t="s">
        <v>100</v>
      </c>
      <c r="CQ272">
        <v>271</v>
      </c>
      <c r="CR272" t="s">
        <v>100</v>
      </c>
      <c r="CS272" t="s">
        <v>101</v>
      </c>
      <c r="CT272" t="s">
        <v>152</v>
      </c>
      <c r="CU272" t="s">
        <v>102</v>
      </c>
      <c r="CV272" t="s">
        <v>100</v>
      </c>
    </row>
    <row r="273" spans="1:100">
      <c r="A273" s="3" t="s">
        <v>5728</v>
      </c>
      <c r="B273" s="4" t="s">
        <v>5729</v>
      </c>
      <c r="C273">
        <v>61.261191631501198</v>
      </c>
      <c r="D273">
        <v>547.15181065545596</v>
      </c>
      <c r="E273">
        <f>-3.15500201154753</f>
        <v>-3.1550020115475301</v>
      </c>
      <c r="F273" s="5">
        <v>2.0153112495402101E-10</v>
      </c>
      <c r="G273" t="s">
        <v>4</v>
      </c>
      <c r="H273">
        <v>61.261191631501198</v>
      </c>
      <c r="I273">
        <v>51.936223475849403</v>
      </c>
      <c r="J273">
        <v>0.246585977384678</v>
      </c>
      <c r="K273">
        <v>0.67663072742039698</v>
      </c>
      <c r="L273" t="s">
        <v>4</v>
      </c>
      <c r="M273">
        <v>547.15181065545596</v>
      </c>
      <c r="N273">
        <v>51.936223475849403</v>
      </c>
      <c r="O273">
        <v>3.40158798893221</v>
      </c>
      <c r="P273" s="5">
        <v>6.0544965045330399E-12</v>
      </c>
      <c r="Q273" t="s">
        <v>4</v>
      </c>
      <c r="R273" s="4" t="s">
        <v>87</v>
      </c>
      <c r="S273" t="s">
        <v>4</v>
      </c>
      <c r="T273" t="s">
        <v>5730</v>
      </c>
      <c r="U273" t="s">
        <v>5731</v>
      </c>
      <c r="V273" t="s">
        <v>5732</v>
      </c>
      <c r="W273" t="s">
        <v>328</v>
      </c>
      <c r="X273" t="s">
        <v>4</v>
      </c>
      <c r="Y273" t="s">
        <v>5733</v>
      </c>
      <c r="Z273" t="s">
        <v>5734</v>
      </c>
      <c r="AA273" t="s">
        <v>5735</v>
      </c>
      <c r="AB273" t="s">
        <v>4</v>
      </c>
      <c r="AC273" s="3" t="s">
        <v>5736</v>
      </c>
      <c r="AD273" t="s">
        <v>4</v>
      </c>
      <c r="AE273" t="s">
        <v>5737</v>
      </c>
      <c r="AF273" t="s">
        <v>5738</v>
      </c>
      <c r="AG273" t="s">
        <v>5739</v>
      </c>
      <c r="AH273" t="s">
        <v>112</v>
      </c>
      <c r="AI273" t="s">
        <v>5740</v>
      </c>
      <c r="AL273" t="s">
        <v>5741</v>
      </c>
      <c r="AM273" t="s">
        <v>5742</v>
      </c>
      <c r="AQ273" t="s">
        <v>3868</v>
      </c>
      <c r="AR273" t="s">
        <v>5743</v>
      </c>
      <c r="AU273" t="s">
        <v>112</v>
      </c>
      <c r="AV273" t="s">
        <v>5744</v>
      </c>
      <c r="AW273" t="s">
        <v>114</v>
      </c>
      <c r="AX273" t="s">
        <v>2669</v>
      </c>
      <c r="AY273" t="s">
        <v>5745</v>
      </c>
      <c r="AZ273" t="s">
        <v>4</v>
      </c>
      <c r="BA273" s="3" t="s">
        <v>95</v>
      </c>
      <c r="BB273" t="s">
        <v>96</v>
      </c>
      <c r="BC273" s="3" t="s">
        <v>95</v>
      </c>
      <c r="BD273" t="s">
        <v>4</v>
      </c>
      <c r="BE273">
        <v>7790</v>
      </c>
      <c r="BF273" t="s">
        <v>213</v>
      </c>
      <c r="BG273">
        <v>93.023300000000006</v>
      </c>
      <c r="BH273">
        <v>70.697699999999998</v>
      </c>
      <c r="BI273">
        <v>46.2791</v>
      </c>
      <c r="BJ273">
        <v>36.2791</v>
      </c>
      <c r="BK273">
        <v>26.976700000000001</v>
      </c>
      <c r="BM273">
        <v>24.186</v>
      </c>
      <c r="BN273">
        <v>73.255799999999994</v>
      </c>
      <c r="BO273">
        <v>76.976699999999994</v>
      </c>
      <c r="BP273">
        <v>26.976700000000001</v>
      </c>
      <c r="BQ273">
        <v>22.5581</v>
      </c>
      <c r="BS273" t="s">
        <v>5746</v>
      </c>
      <c r="BU273">
        <v>30.930199999999999</v>
      </c>
      <c r="BV273" t="s">
        <v>5747</v>
      </c>
      <c r="BW273">
        <v>44.883699999999997</v>
      </c>
      <c r="BZ273">
        <v>45.581400000000002</v>
      </c>
      <c r="CA273">
        <v>44.418599999999998</v>
      </c>
      <c r="CF273" t="s">
        <v>5748</v>
      </c>
      <c r="CG273">
        <v>6.9767400000000004</v>
      </c>
      <c r="CH273" t="s">
        <v>5749</v>
      </c>
      <c r="CI273" t="s">
        <v>5750</v>
      </c>
      <c r="CK273">
        <v>8</v>
      </c>
      <c r="CL273" t="s">
        <v>4</v>
      </c>
      <c r="CM273" t="s">
        <v>5751</v>
      </c>
      <c r="CN273" t="s">
        <v>5752</v>
      </c>
      <c r="CO273" t="s">
        <v>663</v>
      </c>
      <c r="CP273" t="s">
        <v>100</v>
      </c>
      <c r="CQ273">
        <v>272</v>
      </c>
      <c r="CR273" t="s">
        <v>100</v>
      </c>
      <c r="CS273" t="s">
        <v>100</v>
      </c>
      <c r="CT273" t="s">
        <v>152</v>
      </c>
      <c r="CU273" t="s">
        <v>102</v>
      </c>
      <c r="CV273" t="s">
        <v>100</v>
      </c>
    </row>
    <row r="274" spans="1:100">
      <c r="A274" s="3" t="s">
        <v>5753</v>
      </c>
      <c r="B274" s="4" t="s">
        <v>5754</v>
      </c>
      <c r="C274">
        <v>110.258819656524</v>
      </c>
      <c r="D274">
        <v>1613.12957023699</v>
      </c>
      <c r="E274">
        <f>-3.86984524824872</f>
        <v>-3.86984524824872</v>
      </c>
      <c r="F274" s="5">
        <v>8.7070442831898399E-15</v>
      </c>
      <c r="G274" t="s">
        <v>4</v>
      </c>
      <c r="H274">
        <v>110.258819656524</v>
      </c>
      <c r="I274">
        <v>79.781667841638296</v>
      </c>
      <c r="J274">
        <v>0.45843290035789303</v>
      </c>
      <c r="K274">
        <v>0.42038251350707101</v>
      </c>
      <c r="L274" t="s">
        <v>4</v>
      </c>
      <c r="M274">
        <v>1613.12957023699</v>
      </c>
      <c r="N274">
        <v>79.781667841638296</v>
      </c>
      <c r="O274">
        <v>4.3282781486066098</v>
      </c>
      <c r="P274" s="5">
        <v>2.2726054065591001E-18</v>
      </c>
      <c r="Q274" t="s">
        <v>4</v>
      </c>
      <c r="R274" s="4" t="s">
        <v>87</v>
      </c>
      <c r="S274" t="s">
        <v>4</v>
      </c>
      <c r="T274" t="s">
        <v>92</v>
      </c>
      <c r="U274" t="s">
        <v>92</v>
      </c>
      <c r="V274" t="s">
        <v>92</v>
      </c>
      <c r="W274" t="s">
        <v>92</v>
      </c>
      <c r="X274" t="s">
        <v>4</v>
      </c>
      <c r="Y274" t="s">
        <v>5755</v>
      </c>
      <c r="Z274" t="s">
        <v>5756</v>
      </c>
      <c r="AA274" t="s">
        <v>5757</v>
      </c>
      <c r="AB274" t="s">
        <v>4</v>
      </c>
      <c r="AC274" s="3" t="s">
        <v>93</v>
      </c>
      <c r="AD274" t="s">
        <v>4</v>
      </c>
      <c r="AE274" s="4" t="s">
        <v>94</v>
      </c>
      <c r="AZ274" t="s">
        <v>4</v>
      </c>
      <c r="BA274" s="3" t="s">
        <v>115</v>
      </c>
      <c r="BB274" s="6" t="s">
        <v>95</v>
      </c>
      <c r="BC274" s="3" t="s">
        <v>95</v>
      </c>
      <c r="BD274" t="s">
        <v>4</v>
      </c>
      <c r="BE274">
        <v>1041</v>
      </c>
      <c r="BF274" t="s">
        <v>151</v>
      </c>
      <c r="BG274">
        <v>53.688499999999998</v>
      </c>
      <c r="BI274">
        <v>23.9754</v>
      </c>
      <c r="CK274">
        <v>2</v>
      </c>
      <c r="CL274" t="s">
        <v>4</v>
      </c>
      <c r="CM274" t="s">
        <v>98</v>
      </c>
      <c r="CN274" t="s">
        <v>98</v>
      </c>
      <c r="CO274" t="s">
        <v>99</v>
      </c>
      <c r="CP274" t="s">
        <v>100</v>
      </c>
      <c r="CQ274">
        <v>273</v>
      </c>
      <c r="CR274" t="s">
        <v>100</v>
      </c>
      <c r="CS274" t="s">
        <v>100</v>
      </c>
      <c r="CT274" t="s">
        <v>152</v>
      </c>
      <c r="CU274" t="s">
        <v>102</v>
      </c>
      <c r="CV274" t="s">
        <v>100</v>
      </c>
    </row>
    <row r="275" spans="1:100">
      <c r="A275" s="3" t="s">
        <v>5758</v>
      </c>
      <c r="B275" s="4" t="s">
        <v>5759</v>
      </c>
      <c r="C275">
        <v>12.281431068456399</v>
      </c>
      <c r="D275">
        <v>85.612692648041303</v>
      </c>
      <c r="E275">
        <f>-2.79136320748299</f>
        <v>-2.7913632074829899</v>
      </c>
      <c r="F275">
        <v>1.45020340869061E-4</v>
      </c>
      <c r="G275" t="s">
        <v>4</v>
      </c>
      <c r="H275">
        <v>12.281431068456399</v>
      </c>
      <c r="I275">
        <v>1.6417037200681699</v>
      </c>
      <c r="J275">
        <v>2.7995310881808901</v>
      </c>
      <c r="K275">
        <v>9.8708613151538595E-3</v>
      </c>
      <c r="L275" t="s">
        <v>4</v>
      </c>
      <c r="M275">
        <v>85.612692648041303</v>
      </c>
      <c r="N275">
        <v>1.6417037200681699</v>
      </c>
      <c r="O275">
        <v>5.5908942956638796</v>
      </c>
      <c r="P275" s="5">
        <v>3.4178789685235301E-8</v>
      </c>
      <c r="Q275" t="s">
        <v>4</v>
      </c>
      <c r="R275" s="4" t="s">
        <v>87</v>
      </c>
      <c r="S275" t="s">
        <v>4</v>
      </c>
      <c r="T275" t="s">
        <v>92</v>
      </c>
      <c r="U275" t="s">
        <v>92</v>
      </c>
      <c r="V275" t="s">
        <v>92</v>
      </c>
      <c r="W275" t="s">
        <v>92</v>
      </c>
      <c r="X275" t="s">
        <v>4</v>
      </c>
      <c r="Y275" t="s">
        <v>92</v>
      </c>
      <c r="Z275" t="s">
        <v>92</v>
      </c>
      <c r="AA275" t="s">
        <v>92</v>
      </c>
      <c r="AB275" t="s">
        <v>4</v>
      </c>
      <c r="AC275" s="3" t="s">
        <v>93</v>
      </c>
      <c r="AD275" t="s">
        <v>4</v>
      </c>
      <c r="AE275" s="4" t="s">
        <v>94</v>
      </c>
      <c r="AZ275" t="s">
        <v>4</v>
      </c>
      <c r="BA275" s="3" t="s">
        <v>95</v>
      </c>
      <c r="BB275" s="6" t="s">
        <v>95</v>
      </c>
      <c r="BC275" s="3" t="s">
        <v>95</v>
      </c>
      <c r="BD275" t="s">
        <v>4</v>
      </c>
      <c r="BE275">
        <v>1185</v>
      </c>
      <c r="BF275" t="s">
        <v>151</v>
      </c>
      <c r="BI275">
        <v>54.310299999999998</v>
      </c>
      <c r="CK275">
        <v>2</v>
      </c>
      <c r="CL275" t="s">
        <v>4</v>
      </c>
      <c r="CM275" t="s">
        <v>98</v>
      </c>
      <c r="CN275" t="s">
        <v>98</v>
      </c>
      <c r="CO275" t="s">
        <v>99</v>
      </c>
      <c r="CP275" t="s">
        <v>100</v>
      </c>
      <c r="CQ275">
        <v>274</v>
      </c>
      <c r="CR275" t="s">
        <v>100</v>
      </c>
      <c r="CS275" t="s">
        <v>101</v>
      </c>
      <c r="CT275" t="s">
        <v>152</v>
      </c>
      <c r="CU275" t="s">
        <v>102</v>
      </c>
      <c r="CV275" t="s">
        <v>100</v>
      </c>
    </row>
    <row r="276" spans="1:100">
      <c r="A276" s="3" t="s">
        <v>5760</v>
      </c>
      <c r="B276" s="4" t="s">
        <v>5761</v>
      </c>
      <c r="C276">
        <v>38.527214932478202</v>
      </c>
      <c r="D276">
        <v>674.14196305281598</v>
      </c>
      <c r="E276">
        <f>-4.12742120385301</f>
        <v>-4.12742120385301</v>
      </c>
      <c r="F276" s="5">
        <v>1.1198338234693101E-22</v>
      </c>
      <c r="G276" t="s">
        <v>4</v>
      </c>
      <c r="H276">
        <v>38.527214932478202</v>
      </c>
      <c r="I276">
        <v>20.3935039382689</v>
      </c>
      <c r="J276">
        <v>0.95402187305866304</v>
      </c>
      <c r="K276">
        <v>6.3638338907142697E-2</v>
      </c>
      <c r="L276" t="s">
        <v>4</v>
      </c>
      <c r="M276">
        <v>674.14196305281598</v>
      </c>
      <c r="N276">
        <v>20.3935039382689</v>
      </c>
      <c r="O276">
        <v>5.0814430769116798</v>
      </c>
      <c r="P276" s="5">
        <v>6.7595965433663499E-29</v>
      </c>
      <c r="Q276" t="s">
        <v>4</v>
      </c>
      <c r="R276" s="4" t="s">
        <v>87</v>
      </c>
      <c r="S276" t="s">
        <v>4</v>
      </c>
      <c r="T276" t="s">
        <v>92</v>
      </c>
      <c r="U276" t="s">
        <v>92</v>
      </c>
      <c r="V276" t="s">
        <v>92</v>
      </c>
      <c r="W276" t="s">
        <v>92</v>
      </c>
      <c r="X276" t="s">
        <v>4</v>
      </c>
      <c r="Y276" t="s">
        <v>1355</v>
      </c>
      <c r="Z276" t="s">
        <v>1356</v>
      </c>
      <c r="AA276" t="s">
        <v>1357</v>
      </c>
      <c r="AB276" t="s">
        <v>4</v>
      </c>
      <c r="AC276" s="3" t="s">
        <v>1358</v>
      </c>
      <c r="AD276" t="s">
        <v>4</v>
      </c>
      <c r="AE276" s="4" t="s">
        <v>94</v>
      </c>
      <c r="AZ276" t="s">
        <v>4</v>
      </c>
      <c r="BA276" s="3" t="s">
        <v>95</v>
      </c>
      <c r="BB276" s="6" t="s">
        <v>95</v>
      </c>
      <c r="BC276" s="3" t="s">
        <v>95</v>
      </c>
      <c r="BD276" t="s">
        <v>4</v>
      </c>
      <c r="BE276">
        <v>1947</v>
      </c>
      <c r="BF276" t="s">
        <v>148</v>
      </c>
      <c r="BG276">
        <v>94.227199999999996</v>
      </c>
      <c r="BH276">
        <v>42.085700000000003</v>
      </c>
      <c r="BI276">
        <v>28.491599999999998</v>
      </c>
      <c r="BJ276">
        <v>45.623800000000003</v>
      </c>
      <c r="BK276">
        <v>22.718800000000002</v>
      </c>
      <c r="BL276">
        <v>36.126600000000003</v>
      </c>
      <c r="BM276">
        <v>50.838000000000001</v>
      </c>
      <c r="BN276">
        <v>50.838000000000001</v>
      </c>
      <c r="BO276">
        <v>43.947899999999997</v>
      </c>
      <c r="CK276">
        <v>3</v>
      </c>
      <c r="CL276" t="s">
        <v>4</v>
      </c>
      <c r="CM276" t="s">
        <v>98</v>
      </c>
      <c r="CN276" t="s">
        <v>98</v>
      </c>
      <c r="CO276" t="s">
        <v>99</v>
      </c>
      <c r="CP276" t="s">
        <v>100</v>
      </c>
      <c r="CQ276">
        <v>275</v>
      </c>
      <c r="CR276" t="s">
        <v>100</v>
      </c>
      <c r="CS276" t="s">
        <v>100</v>
      </c>
      <c r="CT276" t="s">
        <v>152</v>
      </c>
      <c r="CU276" t="s">
        <v>102</v>
      </c>
      <c r="CV276" t="s">
        <v>100</v>
      </c>
    </row>
    <row r="277" spans="1:100">
      <c r="A277" s="3" t="s">
        <v>5762</v>
      </c>
      <c r="B277" s="4" t="s">
        <v>5763</v>
      </c>
      <c r="C277">
        <v>190.55885979783699</v>
      </c>
      <c r="D277">
        <v>1088.4326188724499</v>
      </c>
      <c r="E277">
        <f>-2.51317361308</f>
        <v>-2.5131736130800002</v>
      </c>
      <c r="F277" s="5">
        <v>2.1669983998997999E-16</v>
      </c>
      <c r="G277" t="s">
        <v>4</v>
      </c>
      <c r="H277">
        <v>190.55885979783699</v>
      </c>
      <c r="I277">
        <v>39.509045731849199</v>
      </c>
      <c r="J277">
        <v>2.2841588948690701</v>
      </c>
      <c r="K277" s="5">
        <v>3.5348910936405202E-11</v>
      </c>
      <c r="L277" t="s">
        <v>4</v>
      </c>
      <c r="M277">
        <v>1088.4326188724499</v>
      </c>
      <c r="N277">
        <v>39.509045731849199</v>
      </c>
      <c r="O277">
        <v>4.7973325079490703</v>
      </c>
      <c r="P277" s="5">
        <v>4.3682071389602502E-47</v>
      </c>
      <c r="Q277" t="s">
        <v>4</v>
      </c>
      <c r="R277" s="4" t="s">
        <v>87</v>
      </c>
      <c r="S277" t="s">
        <v>4</v>
      </c>
      <c r="T277" t="s">
        <v>460</v>
      </c>
      <c r="U277" t="s">
        <v>461</v>
      </c>
      <c r="V277" t="s">
        <v>462</v>
      </c>
      <c r="W277" t="s">
        <v>123</v>
      </c>
      <c r="X277" t="s">
        <v>4</v>
      </c>
      <c r="Y277" t="s">
        <v>463</v>
      </c>
      <c r="Z277" t="s">
        <v>464</v>
      </c>
      <c r="AA277" t="s">
        <v>465</v>
      </c>
      <c r="AB277" t="s">
        <v>4</v>
      </c>
      <c r="AC277" s="3" t="s">
        <v>93</v>
      </c>
      <c r="AD277" t="s">
        <v>4</v>
      </c>
      <c r="AE277" t="s">
        <v>5764</v>
      </c>
      <c r="AF277" t="s">
        <v>5765</v>
      </c>
      <c r="AG277" t="s">
        <v>5766</v>
      </c>
      <c r="AH277" t="s">
        <v>638</v>
      </c>
      <c r="AJ277" t="s">
        <v>5767</v>
      </c>
      <c r="AU277" t="s">
        <v>112</v>
      </c>
      <c r="AV277" t="s">
        <v>5768</v>
      </c>
      <c r="AW277" t="s">
        <v>114</v>
      </c>
      <c r="AX277" t="s">
        <v>371</v>
      </c>
      <c r="AY277" t="s">
        <v>471</v>
      </c>
      <c r="AZ277" t="s">
        <v>4</v>
      </c>
      <c r="BA277" s="3" t="s">
        <v>95</v>
      </c>
      <c r="BB277" s="6" t="s">
        <v>95</v>
      </c>
      <c r="BC277" s="3" t="s">
        <v>95</v>
      </c>
      <c r="BD277" t="s">
        <v>4</v>
      </c>
      <c r="BE277">
        <v>4200</v>
      </c>
      <c r="BF277" t="s">
        <v>112</v>
      </c>
      <c r="BG277">
        <v>53.9773</v>
      </c>
      <c r="BH277">
        <v>67.613600000000005</v>
      </c>
      <c r="BI277">
        <v>38.068199999999997</v>
      </c>
      <c r="BJ277">
        <v>39.7727</v>
      </c>
      <c r="BK277">
        <v>35.795499999999997</v>
      </c>
      <c r="BL277">
        <v>56.818199999999997</v>
      </c>
      <c r="BM277">
        <v>56.818199999999997</v>
      </c>
      <c r="BN277">
        <v>56.818199999999997</v>
      </c>
      <c r="BO277">
        <v>89.204499999999996</v>
      </c>
      <c r="BP277">
        <v>43.181800000000003</v>
      </c>
      <c r="BQ277">
        <v>35.2273</v>
      </c>
      <c r="CK277">
        <v>5</v>
      </c>
      <c r="CL277" t="s">
        <v>4</v>
      </c>
      <c r="CM277" t="s">
        <v>98</v>
      </c>
      <c r="CN277" t="s">
        <v>98</v>
      </c>
      <c r="CO277" t="s">
        <v>99</v>
      </c>
      <c r="CP277" t="s">
        <v>100</v>
      </c>
      <c r="CQ277">
        <v>276</v>
      </c>
      <c r="CR277" t="s">
        <v>100</v>
      </c>
      <c r="CS277" t="s">
        <v>101</v>
      </c>
      <c r="CT277" t="s">
        <v>152</v>
      </c>
      <c r="CU277" t="s">
        <v>102</v>
      </c>
      <c r="CV277" t="s">
        <v>100</v>
      </c>
    </row>
    <row r="278" spans="1:100">
      <c r="A278" s="3" t="s">
        <v>5769</v>
      </c>
      <c r="B278" s="4" t="s">
        <v>5770</v>
      </c>
      <c r="C278">
        <v>56.691275937917801</v>
      </c>
      <c r="D278">
        <v>1137.4964749498599</v>
      </c>
      <c r="E278">
        <f>-4.32480347855357</f>
        <v>-4.3248034785535703</v>
      </c>
      <c r="F278" s="5">
        <v>5.9657456091895801E-25</v>
      </c>
      <c r="G278" t="s">
        <v>4</v>
      </c>
      <c r="H278">
        <v>56.691275937917801</v>
      </c>
      <c r="I278">
        <v>46.608213117367796</v>
      </c>
      <c r="J278">
        <v>0.25987670926916401</v>
      </c>
      <c r="K278">
        <v>0.61426357584810798</v>
      </c>
      <c r="L278" t="s">
        <v>4</v>
      </c>
      <c r="M278">
        <v>1137.4964749498599</v>
      </c>
      <c r="N278">
        <v>46.608213117367796</v>
      </c>
      <c r="O278">
        <v>4.5846801878227303</v>
      </c>
      <c r="P278" s="5">
        <v>6.0043122566112299E-27</v>
      </c>
      <c r="Q278" t="s">
        <v>4</v>
      </c>
      <c r="R278" s="4" t="s">
        <v>87</v>
      </c>
      <c r="S278" t="s">
        <v>4</v>
      </c>
      <c r="T278" t="s">
        <v>92</v>
      </c>
      <c r="U278" t="s">
        <v>92</v>
      </c>
      <c r="V278" t="s">
        <v>92</v>
      </c>
      <c r="W278" t="s">
        <v>92</v>
      </c>
      <c r="X278" t="s">
        <v>4</v>
      </c>
      <c r="Y278" t="s">
        <v>92</v>
      </c>
      <c r="Z278" t="s">
        <v>92</v>
      </c>
      <c r="AA278" t="s">
        <v>92</v>
      </c>
      <c r="AB278" t="s">
        <v>4</v>
      </c>
      <c r="AC278" s="3" t="s">
        <v>93</v>
      </c>
      <c r="AD278" t="s">
        <v>4</v>
      </c>
      <c r="AE278" s="4" t="s">
        <v>94</v>
      </c>
      <c r="AZ278" t="s">
        <v>4</v>
      </c>
      <c r="BA278" s="3" t="s">
        <v>115</v>
      </c>
      <c r="BB278" s="6" t="s">
        <v>95</v>
      </c>
      <c r="BC278" s="3" t="s">
        <v>95</v>
      </c>
      <c r="BD278" t="s">
        <v>4</v>
      </c>
      <c r="BE278">
        <v>2615</v>
      </c>
      <c r="BF278" t="s">
        <v>97</v>
      </c>
      <c r="BG278">
        <v>52.247199999999999</v>
      </c>
      <c r="BJ278">
        <v>44.943800000000003</v>
      </c>
      <c r="BK278">
        <v>52.247199999999999</v>
      </c>
      <c r="BL278">
        <v>44.943800000000003</v>
      </c>
      <c r="BM278">
        <v>47.191000000000003</v>
      </c>
      <c r="BN278">
        <v>47.191000000000003</v>
      </c>
      <c r="BO278">
        <v>48.876399999999997</v>
      </c>
      <c r="CK278">
        <v>4</v>
      </c>
      <c r="CL278" t="s">
        <v>4</v>
      </c>
      <c r="CM278" t="s">
        <v>98</v>
      </c>
      <c r="CN278" t="s">
        <v>98</v>
      </c>
      <c r="CO278" t="s">
        <v>99</v>
      </c>
      <c r="CP278" t="s">
        <v>100</v>
      </c>
      <c r="CQ278">
        <v>277</v>
      </c>
      <c r="CR278" t="s">
        <v>100</v>
      </c>
      <c r="CS278" t="s">
        <v>100</v>
      </c>
      <c r="CT278" t="s">
        <v>152</v>
      </c>
      <c r="CU278" t="s">
        <v>102</v>
      </c>
      <c r="CV278" t="s">
        <v>100</v>
      </c>
    </row>
    <row r="279" spans="1:100">
      <c r="A279" s="3" t="s">
        <v>5771</v>
      </c>
      <c r="B279" s="4" t="s">
        <v>5772</v>
      </c>
      <c r="C279">
        <v>62.519893627250703</v>
      </c>
      <c r="D279">
        <v>1036.7674831300001</v>
      </c>
      <c r="E279">
        <f>-4.04884085507431</f>
        <v>-4.0488408550743102</v>
      </c>
      <c r="F279" s="5">
        <v>3.55892158765593E-10</v>
      </c>
      <c r="G279" t="s">
        <v>4</v>
      </c>
      <c r="H279">
        <v>62.519893627250703</v>
      </c>
      <c r="I279">
        <v>212.26269159610899</v>
      </c>
      <c r="J279">
        <f>-1.75630814857227</f>
        <v>-1.75630814857227</v>
      </c>
      <c r="K279">
        <v>8.6251567350234606E-3</v>
      </c>
      <c r="L279" t="s">
        <v>4</v>
      </c>
      <c r="M279">
        <v>1036.7674831300001</v>
      </c>
      <c r="N279">
        <v>212.26269159610899</v>
      </c>
      <c r="O279">
        <v>2.29253270650204</v>
      </c>
      <c r="P279">
        <v>3.6584156791285698E-4</v>
      </c>
      <c r="Q279" t="s">
        <v>4</v>
      </c>
      <c r="R279" s="4" t="s">
        <v>87</v>
      </c>
      <c r="S279" t="s">
        <v>4</v>
      </c>
      <c r="T279" t="s">
        <v>5773</v>
      </c>
      <c r="U279" t="s">
        <v>5774</v>
      </c>
      <c r="V279" t="s">
        <v>5775</v>
      </c>
      <c r="W279" t="s">
        <v>328</v>
      </c>
      <c r="X279" t="s">
        <v>4</v>
      </c>
      <c r="Y279" t="s">
        <v>5776</v>
      </c>
      <c r="Z279" t="s">
        <v>5777</v>
      </c>
      <c r="AA279" t="s">
        <v>5778</v>
      </c>
      <c r="AB279" t="s">
        <v>4</v>
      </c>
      <c r="AC279" s="3" t="s">
        <v>5779</v>
      </c>
      <c r="AD279" t="s">
        <v>4</v>
      </c>
      <c r="AE279" t="s">
        <v>5780</v>
      </c>
      <c r="AF279" t="s">
        <v>5781</v>
      </c>
      <c r="AG279" t="s">
        <v>5782</v>
      </c>
      <c r="AH279" t="s">
        <v>112</v>
      </c>
      <c r="AJ279" t="s">
        <v>5783</v>
      </c>
      <c r="AK279" t="s">
        <v>5784</v>
      </c>
      <c r="AL279" t="s">
        <v>5785</v>
      </c>
      <c r="AM279" t="s">
        <v>5786</v>
      </c>
      <c r="AN279" t="s">
        <v>5787</v>
      </c>
      <c r="AO279" t="s">
        <v>5788</v>
      </c>
      <c r="AP279" t="s">
        <v>5789</v>
      </c>
      <c r="AQ279" t="s">
        <v>5790</v>
      </c>
      <c r="AU279" t="s">
        <v>112</v>
      </c>
      <c r="AV279" t="s">
        <v>5791</v>
      </c>
      <c r="AW279" t="s">
        <v>114</v>
      </c>
      <c r="AX279" t="s">
        <v>1096</v>
      </c>
      <c r="AY279" t="s">
        <v>5792</v>
      </c>
      <c r="AZ279" t="s">
        <v>4</v>
      </c>
      <c r="BA279" s="3" t="s">
        <v>95</v>
      </c>
      <c r="BB279" t="s">
        <v>96</v>
      </c>
      <c r="BC279" s="3" t="s">
        <v>95</v>
      </c>
      <c r="BD279" t="s">
        <v>4</v>
      </c>
      <c r="BE279">
        <v>10142</v>
      </c>
      <c r="BF279" t="s">
        <v>169</v>
      </c>
      <c r="BG279">
        <v>99.477800000000002</v>
      </c>
      <c r="BH279">
        <v>42.558700000000002</v>
      </c>
      <c r="BI279">
        <v>76.240200000000002</v>
      </c>
      <c r="BJ279">
        <v>86.161900000000003</v>
      </c>
      <c r="BK279">
        <v>64.229799999999997</v>
      </c>
      <c r="BL279">
        <v>41.253300000000003</v>
      </c>
      <c r="BM279">
        <v>79.895600000000002</v>
      </c>
      <c r="BN279">
        <v>79.373400000000004</v>
      </c>
      <c r="BO279">
        <v>50.130499999999998</v>
      </c>
      <c r="BP279">
        <v>53.002600000000001</v>
      </c>
      <c r="BQ279">
        <v>43.341999999999999</v>
      </c>
      <c r="BR279">
        <v>45.953000000000003</v>
      </c>
      <c r="BS279">
        <v>43.603099999999998</v>
      </c>
      <c r="BV279" t="s">
        <v>5793</v>
      </c>
      <c r="BW279">
        <v>49.086199999999998</v>
      </c>
      <c r="BX279">
        <v>45.691899999999997</v>
      </c>
      <c r="BZ279">
        <v>43.0809</v>
      </c>
      <c r="CA279">
        <v>45.953000000000003</v>
      </c>
      <c r="CB279">
        <v>36.031300000000002</v>
      </c>
      <c r="CC279">
        <v>23.2376</v>
      </c>
      <c r="CD279">
        <v>27.415099999999999</v>
      </c>
      <c r="CE279">
        <v>25.065300000000001</v>
      </c>
      <c r="CF279" t="s">
        <v>5794</v>
      </c>
      <c r="CG279">
        <v>30.287199999999999</v>
      </c>
      <c r="CH279">
        <v>29.503900000000002</v>
      </c>
      <c r="CI279">
        <v>29.503900000000002</v>
      </c>
      <c r="CJ279" t="s">
        <v>5795</v>
      </c>
      <c r="CK279">
        <v>9</v>
      </c>
      <c r="CL279" t="s">
        <v>4</v>
      </c>
      <c r="CM279" t="s">
        <v>5796</v>
      </c>
      <c r="CN279" t="s">
        <v>5797</v>
      </c>
      <c r="CO279" t="s">
        <v>99</v>
      </c>
      <c r="CP279" t="s">
        <v>100</v>
      </c>
      <c r="CQ279">
        <v>278</v>
      </c>
      <c r="CR279" t="s">
        <v>100</v>
      </c>
      <c r="CS279" t="s">
        <v>100</v>
      </c>
      <c r="CT279" t="s">
        <v>152</v>
      </c>
      <c r="CU279" t="s">
        <v>102</v>
      </c>
      <c r="CV279" t="s">
        <v>100</v>
      </c>
    </row>
    <row r="280" spans="1:100">
      <c r="A280" s="3" t="s">
        <v>5798</v>
      </c>
      <c r="B280" s="4" t="s">
        <v>5799</v>
      </c>
      <c r="C280">
        <v>55.392736660295498</v>
      </c>
      <c r="D280">
        <v>631.28431217813602</v>
      </c>
      <c r="E280">
        <f>-3.51283757789953</f>
        <v>-3.5128375778995302</v>
      </c>
      <c r="F280" s="5">
        <v>1.8604366889796101E-16</v>
      </c>
      <c r="G280" t="s">
        <v>4</v>
      </c>
      <c r="H280">
        <v>55.392736660295498</v>
      </c>
      <c r="I280">
        <v>35.687450606945099</v>
      </c>
      <c r="J280">
        <v>0.63964198957378104</v>
      </c>
      <c r="K280">
        <v>0.20108418036169101</v>
      </c>
      <c r="L280" t="s">
        <v>4</v>
      </c>
      <c r="M280">
        <v>631.28431217813602</v>
      </c>
      <c r="N280">
        <v>35.687450606945099</v>
      </c>
      <c r="O280">
        <v>4.1524795674733097</v>
      </c>
      <c r="P280" s="5">
        <v>3.19714942681753E-21</v>
      </c>
      <c r="Q280" t="s">
        <v>4</v>
      </c>
      <c r="R280" s="4" t="s">
        <v>87</v>
      </c>
      <c r="S280" t="s">
        <v>4</v>
      </c>
      <c r="T280" t="s">
        <v>92</v>
      </c>
      <c r="U280" t="s">
        <v>92</v>
      </c>
      <c r="V280" t="s">
        <v>92</v>
      </c>
      <c r="W280" t="s">
        <v>92</v>
      </c>
      <c r="X280" t="s">
        <v>4</v>
      </c>
      <c r="Y280" t="s">
        <v>92</v>
      </c>
      <c r="Z280" t="s">
        <v>92</v>
      </c>
      <c r="AA280" t="s">
        <v>92</v>
      </c>
      <c r="AB280" t="s">
        <v>4</v>
      </c>
      <c r="AC280" s="3" t="s">
        <v>93</v>
      </c>
      <c r="AD280" t="s">
        <v>4</v>
      </c>
      <c r="AE280" s="4" t="s">
        <v>94</v>
      </c>
      <c r="AZ280" t="s">
        <v>4</v>
      </c>
      <c r="BA280" s="3" t="s">
        <v>95</v>
      </c>
      <c r="BB280" s="6" t="s">
        <v>95</v>
      </c>
      <c r="BC280" s="3" t="s">
        <v>197</v>
      </c>
      <c r="BD280" t="s">
        <v>4</v>
      </c>
      <c r="BE280">
        <v>1190</v>
      </c>
      <c r="BF280" t="s">
        <v>151</v>
      </c>
      <c r="BG280">
        <v>100</v>
      </c>
      <c r="BH280">
        <v>36.802999999999997</v>
      </c>
      <c r="BJ280">
        <v>73.234200000000001</v>
      </c>
      <c r="BK280">
        <v>48.698900000000002</v>
      </c>
      <c r="BO280">
        <v>11.1524</v>
      </c>
      <c r="CK280">
        <v>2</v>
      </c>
      <c r="CL280" t="s">
        <v>4</v>
      </c>
      <c r="CM280" t="s">
        <v>98</v>
      </c>
      <c r="CN280" t="s">
        <v>98</v>
      </c>
      <c r="CO280" t="s">
        <v>99</v>
      </c>
      <c r="CP280" t="s">
        <v>100</v>
      </c>
      <c r="CQ280">
        <v>279</v>
      </c>
      <c r="CR280" t="s">
        <v>100</v>
      </c>
      <c r="CS280" t="s">
        <v>100</v>
      </c>
      <c r="CT280" t="s">
        <v>152</v>
      </c>
      <c r="CU280" t="s">
        <v>102</v>
      </c>
      <c r="CV280" t="s">
        <v>100</v>
      </c>
    </row>
    <row r="281" spans="1:100">
      <c r="A281" s="3" t="s">
        <v>5800</v>
      </c>
      <c r="B281" s="4" t="s">
        <v>5801</v>
      </c>
      <c r="C281">
        <v>1974.9070535035501</v>
      </c>
      <c r="D281">
        <v>8697.7946390028701</v>
      </c>
      <c r="E281">
        <f>-2.13873129053741</f>
        <v>-2.1387312905374101</v>
      </c>
      <c r="F281" s="5">
        <v>2.95266806729186E-36</v>
      </c>
      <c r="G281" t="s">
        <v>4</v>
      </c>
      <c r="H281">
        <v>1974.9070535035501</v>
      </c>
      <c r="I281">
        <v>1186.95739174911</v>
      </c>
      <c r="J281">
        <v>0.73350156765970198</v>
      </c>
      <c r="K281" s="5">
        <v>3.8928821298362602E-5</v>
      </c>
      <c r="L281" t="s">
        <v>4</v>
      </c>
      <c r="M281">
        <v>8697.7946390028701</v>
      </c>
      <c r="N281">
        <v>1186.95739174911</v>
      </c>
      <c r="O281">
        <v>2.8722328581971102</v>
      </c>
      <c r="P281" s="5">
        <v>3.1174709714101901E-65</v>
      </c>
      <c r="Q281" t="s">
        <v>4</v>
      </c>
      <c r="R281" s="4" t="s">
        <v>87</v>
      </c>
      <c r="S281" t="s">
        <v>4</v>
      </c>
      <c r="T281" t="s">
        <v>2243</v>
      </c>
      <c r="U281" t="s">
        <v>2244</v>
      </c>
      <c r="V281" t="s">
        <v>2245</v>
      </c>
      <c r="W281" t="s">
        <v>123</v>
      </c>
      <c r="X281" t="s">
        <v>4</v>
      </c>
      <c r="Y281" t="s">
        <v>5802</v>
      </c>
      <c r="Z281" t="s">
        <v>5803</v>
      </c>
      <c r="AA281" t="s">
        <v>5804</v>
      </c>
      <c r="AB281" t="s">
        <v>4</v>
      </c>
      <c r="AC281" s="3" t="s">
        <v>5805</v>
      </c>
      <c r="AD281" t="s">
        <v>4</v>
      </c>
      <c r="AE281" s="4" t="s">
        <v>94</v>
      </c>
      <c r="AZ281" t="s">
        <v>4</v>
      </c>
      <c r="BA281" s="3" t="s">
        <v>115</v>
      </c>
      <c r="BB281" s="6" t="s">
        <v>95</v>
      </c>
      <c r="BC281" s="3" t="s">
        <v>95</v>
      </c>
      <c r="BD281" t="s">
        <v>4</v>
      </c>
      <c r="BE281">
        <v>2629</v>
      </c>
      <c r="BF281" t="s">
        <v>97</v>
      </c>
      <c r="BG281">
        <v>98.430499999999995</v>
      </c>
      <c r="BH281">
        <v>57.847499999999997</v>
      </c>
      <c r="BI281">
        <v>65.4709</v>
      </c>
      <c r="BJ281">
        <v>81.390100000000004</v>
      </c>
      <c r="BK281">
        <v>82.959599999999995</v>
      </c>
      <c r="BL281">
        <v>44.394599999999997</v>
      </c>
      <c r="BM281">
        <v>83.856499999999997</v>
      </c>
      <c r="BN281">
        <v>83.856499999999997</v>
      </c>
      <c r="BO281">
        <v>83.632300000000001</v>
      </c>
      <c r="BP281">
        <v>22.87</v>
      </c>
      <c r="CK281">
        <v>4</v>
      </c>
      <c r="CL281" t="s">
        <v>4</v>
      </c>
      <c r="CM281" t="s">
        <v>98</v>
      </c>
      <c r="CN281" t="s">
        <v>98</v>
      </c>
      <c r="CO281" t="s">
        <v>99</v>
      </c>
      <c r="CP281" t="s">
        <v>100</v>
      </c>
      <c r="CQ281">
        <v>280</v>
      </c>
      <c r="CR281" t="s">
        <v>100</v>
      </c>
      <c r="CS281" t="s">
        <v>100</v>
      </c>
      <c r="CT281" t="s">
        <v>152</v>
      </c>
      <c r="CU281" t="s">
        <v>102</v>
      </c>
      <c r="CV281" t="s">
        <v>100</v>
      </c>
    </row>
    <row r="282" spans="1:100">
      <c r="A282" s="3" t="s">
        <v>5806</v>
      </c>
      <c r="B282" s="4" t="s">
        <v>5807</v>
      </c>
      <c r="C282">
        <v>35.113063550217397</v>
      </c>
      <c r="D282">
        <v>249.31936062185301</v>
      </c>
      <c r="E282">
        <f>-2.82791126300335</f>
        <v>-2.8279112630033501</v>
      </c>
      <c r="F282" s="5">
        <v>1.87634185351538E-16</v>
      </c>
      <c r="G282" t="s">
        <v>4</v>
      </c>
      <c r="H282">
        <v>35.113063550217397</v>
      </c>
      <c r="I282">
        <v>14.790884662881901</v>
      </c>
      <c r="J282">
        <v>1.2606480834465501</v>
      </c>
      <c r="K282">
        <v>5.1857614409684897E-3</v>
      </c>
      <c r="L282" t="s">
        <v>4</v>
      </c>
      <c r="M282">
        <v>249.31936062185301</v>
      </c>
      <c r="N282">
        <v>14.790884662881901</v>
      </c>
      <c r="O282">
        <v>4.0885593464499097</v>
      </c>
      <c r="P282" s="5">
        <v>9.8746108214669595E-24</v>
      </c>
      <c r="Q282" t="s">
        <v>4</v>
      </c>
      <c r="R282" s="4" t="s">
        <v>87</v>
      </c>
      <c r="S282" t="s">
        <v>4</v>
      </c>
      <c r="T282" t="s">
        <v>92</v>
      </c>
      <c r="U282" t="s">
        <v>92</v>
      </c>
      <c r="V282" t="s">
        <v>92</v>
      </c>
      <c r="W282" t="s">
        <v>92</v>
      </c>
      <c r="X282" t="s">
        <v>4</v>
      </c>
      <c r="Y282" t="s">
        <v>92</v>
      </c>
      <c r="Z282" t="s">
        <v>92</v>
      </c>
      <c r="AA282" t="s">
        <v>92</v>
      </c>
      <c r="AB282" t="s">
        <v>4</v>
      </c>
      <c r="AC282" s="3" t="s">
        <v>93</v>
      </c>
      <c r="AD282" t="s">
        <v>4</v>
      </c>
      <c r="AE282" s="4" t="s">
        <v>94</v>
      </c>
      <c r="AZ282" t="s">
        <v>4</v>
      </c>
      <c r="BA282" s="3" t="s">
        <v>115</v>
      </c>
      <c r="BB282" s="6" t="s">
        <v>95</v>
      </c>
      <c r="BC282" s="3" t="s">
        <v>95</v>
      </c>
      <c r="BD282" t="s">
        <v>4</v>
      </c>
      <c r="BE282">
        <v>1193</v>
      </c>
      <c r="BF282" t="s">
        <v>151</v>
      </c>
      <c r="BG282">
        <v>30.407499999999999</v>
      </c>
      <c r="BI282">
        <v>29.467099999999999</v>
      </c>
      <c r="BJ282">
        <v>24.137899999999998</v>
      </c>
      <c r="BK282">
        <v>23.510999999999999</v>
      </c>
      <c r="BN282">
        <v>19.749199999999998</v>
      </c>
      <c r="BO282">
        <v>17.241399999999999</v>
      </c>
      <c r="CK282">
        <v>2</v>
      </c>
      <c r="CL282" t="s">
        <v>4</v>
      </c>
      <c r="CM282" t="s">
        <v>98</v>
      </c>
      <c r="CN282" t="s">
        <v>98</v>
      </c>
      <c r="CO282" t="s">
        <v>99</v>
      </c>
      <c r="CP282" t="s">
        <v>100</v>
      </c>
      <c r="CQ282">
        <v>281</v>
      </c>
      <c r="CR282" t="s">
        <v>100</v>
      </c>
      <c r="CS282" s="7" t="s">
        <v>101</v>
      </c>
      <c r="CT282" t="s">
        <v>152</v>
      </c>
      <c r="CU282" t="s">
        <v>102</v>
      </c>
      <c r="CV282" t="s">
        <v>100</v>
      </c>
    </row>
    <row r="283" spans="1:100">
      <c r="A283" s="3" t="s">
        <v>5808</v>
      </c>
      <c r="B283" s="4" t="s">
        <v>5809</v>
      </c>
      <c r="C283">
        <v>46.623649305620397</v>
      </c>
      <c r="D283">
        <v>330.27915170841902</v>
      </c>
      <c r="E283">
        <f>-2.81609120292281</f>
        <v>-2.8160912029228098</v>
      </c>
      <c r="F283" s="5">
        <v>8.0946875073284707E-15</v>
      </c>
      <c r="G283" t="s">
        <v>4</v>
      </c>
      <c r="H283">
        <v>46.623649305620397</v>
      </c>
      <c r="I283">
        <v>50.853045378584603</v>
      </c>
      <c r="J283">
        <f>0.115141086519453</f>
        <v>0.115141086519453</v>
      </c>
      <c r="K283">
        <v>0.80156600567901803</v>
      </c>
      <c r="L283" t="s">
        <v>4</v>
      </c>
      <c r="M283">
        <v>330.27915170841902</v>
      </c>
      <c r="N283">
        <v>50.853045378584603</v>
      </c>
      <c r="O283">
        <v>2.70095011640336</v>
      </c>
      <c r="P283" s="5">
        <v>2.04715365397557E-13</v>
      </c>
      <c r="Q283" t="s">
        <v>4</v>
      </c>
      <c r="R283" s="4" t="s">
        <v>87</v>
      </c>
      <c r="S283" t="s">
        <v>4</v>
      </c>
      <c r="T283" t="s">
        <v>88</v>
      </c>
      <c r="U283" t="s">
        <v>89</v>
      </c>
      <c r="V283" t="s">
        <v>90</v>
      </c>
      <c r="W283" t="s">
        <v>91</v>
      </c>
      <c r="X283" t="s">
        <v>4</v>
      </c>
      <c r="Y283" t="s">
        <v>92</v>
      </c>
      <c r="Z283" t="s">
        <v>92</v>
      </c>
      <c r="AA283" t="s">
        <v>92</v>
      </c>
      <c r="AB283" t="s">
        <v>4</v>
      </c>
      <c r="AC283" s="3" t="s">
        <v>93</v>
      </c>
      <c r="AD283" t="s">
        <v>4</v>
      </c>
      <c r="AE283" t="s">
        <v>5810</v>
      </c>
      <c r="AF283" t="s">
        <v>5811</v>
      </c>
      <c r="AG283" t="s">
        <v>5812</v>
      </c>
      <c r="AH283" t="s">
        <v>638</v>
      </c>
      <c r="AU283" t="s">
        <v>112</v>
      </c>
      <c r="AV283" t="s">
        <v>5813</v>
      </c>
      <c r="AW283" t="s">
        <v>114</v>
      </c>
      <c r="AX283" t="s">
        <v>144</v>
      </c>
      <c r="AY283" t="s">
        <v>5814</v>
      </c>
      <c r="AZ283" t="s">
        <v>4</v>
      </c>
      <c r="BA283" s="3" t="s">
        <v>95</v>
      </c>
      <c r="BB283" t="s">
        <v>96</v>
      </c>
      <c r="BC283" s="3" t="s">
        <v>95</v>
      </c>
      <c r="BD283" t="s">
        <v>4</v>
      </c>
      <c r="BE283">
        <v>4210</v>
      </c>
      <c r="BF283" t="s">
        <v>112</v>
      </c>
      <c r="BG283">
        <v>98.615899999999996</v>
      </c>
      <c r="BI283" t="s">
        <v>5815</v>
      </c>
      <c r="BJ283">
        <v>74.394499999999994</v>
      </c>
      <c r="BK283">
        <v>64.359899999999996</v>
      </c>
      <c r="BL283">
        <v>72.318299999999994</v>
      </c>
      <c r="BM283">
        <v>74.394499999999994</v>
      </c>
      <c r="BN283">
        <v>79.930800000000005</v>
      </c>
      <c r="BP283">
        <v>39.100299999999997</v>
      </c>
      <c r="BR283">
        <v>31.8339</v>
      </c>
      <c r="BS283">
        <v>28.7197</v>
      </c>
      <c r="BW283">
        <v>26.643599999999999</v>
      </c>
      <c r="BX283">
        <v>30.1038</v>
      </c>
      <c r="BY283">
        <v>29.0657</v>
      </c>
      <c r="BZ283">
        <v>27.335599999999999</v>
      </c>
      <c r="CA283">
        <v>27.335599999999999</v>
      </c>
      <c r="CK283">
        <v>5</v>
      </c>
      <c r="CL283" t="s">
        <v>4</v>
      </c>
      <c r="CM283" t="s">
        <v>5816</v>
      </c>
      <c r="CN283" t="s">
        <v>5817</v>
      </c>
      <c r="CO283" t="s">
        <v>99</v>
      </c>
      <c r="CP283" t="s">
        <v>100</v>
      </c>
      <c r="CQ283">
        <v>282</v>
      </c>
      <c r="CR283" t="s">
        <v>100</v>
      </c>
      <c r="CS283" t="s">
        <v>100</v>
      </c>
      <c r="CT283" t="s">
        <v>152</v>
      </c>
      <c r="CU283" t="s">
        <v>102</v>
      </c>
      <c r="CV283" t="s">
        <v>100</v>
      </c>
    </row>
    <row r="284" spans="1:100">
      <c r="A284" s="3" t="s">
        <v>5818</v>
      </c>
      <c r="B284" s="4" t="s">
        <v>5819</v>
      </c>
      <c r="C284">
        <v>341.01445374772101</v>
      </c>
      <c r="D284">
        <v>4160.8089902801703</v>
      </c>
      <c r="E284">
        <f>-3.60831861678164</f>
        <v>-3.6083186167816401</v>
      </c>
      <c r="F284" s="5">
        <v>1.0779830983524801E-14</v>
      </c>
      <c r="G284" t="s">
        <v>4</v>
      </c>
      <c r="H284">
        <v>341.01445374772101</v>
      </c>
      <c r="I284">
        <v>145.69779124378101</v>
      </c>
      <c r="J284">
        <v>1.2313392256698901</v>
      </c>
      <c r="K284">
        <v>1.30078811210459E-2</v>
      </c>
      <c r="L284" t="s">
        <v>4</v>
      </c>
      <c r="M284">
        <v>4160.8089902801703</v>
      </c>
      <c r="N284">
        <v>145.69779124378101</v>
      </c>
      <c r="O284">
        <v>4.83965784245152</v>
      </c>
      <c r="P284" s="5">
        <v>6.1590001652899701E-26</v>
      </c>
      <c r="Q284" t="s">
        <v>4</v>
      </c>
      <c r="R284" s="4" t="s">
        <v>87</v>
      </c>
      <c r="S284" t="s">
        <v>4</v>
      </c>
      <c r="T284" t="s">
        <v>92</v>
      </c>
      <c r="U284" t="s">
        <v>92</v>
      </c>
      <c r="V284" t="s">
        <v>92</v>
      </c>
      <c r="W284" t="s">
        <v>92</v>
      </c>
      <c r="X284" t="s">
        <v>4</v>
      </c>
      <c r="Y284" t="s">
        <v>5820</v>
      </c>
      <c r="Z284" t="s">
        <v>5821</v>
      </c>
      <c r="AA284" t="s">
        <v>5822</v>
      </c>
      <c r="AB284" t="s">
        <v>4</v>
      </c>
      <c r="AC284" s="3" t="s">
        <v>5823</v>
      </c>
      <c r="AD284" t="s">
        <v>4</v>
      </c>
      <c r="AE284" t="s">
        <v>5824</v>
      </c>
      <c r="AF284" t="s">
        <v>5825</v>
      </c>
      <c r="AG284" t="s">
        <v>5826</v>
      </c>
      <c r="AH284" t="s">
        <v>5827</v>
      </c>
      <c r="AU284" t="s">
        <v>112</v>
      </c>
      <c r="AV284" t="s">
        <v>5828</v>
      </c>
      <c r="AW284" t="s">
        <v>114</v>
      </c>
      <c r="AX284" t="s">
        <v>1879</v>
      </c>
      <c r="AY284" t="s">
        <v>5829</v>
      </c>
      <c r="AZ284" t="s">
        <v>4</v>
      </c>
      <c r="BA284" s="3" t="s">
        <v>95</v>
      </c>
      <c r="BB284" s="6" t="s">
        <v>95</v>
      </c>
      <c r="BC284" s="3" t="s">
        <v>95</v>
      </c>
      <c r="BD284" t="s">
        <v>4</v>
      </c>
      <c r="BE284">
        <v>1972</v>
      </c>
      <c r="BF284" t="s">
        <v>148</v>
      </c>
      <c r="BG284">
        <v>99.047600000000003</v>
      </c>
      <c r="BH284">
        <v>100</v>
      </c>
      <c r="BI284">
        <v>78.730199999999996</v>
      </c>
      <c r="BJ284" t="s">
        <v>5830</v>
      </c>
      <c r="BK284">
        <v>78.730199999999996</v>
      </c>
      <c r="BO284">
        <v>73.650800000000004</v>
      </c>
      <c r="CK284">
        <v>3</v>
      </c>
      <c r="CL284" t="s">
        <v>4</v>
      </c>
      <c r="CM284" t="s">
        <v>98</v>
      </c>
      <c r="CN284" t="s">
        <v>98</v>
      </c>
      <c r="CO284" t="s">
        <v>99</v>
      </c>
      <c r="CP284" t="s">
        <v>100</v>
      </c>
      <c r="CQ284">
        <v>283</v>
      </c>
      <c r="CR284" t="s">
        <v>100</v>
      </c>
      <c r="CS284" s="7" t="s">
        <v>101</v>
      </c>
      <c r="CT284" t="s">
        <v>152</v>
      </c>
      <c r="CU284" t="s">
        <v>102</v>
      </c>
      <c r="CV284" t="s">
        <v>100</v>
      </c>
    </row>
    <row r="285" spans="1:100">
      <c r="A285" s="3" t="s">
        <v>5831</v>
      </c>
      <c r="B285" s="4" t="s">
        <v>5832</v>
      </c>
      <c r="C285">
        <v>394.86453088170299</v>
      </c>
      <c r="D285">
        <v>5959.72270157408</v>
      </c>
      <c r="E285">
        <f>-3.9156634666824</f>
        <v>-3.9156634666824002</v>
      </c>
      <c r="F285" s="5">
        <v>1.7526471716685601E-5</v>
      </c>
      <c r="G285" t="s">
        <v>4</v>
      </c>
      <c r="H285">
        <v>394.86453088170299</v>
      </c>
      <c r="I285">
        <v>198.114384846826</v>
      </c>
      <c r="J285">
        <v>0.99650089310132395</v>
      </c>
      <c r="K285">
        <v>0.30337257380118099</v>
      </c>
      <c r="L285" t="s">
        <v>4</v>
      </c>
      <c r="M285">
        <v>5959.72270157408</v>
      </c>
      <c r="N285">
        <v>198.114384846826</v>
      </c>
      <c r="O285">
        <v>4.9121643597837297</v>
      </c>
      <c r="P285" s="5">
        <v>1.84938381238848E-8</v>
      </c>
      <c r="Q285" t="s">
        <v>4</v>
      </c>
      <c r="R285" s="4" t="s">
        <v>87</v>
      </c>
      <c r="S285" t="s">
        <v>4</v>
      </c>
      <c r="T285" t="s">
        <v>92</v>
      </c>
      <c r="U285" t="s">
        <v>92</v>
      </c>
      <c r="V285" t="s">
        <v>92</v>
      </c>
      <c r="W285" t="s">
        <v>92</v>
      </c>
      <c r="X285" t="s">
        <v>4</v>
      </c>
      <c r="Y285" t="s">
        <v>5833</v>
      </c>
      <c r="Z285" t="s">
        <v>5834</v>
      </c>
      <c r="AA285" t="s">
        <v>5835</v>
      </c>
      <c r="AB285" t="s">
        <v>4</v>
      </c>
      <c r="AC285" s="3" t="s">
        <v>93</v>
      </c>
      <c r="AD285" t="s">
        <v>4</v>
      </c>
      <c r="AE285" t="s">
        <v>5836</v>
      </c>
      <c r="AF285" t="s">
        <v>5837</v>
      </c>
      <c r="AG285" t="s">
        <v>5838</v>
      </c>
      <c r="AH285" t="s">
        <v>112</v>
      </c>
      <c r="AU285" t="s">
        <v>112</v>
      </c>
      <c r="AV285" t="s">
        <v>5839</v>
      </c>
      <c r="AW285" t="s">
        <v>114</v>
      </c>
      <c r="AX285" t="s">
        <v>5840</v>
      </c>
      <c r="AY285" t="s">
        <v>5841</v>
      </c>
      <c r="AZ285" t="s">
        <v>4</v>
      </c>
      <c r="BA285" s="3" t="s">
        <v>95</v>
      </c>
      <c r="BB285" s="6" t="s">
        <v>95</v>
      </c>
      <c r="BC285" s="3" t="s">
        <v>95</v>
      </c>
      <c r="BD285" t="s">
        <v>4</v>
      </c>
      <c r="BE285">
        <v>5872</v>
      </c>
      <c r="BF285" t="s">
        <v>213</v>
      </c>
      <c r="BP285" t="s">
        <v>5842</v>
      </c>
      <c r="BS285">
        <v>21.7014</v>
      </c>
      <c r="BU285">
        <v>22.222200000000001</v>
      </c>
      <c r="BV285" t="s">
        <v>5843</v>
      </c>
      <c r="BW285">
        <v>21.527799999999999</v>
      </c>
      <c r="BX285">
        <v>22.482600000000001</v>
      </c>
      <c r="BZ285">
        <v>11.371499999999999</v>
      </c>
      <c r="CA285">
        <v>22.482600000000001</v>
      </c>
      <c r="CB285">
        <v>9.1145800000000001</v>
      </c>
      <c r="CG285">
        <v>19.097200000000001</v>
      </c>
      <c r="CH285">
        <v>19.357600000000001</v>
      </c>
      <c r="CI285">
        <v>19.010400000000001</v>
      </c>
      <c r="CK285">
        <v>8</v>
      </c>
      <c r="CL285" t="s">
        <v>4</v>
      </c>
      <c r="CM285" t="s">
        <v>5844</v>
      </c>
      <c r="CN285" t="s">
        <v>5845</v>
      </c>
      <c r="CO285" t="s">
        <v>219</v>
      </c>
      <c r="CP285" t="s">
        <v>100</v>
      </c>
      <c r="CQ285">
        <v>284</v>
      </c>
      <c r="CR285" t="s">
        <v>100</v>
      </c>
      <c r="CS285" t="s">
        <v>100</v>
      </c>
      <c r="CT285" t="s">
        <v>152</v>
      </c>
      <c r="CU285" t="s">
        <v>102</v>
      </c>
      <c r="CV285" t="s">
        <v>100</v>
      </c>
    </row>
    <row r="286" spans="1:100">
      <c r="A286" s="3" t="s">
        <v>5846</v>
      </c>
      <c r="B286" s="4" t="s">
        <v>5847</v>
      </c>
      <c r="C286">
        <v>307.60273861200602</v>
      </c>
      <c r="D286">
        <v>5991.9317302536101</v>
      </c>
      <c r="E286">
        <f>-4.28326996441958</f>
        <v>-4.2832699644195804</v>
      </c>
      <c r="F286" s="5">
        <v>1.7732489889205299E-20</v>
      </c>
      <c r="G286" t="s">
        <v>4</v>
      </c>
      <c r="H286">
        <v>307.60273861200602</v>
      </c>
      <c r="I286">
        <v>191.86464936563999</v>
      </c>
      <c r="J286">
        <v>0.68098398654265102</v>
      </c>
      <c r="K286">
        <v>0.181890428391146</v>
      </c>
      <c r="L286" t="s">
        <v>4</v>
      </c>
      <c r="M286">
        <v>5991.9317302536101</v>
      </c>
      <c r="N286">
        <v>191.86464936563999</v>
      </c>
      <c r="O286">
        <v>4.9642539509622301</v>
      </c>
      <c r="P286" s="5">
        <v>1.2923569196309101E-27</v>
      </c>
      <c r="Q286" t="s">
        <v>4</v>
      </c>
      <c r="R286" s="4" t="s">
        <v>87</v>
      </c>
      <c r="S286" t="s">
        <v>4</v>
      </c>
      <c r="T286" t="s">
        <v>5848</v>
      </c>
      <c r="U286" t="s">
        <v>5849</v>
      </c>
      <c r="V286" t="s">
        <v>5850</v>
      </c>
      <c r="W286" t="s">
        <v>203</v>
      </c>
      <c r="X286" t="s">
        <v>4</v>
      </c>
      <c r="Y286" t="s">
        <v>5851</v>
      </c>
      <c r="Z286" t="s">
        <v>5852</v>
      </c>
      <c r="AA286" t="s">
        <v>5853</v>
      </c>
      <c r="AB286" t="s">
        <v>4</v>
      </c>
      <c r="AC286" s="3" t="s">
        <v>93</v>
      </c>
      <c r="AD286" t="s">
        <v>4</v>
      </c>
      <c r="AE286" t="s">
        <v>5854</v>
      </c>
      <c r="AF286" t="s">
        <v>5855</v>
      </c>
      <c r="AG286" t="s">
        <v>2004</v>
      </c>
      <c r="AH286" t="s">
        <v>112</v>
      </c>
      <c r="AK286" t="s">
        <v>3114</v>
      </c>
      <c r="AL286" t="s">
        <v>5856</v>
      </c>
      <c r="AQ286" t="s">
        <v>3116</v>
      </c>
      <c r="AU286" t="s">
        <v>112</v>
      </c>
      <c r="AV286" t="s">
        <v>5857</v>
      </c>
      <c r="AW286" t="s">
        <v>114</v>
      </c>
      <c r="AX286" t="s">
        <v>536</v>
      </c>
      <c r="AY286" t="s">
        <v>5858</v>
      </c>
      <c r="AZ286" t="s">
        <v>4</v>
      </c>
      <c r="BA286" s="3" t="s">
        <v>115</v>
      </c>
      <c r="BB286" s="6" t="s">
        <v>95</v>
      </c>
      <c r="BC286" s="3" t="s">
        <v>95</v>
      </c>
      <c r="BD286" t="s">
        <v>4</v>
      </c>
      <c r="BE286">
        <v>1809</v>
      </c>
      <c r="BF286" t="s">
        <v>148</v>
      </c>
      <c r="BG286">
        <v>24.350200000000001</v>
      </c>
      <c r="BH286">
        <v>6.2927499999999998</v>
      </c>
      <c r="BI286" t="s">
        <v>5859</v>
      </c>
      <c r="BJ286">
        <v>21.203800000000001</v>
      </c>
      <c r="CK286">
        <v>3</v>
      </c>
      <c r="CL286" t="s">
        <v>4</v>
      </c>
      <c r="CM286" t="s">
        <v>98</v>
      </c>
      <c r="CN286" t="s">
        <v>98</v>
      </c>
      <c r="CO286" t="s">
        <v>99</v>
      </c>
      <c r="CP286" t="s">
        <v>100</v>
      </c>
      <c r="CQ286">
        <v>285</v>
      </c>
      <c r="CR286" t="s">
        <v>100</v>
      </c>
      <c r="CS286" t="s">
        <v>100</v>
      </c>
      <c r="CT286" t="s">
        <v>152</v>
      </c>
      <c r="CU286" t="s">
        <v>102</v>
      </c>
      <c r="CV286" t="s">
        <v>100</v>
      </c>
    </row>
    <row r="287" spans="1:100">
      <c r="A287" s="3" t="s">
        <v>5860</v>
      </c>
      <c r="B287" s="4" t="s">
        <v>5861</v>
      </c>
      <c r="C287">
        <v>59.898947185718903</v>
      </c>
      <c r="D287">
        <v>707.26530624562702</v>
      </c>
      <c r="E287">
        <f>-3.56011958600768</f>
        <v>-3.56011958600768</v>
      </c>
      <c r="F287" s="5">
        <v>7.3398226023997996E-12</v>
      </c>
      <c r="G287" t="s">
        <v>4</v>
      </c>
      <c r="H287">
        <v>59.898947185718903</v>
      </c>
      <c r="I287">
        <v>111.94018848411601</v>
      </c>
      <c r="J287">
        <f>0.899532190599614</f>
        <v>0.89953219059961398</v>
      </c>
      <c r="K287">
        <v>0.10980328944519401</v>
      </c>
      <c r="L287" t="s">
        <v>4</v>
      </c>
      <c r="M287">
        <v>707.26530624562702</v>
      </c>
      <c r="N287">
        <v>111.94018848411601</v>
      </c>
      <c r="O287">
        <v>2.6605873954080601</v>
      </c>
      <c r="P287" s="5">
        <v>2.1177606930856099E-7</v>
      </c>
      <c r="Q287" t="s">
        <v>4</v>
      </c>
      <c r="R287" s="4" t="s">
        <v>87</v>
      </c>
      <c r="S287" t="s">
        <v>4</v>
      </c>
      <c r="T287" t="s">
        <v>92</v>
      </c>
      <c r="U287" t="s">
        <v>92</v>
      </c>
      <c r="V287" t="s">
        <v>92</v>
      </c>
      <c r="W287" t="s">
        <v>92</v>
      </c>
      <c r="X287" t="s">
        <v>4</v>
      </c>
      <c r="Y287" t="s">
        <v>5755</v>
      </c>
      <c r="Z287" t="s">
        <v>5756</v>
      </c>
      <c r="AA287" t="s">
        <v>5757</v>
      </c>
      <c r="AB287" t="s">
        <v>4</v>
      </c>
      <c r="AC287" s="3" t="s">
        <v>93</v>
      </c>
      <c r="AD287" t="s">
        <v>4</v>
      </c>
      <c r="AE287" s="4" t="s">
        <v>94</v>
      </c>
      <c r="AZ287" t="s">
        <v>4</v>
      </c>
      <c r="BA287" s="3" t="s">
        <v>115</v>
      </c>
      <c r="BB287" s="6" t="s">
        <v>95</v>
      </c>
      <c r="BC287" s="3" t="s">
        <v>95</v>
      </c>
      <c r="BD287" t="s">
        <v>4</v>
      </c>
      <c r="BE287">
        <v>1044</v>
      </c>
      <c r="BF287" t="s">
        <v>151</v>
      </c>
      <c r="BG287">
        <v>86.592200000000005</v>
      </c>
      <c r="BI287">
        <v>87.150800000000004</v>
      </c>
      <c r="BJ287">
        <v>59.2179</v>
      </c>
      <c r="BK287">
        <v>51.1173</v>
      </c>
      <c r="BL287">
        <v>8.3798899999999996</v>
      </c>
      <c r="BM287">
        <v>17.597799999999999</v>
      </c>
      <c r="BN287">
        <v>43.296100000000003</v>
      </c>
      <c r="CK287">
        <v>2</v>
      </c>
      <c r="CL287" t="s">
        <v>4</v>
      </c>
      <c r="CM287" t="s">
        <v>98</v>
      </c>
      <c r="CN287" t="s">
        <v>98</v>
      </c>
      <c r="CO287" t="s">
        <v>99</v>
      </c>
      <c r="CP287" t="s">
        <v>100</v>
      </c>
      <c r="CQ287">
        <v>286</v>
      </c>
      <c r="CR287" t="s">
        <v>100</v>
      </c>
      <c r="CS287" t="s">
        <v>100</v>
      </c>
      <c r="CT287" t="s">
        <v>152</v>
      </c>
      <c r="CU287" t="s">
        <v>102</v>
      </c>
      <c r="CV287" t="s">
        <v>100</v>
      </c>
    </row>
    <row r="288" spans="1:100">
      <c r="A288" s="3" t="s">
        <v>5862</v>
      </c>
      <c r="B288" s="4" t="s">
        <v>5863</v>
      </c>
      <c r="C288">
        <v>352.28035366207303</v>
      </c>
      <c r="D288">
        <v>3225.98187827945</v>
      </c>
      <c r="E288">
        <f>-3.19533813656193</f>
        <v>-3.1953381365619302</v>
      </c>
      <c r="F288" s="5">
        <v>1.0131821782593901E-12</v>
      </c>
      <c r="G288" t="s">
        <v>4</v>
      </c>
      <c r="H288">
        <v>352.28035366207303</v>
      </c>
      <c r="I288">
        <v>499.57737317816299</v>
      </c>
      <c r="J288">
        <f>0.508314133356424</f>
        <v>0.50831413335642395</v>
      </c>
      <c r="K288">
        <v>0.30123893400329699</v>
      </c>
      <c r="L288" t="s">
        <v>4</v>
      </c>
      <c r="M288">
        <v>3225.98187827945</v>
      </c>
      <c r="N288">
        <v>499.57737317816299</v>
      </c>
      <c r="O288">
        <v>2.6870240032055102</v>
      </c>
      <c r="P288" s="5">
        <v>1.11567749262116E-9</v>
      </c>
      <c r="Q288" t="s">
        <v>4</v>
      </c>
      <c r="R288" s="4" t="s">
        <v>87</v>
      </c>
      <c r="S288" t="s">
        <v>4</v>
      </c>
      <c r="T288" t="s">
        <v>2757</v>
      </c>
      <c r="U288" t="s">
        <v>2758</v>
      </c>
      <c r="V288" t="s">
        <v>2759</v>
      </c>
      <c r="W288" t="s">
        <v>507</v>
      </c>
      <c r="X288" t="s">
        <v>4</v>
      </c>
      <c r="Y288" t="s">
        <v>5864</v>
      </c>
      <c r="Z288" t="s">
        <v>5865</v>
      </c>
      <c r="AA288" t="s">
        <v>5866</v>
      </c>
      <c r="AB288" t="s">
        <v>4</v>
      </c>
      <c r="AC288" s="3" t="s">
        <v>93</v>
      </c>
      <c r="AD288" t="s">
        <v>4</v>
      </c>
      <c r="AE288" t="s">
        <v>2763</v>
      </c>
      <c r="AF288" t="s">
        <v>5867</v>
      </c>
      <c r="AG288" t="s">
        <v>3396</v>
      </c>
      <c r="AH288" t="s">
        <v>112</v>
      </c>
      <c r="AJ288" t="s">
        <v>2766</v>
      </c>
      <c r="AL288" t="s">
        <v>2767</v>
      </c>
      <c r="AM288" t="s">
        <v>2768</v>
      </c>
      <c r="AQ288" t="s">
        <v>2769</v>
      </c>
      <c r="AU288" t="s">
        <v>112</v>
      </c>
      <c r="AV288" t="s">
        <v>2770</v>
      </c>
      <c r="AW288" t="s">
        <v>114</v>
      </c>
      <c r="AX288" t="s">
        <v>1938</v>
      </c>
      <c r="AY288" t="s">
        <v>2771</v>
      </c>
      <c r="AZ288" t="s">
        <v>4</v>
      </c>
      <c r="BA288" s="3" t="s">
        <v>115</v>
      </c>
      <c r="BB288" s="6" t="s">
        <v>95</v>
      </c>
      <c r="BC288" s="3" t="s">
        <v>95</v>
      </c>
      <c r="BD288" t="s">
        <v>4</v>
      </c>
      <c r="BE288">
        <v>7831</v>
      </c>
      <c r="BF288" t="s">
        <v>213</v>
      </c>
      <c r="BG288">
        <v>83.727800000000002</v>
      </c>
      <c r="BH288">
        <v>1.47929</v>
      </c>
      <c r="BI288">
        <v>80.177499999999995</v>
      </c>
      <c r="BJ288">
        <v>82.248500000000007</v>
      </c>
      <c r="BK288">
        <v>80.177499999999995</v>
      </c>
      <c r="BL288">
        <v>80.177499999999995</v>
      </c>
      <c r="BM288">
        <v>68.639099999999999</v>
      </c>
      <c r="BN288">
        <v>80.177499999999995</v>
      </c>
      <c r="BO288">
        <v>7.3964499999999997</v>
      </c>
      <c r="BP288">
        <v>32.840200000000003</v>
      </c>
      <c r="BQ288">
        <v>57.988199999999999</v>
      </c>
      <c r="BR288" t="s">
        <v>5868</v>
      </c>
      <c r="BS288">
        <v>25.1479</v>
      </c>
      <c r="BT288" t="s">
        <v>5869</v>
      </c>
      <c r="BU288">
        <v>52.662700000000001</v>
      </c>
      <c r="BV288" t="s">
        <v>5870</v>
      </c>
      <c r="BX288" t="s">
        <v>5871</v>
      </c>
      <c r="BY288">
        <v>0.29585800000000001</v>
      </c>
      <c r="BZ288">
        <v>56.804699999999997</v>
      </c>
      <c r="CA288">
        <v>52.662700000000001</v>
      </c>
      <c r="CB288" t="s">
        <v>5872</v>
      </c>
      <c r="CC288">
        <v>59.171599999999998</v>
      </c>
      <c r="CD288" t="s">
        <v>5873</v>
      </c>
      <c r="CE288">
        <v>37.573999999999998</v>
      </c>
      <c r="CF288">
        <v>51.775100000000002</v>
      </c>
      <c r="CG288" t="s">
        <v>5874</v>
      </c>
      <c r="CH288">
        <v>54.437899999999999</v>
      </c>
      <c r="CI288">
        <v>53.846200000000003</v>
      </c>
      <c r="CK288">
        <v>8</v>
      </c>
      <c r="CL288" t="s">
        <v>4</v>
      </c>
      <c r="CM288" t="s">
        <v>2779</v>
      </c>
      <c r="CN288" t="s">
        <v>5875</v>
      </c>
      <c r="CO288" t="s">
        <v>219</v>
      </c>
      <c r="CP288" t="s">
        <v>100</v>
      </c>
      <c r="CQ288">
        <v>287</v>
      </c>
      <c r="CR288" t="s">
        <v>100</v>
      </c>
      <c r="CS288" t="s">
        <v>100</v>
      </c>
      <c r="CT288" t="s">
        <v>152</v>
      </c>
      <c r="CU288" t="s">
        <v>102</v>
      </c>
      <c r="CV288" t="s">
        <v>2781</v>
      </c>
    </row>
    <row r="289" spans="1:100">
      <c r="A289" s="3" t="s">
        <v>5876</v>
      </c>
      <c r="B289" s="4" t="s">
        <v>5877</v>
      </c>
      <c r="C289">
        <v>9.8565049684405501</v>
      </c>
      <c r="D289">
        <v>117.94084160007201</v>
      </c>
      <c r="E289">
        <f>-3.57318328872435</f>
        <v>-3.57318328872435</v>
      </c>
      <c r="F289" s="5">
        <v>2.15713615926293E-10</v>
      </c>
      <c r="G289" t="s">
        <v>4</v>
      </c>
      <c r="H289">
        <v>9.8565049684405501</v>
      </c>
      <c r="I289">
        <v>22.5816547083428</v>
      </c>
      <c r="J289">
        <f>-1.18745524006453</f>
        <v>-1.18745524006453</v>
      </c>
      <c r="K289">
        <v>5.9720298368206103E-2</v>
      </c>
      <c r="L289" t="s">
        <v>4</v>
      </c>
      <c r="M289">
        <v>117.94084160007201</v>
      </c>
      <c r="N289">
        <v>22.5816547083428</v>
      </c>
      <c r="O289">
        <v>2.38572804865982</v>
      </c>
      <c r="P289" s="5">
        <v>1.37041866423272E-5</v>
      </c>
      <c r="Q289" t="s">
        <v>4</v>
      </c>
      <c r="R289" s="4" t="s">
        <v>87</v>
      </c>
      <c r="S289" t="s">
        <v>4</v>
      </c>
      <c r="T289" t="s">
        <v>92</v>
      </c>
      <c r="U289" t="s">
        <v>92</v>
      </c>
      <c r="V289" t="s">
        <v>92</v>
      </c>
      <c r="W289" t="s">
        <v>92</v>
      </c>
      <c r="X289" t="s">
        <v>4</v>
      </c>
      <c r="Y289" t="s">
        <v>3267</v>
      </c>
      <c r="Z289" t="s">
        <v>3268</v>
      </c>
      <c r="AA289" t="s">
        <v>3269</v>
      </c>
      <c r="AB289" t="s">
        <v>4</v>
      </c>
      <c r="AC289" s="3" t="s">
        <v>5878</v>
      </c>
      <c r="AD289" t="s">
        <v>4</v>
      </c>
      <c r="AE289" s="4" t="s">
        <v>94</v>
      </c>
      <c r="AZ289" t="s">
        <v>4</v>
      </c>
      <c r="BA289" s="3" t="s">
        <v>95</v>
      </c>
      <c r="BB289" s="6" t="s">
        <v>95</v>
      </c>
      <c r="BC289" s="3" t="s">
        <v>95</v>
      </c>
      <c r="BD289" t="s">
        <v>4</v>
      </c>
      <c r="BE289">
        <v>2639</v>
      </c>
      <c r="BF289" t="s">
        <v>97</v>
      </c>
      <c r="BG289">
        <v>85.2273</v>
      </c>
      <c r="BH289">
        <v>97.159099999999995</v>
      </c>
      <c r="BI289">
        <v>85.795500000000004</v>
      </c>
      <c r="BJ289">
        <v>54.545499999999997</v>
      </c>
      <c r="BL289">
        <v>31.818200000000001</v>
      </c>
      <c r="BM289">
        <v>32.386400000000002</v>
      </c>
      <c r="BN289">
        <v>72.159099999999995</v>
      </c>
      <c r="BO289">
        <v>74.431799999999996</v>
      </c>
      <c r="BP289">
        <v>26.704499999999999</v>
      </c>
      <c r="CK289">
        <v>4</v>
      </c>
      <c r="CL289" t="s">
        <v>4</v>
      </c>
      <c r="CM289" t="s">
        <v>98</v>
      </c>
      <c r="CN289" t="s">
        <v>98</v>
      </c>
      <c r="CO289" t="s">
        <v>99</v>
      </c>
      <c r="CP289" t="s">
        <v>100</v>
      </c>
      <c r="CQ289">
        <v>288</v>
      </c>
      <c r="CR289" t="s">
        <v>100</v>
      </c>
      <c r="CS289" t="s">
        <v>100</v>
      </c>
      <c r="CT289" t="s">
        <v>152</v>
      </c>
      <c r="CU289" t="s">
        <v>102</v>
      </c>
      <c r="CV289" t="s">
        <v>100</v>
      </c>
    </row>
    <row r="290" spans="1:100">
      <c r="A290" s="3" t="s">
        <v>5879</v>
      </c>
      <c r="B290" s="4" t="s">
        <v>5880</v>
      </c>
      <c r="C290">
        <v>205.57111470317699</v>
      </c>
      <c r="D290">
        <v>4485.91034057876</v>
      </c>
      <c r="E290">
        <f>-4.44677700007383</f>
        <v>-4.4467770000738298</v>
      </c>
      <c r="F290" s="5">
        <v>3.3092800124653902E-14</v>
      </c>
      <c r="G290" t="s">
        <v>4</v>
      </c>
      <c r="H290">
        <v>205.57111470317699</v>
      </c>
      <c r="I290">
        <v>120.92617390028001</v>
      </c>
      <c r="J290">
        <v>0.76647344170726495</v>
      </c>
      <c r="K290">
        <v>0.235645558491654</v>
      </c>
      <c r="L290" t="s">
        <v>4</v>
      </c>
      <c r="M290">
        <v>4485.91034057876</v>
      </c>
      <c r="N290">
        <v>120.92617390028001</v>
      </c>
      <c r="O290">
        <v>5.2132504417810903</v>
      </c>
      <c r="P290" s="5">
        <v>1.4496718026230901E-19</v>
      </c>
      <c r="Q290" t="s">
        <v>4</v>
      </c>
      <c r="R290" s="4" t="s">
        <v>87</v>
      </c>
      <c r="S290" t="s">
        <v>4</v>
      </c>
      <c r="T290" t="s">
        <v>1926</v>
      </c>
      <c r="U290" t="s">
        <v>1927</v>
      </c>
      <c r="V290" t="s">
        <v>1928</v>
      </c>
      <c r="W290" t="s">
        <v>328</v>
      </c>
      <c r="X290" t="s">
        <v>4</v>
      </c>
      <c r="Y290" t="s">
        <v>1929</v>
      </c>
      <c r="Z290" t="s">
        <v>1930</v>
      </c>
      <c r="AA290" t="s">
        <v>1931</v>
      </c>
      <c r="AB290" t="s">
        <v>4</v>
      </c>
      <c r="AC290" s="3" t="s">
        <v>2483</v>
      </c>
      <c r="AD290" t="s">
        <v>4</v>
      </c>
      <c r="AE290" t="s">
        <v>5881</v>
      </c>
      <c r="AF290" t="s">
        <v>5882</v>
      </c>
      <c r="AG290" t="s">
        <v>5883</v>
      </c>
      <c r="AH290" t="s">
        <v>112</v>
      </c>
      <c r="AJ290" t="s">
        <v>5884</v>
      </c>
      <c r="AL290" t="s">
        <v>2488</v>
      </c>
      <c r="AM290" t="s">
        <v>2489</v>
      </c>
      <c r="AQ290" t="s">
        <v>2490</v>
      </c>
      <c r="AU290" t="s">
        <v>112</v>
      </c>
      <c r="AV290" t="s">
        <v>5885</v>
      </c>
      <c r="AW290" t="s">
        <v>114</v>
      </c>
      <c r="AX290" t="s">
        <v>1938</v>
      </c>
      <c r="AY290" t="s">
        <v>1939</v>
      </c>
      <c r="AZ290" t="s">
        <v>4</v>
      </c>
      <c r="BA290" s="3" t="s">
        <v>95</v>
      </c>
      <c r="BB290" s="6" t="s">
        <v>95</v>
      </c>
      <c r="BC290" s="3" t="s">
        <v>95</v>
      </c>
      <c r="BD290" t="s">
        <v>4</v>
      </c>
      <c r="BE290">
        <v>5689</v>
      </c>
      <c r="BF290" t="s">
        <v>386</v>
      </c>
      <c r="BG290">
        <v>76.1798</v>
      </c>
      <c r="BH290">
        <v>30.3371</v>
      </c>
      <c r="BI290">
        <v>72.584299999999999</v>
      </c>
      <c r="BJ290">
        <v>90.561800000000005</v>
      </c>
      <c r="BK290">
        <v>91.685400000000001</v>
      </c>
      <c r="BL290">
        <v>63.8202</v>
      </c>
      <c r="BM290">
        <v>79.325800000000001</v>
      </c>
      <c r="BN290">
        <v>89.213499999999996</v>
      </c>
      <c r="BO290">
        <v>90.786500000000004</v>
      </c>
      <c r="BP290">
        <v>77.752799999999993</v>
      </c>
      <c r="BQ290">
        <v>73.033699999999996</v>
      </c>
      <c r="BR290" t="s">
        <v>5886</v>
      </c>
      <c r="BS290">
        <v>79.101100000000002</v>
      </c>
      <c r="BU290" t="s">
        <v>5887</v>
      </c>
      <c r="BW290" t="s">
        <v>5888</v>
      </c>
      <c r="BX290">
        <v>83.146100000000004</v>
      </c>
      <c r="BY290">
        <v>51.9101</v>
      </c>
      <c r="BZ290">
        <v>83.595500000000001</v>
      </c>
      <c r="CA290" t="s">
        <v>5889</v>
      </c>
      <c r="CD290" t="s">
        <v>5890</v>
      </c>
      <c r="CE290" t="s">
        <v>5891</v>
      </c>
      <c r="CF290" t="s">
        <v>5892</v>
      </c>
      <c r="CG290" t="s">
        <v>5893</v>
      </c>
      <c r="CH290" t="s">
        <v>5894</v>
      </c>
      <c r="CI290">
        <v>39.775300000000001</v>
      </c>
      <c r="CK290">
        <v>7</v>
      </c>
      <c r="CL290" t="s">
        <v>4</v>
      </c>
      <c r="CM290" t="s">
        <v>5895</v>
      </c>
      <c r="CN290" t="s">
        <v>5896</v>
      </c>
      <c r="CO290" t="s">
        <v>5897</v>
      </c>
      <c r="CP290" t="s">
        <v>100</v>
      </c>
      <c r="CQ290">
        <v>289</v>
      </c>
      <c r="CR290" t="s">
        <v>100</v>
      </c>
      <c r="CS290" t="s">
        <v>100</v>
      </c>
      <c r="CT290" t="s">
        <v>152</v>
      </c>
      <c r="CU290" t="s">
        <v>102</v>
      </c>
      <c r="CV290" t="s">
        <v>100</v>
      </c>
    </row>
    <row r="291" spans="1:100">
      <c r="A291" s="3" t="s">
        <v>5898</v>
      </c>
      <c r="B291" s="4" t="s">
        <v>5899</v>
      </c>
      <c r="C291">
        <v>775.813156326078</v>
      </c>
      <c r="D291">
        <v>16523.111073571599</v>
      </c>
      <c r="E291">
        <f>-4.41256234689091</f>
        <v>-4.4125623468909101</v>
      </c>
      <c r="F291" s="5">
        <v>1.34450311769523E-5</v>
      </c>
      <c r="G291" t="s">
        <v>4</v>
      </c>
      <c r="H291">
        <v>775.813156326078</v>
      </c>
      <c r="I291">
        <v>483.932553628351</v>
      </c>
      <c r="J291">
        <v>0.68142990830311101</v>
      </c>
      <c r="K291">
        <v>0.53808140539041405</v>
      </c>
      <c r="L291" t="s">
        <v>4</v>
      </c>
      <c r="M291">
        <v>16523.111073571599</v>
      </c>
      <c r="N291">
        <v>483.932553628351</v>
      </c>
      <c r="O291">
        <v>5.0939922551940198</v>
      </c>
      <c r="P291" s="5">
        <v>1.6089036852197301E-7</v>
      </c>
      <c r="Q291" t="s">
        <v>4</v>
      </c>
      <c r="R291" s="4" t="s">
        <v>87</v>
      </c>
      <c r="S291" t="s">
        <v>4</v>
      </c>
      <c r="T291" t="s">
        <v>5900</v>
      </c>
      <c r="U291" t="s">
        <v>5901</v>
      </c>
      <c r="V291" t="s">
        <v>5902</v>
      </c>
      <c r="W291" t="s">
        <v>976</v>
      </c>
      <c r="X291" t="s">
        <v>4</v>
      </c>
      <c r="Y291" t="s">
        <v>5903</v>
      </c>
      <c r="Z291" t="s">
        <v>5904</v>
      </c>
      <c r="AA291" t="s">
        <v>5905</v>
      </c>
      <c r="AB291" t="s">
        <v>4</v>
      </c>
      <c r="AC291" s="3" t="s">
        <v>93</v>
      </c>
      <c r="AD291" t="s">
        <v>4</v>
      </c>
      <c r="AE291" t="s">
        <v>5906</v>
      </c>
      <c r="AF291" t="s">
        <v>5907</v>
      </c>
      <c r="AG291" t="s">
        <v>5908</v>
      </c>
      <c r="AH291" t="s">
        <v>112</v>
      </c>
      <c r="AJ291" t="s">
        <v>876</v>
      </c>
      <c r="AL291" t="s">
        <v>5909</v>
      </c>
      <c r="AM291" t="s">
        <v>302</v>
      </c>
      <c r="AQ291" t="s">
        <v>303</v>
      </c>
      <c r="AU291" t="s">
        <v>112</v>
      </c>
      <c r="AV291" t="s">
        <v>5910</v>
      </c>
      <c r="AW291" t="s">
        <v>114</v>
      </c>
      <c r="AX291" t="s">
        <v>5911</v>
      </c>
      <c r="AY291" t="s">
        <v>5912</v>
      </c>
      <c r="AZ291" t="s">
        <v>4</v>
      </c>
      <c r="BA291" s="3" t="s">
        <v>95</v>
      </c>
      <c r="BB291" s="6" t="s">
        <v>95</v>
      </c>
      <c r="BC291" s="3" t="s">
        <v>95</v>
      </c>
      <c r="BD291" t="s">
        <v>4</v>
      </c>
      <c r="BE291">
        <v>10165</v>
      </c>
      <c r="BF291" t="s">
        <v>169</v>
      </c>
      <c r="BG291">
        <v>96.658100000000005</v>
      </c>
      <c r="BI291">
        <v>74.5501</v>
      </c>
      <c r="BK291">
        <v>41.131100000000004</v>
      </c>
      <c r="BL291" t="s">
        <v>5913</v>
      </c>
      <c r="BM291" t="s">
        <v>5914</v>
      </c>
      <c r="BN291" t="s">
        <v>5915</v>
      </c>
      <c r="BO291">
        <v>37.789200000000001</v>
      </c>
      <c r="BQ291">
        <v>16.9666</v>
      </c>
      <c r="CB291">
        <v>23.907499999999999</v>
      </c>
      <c r="CC291">
        <v>19.7943</v>
      </c>
      <c r="CD291">
        <v>22.6221</v>
      </c>
      <c r="CE291" t="s">
        <v>5916</v>
      </c>
      <c r="CF291" t="s">
        <v>5917</v>
      </c>
      <c r="CG291">
        <v>24.678699999999999</v>
      </c>
      <c r="CH291">
        <v>24.678699999999999</v>
      </c>
      <c r="CI291">
        <v>24.678699999999999</v>
      </c>
      <c r="CK291">
        <v>9</v>
      </c>
      <c r="CL291" t="s">
        <v>4</v>
      </c>
      <c r="CM291" t="s">
        <v>98</v>
      </c>
      <c r="CN291" t="s">
        <v>98</v>
      </c>
      <c r="CO291" t="s">
        <v>99</v>
      </c>
      <c r="CP291" t="s">
        <v>100</v>
      </c>
      <c r="CQ291">
        <v>290</v>
      </c>
      <c r="CR291" t="s">
        <v>100</v>
      </c>
      <c r="CS291" t="s">
        <v>100</v>
      </c>
      <c r="CT291" t="s">
        <v>152</v>
      </c>
      <c r="CU291" t="s">
        <v>102</v>
      </c>
      <c r="CV291" t="s">
        <v>100</v>
      </c>
    </row>
    <row r="292" spans="1:100">
      <c r="A292" s="3" t="s">
        <v>5918</v>
      </c>
      <c r="B292" s="4" t="s">
        <v>5919</v>
      </c>
      <c r="C292">
        <v>95.740343707860703</v>
      </c>
      <c r="D292">
        <v>701.76696673178105</v>
      </c>
      <c r="E292">
        <f>-2.87353786384765</f>
        <v>-2.8735378638476501</v>
      </c>
      <c r="F292" s="5">
        <v>1.07601492833907E-16</v>
      </c>
      <c r="G292" t="s">
        <v>4</v>
      </c>
      <c r="H292">
        <v>95.740343707860703</v>
      </c>
      <c r="I292">
        <v>84.610292910673394</v>
      </c>
      <c r="J292">
        <v>0.170435193373911</v>
      </c>
      <c r="K292">
        <v>0.68546161174704801</v>
      </c>
      <c r="L292" t="s">
        <v>4</v>
      </c>
      <c r="M292">
        <v>701.76696673178105</v>
      </c>
      <c r="N292">
        <v>84.610292910673394</v>
      </c>
      <c r="O292">
        <v>3.0439730572215602</v>
      </c>
      <c r="P292" s="5">
        <v>2.3820397171286398E-18</v>
      </c>
      <c r="Q292" t="s">
        <v>4</v>
      </c>
      <c r="R292" s="4" t="s">
        <v>87</v>
      </c>
      <c r="S292" t="s">
        <v>4</v>
      </c>
      <c r="T292" t="s">
        <v>92</v>
      </c>
      <c r="U292" t="s">
        <v>92</v>
      </c>
      <c r="V292" t="s">
        <v>92</v>
      </c>
      <c r="W292" t="s">
        <v>92</v>
      </c>
      <c r="X292" t="s">
        <v>4</v>
      </c>
      <c r="Y292" t="s">
        <v>5920</v>
      </c>
      <c r="Z292" t="s">
        <v>5921</v>
      </c>
      <c r="AA292" t="s">
        <v>5922</v>
      </c>
      <c r="AB292" t="s">
        <v>4</v>
      </c>
      <c r="AC292" s="3" t="s">
        <v>5923</v>
      </c>
      <c r="AD292" t="s">
        <v>4</v>
      </c>
      <c r="AE292" t="s">
        <v>5924</v>
      </c>
      <c r="AF292" t="s">
        <v>5925</v>
      </c>
      <c r="AG292" t="s">
        <v>5926</v>
      </c>
      <c r="AH292" t="s">
        <v>112</v>
      </c>
      <c r="AI292" t="s">
        <v>5927</v>
      </c>
      <c r="AU292" t="s">
        <v>112</v>
      </c>
      <c r="AV292" t="s">
        <v>5928</v>
      </c>
      <c r="AW292" t="s">
        <v>114</v>
      </c>
      <c r="AX292" t="s">
        <v>132</v>
      </c>
      <c r="AY292" t="s">
        <v>5929</v>
      </c>
      <c r="AZ292" t="s">
        <v>4</v>
      </c>
      <c r="BA292" s="3" t="s">
        <v>95</v>
      </c>
      <c r="BB292" s="6" t="s">
        <v>95</v>
      </c>
      <c r="BC292" s="3" t="s">
        <v>197</v>
      </c>
      <c r="BD292" t="s">
        <v>4</v>
      </c>
      <c r="BE292">
        <v>4227</v>
      </c>
      <c r="BF292" t="s">
        <v>112</v>
      </c>
      <c r="BG292">
        <v>80.208299999999994</v>
      </c>
      <c r="BH292">
        <v>59.672600000000003</v>
      </c>
      <c r="BI292">
        <v>77.976200000000006</v>
      </c>
      <c r="BJ292">
        <v>64.136899999999997</v>
      </c>
      <c r="BK292" t="s">
        <v>5930</v>
      </c>
      <c r="BL292">
        <v>26.339300000000001</v>
      </c>
      <c r="BM292">
        <v>37.053600000000003</v>
      </c>
      <c r="BN292">
        <v>52.083300000000001</v>
      </c>
      <c r="BP292">
        <v>44.791699999999999</v>
      </c>
      <c r="BW292">
        <v>34.226199999999999</v>
      </c>
      <c r="BX292">
        <v>36.458300000000001</v>
      </c>
      <c r="BY292" t="s">
        <v>5931</v>
      </c>
      <c r="BZ292">
        <v>27.827400000000001</v>
      </c>
      <c r="CA292">
        <v>37.797600000000003</v>
      </c>
      <c r="CB292" t="s">
        <v>5932</v>
      </c>
      <c r="CG292" t="s">
        <v>5933</v>
      </c>
      <c r="CH292" t="s">
        <v>5934</v>
      </c>
      <c r="CI292" t="s">
        <v>5935</v>
      </c>
      <c r="CK292">
        <v>5</v>
      </c>
      <c r="CL292" t="s">
        <v>4</v>
      </c>
      <c r="CM292" t="s">
        <v>5936</v>
      </c>
      <c r="CN292" t="s">
        <v>5937</v>
      </c>
      <c r="CO292" t="s">
        <v>663</v>
      </c>
      <c r="CP292" t="s">
        <v>100</v>
      </c>
      <c r="CQ292">
        <v>291</v>
      </c>
      <c r="CR292" t="s">
        <v>100</v>
      </c>
      <c r="CS292" t="s">
        <v>100</v>
      </c>
      <c r="CT292" t="s">
        <v>152</v>
      </c>
      <c r="CU292" t="s">
        <v>102</v>
      </c>
      <c r="CV292" t="s">
        <v>100</v>
      </c>
    </row>
    <row r="293" spans="1:100">
      <c r="A293" s="3" t="s">
        <v>5938</v>
      </c>
      <c r="B293" s="4" t="s">
        <v>5939</v>
      </c>
      <c r="C293">
        <v>125.949555740449</v>
      </c>
      <c r="D293">
        <v>1511.60637705457</v>
      </c>
      <c r="E293">
        <f>-3.58457759108711</f>
        <v>-3.5845775910871098</v>
      </c>
      <c r="F293">
        <v>3.4744673144477899E-4</v>
      </c>
      <c r="G293" t="s">
        <v>4</v>
      </c>
      <c r="H293">
        <v>125.949555740449</v>
      </c>
      <c r="I293">
        <v>174.64287945113301</v>
      </c>
      <c r="J293">
        <f>0.469425299857842</f>
        <v>0.46942529985784198</v>
      </c>
      <c r="K293">
        <v>0.67167077405891196</v>
      </c>
      <c r="L293" t="s">
        <v>4</v>
      </c>
      <c r="M293">
        <v>1511.60637705457</v>
      </c>
      <c r="N293">
        <v>174.64287945113301</v>
      </c>
      <c r="O293">
        <v>3.11515229122926</v>
      </c>
      <c r="P293">
        <v>1.35328788644457E-3</v>
      </c>
      <c r="Q293" t="s">
        <v>4</v>
      </c>
      <c r="R293" s="4" t="s">
        <v>87</v>
      </c>
      <c r="S293" t="s">
        <v>4</v>
      </c>
      <c r="T293" t="s">
        <v>5940</v>
      </c>
      <c r="U293" t="s">
        <v>5941</v>
      </c>
      <c r="V293" t="s">
        <v>5942</v>
      </c>
      <c r="W293" t="s">
        <v>203</v>
      </c>
      <c r="X293" t="s">
        <v>4</v>
      </c>
      <c r="Y293" t="s">
        <v>5943</v>
      </c>
      <c r="Z293" t="s">
        <v>5944</v>
      </c>
      <c r="AA293" t="s">
        <v>5945</v>
      </c>
      <c r="AB293" t="s">
        <v>4</v>
      </c>
      <c r="AC293" s="3" t="s">
        <v>5946</v>
      </c>
      <c r="AD293" t="s">
        <v>4</v>
      </c>
      <c r="AE293" t="s">
        <v>5947</v>
      </c>
      <c r="AF293" t="s">
        <v>5948</v>
      </c>
      <c r="AG293" t="s">
        <v>5949</v>
      </c>
      <c r="AH293" t="s">
        <v>112</v>
      </c>
      <c r="AJ293" t="s">
        <v>5950</v>
      </c>
      <c r="AK293" t="s">
        <v>5951</v>
      </c>
      <c r="AL293" t="s">
        <v>5952</v>
      </c>
      <c r="AQ293" t="s">
        <v>4780</v>
      </c>
      <c r="AU293" t="s">
        <v>112</v>
      </c>
      <c r="AV293" t="s">
        <v>5953</v>
      </c>
      <c r="AW293" t="s">
        <v>114</v>
      </c>
      <c r="AX293" t="s">
        <v>144</v>
      </c>
      <c r="AY293" t="s">
        <v>5954</v>
      </c>
      <c r="AZ293" t="s">
        <v>4</v>
      </c>
      <c r="BA293" s="3" t="s">
        <v>95</v>
      </c>
      <c r="BB293" t="s">
        <v>96</v>
      </c>
      <c r="BC293" s="3" t="s">
        <v>95</v>
      </c>
      <c r="BD293" t="s">
        <v>4</v>
      </c>
      <c r="BE293">
        <v>7851</v>
      </c>
      <c r="BF293" t="s">
        <v>213</v>
      </c>
      <c r="BG293">
        <v>31.336400000000001</v>
      </c>
      <c r="BJ293">
        <v>72.580600000000004</v>
      </c>
      <c r="BK293">
        <v>73.271900000000002</v>
      </c>
      <c r="BL293">
        <v>78.340999999999994</v>
      </c>
      <c r="BM293">
        <v>77.649799999999999</v>
      </c>
      <c r="BN293">
        <v>76.036900000000003</v>
      </c>
      <c r="BP293">
        <v>50.921700000000001</v>
      </c>
      <c r="BQ293">
        <v>44.930900000000001</v>
      </c>
      <c r="BR293">
        <v>44.47</v>
      </c>
      <c r="BS293">
        <v>27.4194</v>
      </c>
      <c r="BW293">
        <v>43.317999999999998</v>
      </c>
      <c r="BX293">
        <v>43.087600000000002</v>
      </c>
      <c r="BY293">
        <v>14.2857</v>
      </c>
      <c r="CA293">
        <v>41.244199999999999</v>
      </c>
      <c r="CG293" t="s">
        <v>5955</v>
      </c>
      <c r="CH293" t="s">
        <v>5956</v>
      </c>
      <c r="CI293" t="s">
        <v>5957</v>
      </c>
      <c r="CK293">
        <v>8</v>
      </c>
      <c r="CL293" t="s">
        <v>4</v>
      </c>
      <c r="CM293" t="s">
        <v>5958</v>
      </c>
      <c r="CN293" t="s">
        <v>5959</v>
      </c>
      <c r="CO293" t="s">
        <v>663</v>
      </c>
      <c r="CP293" t="s">
        <v>100</v>
      </c>
      <c r="CQ293">
        <v>292</v>
      </c>
      <c r="CR293" t="s">
        <v>100</v>
      </c>
      <c r="CS293" t="s">
        <v>100</v>
      </c>
      <c r="CT293" t="s">
        <v>152</v>
      </c>
      <c r="CU293" t="s">
        <v>102</v>
      </c>
      <c r="CV293" t="s">
        <v>100</v>
      </c>
    </row>
    <row r="294" spans="1:100">
      <c r="A294" s="3" t="s">
        <v>5960</v>
      </c>
      <c r="B294" s="4" t="s">
        <v>5961</v>
      </c>
      <c r="C294">
        <v>130.30551522678999</v>
      </c>
      <c r="D294">
        <v>1992.5886701219499</v>
      </c>
      <c r="E294">
        <f>-3.93357571980273</f>
        <v>-3.9335757198027301</v>
      </c>
      <c r="F294" s="5">
        <v>2.0643945557578298E-12</v>
      </c>
      <c r="G294" t="s">
        <v>4</v>
      </c>
      <c r="H294">
        <v>130.30551522678999</v>
      </c>
      <c r="I294">
        <v>86.020568651170393</v>
      </c>
      <c r="J294">
        <v>0.60696942118623098</v>
      </c>
      <c r="K294">
        <v>0.331222595535272</v>
      </c>
      <c r="L294" t="s">
        <v>4</v>
      </c>
      <c r="M294">
        <v>1992.5886701219499</v>
      </c>
      <c r="N294">
        <v>86.020568651170393</v>
      </c>
      <c r="O294">
        <v>4.5405451409889599</v>
      </c>
      <c r="P294" s="5">
        <v>1.83562748421271E-16</v>
      </c>
      <c r="Q294" t="s">
        <v>4</v>
      </c>
      <c r="R294" s="4" t="s">
        <v>87</v>
      </c>
      <c r="S294" t="s">
        <v>4</v>
      </c>
      <c r="T294" t="s">
        <v>2243</v>
      </c>
      <c r="U294" t="s">
        <v>2244</v>
      </c>
      <c r="V294" t="s">
        <v>2245</v>
      </c>
      <c r="W294" t="s">
        <v>123</v>
      </c>
      <c r="X294" t="s">
        <v>4</v>
      </c>
      <c r="Y294" t="s">
        <v>2796</v>
      </c>
      <c r="Z294" t="s">
        <v>2797</v>
      </c>
      <c r="AA294" t="s">
        <v>2798</v>
      </c>
      <c r="AB294" t="s">
        <v>4</v>
      </c>
      <c r="AC294" s="3" t="s">
        <v>5962</v>
      </c>
      <c r="AD294" t="s">
        <v>4</v>
      </c>
      <c r="AE294" t="s">
        <v>5963</v>
      </c>
      <c r="AF294" t="s">
        <v>5964</v>
      </c>
      <c r="AG294" t="s">
        <v>5965</v>
      </c>
      <c r="AH294" t="s">
        <v>112</v>
      </c>
      <c r="AU294" t="s">
        <v>112</v>
      </c>
      <c r="AV294" t="s">
        <v>2803</v>
      </c>
      <c r="AW294" t="s">
        <v>114</v>
      </c>
      <c r="AX294" t="s">
        <v>144</v>
      </c>
      <c r="AY294" t="s">
        <v>2804</v>
      </c>
      <c r="AZ294" t="s">
        <v>4</v>
      </c>
      <c r="BA294" s="3" t="s">
        <v>95</v>
      </c>
      <c r="BB294" s="6" t="s">
        <v>95</v>
      </c>
      <c r="BC294" s="3" t="s">
        <v>95</v>
      </c>
      <c r="BD294" t="s">
        <v>4</v>
      </c>
      <c r="BE294">
        <v>7856</v>
      </c>
      <c r="BF294" t="s">
        <v>213</v>
      </c>
      <c r="BG294">
        <v>96.480900000000005</v>
      </c>
      <c r="BI294">
        <v>53.665700000000001</v>
      </c>
      <c r="BJ294">
        <v>65.102599999999995</v>
      </c>
      <c r="BK294">
        <v>56.598199999999999</v>
      </c>
      <c r="BM294">
        <v>42.815300000000001</v>
      </c>
      <c r="BN294">
        <v>51.906199999999998</v>
      </c>
      <c r="BO294">
        <v>56.891500000000001</v>
      </c>
      <c r="BP294">
        <v>38.123199999999997</v>
      </c>
      <c r="BQ294">
        <v>31.378299999999999</v>
      </c>
      <c r="BR294">
        <v>31.671600000000002</v>
      </c>
      <c r="BS294">
        <v>31.378299999999999</v>
      </c>
      <c r="BT294">
        <v>31.378299999999999</v>
      </c>
      <c r="BU294">
        <v>31.9648</v>
      </c>
      <c r="BV294" t="s">
        <v>5966</v>
      </c>
      <c r="BW294">
        <v>30.791799999999999</v>
      </c>
      <c r="BX294">
        <v>33.431100000000001</v>
      </c>
      <c r="BZ294">
        <v>32.8446</v>
      </c>
      <c r="CA294">
        <v>31.671600000000002</v>
      </c>
      <c r="CB294">
        <v>10.2639</v>
      </c>
      <c r="CC294">
        <v>26.686199999999999</v>
      </c>
      <c r="CD294">
        <v>29.6188</v>
      </c>
      <c r="CF294">
        <v>31.9648</v>
      </c>
      <c r="CG294" t="s">
        <v>5967</v>
      </c>
      <c r="CH294" t="s">
        <v>5968</v>
      </c>
      <c r="CI294">
        <v>7.3313800000000002</v>
      </c>
      <c r="CJ294" t="s">
        <v>5969</v>
      </c>
      <c r="CK294">
        <v>8</v>
      </c>
      <c r="CL294" t="s">
        <v>4</v>
      </c>
      <c r="CM294" t="s">
        <v>2809</v>
      </c>
      <c r="CN294" t="s">
        <v>5970</v>
      </c>
      <c r="CO294" t="s">
        <v>1218</v>
      </c>
      <c r="CP294" t="s">
        <v>100</v>
      </c>
      <c r="CQ294">
        <v>293</v>
      </c>
      <c r="CR294" t="s">
        <v>100</v>
      </c>
      <c r="CS294" t="s">
        <v>100</v>
      </c>
      <c r="CT294" t="s">
        <v>152</v>
      </c>
      <c r="CU294" t="s">
        <v>102</v>
      </c>
      <c r="CV294" t="s">
        <v>100</v>
      </c>
    </row>
    <row r="295" spans="1:100">
      <c r="A295" s="3" t="s">
        <v>5971</v>
      </c>
      <c r="B295" s="4" t="s">
        <v>5972</v>
      </c>
      <c r="C295">
        <v>44.112612869578399</v>
      </c>
      <c r="D295">
        <v>193.29670086108001</v>
      </c>
      <c r="E295">
        <f>-2.12528512423336</f>
        <v>-2.1252851242333599</v>
      </c>
      <c r="F295" s="5">
        <v>2.6110299678169102E-7</v>
      </c>
      <c r="G295" t="s">
        <v>4</v>
      </c>
      <c r="H295">
        <v>44.112612869578399</v>
      </c>
      <c r="I295">
        <v>9.4879373825382007</v>
      </c>
      <c r="J295">
        <v>2.1757940875927302</v>
      </c>
      <c r="K295" s="5">
        <v>3.6125810740271999E-5</v>
      </c>
      <c r="L295" t="s">
        <v>4</v>
      </c>
      <c r="M295">
        <v>193.29670086108001</v>
      </c>
      <c r="N295">
        <v>9.4879373825382007</v>
      </c>
      <c r="O295">
        <v>4.3010792118260897</v>
      </c>
      <c r="P295" s="5">
        <v>4.9599707180279897E-18</v>
      </c>
      <c r="Q295" t="s">
        <v>4</v>
      </c>
      <c r="R295" s="4" t="s">
        <v>87</v>
      </c>
      <c r="S295" t="s">
        <v>4</v>
      </c>
      <c r="T295" t="s">
        <v>5973</v>
      </c>
      <c r="U295" t="s">
        <v>5974</v>
      </c>
      <c r="V295" t="s">
        <v>5975</v>
      </c>
      <c r="W295" t="s">
        <v>91</v>
      </c>
      <c r="X295" t="s">
        <v>4</v>
      </c>
      <c r="Y295" t="s">
        <v>870</v>
      </c>
      <c r="Z295" t="s">
        <v>871</v>
      </c>
      <c r="AA295" t="s">
        <v>872</v>
      </c>
      <c r="AB295" t="s">
        <v>4</v>
      </c>
      <c r="AC295" s="3" t="s">
        <v>5976</v>
      </c>
      <c r="AD295" t="s">
        <v>4</v>
      </c>
      <c r="AE295" t="s">
        <v>873</v>
      </c>
      <c r="AF295" t="s">
        <v>5977</v>
      </c>
      <c r="AG295" t="s">
        <v>5978</v>
      </c>
      <c r="AH295" t="s">
        <v>112</v>
      </c>
      <c r="AJ295" t="s">
        <v>876</v>
      </c>
      <c r="AL295" t="s">
        <v>877</v>
      </c>
      <c r="AM295" t="s">
        <v>878</v>
      </c>
      <c r="AQ295" t="s">
        <v>879</v>
      </c>
      <c r="AU295" t="s">
        <v>112</v>
      </c>
      <c r="AV295" t="s">
        <v>880</v>
      </c>
      <c r="AW295" t="s">
        <v>114</v>
      </c>
      <c r="AX295" t="s">
        <v>881</v>
      </c>
      <c r="AY295" t="s">
        <v>882</v>
      </c>
      <c r="AZ295" t="s">
        <v>4</v>
      </c>
      <c r="BA295" s="3" t="s">
        <v>95</v>
      </c>
      <c r="BB295" t="s">
        <v>96</v>
      </c>
      <c r="BC295" s="3" t="s">
        <v>95</v>
      </c>
      <c r="BD295" t="s">
        <v>4</v>
      </c>
      <c r="BE295">
        <v>7859</v>
      </c>
      <c r="BF295" t="s">
        <v>213</v>
      </c>
      <c r="BG295">
        <v>69.053700000000006</v>
      </c>
      <c r="BI295">
        <v>81.585700000000003</v>
      </c>
      <c r="BJ295">
        <v>51.662399999999998</v>
      </c>
      <c r="BM295">
        <v>50.383600000000001</v>
      </c>
      <c r="BN295">
        <v>50.127899999999997</v>
      </c>
      <c r="BO295" t="s">
        <v>5979</v>
      </c>
      <c r="CC295" t="s">
        <v>5980</v>
      </c>
      <c r="CD295" t="s">
        <v>5981</v>
      </c>
      <c r="CG295" t="s">
        <v>5982</v>
      </c>
      <c r="CH295" t="s">
        <v>5983</v>
      </c>
      <c r="CI295" t="s">
        <v>5984</v>
      </c>
      <c r="CK295">
        <v>8</v>
      </c>
      <c r="CL295" t="s">
        <v>4</v>
      </c>
      <c r="CM295" t="s">
        <v>98</v>
      </c>
      <c r="CN295" t="s">
        <v>98</v>
      </c>
      <c r="CO295" t="s">
        <v>99</v>
      </c>
      <c r="CP295" t="s">
        <v>100</v>
      </c>
      <c r="CQ295">
        <v>294</v>
      </c>
      <c r="CR295" t="s">
        <v>100</v>
      </c>
      <c r="CS295" t="s">
        <v>101</v>
      </c>
      <c r="CT295" t="s">
        <v>152</v>
      </c>
      <c r="CU295" t="s">
        <v>102</v>
      </c>
      <c r="CV295" t="s">
        <v>100</v>
      </c>
    </row>
    <row r="296" spans="1:100">
      <c r="A296" s="3" t="s">
        <v>5985</v>
      </c>
      <c r="B296" s="4" t="s">
        <v>5986</v>
      </c>
      <c r="C296">
        <v>173.16022577011501</v>
      </c>
      <c r="D296">
        <v>1742.94646209242</v>
      </c>
      <c r="E296">
        <f>-3.32997043752116</f>
        <v>-3.3299704375211601</v>
      </c>
      <c r="F296" s="5">
        <v>7.9785377533548496E-14</v>
      </c>
      <c r="G296" t="s">
        <v>4</v>
      </c>
      <c r="H296">
        <v>173.16022577011501</v>
      </c>
      <c r="I296">
        <v>59.389629170365303</v>
      </c>
      <c r="J296">
        <v>1.54819841562664</v>
      </c>
      <c r="K296">
        <v>1.2169519427686799E-3</v>
      </c>
      <c r="L296" t="s">
        <v>4</v>
      </c>
      <c r="M296">
        <v>1742.94646209242</v>
      </c>
      <c r="N296">
        <v>59.389629170365303</v>
      </c>
      <c r="O296">
        <v>4.8781688531478</v>
      </c>
      <c r="P296" s="5">
        <v>1.38343627306772E-27</v>
      </c>
      <c r="Q296" t="s">
        <v>4</v>
      </c>
      <c r="R296" s="4" t="s">
        <v>87</v>
      </c>
      <c r="S296" t="s">
        <v>4</v>
      </c>
      <c r="T296" t="s">
        <v>5987</v>
      </c>
      <c r="U296" t="s">
        <v>5988</v>
      </c>
      <c r="V296" t="s">
        <v>5989</v>
      </c>
      <c r="W296" t="s">
        <v>1915</v>
      </c>
      <c r="X296" t="s">
        <v>4</v>
      </c>
      <c r="Y296" t="s">
        <v>5990</v>
      </c>
      <c r="Z296" t="s">
        <v>5991</v>
      </c>
      <c r="AA296" t="s">
        <v>5992</v>
      </c>
      <c r="AB296" t="s">
        <v>4</v>
      </c>
      <c r="AC296" s="3" t="s">
        <v>1962</v>
      </c>
      <c r="AD296" t="s">
        <v>4</v>
      </c>
      <c r="AE296" t="s">
        <v>5993</v>
      </c>
      <c r="AF296" t="s">
        <v>5994</v>
      </c>
      <c r="AG296" t="s">
        <v>5995</v>
      </c>
      <c r="AH296" t="s">
        <v>314</v>
      </c>
      <c r="AU296" t="s">
        <v>112</v>
      </c>
      <c r="AV296" t="s">
        <v>5996</v>
      </c>
      <c r="AW296" t="s">
        <v>114</v>
      </c>
      <c r="AX296" t="s">
        <v>132</v>
      </c>
      <c r="AY296" t="s">
        <v>3410</v>
      </c>
      <c r="AZ296" t="s">
        <v>4</v>
      </c>
      <c r="BA296" s="3" t="s">
        <v>95</v>
      </c>
      <c r="BB296" s="6" t="s">
        <v>95</v>
      </c>
      <c r="BC296" s="3" t="s">
        <v>95</v>
      </c>
      <c r="BD296" t="s">
        <v>4</v>
      </c>
      <c r="BE296">
        <v>10175</v>
      </c>
      <c r="BF296" t="s">
        <v>169</v>
      </c>
      <c r="BG296">
        <v>98.39</v>
      </c>
      <c r="BI296">
        <v>91.592100000000002</v>
      </c>
      <c r="BJ296">
        <v>86.046499999999995</v>
      </c>
      <c r="BL296">
        <v>79.069800000000001</v>
      </c>
      <c r="BN296">
        <v>77.280900000000003</v>
      </c>
      <c r="BO296">
        <v>55.098399999999998</v>
      </c>
      <c r="BP296">
        <v>51.341700000000003</v>
      </c>
      <c r="BR296">
        <v>10.9123</v>
      </c>
      <c r="BS296">
        <v>9.6601099999999995</v>
      </c>
      <c r="CB296">
        <v>9.4812200000000004</v>
      </c>
      <c r="CG296">
        <v>12.880100000000001</v>
      </c>
      <c r="CH296">
        <v>13.2379</v>
      </c>
      <c r="CI296">
        <v>13.4168</v>
      </c>
      <c r="CJ296">
        <v>12.1646</v>
      </c>
      <c r="CK296">
        <v>9</v>
      </c>
      <c r="CL296" t="s">
        <v>4</v>
      </c>
      <c r="CM296" t="s">
        <v>98</v>
      </c>
      <c r="CN296" t="s">
        <v>98</v>
      </c>
      <c r="CO296" t="s">
        <v>99</v>
      </c>
      <c r="CP296" t="s">
        <v>100</v>
      </c>
      <c r="CQ296">
        <v>295</v>
      </c>
      <c r="CR296" t="s">
        <v>100</v>
      </c>
      <c r="CS296" s="7" t="s">
        <v>101</v>
      </c>
      <c r="CT296" t="s">
        <v>152</v>
      </c>
      <c r="CU296" t="s">
        <v>102</v>
      </c>
      <c r="CV296" t="s">
        <v>100</v>
      </c>
    </row>
    <row r="297" spans="1:100">
      <c r="A297" s="3" t="s">
        <v>5997</v>
      </c>
      <c r="B297" s="4" t="s">
        <v>5998</v>
      </c>
      <c r="C297">
        <v>1231.4275832513299</v>
      </c>
      <c r="D297">
        <v>19702.277102616299</v>
      </c>
      <c r="E297">
        <f>-3.99988800491569</f>
        <v>-3.99988800491569</v>
      </c>
      <c r="F297" s="5">
        <v>7.8715452893406603E-17</v>
      </c>
      <c r="G297" t="s">
        <v>4</v>
      </c>
      <c r="H297">
        <v>1231.4275832513299</v>
      </c>
      <c r="I297">
        <v>697.94324838131195</v>
      </c>
      <c r="J297">
        <v>0.81948729531896303</v>
      </c>
      <c r="K297">
        <v>0.113449753367127</v>
      </c>
      <c r="L297" t="s">
        <v>4</v>
      </c>
      <c r="M297">
        <v>19702.277102616299</v>
      </c>
      <c r="N297">
        <v>697.94324838131195</v>
      </c>
      <c r="O297">
        <v>4.8193753002346602</v>
      </c>
      <c r="P297" s="5">
        <v>8.6987428279739396E-25</v>
      </c>
      <c r="Q297" t="s">
        <v>4</v>
      </c>
      <c r="R297" s="4" t="s">
        <v>87</v>
      </c>
      <c r="S297" t="s">
        <v>4</v>
      </c>
      <c r="T297" t="s">
        <v>2243</v>
      </c>
      <c r="U297" t="s">
        <v>2244</v>
      </c>
      <c r="V297" t="s">
        <v>2245</v>
      </c>
      <c r="W297" t="s">
        <v>123</v>
      </c>
      <c r="X297" t="s">
        <v>4</v>
      </c>
      <c r="Y297" t="s">
        <v>5999</v>
      </c>
      <c r="Z297" t="s">
        <v>6000</v>
      </c>
      <c r="AA297" t="s">
        <v>6001</v>
      </c>
      <c r="AB297" t="s">
        <v>4</v>
      </c>
      <c r="AC297" s="3" t="s">
        <v>93</v>
      </c>
      <c r="AD297" t="s">
        <v>4</v>
      </c>
      <c r="AE297" s="4" t="s">
        <v>94</v>
      </c>
      <c r="AZ297" t="s">
        <v>4</v>
      </c>
      <c r="BA297" s="3" t="s">
        <v>95</v>
      </c>
      <c r="BB297" s="6" t="s">
        <v>95</v>
      </c>
      <c r="BC297" s="3" t="s">
        <v>95</v>
      </c>
      <c r="BD297" t="s">
        <v>4</v>
      </c>
      <c r="BE297">
        <v>7876</v>
      </c>
      <c r="BF297" t="s">
        <v>213</v>
      </c>
      <c r="BG297">
        <v>76.640100000000004</v>
      </c>
      <c r="BI297">
        <v>49.294899999999998</v>
      </c>
      <c r="BJ297">
        <v>42.427999999999997</v>
      </c>
      <c r="BK297">
        <v>27.651700000000002</v>
      </c>
      <c r="BM297">
        <v>31.821000000000002</v>
      </c>
      <c r="BN297">
        <v>32.372799999999998</v>
      </c>
      <c r="BO297">
        <v>34.396099999999997</v>
      </c>
      <c r="CK297">
        <v>8</v>
      </c>
      <c r="CL297" t="s">
        <v>4</v>
      </c>
      <c r="CM297" t="s">
        <v>98</v>
      </c>
      <c r="CN297" t="s">
        <v>98</v>
      </c>
      <c r="CO297" t="s">
        <v>99</v>
      </c>
      <c r="CP297" t="s">
        <v>100</v>
      </c>
      <c r="CQ297">
        <v>296</v>
      </c>
      <c r="CR297" t="s">
        <v>100</v>
      </c>
      <c r="CS297" t="s">
        <v>100</v>
      </c>
      <c r="CT297" t="s">
        <v>152</v>
      </c>
      <c r="CU297" t="s">
        <v>102</v>
      </c>
      <c r="CV297" t="s">
        <v>100</v>
      </c>
    </row>
    <row r="298" spans="1:100">
      <c r="A298" s="3" t="s">
        <v>6002</v>
      </c>
      <c r="B298" s="4" t="s">
        <v>6003</v>
      </c>
      <c r="C298">
        <v>81.766320855343096</v>
      </c>
      <c r="D298">
        <v>1892.1273676176399</v>
      </c>
      <c r="E298">
        <f>-4.53102000605731</f>
        <v>-4.53102000605731</v>
      </c>
      <c r="F298" s="5">
        <v>3.9704933848273902E-13</v>
      </c>
      <c r="G298" t="s">
        <v>4</v>
      </c>
      <c r="H298">
        <v>81.766320855343096</v>
      </c>
      <c r="I298">
        <v>59.204703616899998</v>
      </c>
      <c r="J298">
        <v>0.47175485788093402</v>
      </c>
      <c r="K298">
        <v>0.51139120756686296</v>
      </c>
      <c r="L298" t="s">
        <v>4</v>
      </c>
      <c r="M298">
        <v>1892.1273676176399</v>
      </c>
      <c r="N298">
        <v>59.204703616899998</v>
      </c>
      <c r="O298">
        <v>5.0027748639382503</v>
      </c>
      <c r="P298" s="5">
        <v>5.57304514349263E-16</v>
      </c>
      <c r="Q298" t="s">
        <v>4</v>
      </c>
      <c r="R298" s="4" t="s">
        <v>87</v>
      </c>
      <c r="S298" t="s">
        <v>4</v>
      </c>
      <c r="T298" t="s">
        <v>92</v>
      </c>
      <c r="U298" t="s">
        <v>92</v>
      </c>
      <c r="V298" t="s">
        <v>92</v>
      </c>
      <c r="W298" t="s">
        <v>92</v>
      </c>
      <c r="X298" t="s">
        <v>4</v>
      </c>
      <c r="Y298" t="s">
        <v>92</v>
      </c>
      <c r="Z298" t="s">
        <v>92</v>
      </c>
      <c r="AA298" t="s">
        <v>92</v>
      </c>
      <c r="AB298" t="s">
        <v>4</v>
      </c>
      <c r="AC298" s="3" t="s">
        <v>93</v>
      </c>
      <c r="AD298" t="s">
        <v>4</v>
      </c>
      <c r="AE298" s="4" t="s">
        <v>94</v>
      </c>
      <c r="AZ298" t="s">
        <v>4</v>
      </c>
      <c r="BA298" s="3" t="s">
        <v>95</v>
      </c>
      <c r="BB298" s="6" t="s">
        <v>95</v>
      </c>
      <c r="BC298" s="3" t="s">
        <v>95</v>
      </c>
      <c r="BD298" t="s">
        <v>4</v>
      </c>
      <c r="BE298">
        <v>1994</v>
      </c>
      <c r="BF298" t="s">
        <v>148</v>
      </c>
      <c r="BG298">
        <v>98.679900000000004</v>
      </c>
      <c r="BH298">
        <v>100</v>
      </c>
      <c r="BI298">
        <v>46.534700000000001</v>
      </c>
      <c r="BJ298">
        <v>75.247500000000002</v>
      </c>
      <c r="BK298" t="s">
        <v>6004</v>
      </c>
      <c r="BM298" t="s">
        <v>6005</v>
      </c>
      <c r="BN298">
        <v>70.627099999999999</v>
      </c>
      <c r="CK298">
        <v>3</v>
      </c>
      <c r="CL298" t="s">
        <v>4</v>
      </c>
      <c r="CM298" t="s">
        <v>98</v>
      </c>
      <c r="CN298" t="s">
        <v>98</v>
      </c>
      <c r="CO298" t="s">
        <v>99</v>
      </c>
      <c r="CP298" t="s">
        <v>100</v>
      </c>
      <c r="CQ298">
        <v>297</v>
      </c>
      <c r="CR298" t="s">
        <v>100</v>
      </c>
      <c r="CS298" t="s">
        <v>100</v>
      </c>
      <c r="CT298" t="s">
        <v>152</v>
      </c>
      <c r="CU298" t="s">
        <v>102</v>
      </c>
      <c r="CV298" t="s">
        <v>100</v>
      </c>
    </row>
    <row r="299" spans="1:100">
      <c r="A299" s="3" t="s">
        <v>6006</v>
      </c>
      <c r="B299" s="4" t="s">
        <v>6007</v>
      </c>
      <c r="C299">
        <v>178.17266419193299</v>
      </c>
      <c r="D299">
        <v>1951.55071679754</v>
      </c>
      <c r="E299">
        <f>-3.45243785599124</f>
        <v>-3.4524378559912399</v>
      </c>
      <c r="F299" s="5">
        <v>6.63469087544919E-8</v>
      </c>
      <c r="G299" t="s">
        <v>4</v>
      </c>
      <c r="H299">
        <v>178.17266419193299</v>
      </c>
      <c r="I299">
        <v>127.12466455628299</v>
      </c>
      <c r="J299">
        <v>0.48779082426967801</v>
      </c>
      <c r="K299">
        <v>0.49397858491075403</v>
      </c>
      <c r="L299" t="s">
        <v>4</v>
      </c>
      <c r="M299">
        <v>1951.55071679754</v>
      </c>
      <c r="N299">
        <v>127.12466455628299</v>
      </c>
      <c r="O299">
        <v>3.9402286802609199</v>
      </c>
      <c r="P299" s="5">
        <v>2.3644578648333898E-10</v>
      </c>
      <c r="Q299" t="s">
        <v>4</v>
      </c>
      <c r="R299" s="4" t="s">
        <v>87</v>
      </c>
      <c r="S299" t="s">
        <v>4</v>
      </c>
      <c r="T299" t="s">
        <v>6008</v>
      </c>
      <c r="U299" t="s">
        <v>6009</v>
      </c>
      <c r="V299" t="s">
        <v>6010</v>
      </c>
      <c r="W299" t="s">
        <v>328</v>
      </c>
      <c r="X299" t="s">
        <v>4</v>
      </c>
      <c r="Y299" t="s">
        <v>6011</v>
      </c>
      <c r="Z299" t="s">
        <v>6012</v>
      </c>
      <c r="AA299" t="s">
        <v>6013</v>
      </c>
      <c r="AB299" t="s">
        <v>4</v>
      </c>
      <c r="AC299" s="3" t="s">
        <v>6014</v>
      </c>
      <c r="AD299" t="s">
        <v>4</v>
      </c>
      <c r="AE299" t="s">
        <v>6015</v>
      </c>
      <c r="AF299" t="s">
        <v>6016</v>
      </c>
      <c r="AG299" t="s">
        <v>6017</v>
      </c>
      <c r="AH299" t="s">
        <v>112</v>
      </c>
      <c r="AU299" t="s">
        <v>112</v>
      </c>
      <c r="AV299" t="s">
        <v>6018</v>
      </c>
      <c r="AW299" t="s">
        <v>114</v>
      </c>
      <c r="AX299" t="s">
        <v>1308</v>
      </c>
      <c r="AY299" t="s">
        <v>6019</v>
      </c>
      <c r="AZ299" t="s">
        <v>4</v>
      </c>
      <c r="BA299" s="3" t="s">
        <v>95</v>
      </c>
      <c r="BB299" s="6" t="s">
        <v>95</v>
      </c>
      <c r="BC299" s="3" t="s">
        <v>95</v>
      </c>
      <c r="BD299" t="s">
        <v>4</v>
      </c>
      <c r="BE299">
        <v>10179</v>
      </c>
      <c r="BF299" t="s">
        <v>169</v>
      </c>
      <c r="BG299">
        <v>98.641300000000001</v>
      </c>
      <c r="BH299">
        <v>100</v>
      </c>
      <c r="BI299" t="s">
        <v>6020</v>
      </c>
      <c r="BJ299">
        <v>72.826099999999997</v>
      </c>
      <c r="BK299" t="s">
        <v>6021</v>
      </c>
      <c r="BL299">
        <v>59.782600000000002</v>
      </c>
      <c r="BM299">
        <v>59.510899999999999</v>
      </c>
      <c r="BN299">
        <v>59.782600000000002</v>
      </c>
      <c r="BO299">
        <v>64.402199999999993</v>
      </c>
      <c r="BP299">
        <v>28.804300000000001</v>
      </c>
      <c r="BQ299" t="s">
        <v>6022</v>
      </c>
      <c r="BR299">
        <v>27.989100000000001</v>
      </c>
      <c r="BS299">
        <v>24.728300000000001</v>
      </c>
      <c r="BT299">
        <v>11.9565</v>
      </c>
      <c r="BU299">
        <v>22.554300000000001</v>
      </c>
      <c r="BV299" t="s">
        <v>6023</v>
      </c>
      <c r="BW299">
        <v>25.543500000000002</v>
      </c>
      <c r="BX299">
        <v>27.445699999999999</v>
      </c>
      <c r="BZ299">
        <v>22.282599999999999</v>
      </c>
      <c r="CA299">
        <v>27.1739</v>
      </c>
      <c r="CB299">
        <v>11.684799999999999</v>
      </c>
      <c r="CC299">
        <v>25.271699999999999</v>
      </c>
      <c r="CD299">
        <v>27.1739</v>
      </c>
      <c r="CE299">
        <v>19.293500000000002</v>
      </c>
      <c r="CF299">
        <v>24.456499999999998</v>
      </c>
      <c r="CG299" t="s">
        <v>6024</v>
      </c>
      <c r="CH299" t="s">
        <v>6025</v>
      </c>
      <c r="CI299" t="s">
        <v>6026</v>
      </c>
      <c r="CJ299">
        <v>23.913</v>
      </c>
      <c r="CK299">
        <v>9</v>
      </c>
      <c r="CL299" t="s">
        <v>4</v>
      </c>
      <c r="CM299" t="s">
        <v>6027</v>
      </c>
      <c r="CN299" t="s">
        <v>6028</v>
      </c>
      <c r="CO299" t="s">
        <v>219</v>
      </c>
      <c r="CP299" t="s">
        <v>100</v>
      </c>
      <c r="CQ299">
        <v>298</v>
      </c>
      <c r="CR299" t="s">
        <v>100</v>
      </c>
      <c r="CS299" t="s">
        <v>100</v>
      </c>
      <c r="CT299" t="s">
        <v>152</v>
      </c>
      <c r="CU299" t="s">
        <v>102</v>
      </c>
      <c r="CV299" t="s">
        <v>100</v>
      </c>
    </row>
    <row r="300" spans="1:100">
      <c r="A300" s="3" t="s">
        <v>6029</v>
      </c>
      <c r="B300" s="4" t="s">
        <v>6030</v>
      </c>
      <c r="C300">
        <v>176.034292531408</v>
      </c>
      <c r="D300">
        <v>3071.9352015910499</v>
      </c>
      <c r="E300">
        <f>-4.12434160541311</f>
        <v>-4.1243416054131101</v>
      </c>
      <c r="F300" s="5">
        <v>1.6023773375318001E-15</v>
      </c>
      <c r="G300" t="s">
        <v>4</v>
      </c>
      <c r="H300">
        <v>176.034292531408</v>
      </c>
      <c r="I300">
        <v>134.94730040761101</v>
      </c>
      <c r="J300">
        <v>0.38589488257918297</v>
      </c>
      <c r="K300">
        <v>0.51497910837052496</v>
      </c>
      <c r="L300" t="s">
        <v>4</v>
      </c>
      <c r="M300">
        <v>3071.9352015910499</v>
      </c>
      <c r="N300">
        <v>134.94730040761101</v>
      </c>
      <c r="O300">
        <v>4.5102364879922998</v>
      </c>
      <c r="P300" s="5">
        <v>9.2871515841625007E-19</v>
      </c>
      <c r="Q300" t="s">
        <v>4</v>
      </c>
      <c r="R300" s="4" t="s">
        <v>87</v>
      </c>
      <c r="S300" t="s">
        <v>4</v>
      </c>
      <c r="T300" t="s">
        <v>2325</v>
      </c>
      <c r="U300" t="s">
        <v>2326</v>
      </c>
      <c r="V300" t="s">
        <v>2327</v>
      </c>
      <c r="W300" t="s">
        <v>203</v>
      </c>
      <c r="X300" t="s">
        <v>4</v>
      </c>
      <c r="Y300" t="s">
        <v>3403</v>
      </c>
      <c r="Z300" t="s">
        <v>3404</v>
      </c>
      <c r="AA300" t="s">
        <v>3405</v>
      </c>
      <c r="AB300" t="s">
        <v>4</v>
      </c>
      <c r="AC300" s="3" t="s">
        <v>207</v>
      </c>
      <c r="AD300" t="s">
        <v>4</v>
      </c>
      <c r="AE300" t="s">
        <v>3406</v>
      </c>
      <c r="AF300" t="s">
        <v>6031</v>
      </c>
      <c r="AG300" t="s">
        <v>2197</v>
      </c>
      <c r="AH300" t="s">
        <v>314</v>
      </c>
      <c r="AU300" t="s">
        <v>112</v>
      </c>
      <c r="AV300" t="s">
        <v>3409</v>
      </c>
      <c r="AW300" t="s">
        <v>114</v>
      </c>
      <c r="AX300" t="s">
        <v>132</v>
      </c>
      <c r="AY300" t="s">
        <v>3410</v>
      </c>
      <c r="AZ300" t="s">
        <v>4</v>
      </c>
      <c r="BA300" s="3" t="s">
        <v>95</v>
      </c>
      <c r="BB300" s="6" t="s">
        <v>95</v>
      </c>
      <c r="BC300" s="3" t="s">
        <v>95</v>
      </c>
      <c r="BD300" t="s">
        <v>4</v>
      </c>
      <c r="BE300">
        <v>7885</v>
      </c>
      <c r="BF300" t="s">
        <v>213</v>
      </c>
      <c r="BG300">
        <v>73.841999999999999</v>
      </c>
      <c r="BI300">
        <v>79.563999999999993</v>
      </c>
      <c r="BK300">
        <v>39.237099999999998</v>
      </c>
      <c r="BL300">
        <v>24.523199999999999</v>
      </c>
      <c r="BM300">
        <v>52.5886</v>
      </c>
      <c r="BN300">
        <v>52.860999999999997</v>
      </c>
      <c r="BQ300">
        <v>17.711200000000002</v>
      </c>
      <c r="BS300">
        <v>17.1662</v>
      </c>
      <c r="BX300">
        <v>17.438700000000001</v>
      </c>
      <c r="CA300">
        <v>19.073599999999999</v>
      </c>
      <c r="CG300">
        <v>21.5259</v>
      </c>
      <c r="CH300">
        <v>21.253399999999999</v>
      </c>
      <c r="CI300">
        <v>20.163499999999999</v>
      </c>
      <c r="CJ300" t="s">
        <v>6032</v>
      </c>
      <c r="CK300">
        <v>8</v>
      </c>
      <c r="CL300" t="s">
        <v>4</v>
      </c>
      <c r="CM300" t="s">
        <v>6033</v>
      </c>
      <c r="CN300" t="s">
        <v>6034</v>
      </c>
      <c r="CO300" t="s">
        <v>99</v>
      </c>
      <c r="CP300" t="s">
        <v>100</v>
      </c>
      <c r="CQ300">
        <v>299</v>
      </c>
      <c r="CR300" t="s">
        <v>100</v>
      </c>
      <c r="CS300" t="s">
        <v>100</v>
      </c>
      <c r="CT300" t="s">
        <v>152</v>
      </c>
      <c r="CU300" t="s">
        <v>102</v>
      </c>
      <c r="CV300" t="s">
        <v>100</v>
      </c>
    </row>
    <row r="301" spans="1:100">
      <c r="A301" s="3" t="s">
        <v>6035</v>
      </c>
      <c r="B301" s="4" t="s">
        <v>6036</v>
      </c>
      <c r="C301">
        <v>494.401013166307</v>
      </c>
      <c r="D301">
        <v>2107.3903518662</v>
      </c>
      <c r="E301">
        <f>-2.0922639850508</f>
        <v>-2.0922639850508</v>
      </c>
      <c r="F301" s="5">
        <v>1.16701448452507E-32</v>
      </c>
      <c r="G301" t="s">
        <v>4</v>
      </c>
      <c r="H301">
        <v>494.401013166307</v>
      </c>
      <c r="I301">
        <v>134.78875207857999</v>
      </c>
      <c r="J301">
        <v>1.88362720151437</v>
      </c>
      <c r="K301" s="5">
        <v>3.5913842195610401E-22</v>
      </c>
      <c r="L301" t="s">
        <v>4</v>
      </c>
      <c r="M301">
        <v>2107.3903518662</v>
      </c>
      <c r="N301">
        <v>134.78875207857999</v>
      </c>
      <c r="O301">
        <v>3.9758911865651601</v>
      </c>
      <c r="P301" s="5">
        <v>1.0224598342496301E-97</v>
      </c>
      <c r="Q301" t="s">
        <v>4</v>
      </c>
      <c r="R301" s="4" t="s">
        <v>87</v>
      </c>
      <c r="S301" t="s">
        <v>4</v>
      </c>
      <c r="T301" t="s">
        <v>92</v>
      </c>
      <c r="U301" t="s">
        <v>92</v>
      </c>
      <c r="V301" t="s">
        <v>92</v>
      </c>
      <c r="W301" t="s">
        <v>92</v>
      </c>
      <c r="X301" t="s">
        <v>4</v>
      </c>
      <c r="Y301" t="s">
        <v>6037</v>
      </c>
      <c r="Z301" t="s">
        <v>6038</v>
      </c>
      <c r="AA301" t="s">
        <v>6039</v>
      </c>
      <c r="AB301" t="s">
        <v>4</v>
      </c>
      <c r="AC301" s="3" t="s">
        <v>93</v>
      </c>
      <c r="AD301" t="s">
        <v>4</v>
      </c>
      <c r="AE301" s="4" t="s">
        <v>94</v>
      </c>
      <c r="AZ301" t="s">
        <v>4</v>
      </c>
      <c r="BA301" s="3" t="s">
        <v>115</v>
      </c>
      <c r="BB301" s="6" t="s">
        <v>95</v>
      </c>
      <c r="BC301" s="3" t="s">
        <v>95</v>
      </c>
      <c r="BD301" t="s">
        <v>4</v>
      </c>
      <c r="BE301">
        <v>1233</v>
      </c>
      <c r="BF301" t="s">
        <v>151</v>
      </c>
      <c r="BG301">
        <v>92.024500000000003</v>
      </c>
      <c r="BH301" t="s">
        <v>6040</v>
      </c>
      <c r="BI301">
        <v>87.269900000000007</v>
      </c>
      <c r="BJ301">
        <v>71.165599999999998</v>
      </c>
      <c r="BK301">
        <v>63.650300000000001</v>
      </c>
      <c r="BL301" t="s">
        <v>6041</v>
      </c>
      <c r="BM301">
        <v>58.435600000000001</v>
      </c>
      <c r="BN301">
        <v>58.282200000000003</v>
      </c>
      <c r="BO301">
        <v>59.049100000000003</v>
      </c>
      <c r="CK301">
        <v>2</v>
      </c>
      <c r="CL301" t="s">
        <v>4</v>
      </c>
      <c r="CM301" t="s">
        <v>98</v>
      </c>
      <c r="CN301" t="s">
        <v>98</v>
      </c>
      <c r="CO301" t="s">
        <v>99</v>
      </c>
      <c r="CP301" t="s">
        <v>100</v>
      </c>
      <c r="CQ301">
        <v>300</v>
      </c>
      <c r="CR301" t="s">
        <v>100</v>
      </c>
      <c r="CS301" s="7" t="s">
        <v>101</v>
      </c>
      <c r="CT301" t="s">
        <v>152</v>
      </c>
      <c r="CU301" t="s">
        <v>102</v>
      </c>
      <c r="CV301" t="s">
        <v>100</v>
      </c>
    </row>
    <row r="302" spans="1:100">
      <c r="A302" s="3" t="s">
        <v>6042</v>
      </c>
      <c r="B302" s="4" t="s">
        <v>6043</v>
      </c>
      <c r="C302">
        <v>112.649795141962</v>
      </c>
      <c r="D302">
        <v>2190.18077077403</v>
      </c>
      <c r="E302">
        <f>-4.27958199707371</f>
        <v>-4.2795819970737101</v>
      </c>
      <c r="F302" s="5">
        <v>2.80251273564495E-11</v>
      </c>
      <c r="G302" t="s">
        <v>4</v>
      </c>
      <c r="H302">
        <v>112.649795141962</v>
      </c>
      <c r="I302">
        <v>39.1053917217289</v>
      </c>
      <c r="J302">
        <v>1.54942996693145</v>
      </c>
      <c r="K302">
        <v>2.5510052909609102E-2</v>
      </c>
      <c r="L302" t="s">
        <v>4</v>
      </c>
      <c r="M302">
        <v>2190.18077077403</v>
      </c>
      <c r="N302">
        <v>39.1053917217289</v>
      </c>
      <c r="O302">
        <v>5.8290119640051596</v>
      </c>
      <c r="P302" s="5">
        <v>8.2053882596210999E-20</v>
      </c>
      <c r="Q302" t="s">
        <v>4</v>
      </c>
      <c r="R302" s="4" t="s">
        <v>87</v>
      </c>
      <c r="S302" t="s">
        <v>4</v>
      </c>
      <c r="T302" t="s">
        <v>92</v>
      </c>
      <c r="U302" t="s">
        <v>92</v>
      </c>
      <c r="V302" t="s">
        <v>92</v>
      </c>
      <c r="W302" t="s">
        <v>92</v>
      </c>
      <c r="X302" t="s">
        <v>4</v>
      </c>
      <c r="Y302" t="s">
        <v>92</v>
      </c>
      <c r="Z302" t="s">
        <v>92</v>
      </c>
      <c r="AA302" t="s">
        <v>92</v>
      </c>
      <c r="AB302" t="s">
        <v>4</v>
      </c>
      <c r="AC302" s="3" t="s">
        <v>93</v>
      </c>
      <c r="AD302" t="s">
        <v>4</v>
      </c>
      <c r="AE302" s="4" t="s">
        <v>94</v>
      </c>
      <c r="AZ302" t="s">
        <v>4</v>
      </c>
      <c r="BA302" s="3" t="s">
        <v>95</v>
      </c>
      <c r="BB302" s="6" t="s">
        <v>95</v>
      </c>
      <c r="BC302" s="3" t="s">
        <v>95</v>
      </c>
      <c r="BD302" t="s">
        <v>4</v>
      </c>
      <c r="BE302">
        <v>2004</v>
      </c>
      <c r="BF302" t="s">
        <v>148</v>
      </c>
      <c r="BG302">
        <v>56.756799999999998</v>
      </c>
      <c r="BH302">
        <v>63.963999999999999</v>
      </c>
      <c r="BI302">
        <v>90.090100000000007</v>
      </c>
      <c r="BJ302">
        <v>38.738700000000001</v>
      </c>
      <c r="BK302">
        <v>64.864900000000006</v>
      </c>
      <c r="BM302">
        <v>64.864900000000006</v>
      </c>
      <c r="BN302">
        <v>66.216200000000001</v>
      </c>
      <c r="BO302" t="s">
        <v>6044</v>
      </c>
      <c r="CK302">
        <v>3</v>
      </c>
      <c r="CL302" t="s">
        <v>4</v>
      </c>
      <c r="CM302" t="s">
        <v>98</v>
      </c>
      <c r="CN302" t="s">
        <v>98</v>
      </c>
      <c r="CO302" t="s">
        <v>99</v>
      </c>
      <c r="CP302" t="s">
        <v>100</v>
      </c>
      <c r="CQ302">
        <v>301</v>
      </c>
      <c r="CR302" t="s">
        <v>100</v>
      </c>
      <c r="CS302" s="7" t="s">
        <v>101</v>
      </c>
      <c r="CT302" t="s">
        <v>152</v>
      </c>
      <c r="CU302" t="s">
        <v>102</v>
      </c>
      <c r="CV302" t="s">
        <v>100</v>
      </c>
    </row>
    <row r="303" spans="1:100">
      <c r="A303" s="3" t="s">
        <v>6045</v>
      </c>
      <c r="B303" s="4" t="s">
        <v>6046</v>
      </c>
      <c r="C303">
        <v>41.124361704546402</v>
      </c>
      <c r="D303">
        <v>362.40650438350099</v>
      </c>
      <c r="E303">
        <f>-3.13603569860693</f>
        <v>-3.1360356986069302</v>
      </c>
      <c r="F303" s="5">
        <v>3.3658553160471098E-25</v>
      </c>
      <c r="G303" t="s">
        <v>4</v>
      </c>
      <c r="H303">
        <v>41.124361704546402</v>
      </c>
      <c r="I303">
        <v>11.9999172932507</v>
      </c>
      <c r="J303">
        <v>1.68875658598417</v>
      </c>
      <c r="K303" s="5">
        <v>7.4933458601804802E-5</v>
      </c>
      <c r="L303" t="s">
        <v>4</v>
      </c>
      <c r="M303">
        <v>362.40650438350099</v>
      </c>
      <c r="N303">
        <v>11.9999172932507</v>
      </c>
      <c r="O303">
        <v>4.8247922845911004</v>
      </c>
      <c r="P303" s="5">
        <v>5.5965957753583999E-35</v>
      </c>
      <c r="Q303" t="s">
        <v>4</v>
      </c>
      <c r="R303" s="4" t="s">
        <v>87</v>
      </c>
      <c r="S303" t="s">
        <v>4</v>
      </c>
      <c r="T303" t="s">
        <v>92</v>
      </c>
      <c r="U303" t="s">
        <v>92</v>
      </c>
      <c r="V303" t="s">
        <v>92</v>
      </c>
      <c r="W303" t="s">
        <v>92</v>
      </c>
      <c r="X303" t="s">
        <v>4</v>
      </c>
      <c r="Y303" t="s">
        <v>92</v>
      </c>
      <c r="Z303" t="s">
        <v>92</v>
      </c>
      <c r="AA303" t="s">
        <v>92</v>
      </c>
      <c r="AB303" t="s">
        <v>4</v>
      </c>
      <c r="AC303" s="3" t="s">
        <v>93</v>
      </c>
      <c r="AD303" t="s">
        <v>4</v>
      </c>
      <c r="AE303" s="4" t="s">
        <v>94</v>
      </c>
      <c r="AZ303" t="s">
        <v>4</v>
      </c>
      <c r="BA303" s="3" t="s">
        <v>95</v>
      </c>
      <c r="BB303" s="6" t="s">
        <v>95</v>
      </c>
      <c r="BC303" s="3" t="s">
        <v>197</v>
      </c>
      <c r="BD303" t="s">
        <v>4</v>
      </c>
      <c r="BE303">
        <v>2014</v>
      </c>
      <c r="BF303" t="s">
        <v>148</v>
      </c>
      <c r="BG303" t="s">
        <v>6047</v>
      </c>
      <c r="BH303">
        <v>100</v>
      </c>
      <c r="BJ303">
        <v>77.235799999999998</v>
      </c>
      <c r="BK303">
        <v>70.731700000000004</v>
      </c>
      <c r="BL303">
        <v>59.349600000000002</v>
      </c>
      <c r="BM303">
        <v>65.853700000000003</v>
      </c>
      <c r="BN303">
        <v>64.227599999999995</v>
      </c>
      <c r="BO303">
        <v>67.479699999999994</v>
      </c>
      <c r="CK303">
        <v>3</v>
      </c>
      <c r="CL303" t="s">
        <v>4</v>
      </c>
      <c r="CM303" t="s">
        <v>98</v>
      </c>
      <c r="CN303" t="s">
        <v>98</v>
      </c>
      <c r="CO303" t="s">
        <v>99</v>
      </c>
      <c r="CP303" t="s">
        <v>100</v>
      </c>
      <c r="CQ303">
        <v>302</v>
      </c>
      <c r="CR303" t="s">
        <v>100</v>
      </c>
      <c r="CS303" s="7" t="s">
        <v>101</v>
      </c>
      <c r="CT303" t="s">
        <v>152</v>
      </c>
      <c r="CU303" t="s">
        <v>102</v>
      </c>
      <c r="CV303" t="s">
        <v>100</v>
      </c>
    </row>
    <row r="304" spans="1:100">
      <c r="A304" s="3" t="s">
        <v>6048</v>
      </c>
      <c r="B304" s="4" t="s">
        <v>6049</v>
      </c>
      <c r="C304">
        <v>663.570669423651</v>
      </c>
      <c r="D304">
        <v>10647.4011276947</v>
      </c>
      <c r="E304">
        <f>-4.00391265115026</f>
        <v>-4.0039126511502596</v>
      </c>
      <c r="F304" s="5">
        <v>4.5712202997975596E-13</v>
      </c>
      <c r="G304" t="s">
        <v>4</v>
      </c>
      <c r="H304">
        <v>663.570669423651</v>
      </c>
      <c r="I304">
        <v>409.40342192835698</v>
      </c>
      <c r="J304">
        <v>0.69818611175476997</v>
      </c>
      <c r="K304">
        <v>0.24802223392952299</v>
      </c>
      <c r="L304" t="s">
        <v>4</v>
      </c>
      <c r="M304">
        <v>10647.4011276947</v>
      </c>
      <c r="N304">
        <v>409.40342192835698</v>
      </c>
      <c r="O304">
        <v>4.7020987629050204</v>
      </c>
      <c r="P304" s="5">
        <v>3.0165051538184899E-18</v>
      </c>
      <c r="Q304" t="s">
        <v>4</v>
      </c>
      <c r="R304" s="4" t="s">
        <v>87</v>
      </c>
      <c r="S304" t="s">
        <v>4</v>
      </c>
      <c r="T304" t="s">
        <v>88</v>
      </c>
      <c r="U304" t="s">
        <v>89</v>
      </c>
      <c r="V304" t="s">
        <v>90</v>
      </c>
      <c r="W304" t="s">
        <v>91</v>
      </c>
      <c r="X304" t="s">
        <v>4</v>
      </c>
      <c r="Y304" t="s">
        <v>92</v>
      </c>
      <c r="Z304" t="s">
        <v>92</v>
      </c>
      <c r="AA304" t="s">
        <v>92</v>
      </c>
      <c r="AB304" t="s">
        <v>4</v>
      </c>
      <c r="AC304" s="3" t="s">
        <v>93</v>
      </c>
      <c r="AD304" t="s">
        <v>4</v>
      </c>
      <c r="AE304" s="4" t="s">
        <v>94</v>
      </c>
      <c r="AZ304" t="s">
        <v>4</v>
      </c>
      <c r="BA304" s="3" t="s">
        <v>95</v>
      </c>
      <c r="BB304" t="s">
        <v>96</v>
      </c>
      <c r="BC304" s="3" t="s">
        <v>95</v>
      </c>
      <c r="BD304" t="s">
        <v>4</v>
      </c>
      <c r="BE304">
        <v>4267</v>
      </c>
      <c r="BF304" t="s">
        <v>112</v>
      </c>
      <c r="BG304">
        <v>98.848399999999998</v>
      </c>
      <c r="BH304">
        <v>49.904000000000003</v>
      </c>
      <c r="BI304" t="s">
        <v>6050</v>
      </c>
      <c r="BJ304">
        <v>22.648800000000001</v>
      </c>
      <c r="BK304">
        <v>47.408799999999999</v>
      </c>
      <c r="BL304">
        <v>12.0921</v>
      </c>
      <c r="BM304">
        <v>21.113199999999999</v>
      </c>
      <c r="BN304">
        <v>57.005800000000001</v>
      </c>
      <c r="BO304">
        <v>16.122800000000002</v>
      </c>
      <c r="BP304">
        <v>30.134399999999999</v>
      </c>
      <c r="BR304">
        <v>18.617999999999999</v>
      </c>
      <c r="CK304">
        <v>5</v>
      </c>
      <c r="CL304" t="s">
        <v>4</v>
      </c>
      <c r="CM304" t="s">
        <v>98</v>
      </c>
      <c r="CN304" t="s">
        <v>98</v>
      </c>
      <c r="CO304" t="s">
        <v>99</v>
      </c>
      <c r="CP304" t="s">
        <v>100</v>
      </c>
      <c r="CQ304">
        <v>303</v>
      </c>
      <c r="CR304" t="s">
        <v>100</v>
      </c>
      <c r="CS304" t="s">
        <v>100</v>
      </c>
      <c r="CT304" t="s">
        <v>152</v>
      </c>
      <c r="CU304" t="s">
        <v>102</v>
      </c>
      <c r="CV304" t="s">
        <v>100</v>
      </c>
    </row>
    <row r="305" spans="1:100">
      <c r="A305" s="3" t="s">
        <v>6051</v>
      </c>
      <c r="B305" s="4" t="s">
        <v>6052</v>
      </c>
      <c r="C305">
        <v>28.595196041527</v>
      </c>
      <c r="D305">
        <v>290.15441021656397</v>
      </c>
      <c r="E305">
        <f>-3.3408684145844</f>
        <v>-3.3408684145844001</v>
      </c>
      <c r="F305" s="5">
        <v>1.2402176804027399E-16</v>
      </c>
      <c r="G305" t="s">
        <v>4</v>
      </c>
      <c r="H305">
        <v>28.595196041527</v>
      </c>
      <c r="I305">
        <v>14.594643977949399</v>
      </c>
      <c r="J305">
        <v>0.99242054893655696</v>
      </c>
      <c r="K305">
        <v>5.4201837204784102E-2</v>
      </c>
      <c r="L305" t="s">
        <v>4</v>
      </c>
      <c r="M305">
        <v>290.15441021656397</v>
      </c>
      <c r="N305">
        <v>14.594643977949399</v>
      </c>
      <c r="O305">
        <v>4.3332889635209604</v>
      </c>
      <c r="P305" s="5">
        <v>1.65074507097272E-21</v>
      </c>
      <c r="Q305" t="s">
        <v>4</v>
      </c>
      <c r="R305" s="4" t="s">
        <v>87</v>
      </c>
      <c r="S305" t="s">
        <v>4</v>
      </c>
      <c r="T305" t="s">
        <v>88</v>
      </c>
      <c r="U305" t="s">
        <v>89</v>
      </c>
      <c r="V305" t="s">
        <v>90</v>
      </c>
      <c r="W305" t="s">
        <v>91</v>
      </c>
      <c r="X305" t="s">
        <v>4</v>
      </c>
      <c r="Y305" t="s">
        <v>1801</v>
      </c>
      <c r="Z305" t="s">
        <v>1802</v>
      </c>
      <c r="AA305" t="s">
        <v>1803</v>
      </c>
      <c r="AB305" t="s">
        <v>4</v>
      </c>
      <c r="AC305" s="3" t="s">
        <v>6053</v>
      </c>
      <c r="AD305" t="s">
        <v>4</v>
      </c>
      <c r="AE305" t="s">
        <v>6054</v>
      </c>
      <c r="AF305" t="s">
        <v>6055</v>
      </c>
      <c r="AG305" t="s">
        <v>6056</v>
      </c>
      <c r="AH305" t="s">
        <v>112</v>
      </c>
      <c r="AU305" t="s">
        <v>112</v>
      </c>
      <c r="AV305" t="s">
        <v>6057</v>
      </c>
      <c r="AW305" t="s">
        <v>114</v>
      </c>
      <c r="AX305" t="s">
        <v>596</v>
      </c>
      <c r="AY305" t="s">
        <v>3750</v>
      </c>
      <c r="AZ305" t="s">
        <v>4</v>
      </c>
      <c r="BA305" s="3" t="s">
        <v>95</v>
      </c>
      <c r="BB305" t="s">
        <v>96</v>
      </c>
      <c r="BC305" s="3" t="s">
        <v>197</v>
      </c>
      <c r="BD305" t="s">
        <v>4</v>
      </c>
      <c r="BE305">
        <v>267</v>
      </c>
      <c r="BF305" t="s">
        <v>322</v>
      </c>
      <c r="CK305">
        <v>1</v>
      </c>
      <c r="CL305" t="s">
        <v>4</v>
      </c>
      <c r="CM305" t="s">
        <v>98</v>
      </c>
      <c r="CN305" t="s">
        <v>98</v>
      </c>
      <c r="CO305" t="s">
        <v>99</v>
      </c>
      <c r="CP305" t="s">
        <v>100</v>
      </c>
      <c r="CQ305">
        <v>304</v>
      </c>
      <c r="CR305" t="s">
        <v>100</v>
      </c>
      <c r="CS305" t="s">
        <v>100</v>
      </c>
      <c r="CT305" t="s">
        <v>152</v>
      </c>
      <c r="CU305" t="s">
        <v>102</v>
      </c>
      <c r="CV305" t="s">
        <v>100</v>
      </c>
    </row>
    <row r="306" spans="1:100">
      <c r="A306" s="3" t="s">
        <v>6058</v>
      </c>
      <c r="B306" s="4" t="s">
        <v>6059</v>
      </c>
      <c r="C306">
        <v>10.2242778369748</v>
      </c>
      <c r="D306">
        <v>53.9702832542362</v>
      </c>
      <c r="E306">
        <f>-2.38772583625634</f>
        <v>-2.3877258362563398</v>
      </c>
      <c r="F306" s="5">
        <v>6.5301681894538695E-5</v>
      </c>
      <c r="G306" t="s">
        <v>4</v>
      </c>
      <c r="H306">
        <v>10.2242778369748</v>
      </c>
      <c r="I306">
        <v>0.67403550571184701</v>
      </c>
      <c r="J306">
        <v>3.5417590891494601</v>
      </c>
      <c r="K306">
        <v>5.03564287091078E-3</v>
      </c>
      <c r="L306" t="s">
        <v>4</v>
      </c>
      <c r="M306">
        <v>53.9702832542362</v>
      </c>
      <c r="N306">
        <v>0.67403550571184701</v>
      </c>
      <c r="O306">
        <v>5.9294849254058004</v>
      </c>
      <c r="P306" s="5">
        <v>6.6977742531235005E-7</v>
      </c>
      <c r="Q306" t="s">
        <v>4</v>
      </c>
      <c r="R306" s="4" t="s">
        <v>87</v>
      </c>
      <c r="S306" t="s">
        <v>4</v>
      </c>
      <c r="T306" t="s">
        <v>6060</v>
      </c>
      <c r="U306" t="s">
        <v>6061</v>
      </c>
      <c r="V306" t="s">
        <v>6062</v>
      </c>
      <c r="W306" t="s">
        <v>328</v>
      </c>
      <c r="X306" t="s">
        <v>4</v>
      </c>
      <c r="Y306" t="s">
        <v>6063</v>
      </c>
      <c r="Z306" t="s">
        <v>6064</v>
      </c>
      <c r="AA306" t="s">
        <v>6065</v>
      </c>
      <c r="AB306" t="s">
        <v>4</v>
      </c>
      <c r="AC306" s="3" t="s">
        <v>6066</v>
      </c>
      <c r="AD306" t="s">
        <v>4</v>
      </c>
      <c r="AE306" t="s">
        <v>6067</v>
      </c>
      <c r="AF306" t="s">
        <v>6068</v>
      </c>
      <c r="AG306" t="s">
        <v>6069</v>
      </c>
      <c r="AH306" t="s">
        <v>1936</v>
      </c>
      <c r="AU306" t="s">
        <v>112</v>
      </c>
      <c r="AV306" t="s">
        <v>6070</v>
      </c>
      <c r="AW306" t="s">
        <v>114</v>
      </c>
      <c r="AX306" t="s">
        <v>6071</v>
      </c>
      <c r="AY306" t="s">
        <v>6072</v>
      </c>
      <c r="AZ306" t="s">
        <v>4</v>
      </c>
      <c r="BA306" s="3" t="s">
        <v>95</v>
      </c>
      <c r="BB306" s="6" t="s">
        <v>95</v>
      </c>
      <c r="BC306" s="3" t="s">
        <v>95</v>
      </c>
      <c r="BD306" t="s">
        <v>4</v>
      </c>
      <c r="BE306">
        <v>2023</v>
      </c>
      <c r="BF306" t="s">
        <v>148</v>
      </c>
      <c r="BG306">
        <v>97.627099999999999</v>
      </c>
      <c r="BI306" t="s">
        <v>6073</v>
      </c>
      <c r="BJ306">
        <v>28.813600000000001</v>
      </c>
      <c r="BK306">
        <v>31.525400000000001</v>
      </c>
      <c r="BL306">
        <v>45.084699999999998</v>
      </c>
      <c r="BM306">
        <v>63.050800000000002</v>
      </c>
      <c r="BN306">
        <v>63.050800000000002</v>
      </c>
      <c r="BO306">
        <v>15.9322</v>
      </c>
      <c r="CK306">
        <v>3</v>
      </c>
      <c r="CL306" t="s">
        <v>4</v>
      </c>
      <c r="CM306" t="s">
        <v>98</v>
      </c>
      <c r="CN306" t="s">
        <v>98</v>
      </c>
      <c r="CO306" t="s">
        <v>99</v>
      </c>
      <c r="CP306" t="s">
        <v>100</v>
      </c>
      <c r="CQ306">
        <v>305</v>
      </c>
      <c r="CR306" t="s">
        <v>100</v>
      </c>
      <c r="CS306" t="s">
        <v>101</v>
      </c>
      <c r="CT306" t="s">
        <v>152</v>
      </c>
      <c r="CU306" t="s">
        <v>102</v>
      </c>
      <c r="CV306" t="s">
        <v>100</v>
      </c>
    </row>
    <row r="307" spans="1:100">
      <c r="A307" s="3" t="s">
        <v>6074</v>
      </c>
      <c r="B307" s="4" t="s">
        <v>6075</v>
      </c>
      <c r="C307">
        <v>22.6563596857996</v>
      </c>
      <c r="D307">
        <v>121.591259654136</v>
      </c>
      <c r="E307">
        <f>-2.41937100078436</f>
        <v>-2.4193710007843601</v>
      </c>
      <c r="F307">
        <v>4.2027946804379501E-3</v>
      </c>
      <c r="G307" t="s">
        <v>4</v>
      </c>
      <c r="H307">
        <v>22.6563596857996</v>
      </c>
      <c r="I307">
        <v>3.6925500316892998</v>
      </c>
      <c r="J307">
        <v>2.7151440262197801</v>
      </c>
      <c r="K307">
        <v>6.8607670456217297E-3</v>
      </c>
      <c r="L307" t="s">
        <v>4</v>
      </c>
      <c r="M307">
        <v>121.591259654136</v>
      </c>
      <c r="N307">
        <v>3.6925500316892998</v>
      </c>
      <c r="O307">
        <v>5.1345150270041398</v>
      </c>
      <c r="P307" s="5">
        <v>6.0302303938822699E-8</v>
      </c>
      <c r="Q307" t="s">
        <v>4</v>
      </c>
      <c r="R307" s="4" t="s">
        <v>87</v>
      </c>
      <c r="S307" t="s">
        <v>4</v>
      </c>
      <c r="T307" t="s">
        <v>92</v>
      </c>
      <c r="U307" t="s">
        <v>92</v>
      </c>
      <c r="V307" t="s">
        <v>92</v>
      </c>
      <c r="W307" t="s">
        <v>92</v>
      </c>
      <c r="X307" t="s">
        <v>4</v>
      </c>
      <c r="Y307" t="s">
        <v>92</v>
      </c>
      <c r="Z307" t="s">
        <v>92</v>
      </c>
      <c r="AA307" t="s">
        <v>92</v>
      </c>
      <c r="AB307" t="s">
        <v>4</v>
      </c>
      <c r="AC307" s="3" t="s">
        <v>93</v>
      </c>
      <c r="AD307" t="s">
        <v>4</v>
      </c>
      <c r="AE307" s="4" t="s">
        <v>94</v>
      </c>
      <c r="AZ307" t="s">
        <v>4</v>
      </c>
      <c r="BA307" s="3" t="s">
        <v>95</v>
      </c>
      <c r="BB307" s="6" t="s">
        <v>95</v>
      </c>
      <c r="BC307" s="3" t="s">
        <v>95</v>
      </c>
      <c r="BD307" t="s">
        <v>4</v>
      </c>
      <c r="BE307">
        <v>739</v>
      </c>
      <c r="BF307" t="s">
        <v>604</v>
      </c>
      <c r="BH307">
        <v>70.370400000000004</v>
      </c>
      <c r="CK307">
        <v>1.5</v>
      </c>
      <c r="CL307" t="s">
        <v>4</v>
      </c>
      <c r="CM307" t="s">
        <v>98</v>
      </c>
      <c r="CN307" t="s">
        <v>98</v>
      </c>
      <c r="CO307" t="s">
        <v>99</v>
      </c>
      <c r="CP307" t="s">
        <v>100</v>
      </c>
      <c r="CQ307">
        <v>306</v>
      </c>
      <c r="CR307" t="s">
        <v>100</v>
      </c>
      <c r="CS307" t="s">
        <v>101</v>
      </c>
      <c r="CT307" t="s">
        <v>152</v>
      </c>
      <c r="CU307" t="s">
        <v>102</v>
      </c>
      <c r="CV307" t="s">
        <v>100</v>
      </c>
    </row>
    <row r="308" spans="1:100">
      <c r="A308" s="3" t="s">
        <v>6076</v>
      </c>
      <c r="B308" s="4" t="s">
        <v>6077</v>
      </c>
      <c r="C308">
        <v>46.255408292052003</v>
      </c>
      <c r="D308">
        <v>437.02921573902898</v>
      </c>
      <c r="E308">
        <f>-3.23884479132381</f>
        <v>-3.2388447913238099</v>
      </c>
      <c r="F308" s="5">
        <v>2.3707955418282302E-9</v>
      </c>
      <c r="G308" t="s">
        <v>4</v>
      </c>
      <c r="H308">
        <v>46.255408292052003</v>
      </c>
      <c r="I308">
        <v>8.2493369676241404</v>
      </c>
      <c r="J308">
        <v>2.5280592020166499</v>
      </c>
      <c r="K308">
        <v>1.3226567346838499E-4</v>
      </c>
      <c r="L308" t="s">
        <v>4</v>
      </c>
      <c r="M308">
        <v>437.02921573902898</v>
      </c>
      <c r="N308">
        <v>8.2493369676241404</v>
      </c>
      <c r="O308">
        <v>5.7669039933404598</v>
      </c>
      <c r="P308" s="5">
        <v>2.16747438536074E-20</v>
      </c>
      <c r="Q308" t="s">
        <v>4</v>
      </c>
      <c r="R308" s="4" t="s">
        <v>87</v>
      </c>
      <c r="S308" t="s">
        <v>4</v>
      </c>
      <c r="T308" t="s">
        <v>88</v>
      </c>
      <c r="U308" t="s">
        <v>89</v>
      </c>
      <c r="V308" t="s">
        <v>90</v>
      </c>
      <c r="W308" t="s">
        <v>91</v>
      </c>
      <c r="X308" t="s">
        <v>4</v>
      </c>
      <c r="Y308" t="s">
        <v>92</v>
      </c>
      <c r="Z308" t="s">
        <v>92</v>
      </c>
      <c r="AA308" t="s">
        <v>92</v>
      </c>
      <c r="AB308" t="s">
        <v>4</v>
      </c>
      <c r="AC308" s="3" t="s">
        <v>93</v>
      </c>
      <c r="AD308" t="s">
        <v>4</v>
      </c>
      <c r="AE308" s="4" t="s">
        <v>94</v>
      </c>
      <c r="AZ308" t="s">
        <v>4</v>
      </c>
      <c r="BA308" s="3" t="s">
        <v>95</v>
      </c>
      <c r="BB308" t="s">
        <v>96</v>
      </c>
      <c r="BC308" s="3" t="s">
        <v>95</v>
      </c>
      <c r="BD308" t="s">
        <v>4</v>
      </c>
      <c r="BE308">
        <v>1251</v>
      </c>
      <c r="BF308" t="s">
        <v>151</v>
      </c>
      <c r="BH308">
        <v>62.307699999999997</v>
      </c>
      <c r="BJ308">
        <v>62.307699999999997</v>
      </c>
      <c r="BN308" t="s">
        <v>6078</v>
      </c>
      <c r="BO308">
        <v>37.307699999999997</v>
      </c>
      <c r="CK308">
        <v>2</v>
      </c>
      <c r="CL308" t="s">
        <v>4</v>
      </c>
      <c r="CM308" t="s">
        <v>98</v>
      </c>
      <c r="CN308" t="s">
        <v>98</v>
      </c>
      <c r="CO308" t="s">
        <v>99</v>
      </c>
      <c r="CP308" t="s">
        <v>100</v>
      </c>
      <c r="CQ308">
        <v>307</v>
      </c>
      <c r="CR308" t="s">
        <v>100</v>
      </c>
      <c r="CS308" t="s">
        <v>101</v>
      </c>
      <c r="CT308" t="s">
        <v>152</v>
      </c>
      <c r="CU308" t="s">
        <v>102</v>
      </c>
      <c r="CV308" t="s">
        <v>100</v>
      </c>
    </row>
    <row r="309" spans="1:100">
      <c r="A309" s="3" t="s">
        <v>6079</v>
      </c>
      <c r="B309" s="4" t="s">
        <v>6080</v>
      </c>
      <c r="C309">
        <v>29.956926802084599</v>
      </c>
      <c r="D309">
        <v>234.33252057087799</v>
      </c>
      <c r="E309">
        <f>-2.96658796718918</f>
        <v>-2.9665879671891799</v>
      </c>
      <c r="F309" s="5">
        <v>8.5298929621610697E-5</v>
      </c>
      <c r="G309" t="s">
        <v>4</v>
      </c>
      <c r="H309">
        <v>29.956926802084599</v>
      </c>
      <c r="I309">
        <v>5.5991466659163702</v>
      </c>
      <c r="J309">
        <v>2.3349505286687098</v>
      </c>
      <c r="K309">
        <v>7.4430742279162397E-3</v>
      </c>
      <c r="L309" t="s">
        <v>4</v>
      </c>
      <c r="M309">
        <v>234.33252057087799</v>
      </c>
      <c r="N309">
        <v>5.5991466659163702</v>
      </c>
      <c r="O309">
        <v>5.3015384958579004</v>
      </c>
      <c r="P309" s="5">
        <v>8.2715794838022794E-11</v>
      </c>
      <c r="Q309" t="s">
        <v>4</v>
      </c>
      <c r="R309" s="4" t="s">
        <v>87</v>
      </c>
      <c r="S309" t="s">
        <v>4</v>
      </c>
      <c r="T309" t="s">
        <v>88</v>
      </c>
      <c r="U309" t="s">
        <v>89</v>
      </c>
      <c r="V309" t="s">
        <v>90</v>
      </c>
      <c r="W309" t="s">
        <v>91</v>
      </c>
      <c r="X309" t="s">
        <v>4</v>
      </c>
      <c r="Y309" t="s">
        <v>92</v>
      </c>
      <c r="Z309" t="s">
        <v>92</v>
      </c>
      <c r="AA309" t="s">
        <v>92</v>
      </c>
      <c r="AB309" t="s">
        <v>4</v>
      </c>
      <c r="AC309" s="3" t="s">
        <v>93</v>
      </c>
      <c r="AD309" t="s">
        <v>4</v>
      </c>
      <c r="AE309" s="4" t="s">
        <v>94</v>
      </c>
      <c r="AZ309" t="s">
        <v>4</v>
      </c>
      <c r="BA309" s="3" t="s">
        <v>95</v>
      </c>
      <c r="BB309" t="s">
        <v>96</v>
      </c>
      <c r="BC309" s="3" t="s">
        <v>95</v>
      </c>
      <c r="BD309" t="s">
        <v>4</v>
      </c>
      <c r="BE309">
        <v>2694</v>
      </c>
      <c r="BF309" t="s">
        <v>97</v>
      </c>
      <c r="BG309">
        <v>98.095200000000006</v>
      </c>
      <c r="BH309">
        <v>85.714299999999994</v>
      </c>
      <c r="BJ309">
        <v>65.714299999999994</v>
      </c>
      <c r="BK309">
        <v>71.428600000000003</v>
      </c>
      <c r="BL309">
        <v>54.285699999999999</v>
      </c>
      <c r="BM309">
        <v>68.571399999999997</v>
      </c>
      <c r="BN309">
        <v>69.523799999999994</v>
      </c>
      <c r="BO309">
        <v>74.285700000000006</v>
      </c>
      <c r="CK309">
        <v>4</v>
      </c>
      <c r="CL309" t="s">
        <v>4</v>
      </c>
      <c r="CM309" t="s">
        <v>98</v>
      </c>
      <c r="CN309" t="s">
        <v>98</v>
      </c>
      <c r="CO309" t="s">
        <v>99</v>
      </c>
      <c r="CP309" t="s">
        <v>100</v>
      </c>
      <c r="CQ309">
        <v>308</v>
      </c>
      <c r="CR309" t="s">
        <v>100</v>
      </c>
      <c r="CS309" t="s">
        <v>101</v>
      </c>
      <c r="CT309" t="s">
        <v>152</v>
      </c>
      <c r="CU309" t="s">
        <v>102</v>
      </c>
      <c r="CV309" t="s">
        <v>100</v>
      </c>
    </row>
    <row r="310" spans="1:100">
      <c r="A310" s="3" t="s">
        <v>6081</v>
      </c>
      <c r="B310" s="4" t="s">
        <v>6082</v>
      </c>
      <c r="C310">
        <v>263.49098069869501</v>
      </c>
      <c r="D310">
        <v>2694.6030481901398</v>
      </c>
      <c r="E310">
        <f>-3.35399230305166</f>
        <v>-3.3539923030516601</v>
      </c>
      <c r="F310" s="5">
        <v>2.5549516159850202E-31</v>
      </c>
      <c r="G310" t="s">
        <v>4</v>
      </c>
      <c r="H310">
        <v>263.49098069869501</v>
      </c>
      <c r="I310">
        <v>161.76281884379199</v>
      </c>
      <c r="J310">
        <v>0.71101761145439701</v>
      </c>
      <c r="K310">
        <v>2.59030377367871E-2</v>
      </c>
      <c r="L310" t="s">
        <v>4</v>
      </c>
      <c r="M310">
        <v>2694.6030481901398</v>
      </c>
      <c r="N310">
        <v>161.76281884379199</v>
      </c>
      <c r="O310">
        <v>4.0650099145060503</v>
      </c>
      <c r="P310" s="5">
        <v>1.47753159024995E-44</v>
      </c>
      <c r="Q310" t="s">
        <v>4</v>
      </c>
      <c r="R310" s="4" t="s">
        <v>87</v>
      </c>
      <c r="S310" t="s">
        <v>4</v>
      </c>
      <c r="T310" t="s">
        <v>88</v>
      </c>
      <c r="U310" t="s">
        <v>89</v>
      </c>
      <c r="V310" t="s">
        <v>90</v>
      </c>
      <c r="W310" t="s">
        <v>91</v>
      </c>
      <c r="X310" t="s">
        <v>4</v>
      </c>
      <c r="Y310" t="s">
        <v>92</v>
      </c>
      <c r="Z310" t="s">
        <v>92</v>
      </c>
      <c r="AA310" t="s">
        <v>92</v>
      </c>
      <c r="AB310" t="s">
        <v>4</v>
      </c>
      <c r="AC310" s="3" t="s">
        <v>93</v>
      </c>
      <c r="AD310" t="s">
        <v>4</v>
      </c>
      <c r="AE310" s="4" t="s">
        <v>94</v>
      </c>
      <c r="AZ310" t="s">
        <v>4</v>
      </c>
      <c r="BA310" s="3" t="s">
        <v>95</v>
      </c>
      <c r="BB310" t="s">
        <v>96</v>
      </c>
      <c r="BC310" s="3" t="s">
        <v>95</v>
      </c>
      <c r="BD310" t="s">
        <v>4</v>
      </c>
      <c r="BE310">
        <v>2699</v>
      </c>
      <c r="BF310" t="s">
        <v>97</v>
      </c>
      <c r="BG310">
        <v>97.196299999999994</v>
      </c>
      <c r="BH310">
        <v>72.429900000000004</v>
      </c>
      <c r="BI310">
        <v>90.186899999999994</v>
      </c>
      <c r="BJ310">
        <v>57.009300000000003</v>
      </c>
      <c r="BK310">
        <v>74.299099999999996</v>
      </c>
      <c r="BL310">
        <v>56.542099999999998</v>
      </c>
      <c r="BM310">
        <v>76.635499999999993</v>
      </c>
      <c r="BN310">
        <v>76.635499999999993</v>
      </c>
      <c r="CK310">
        <v>4</v>
      </c>
      <c r="CL310" t="s">
        <v>4</v>
      </c>
      <c r="CM310" t="s">
        <v>98</v>
      </c>
      <c r="CN310" t="s">
        <v>98</v>
      </c>
      <c r="CO310" t="s">
        <v>99</v>
      </c>
      <c r="CP310" t="s">
        <v>100</v>
      </c>
      <c r="CQ310">
        <v>309</v>
      </c>
      <c r="CR310" t="s">
        <v>100</v>
      </c>
      <c r="CS310" t="s">
        <v>100</v>
      </c>
      <c r="CT310" t="s">
        <v>152</v>
      </c>
      <c r="CU310" t="s">
        <v>102</v>
      </c>
      <c r="CV310" t="s">
        <v>100</v>
      </c>
    </row>
    <row r="311" spans="1:100">
      <c r="A311" s="3" t="s">
        <v>6083</v>
      </c>
      <c r="B311" s="4" t="s">
        <v>6084</v>
      </c>
      <c r="C311">
        <v>70.396176464950898</v>
      </c>
      <c r="D311">
        <v>322.21156876084501</v>
      </c>
      <c r="E311">
        <f>-2.19206443224838</f>
        <v>-2.19206443224838</v>
      </c>
      <c r="F311" s="5">
        <v>7.4572224051138906E-8</v>
      </c>
      <c r="G311" t="s">
        <v>4</v>
      </c>
      <c r="H311">
        <v>70.396176464950898</v>
      </c>
      <c r="I311">
        <v>36.802485880589799</v>
      </c>
      <c r="J311">
        <v>0.89869319383729396</v>
      </c>
      <c r="K311">
        <v>4.9315795772180399E-2</v>
      </c>
      <c r="L311" t="s">
        <v>4</v>
      </c>
      <c r="M311">
        <v>322.21156876084501</v>
      </c>
      <c r="N311">
        <v>36.802485880589799</v>
      </c>
      <c r="O311">
        <v>3.09075762608567</v>
      </c>
      <c r="P311" s="5">
        <v>1.12926821558335E-13</v>
      </c>
      <c r="Q311" t="s">
        <v>4</v>
      </c>
      <c r="R311" s="4" t="s">
        <v>87</v>
      </c>
      <c r="S311" t="s">
        <v>4</v>
      </c>
      <c r="T311" t="s">
        <v>92</v>
      </c>
      <c r="U311" t="s">
        <v>92</v>
      </c>
      <c r="V311" t="s">
        <v>92</v>
      </c>
      <c r="W311" t="s">
        <v>92</v>
      </c>
      <c r="X311" t="s">
        <v>4</v>
      </c>
      <c r="Y311" t="s">
        <v>92</v>
      </c>
      <c r="Z311" t="s">
        <v>92</v>
      </c>
      <c r="AA311" t="s">
        <v>92</v>
      </c>
      <c r="AB311" t="s">
        <v>4</v>
      </c>
      <c r="AC311" s="3" t="s">
        <v>93</v>
      </c>
      <c r="AD311" t="s">
        <v>4</v>
      </c>
      <c r="AE311" s="4" t="s">
        <v>94</v>
      </c>
      <c r="AZ311" t="s">
        <v>4</v>
      </c>
      <c r="BA311" s="3" t="s">
        <v>95</v>
      </c>
      <c r="BB311" s="6" t="s">
        <v>95</v>
      </c>
      <c r="BC311" s="3" t="s">
        <v>95</v>
      </c>
      <c r="BD311" t="s">
        <v>4</v>
      </c>
      <c r="BE311">
        <v>2036</v>
      </c>
      <c r="BF311" t="s">
        <v>148</v>
      </c>
      <c r="BG311">
        <v>87.732299999999995</v>
      </c>
      <c r="BH311">
        <v>65.427499999999995</v>
      </c>
      <c r="BI311">
        <v>73.605900000000005</v>
      </c>
      <c r="BJ311">
        <v>19.3309</v>
      </c>
      <c r="BK311">
        <v>52.044600000000003</v>
      </c>
      <c r="BL311">
        <v>30.4833</v>
      </c>
      <c r="BM311">
        <v>19.7026</v>
      </c>
      <c r="BN311">
        <v>61.338299999999997</v>
      </c>
      <c r="BO311">
        <v>60.966500000000003</v>
      </c>
      <c r="CK311">
        <v>3</v>
      </c>
      <c r="CL311" t="s">
        <v>4</v>
      </c>
      <c r="CM311" t="s">
        <v>98</v>
      </c>
      <c r="CN311" t="s">
        <v>98</v>
      </c>
      <c r="CO311" t="s">
        <v>99</v>
      </c>
      <c r="CP311" t="s">
        <v>100</v>
      </c>
      <c r="CQ311">
        <v>310</v>
      </c>
      <c r="CR311" t="s">
        <v>100</v>
      </c>
      <c r="CS311" t="s">
        <v>100</v>
      </c>
      <c r="CT311" t="s">
        <v>152</v>
      </c>
      <c r="CU311" t="s">
        <v>102</v>
      </c>
      <c r="CV311" t="s">
        <v>100</v>
      </c>
    </row>
    <row r="312" spans="1:100">
      <c r="A312" s="3" t="s">
        <v>6085</v>
      </c>
      <c r="B312" s="4" t="s">
        <v>6086</v>
      </c>
      <c r="C312">
        <v>993.93556619246203</v>
      </c>
      <c r="D312">
        <v>4981.2755113879703</v>
      </c>
      <c r="E312">
        <f>-2.32517619072659</f>
        <v>-2.32517619072659</v>
      </c>
      <c r="F312" s="5">
        <v>4.40621355759589E-8</v>
      </c>
      <c r="G312" t="s">
        <v>4</v>
      </c>
      <c r="H312">
        <v>993.93556619246203</v>
      </c>
      <c r="I312">
        <v>1166.96634548666</v>
      </c>
      <c r="J312">
        <f>0.23275964951304</f>
        <v>0.23275964951304001</v>
      </c>
      <c r="K312">
        <v>0.62782645075323096</v>
      </c>
      <c r="L312" t="s">
        <v>4</v>
      </c>
      <c r="M312">
        <v>4981.2755113879703</v>
      </c>
      <c r="N312">
        <v>1166.96634548666</v>
      </c>
      <c r="O312">
        <v>2.09241654121355</v>
      </c>
      <c r="P312" s="5">
        <v>4.5741037692276998E-7</v>
      </c>
      <c r="Q312" t="s">
        <v>4</v>
      </c>
      <c r="R312" s="4" t="s">
        <v>87</v>
      </c>
      <c r="S312" t="s">
        <v>4</v>
      </c>
      <c r="T312" t="s">
        <v>2757</v>
      </c>
      <c r="U312" t="s">
        <v>2758</v>
      </c>
      <c r="V312" t="s">
        <v>2759</v>
      </c>
      <c r="W312" t="s">
        <v>507</v>
      </c>
      <c r="X312" t="s">
        <v>4</v>
      </c>
      <c r="Y312" t="s">
        <v>2760</v>
      </c>
      <c r="Z312" t="s">
        <v>2761</v>
      </c>
      <c r="AA312" t="s">
        <v>2762</v>
      </c>
      <c r="AB312" t="s">
        <v>4</v>
      </c>
      <c r="AC312" s="3" t="s">
        <v>6087</v>
      </c>
      <c r="AD312" t="s">
        <v>4</v>
      </c>
      <c r="AE312" t="s">
        <v>2763</v>
      </c>
      <c r="AF312" t="s">
        <v>6088</v>
      </c>
      <c r="AG312" t="s">
        <v>6089</v>
      </c>
      <c r="AH312" t="s">
        <v>112</v>
      </c>
      <c r="AJ312" t="s">
        <v>2766</v>
      </c>
      <c r="AL312" t="s">
        <v>2767</v>
      </c>
      <c r="AM312" t="s">
        <v>2768</v>
      </c>
      <c r="AQ312" t="s">
        <v>2769</v>
      </c>
      <c r="AU312" t="s">
        <v>112</v>
      </c>
      <c r="AV312" t="s">
        <v>2770</v>
      </c>
      <c r="AW312" t="s">
        <v>114</v>
      </c>
      <c r="AX312" t="s">
        <v>1938</v>
      </c>
      <c r="AY312" t="s">
        <v>2771</v>
      </c>
      <c r="AZ312" t="s">
        <v>4</v>
      </c>
      <c r="BA312" s="3" t="s">
        <v>115</v>
      </c>
      <c r="BB312" s="6" t="s">
        <v>95</v>
      </c>
      <c r="BC312" s="3" t="s">
        <v>95</v>
      </c>
      <c r="BD312" t="s">
        <v>4</v>
      </c>
      <c r="BE312">
        <v>7922</v>
      </c>
      <c r="BF312" t="s">
        <v>213</v>
      </c>
      <c r="BG312">
        <v>94.117599999999996</v>
      </c>
      <c r="BH312">
        <v>5</v>
      </c>
      <c r="BI312">
        <v>90.2941</v>
      </c>
      <c r="BJ312">
        <v>92.058800000000005</v>
      </c>
      <c r="BK312">
        <v>90</v>
      </c>
      <c r="BL312">
        <v>90</v>
      </c>
      <c r="BM312">
        <v>78.235299999999995</v>
      </c>
      <c r="BN312">
        <v>90</v>
      </c>
      <c r="BO312">
        <v>5.8823499999999997</v>
      </c>
      <c r="BP312">
        <v>38.235300000000002</v>
      </c>
      <c r="BQ312">
        <v>66.764700000000005</v>
      </c>
      <c r="BR312" t="s">
        <v>6090</v>
      </c>
      <c r="BS312">
        <v>30</v>
      </c>
      <c r="BT312" t="s">
        <v>6091</v>
      </c>
      <c r="BU312">
        <v>62.352899999999998</v>
      </c>
      <c r="BV312" t="s">
        <v>6092</v>
      </c>
      <c r="BX312" t="s">
        <v>6093</v>
      </c>
      <c r="BY312">
        <v>0.88235300000000005</v>
      </c>
      <c r="BZ312">
        <v>65.2941</v>
      </c>
      <c r="CA312">
        <v>61.176499999999997</v>
      </c>
      <c r="CB312" t="s">
        <v>6094</v>
      </c>
      <c r="CC312">
        <v>67.941199999999995</v>
      </c>
      <c r="CD312" t="s">
        <v>6090</v>
      </c>
      <c r="CE312">
        <v>46.176499999999997</v>
      </c>
      <c r="CF312">
        <v>61.176499999999997</v>
      </c>
      <c r="CG312" t="s">
        <v>6095</v>
      </c>
      <c r="CH312">
        <v>63.529400000000003</v>
      </c>
      <c r="CI312">
        <v>63.529400000000003</v>
      </c>
      <c r="CK312">
        <v>8</v>
      </c>
      <c r="CL312" t="s">
        <v>4</v>
      </c>
      <c r="CM312" t="s">
        <v>2779</v>
      </c>
      <c r="CN312" t="s">
        <v>6096</v>
      </c>
      <c r="CO312" t="s">
        <v>219</v>
      </c>
      <c r="CP312" t="s">
        <v>100</v>
      </c>
      <c r="CQ312">
        <v>311</v>
      </c>
      <c r="CR312" t="s">
        <v>100</v>
      </c>
      <c r="CS312" t="s">
        <v>100</v>
      </c>
      <c r="CT312" t="s">
        <v>152</v>
      </c>
      <c r="CU312" t="s">
        <v>102</v>
      </c>
      <c r="CV312" t="s">
        <v>2781</v>
      </c>
    </row>
    <row r="313" spans="1:100">
      <c r="A313" s="3" t="s">
        <v>6097</v>
      </c>
      <c r="B313" s="4" t="s">
        <v>6098</v>
      </c>
      <c r="C313">
        <v>18.902327341954901</v>
      </c>
      <c r="D313">
        <v>152.854303852984</v>
      </c>
      <c r="E313">
        <f>-3.01294974129625</f>
        <v>-3.01294974129625</v>
      </c>
      <c r="F313" s="5">
        <v>7.1748237993144702E-7</v>
      </c>
      <c r="G313" t="s">
        <v>4</v>
      </c>
      <c r="H313">
        <v>18.902327341954901</v>
      </c>
      <c r="I313">
        <v>12.055380910259901</v>
      </c>
      <c r="J313">
        <v>0.59495709789714102</v>
      </c>
      <c r="K313">
        <v>0.41609745302978601</v>
      </c>
      <c r="L313" t="s">
        <v>4</v>
      </c>
      <c r="M313">
        <v>152.854303852984</v>
      </c>
      <c r="N313">
        <v>12.055380910259901</v>
      </c>
      <c r="O313">
        <v>3.6079068391933902</v>
      </c>
      <c r="P313" s="5">
        <v>1.1066230398771601E-8</v>
      </c>
      <c r="Q313" t="s">
        <v>4</v>
      </c>
      <c r="R313" s="4" t="s">
        <v>87</v>
      </c>
      <c r="S313" t="s">
        <v>4</v>
      </c>
      <c r="T313" t="s">
        <v>92</v>
      </c>
      <c r="U313" t="s">
        <v>92</v>
      </c>
      <c r="V313" t="s">
        <v>92</v>
      </c>
      <c r="W313" t="s">
        <v>92</v>
      </c>
      <c r="X313" t="s">
        <v>4</v>
      </c>
      <c r="Y313" t="s">
        <v>92</v>
      </c>
      <c r="Z313" t="s">
        <v>92</v>
      </c>
      <c r="AA313" t="s">
        <v>92</v>
      </c>
      <c r="AB313" t="s">
        <v>4</v>
      </c>
      <c r="AC313" s="3" t="s">
        <v>93</v>
      </c>
      <c r="AD313" t="s">
        <v>4</v>
      </c>
      <c r="AE313" s="4" t="s">
        <v>94</v>
      </c>
      <c r="AZ313" t="s">
        <v>4</v>
      </c>
      <c r="BA313" s="3" t="s">
        <v>95</v>
      </c>
      <c r="BB313" s="6" t="s">
        <v>95</v>
      </c>
      <c r="BC313" s="3" t="s">
        <v>95</v>
      </c>
      <c r="BD313" t="s">
        <v>4</v>
      </c>
      <c r="BE313">
        <v>4294</v>
      </c>
      <c r="BF313" t="s">
        <v>112</v>
      </c>
      <c r="BG313">
        <v>100</v>
      </c>
      <c r="BH313">
        <v>100</v>
      </c>
      <c r="BM313">
        <v>90</v>
      </c>
      <c r="BN313">
        <v>90</v>
      </c>
      <c r="BO313">
        <v>80</v>
      </c>
      <c r="BR313">
        <v>45.454500000000003</v>
      </c>
      <c r="CK313">
        <v>5</v>
      </c>
      <c r="CL313" t="s">
        <v>4</v>
      </c>
      <c r="CM313" t="s">
        <v>98</v>
      </c>
      <c r="CN313" t="s">
        <v>98</v>
      </c>
      <c r="CO313" t="s">
        <v>99</v>
      </c>
      <c r="CP313" t="s">
        <v>100</v>
      </c>
      <c r="CQ313">
        <v>312</v>
      </c>
      <c r="CR313" t="s">
        <v>100</v>
      </c>
      <c r="CS313" t="s">
        <v>100</v>
      </c>
      <c r="CT313" t="s">
        <v>152</v>
      </c>
      <c r="CU313" t="s">
        <v>102</v>
      </c>
      <c r="CV313" t="s">
        <v>100</v>
      </c>
    </row>
    <row r="314" spans="1:100">
      <c r="A314" s="3" t="s">
        <v>6099</v>
      </c>
      <c r="B314" s="4" t="s">
        <v>6100</v>
      </c>
      <c r="C314">
        <v>271.82193966041899</v>
      </c>
      <c r="D314">
        <v>4723.7158828635602</v>
      </c>
      <c r="E314">
        <f>-4.11893816727101</f>
        <v>-4.1189381672710104</v>
      </c>
      <c r="F314" s="5">
        <v>5.6922936465269398E-6</v>
      </c>
      <c r="G314" t="s">
        <v>4</v>
      </c>
      <c r="H314">
        <v>271.82193966041899</v>
      </c>
      <c r="I314">
        <v>156.73296222718</v>
      </c>
      <c r="J314">
        <v>0.796418301366139</v>
      </c>
      <c r="K314">
        <v>0.41703256923750298</v>
      </c>
      <c r="L314" t="s">
        <v>4</v>
      </c>
      <c r="M314">
        <v>4723.7158828635602</v>
      </c>
      <c r="N314">
        <v>156.73296222718</v>
      </c>
      <c r="O314">
        <v>4.9153564686371496</v>
      </c>
      <c r="P314" s="5">
        <v>1.7981918725865601E-8</v>
      </c>
      <c r="Q314" t="s">
        <v>4</v>
      </c>
      <c r="R314" s="4" t="s">
        <v>87</v>
      </c>
      <c r="S314" t="s">
        <v>4</v>
      </c>
      <c r="T314" t="s">
        <v>92</v>
      </c>
      <c r="U314" t="s">
        <v>92</v>
      </c>
      <c r="V314" t="s">
        <v>92</v>
      </c>
      <c r="W314" t="s">
        <v>92</v>
      </c>
      <c r="X314" t="s">
        <v>4</v>
      </c>
      <c r="Y314" t="s">
        <v>92</v>
      </c>
      <c r="Z314" t="s">
        <v>92</v>
      </c>
      <c r="AA314" t="s">
        <v>92</v>
      </c>
      <c r="AB314" t="s">
        <v>4</v>
      </c>
      <c r="AC314" s="3" t="s">
        <v>93</v>
      </c>
      <c r="AD314" t="s">
        <v>4</v>
      </c>
      <c r="AE314" s="4" t="s">
        <v>94</v>
      </c>
      <c r="AZ314" t="s">
        <v>4</v>
      </c>
      <c r="BA314" s="3" t="s">
        <v>95</v>
      </c>
      <c r="BB314" s="6" t="s">
        <v>95</v>
      </c>
      <c r="BC314" s="3" t="s">
        <v>197</v>
      </c>
      <c r="BD314" t="s">
        <v>4</v>
      </c>
      <c r="BE314">
        <v>1261</v>
      </c>
      <c r="BF314" t="s">
        <v>151</v>
      </c>
      <c r="BG314">
        <v>94.146299999999997</v>
      </c>
      <c r="BH314">
        <v>78.536600000000007</v>
      </c>
      <c r="BJ314">
        <v>27.3171</v>
      </c>
      <c r="BK314">
        <v>24.3902</v>
      </c>
      <c r="CK314">
        <v>2</v>
      </c>
      <c r="CL314" t="s">
        <v>4</v>
      </c>
      <c r="CM314" t="s">
        <v>98</v>
      </c>
      <c r="CN314" t="s">
        <v>98</v>
      </c>
      <c r="CO314" t="s">
        <v>99</v>
      </c>
      <c r="CP314" t="s">
        <v>100</v>
      </c>
      <c r="CQ314">
        <v>313</v>
      </c>
      <c r="CR314" t="s">
        <v>100</v>
      </c>
      <c r="CS314" t="s">
        <v>100</v>
      </c>
      <c r="CT314" t="s">
        <v>152</v>
      </c>
      <c r="CU314" t="s">
        <v>102</v>
      </c>
      <c r="CV314" t="s">
        <v>100</v>
      </c>
    </row>
    <row r="315" spans="1:100">
      <c r="A315" s="3" t="s">
        <v>6101</v>
      </c>
      <c r="B315" s="4" t="s">
        <v>6102</v>
      </c>
      <c r="C315">
        <v>83.877050986503306</v>
      </c>
      <c r="D315">
        <v>846.28739553579703</v>
      </c>
      <c r="E315">
        <f>-3.33238244754977</f>
        <v>-3.3323824475497701</v>
      </c>
      <c r="F315" s="5">
        <v>1.25691100578123E-8</v>
      </c>
      <c r="G315" t="s">
        <v>4</v>
      </c>
      <c r="H315">
        <v>83.877050986503306</v>
      </c>
      <c r="I315">
        <v>20.495825208960198</v>
      </c>
      <c r="J315">
        <v>2.0802458998200302</v>
      </c>
      <c r="K315">
        <v>1.1496211637948099E-3</v>
      </c>
      <c r="L315" t="s">
        <v>4</v>
      </c>
      <c r="M315">
        <v>846.28739553579703</v>
      </c>
      <c r="N315">
        <v>20.495825208960198</v>
      </c>
      <c r="O315">
        <v>5.4126283473698003</v>
      </c>
      <c r="P315" s="5">
        <v>2.25281894155092E-19</v>
      </c>
      <c r="Q315" t="s">
        <v>4</v>
      </c>
      <c r="R315" s="4" t="s">
        <v>87</v>
      </c>
      <c r="S315" t="s">
        <v>4</v>
      </c>
      <c r="T315" t="s">
        <v>92</v>
      </c>
      <c r="U315" t="s">
        <v>92</v>
      </c>
      <c r="V315" t="s">
        <v>92</v>
      </c>
      <c r="W315" t="s">
        <v>92</v>
      </c>
      <c r="X315" t="s">
        <v>4</v>
      </c>
      <c r="Y315" t="s">
        <v>92</v>
      </c>
      <c r="Z315" t="s">
        <v>92</v>
      </c>
      <c r="AA315" t="s">
        <v>92</v>
      </c>
      <c r="AB315" t="s">
        <v>4</v>
      </c>
      <c r="AC315" s="3" t="s">
        <v>93</v>
      </c>
      <c r="AD315" t="s">
        <v>4</v>
      </c>
      <c r="AE315" s="4" t="s">
        <v>94</v>
      </c>
      <c r="AZ315" t="s">
        <v>4</v>
      </c>
      <c r="BA315" s="3" t="s">
        <v>95</v>
      </c>
      <c r="BB315" s="6" t="s">
        <v>95</v>
      </c>
      <c r="BC315" s="3" t="s">
        <v>95</v>
      </c>
      <c r="BD315" t="s">
        <v>4</v>
      </c>
      <c r="BE315">
        <v>2040</v>
      </c>
      <c r="BF315" t="s">
        <v>148</v>
      </c>
      <c r="BG315">
        <v>100</v>
      </c>
      <c r="BH315">
        <v>85.074600000000004</v>
      </c>
      <c r="BI315">
        <v>88.059700000000007</v>
      </c>
      <c r="BK315">
        <v>80.596999999999994</v>
      </c>
      <c r="BN315">
        <v>68.656700000000001</v>
      </c>
      <c r="BO315">
        <v>80.596999999999994</v>
      </c>
      <c r="CK315">
        <v>3</v>
      </c>
      <c r="CL315" t="s">
        <v>4</v>
      </c>
      <c r="CM315" t="s">
        <v>98</v>
      </c>
      <c r="CN315" t="s">
        <v>98</v>
      </c>
      <c r="CO315" t="s">
        <v>99</v>
      </c>
      <c r="CP315" t="s">
        <v>100</v>
      </c>
      <c r="CQ315">
        <v>314</v>
      </c>
      <c r="CR315" t="s">
        <v>100</v>
      </c>
      <c r="CS315" t="s">
        <v>101</v>
      </c>
      <c r="CT315" t="s">
        <v>152</v>
      </c>
      <c r="CU315" t="s">
        <v>102</v>
      </c>
      <c r="CV315" t="s">
        <v>100</v>
      </c>
    </row>
    <row r="316" spans="1:100">
      <c r="A316" s="3" t="s">
        <v>6103</v>
      </c>
      <c r="B316" s="4" t="s">
        <v>6104</v>
      </c>
      <c r="C316">
        <v>91.217604748361097</v>
      </c>
      <c r="D316">
        <v>2259.9504490300901</v>
      </c>
      <c r="E316">
        <f>-4.63049930427003</f>
        <v>-4.63049930427003</v>
      </c>
      <c r="F316" s="5">
        <v>7.8862982418889802E-7</v>
      </c>
      <c r="G316" t="s">
        <v>4</v>
      </c>
      <c r="H316">
        <v>91.217604748361097</v>
      </c>
      <c r="I316">
        <v>56.2925423055378</v>
      </c>
      <c r="J316">
        <v>0.70623758312946205</v>
      </c>
      <c r="K316">
        <v>0.49765377556887902</v>
      </c>
      <c r="L316" t="s">
        <v>4</v>
      </c>
      <c r="M316">
        <v>2259.9504490300901</v>
      </c>
      <c r="N316">
        <v>56.2925423055378</v>
      </c>
      <c r="O316">
        <v>5.33673688739949</v>
      </c>
      <c r="P316" s="5">
        <v>4.5494822199986296E-9</v>
      </c>
      <c r="Q316" t="s">
        <v>4</v>
      </c>
      <c r="R316" s="4" t="s">
        <v>87</v>
      </c>
      <c r="S316" t="s">
        <v>4</v>
      </c>
      <c r="T316" t="s">
        <v>88</v>
      </c>
      <c r="U316" t="s">
        <v>89</v>
      </c>
      <c r="V316" t="s">
        <v>90</v>
      </c>
      <c r="W316" t="s">
        <v>91</v>
      </c>
      <c r="X316" t="s">
        <v>4</v>
      </c>
      <c r="Y316" t="s">
        <v>92</v>
      </c>
      <c r="Z316" t="s">
        <v>92</v>
      </c>
      <c r="AA316" t="s">
        <v>92</v>
      </c>
      <c r="AB316" t="s">
        <v>4</v>
      </c>
      <c r="AC316" s="3" t="s">
        <v>93</v>
      </c>
      <c r="AD316" t="s">
        <v>4</v>
      </c>
      <c r="AE316" t="s">
        <v>6105</v>
      </c>
      <c r="AF316" t="s">
        <v>6106</v>
      </c>
      <c r="AG316" t="s">
        <v>656</v>
      </c>
      <c r="AH316" t="s">
        <v>112</v>
      </c>
      <c r="AU316" t="s">
        <v>112</v>
      </c>
      <c r="AV316" t="s">
        <v>6107</v>
      </c>
      <c r="AW316" t="s">
        <v>114</v>
      </c>
      <c r="AZ316" t="s">
        <v>4</v>
      </c>
      <c r="BA316" s="3" t="s">
        <v>95</v>
      </c>
      <c r="BB316" t="s">
        <v>96</v>
      </c>
      <c r="BC316" s="3" t="s">
        <v>197</v>
      </c>
      <c r="BD316" t="s">
        <v>4</v>
      </c>
      <c r="BE316">
        <v>4299</v>
      </c>
      <c r="BF316" t="s">
        <v>112</v>
      </c>
      <c r="BG316">
        <v>68.279600000000002</v>
      </c>
      <c r="BI316">
        <v>62.903199999999998</v>
      </c>
      <c r="BJ316">
        <v>56.989199999999997</v>
      </c>
      <c r="BK316">
        <v>55.376300000000001</v>
      </c>
      <c r="BM316">
        <v>60.752699999999997</v>
      </c>
      <c r="BN316">
        <v>48.924700000000001</v>
      </c>
      <c r="BO316">
        <v>56.451599999999999</v>
      </c>
      <c r="BP316">
        <v>34.4086</v>
      </c>
      <c r="BR316">
        <v>29.032299999999999</v>
      </c>
      <c r="BS316">
        <v>27.957000000000001</v>
      </c>
      <c r="CK316">
        <v>5</v>
      </c>
      <c r="CL316" t="s">
        <v>4</v>
      </c>
      <c r="CM316" t="s">
        <v>98</v>
      </c>
      <c r="CN316" t="s">
        <v>98</v>
      </c>
      <c r="CO316" t="s">
        <v>99</v>
      </c>
      <c r="CP316" t="s">
        <v>100</v>
      </c>
      <c r="CQ316">
        <v>315</v>
      </c>
      <c r="CR316" t="s">
        <v>100</v>
      </c>
      <c r="CS316" t="s">
        <v>100</v>
      </c>
      <c r="CT316" t="s">
        <v>152</v>
      </c>
      <c r="CU316" t="s">
        <v>102</v>
      </c>
      <c r="CV316" t="s">
        <v>100</v>
      </c>
    </row>
    <row r="317" spans="1:100">
      <c r="A317" s="3" t="s">
        <v>6108</v>
      </c>
      <c r="B317" s="4" t="s">
        <v>6109</v>
      </c>
      <c r="C317">
        <v>87.895759030325905</v>
      </c>
      <c r="D317">
        <v>1043.2593184096399</v>
      </c>
      <c r="E317">
        <f>-3.56875135582385</f>
        <v>-3.5687513558238502</v>
      </c>
      <c r="F317" s="5">
        <v>1.5772912235526201E-19</v>
      </c>
      <c r="G317" t="s">
        <v>4</v>
      </c>
      <c r="H317">
        <v>87.895759030325905</v>
      </c>
      <c r="I317">
        <v>45.434037510366302</v>
      </c>
      <c r="J317">
        <v>0.979715999473043</v>
      </c>
      <c r="K317">
        <v>2.90571951215896E-2</v>
      </c>
      <c r="L317" t="s">
        <v>4</v>
      </c>
      <c r="M317">
        <v>1043.2593184096399</v>
      </c>
      <c r="N317">
        <v>45.434037510366302</v>
      </c>
      <c r="O317">
        <v>4.5484673552968902</v>
      </c>
      <c r="P317" s="5">
        <v>5.3621699934875102E-29</v>
      </c>
      <c r="Q317" t="s">
        <v>4</v>
      </c>
      <c r="R317" s="4" t="s">
        <v>87</v>
      </c>
      <c r="S317" t="s">
        <v>4</v>
      </c>
      <c r="T317" t="s">
        <v>88</v>
      </c>
      <c r="U317" t="s">
        <v>89</v>
      </c>
      <c r="V317" t="s">
        <v>90</v>
      </c>
      <c r="W317" t="s">
        <v>91</v>
      </c>
      <c r="X317" t="s">
        <v>4</v>
      </c>
      <c r="Y317" t="s">
        <v>6110</v>
      </c>
      <c r="Z317" t="s">
        <v>6111</v>
      </c>
      <c r="AA317" t="s">
        <v>6111</v>
      </c>
      <c r="AB317" t="s">
        <v>4</v>
      </c>
      <c r="AC317" s="3" t="s">
        <v>6112</v>
      </c>
      <c r="AD317" t="s">
        <v>4</v>
      </c>
      <c r="AE317" s="4" t="s">
        <v>94</v>
      </c>
      <c r="AZ317" t="s">
        <v>4</v>
      </c>
      <c r="BA317" s="3" t="s">
        <v>95</v>
      </c>
      <c r="BB317" t="s">
        <v>96</v>
      </c>
      <c r="BC317" s="3" t="s">
        <v>95</v>
      </c>
      <c r="BD317" t="s">
        <v>4</v>
      </c>
      <c r="BE317">
        <v>2711</v>
      </c>
      <c r="BF317" t="s">
        <v>97</v>
      </c>
      <c r="BG317">
        <v>98.8506</v>
      </c>
      <c r="BH317">
        <v>99.616900000000001</v>
      </c>
      <c r="BI317">
        <v>96.934899999999999</v>
      </c>
      <c r="BJ317">
        <v>90.421499999999995</v>
      </c>
      <c r="BK317">
        <v>75.095799999999997</v>
      </c>
      <c r="BM317">
        <v>64.367800000000003</v>
      </c>
      <c r="BN317">
        <v>86.206900000000005</v>
      </c>
      <c r="BO317">
        <v>30.2682</v>
      </c>
      <c r="BP317">
        <v>34.865900000000003</v>
      </c>
      <c r="CK317">
        <v>4</v>
      </c>
      <c r="CL317" t="s">
        <v>4</v>
      </c>
      <c r="CM317" t="s">
        <v>98</v>
      </c>
      <c r="CN317" t="s">
        <v>98</v>
      </c>
      <c r="CO317" t="s">
        <v>99</v>
      </c>
      <c r="CP317" t="s">
        <v>100</v>
      </c>
      <c r="CQ317">
        <v>316</v>
      </c>
      <c r="CR317" t="s">
        <v>100</v>
      </c>
      <c r="CS317" t="s">
        <v>100</v>
      </c>
      <c r="CT317" t="s">
        <v>152</v>
      </c>
      <c r="CU317" t="s">
        <v>102</v>
      </c>
      <c r="CV317" t="s">
        <v>100</v>
      </c>
    </row>
    <row r="318" spans="1:100">
      <c r="A318" s="3" t="s">
        <v>6113</v>
      </c>
      <c r="B318" s="4" t="s">
        <v>6114</v>
      </c>
      <c r="C318">
        <v>1154.8231829317599</v>
      </c>
      <c r="D318">
        <v>9259.8335711074105</v>
      </c>
      <c r="E318">
        <f>-3.00296257262533</f>
        <v>-3.00296257262533</v>
      </c>
      <c r="F318" s="5">
        <v>5.8412458019645601E-46</v>
      </c>
      <c r="G318" t="s">
        <v>4</v>
      </c>
      <c r="H318">
        <v>1154.8231829317599</v>
      </c>
      <c r="I318">
        <v>280.77246737073398</v>
      </c>
      <c r="J318">
        <v>2.0449989875564398</v>
      </c>
      <c r="K318" s="5">
        <v>1.05988766413302E-20</v>
      </c>
      <c r="L318" t="s">
        <v>4</v>
      </c>
      <c r="M318">
        <v>9259.8335711074105</v>
      </c>
      <c r="N318">
        <v>280.77246737073398</v>
      </c>
      <c r="O318">
        <v>5.0479615601817702</v>
      </c>
      <c r="P318" s="5">
        <v>1.64372014891535E-122</v>
      </c>
      <c r="Q318" t="s">
        <v>4</v>
      </c>
      <c r="R318" s="4" t="s">
        <v>87</v>
      </c>
      <c r="S318" t="s">
        <v>4</v>
      </c>
      <c r="T318" t="s">
        <v>92</v>
      </c>
      <c r="U318" t="s">
        <v>92</v>
      </c>
      <c r="V318" t="s">
        <v>92</v>
      </c>
      <c r="W318" t="s">
        <v>92</v>
      </c>
      <c r="X318" t="s">
        <v>4</v>
      </c>
      <c r="Y318" t="s">
        <v>6115</v>
      </c>
      <c r="Z318" t="s">
        <v>6116</v>
      </c>
      <c r="AA318" t="s">
        <v>6117</v>
      </c>
      <c r="AB318" t="s">
        <v>4</v>
      </c>
      <c r="AC318" s="3" t="s">
        <v>6118</v>
      </c>
      <c r="AD318" t="s">
        <v>4</v>
      </c>
      <c r="AE318" s="4" t="s">
        <v>94</v>
      </c>
      <c r="AZ318" t="s">
        <v>4</v>
      </c>
      <c r="BA318" s="3" t="s">
        <v>115</v>
      </c>
      <c r="BB318" s="6" t="s">
        <v>95</v>
      </c>
      <c r="BC318" s="3" t="s">
        <v>95</v>
      </c>
      <c r="BD318" t="s">
        <v>4</v>
      </c>
      <c r="BE318">
        <v>2712</v>
      </c>
      <c r="BF318" t="s">
        <v>97</v>
      </c>
      <c r="BG318">
        <v>75.064899999999994</v>
      </c>
      <c r="BH318">
        <v>81.948099999999997</v>
      </c>
      <c r="BI318">
        <v>84.675299999999993</v>
      </c>
      <c r="BJ318">
        <v>79.3506</v>
      </c>
      <c r="BK318">
        <v>87.9221</v>
      </c>
      <c r="BL318">
        <v>14.6753</v>
      </c>
      <c r="BM318">
        <v>91.039000000000001</v>
      </c>
      <c r="BN318">
        <v>91.428600000000003</v>
      </c>
      <c r="BO318">
        <v>90.259699999999995</v>
      </c>
      <c r="BP318" t="s">
        <v>6119</v>
      </c>
      <c r="CK318">
        <v>4</v>
      </c>
      <c r="CL318" t="s">
        <v>4</v>
      </c>
      <c r="CM318" t="s">
        <v>98</v>
      </c>
      <c r="CN318" t="s">
        <v>98</v>
      </c>
      <c r="CO318" t="s">
        <v>99</v>
      </c>
      <c r="CP318" t="s">
        <v>100</v>
      </c>
      <c r="CQ318">
        <v>317</v>
      </c>
      <c r="CR318" t="s">
        <v>100</v>
      </c>
      <c r="CS318" t="s">
        <v>101</v>
      </c>
      <c r="CT318" t="s">
        <v>152</v>
      </c>
      <c r="CU318" t="s">
        <v>102</v>
      </c>
      <c r="CV318" t="s">
        <v>100</v>
      </c>
    </row>
    <row r="319" spans="1:100">
      <c r="A319" s="3" t="s">
        <v>6120</v>
      </c>
      <c r="B319" s="4" t="s">
        <v>6121</v>
      </c>
      <c r="C319">
        <v>100.494620352309</v>
      </c>
      <c r="D319">
        <v>793.71119464210199</v>
      </c>
      <c r="E319">
        <f>-2.98043402532329</f>
        <v>-2.9804340253232899</v>
      </c>
      <c r="F319" s="5">
        <v>7.1426054544080606E-14</v>
      </c>
      <c r="G319" t="s">
        <v>4</v>
      </c>
      <c r="H319">
        <v>100.494620352309</v>
      </c>
      <c r="I319">
        <v>172.11484200987701</v>
      </c>
      <c r="J319">
        <f>0.780632501631154</f>
        <v>0.78063250163115405</v>
      </c>
      <c r="K319">
        <v>6.9425450347605402E-2</v>
      </c>
      <c r="L319" t="s">
        <v>4</v>
      </c>
      <c r="M319">
        <v>793.71119464210199</v>
      </c>
      <c r="N319">
        <v>172.11484200987701</v>
      </c>
      <c r="O319">
        <v>2.19980152369213</v>
      </c>
      <c r="P319" s="5">
        <v>2.4003453944290698E-8</v>
      </c>
      <c r="Q319" t="s">
        <v>4</v>
      </c>
      <c r="R319" s="4" t="s">
        <v>87</v>
      </c>
      <c r="S319" t="s">
        <v>4</v>
      </c>
      <c r="T319" t="s">
        <v>92</v>
      </c>
      <c r="U319" t="s">
        <v>92</v>
      </c>
      <c r="V319" t="s">
        <v>92</v>
      </c>
      <c r="W319" t="s">
        <v>92</v>
      </c>
      <c r="X319" t="s">
        <v>4</v>
      </c>
      <c r="Y319" t="s">
        <v>6122</v>
      </c>
      <c r="Z319" t="s">
        <v>6123</v>
      </c>
      <c r="AA319" t="s">
        <v>6124</v>
      </c>
      <c r="AB319" t="s">
        <v>4</v>
      </c>
      <c r="AC319" s="3" t="s">
        <v>93</v>
      </c>
      <c r="AD319" t="s">
        <v>4</v>
      </c>
      <c r="AE319" t="s">
        <v>6125</v>
      </c>
      <c r="AF319" t="s">
        <v>6126</v>
      </c>
      <c r="AG319" t="s">
        <v>6127</v>
      </c>
      <c r="AH319" t="s">
        <v>112</v>
      </c>
      <c r="AL319" t="s">
        <v>6128</v>
      </c>
      <c r="AQ319" t="s">
        <v>6129</v>
      </c>
      <c r="AU319" t="s">
        <v>112</v>
      </c>
      <c r="AV319" t="s">
        <v>6130</v>
      </c>
      <c r="AW319" t="s">
        <v>114</v>
      </c>
      <c r="AX319" t="s">
        <v>132</v>
      </c>
      <c r="AY319" t="s">
        <v>6131</v>
      </c>
      <c r="AZ319" t="s">
        <v>4</v>
      </c>
      <c r="BA319" s="3" t="s">
        <v>115</v>
      </c>
      <c r="BB319" s="6" t="s">
        <v>95</v>
      </c>
      <c r="BC319" s="3" t="s">
        <v>95</v>
      </c>
      <c r="BD319" t="s">
        <v>4</v>
      </c>
      <c r="BE319">
        <v>4310</v>
      </c>
      <c r="BF319" t="s">
        <v>112</v>
      </c>
      <c r="BH319">
        <v>98.615899999999996</v>
      </c>
      <c r="CK319">
        <v>5</v>
      </c>
      <c r="CL319" t="s">
        <v>4</v>
      </c>
      <c r="CM319" t="s">
        <v>98</v>
      </c>
      <c r="CN319" t="s">
        <v>98</v>
      </c>
      <c r="CO319" t="s">
        <v>99</v>
      </c>
      <c r="CP319" t="s">
        <v>100</v>
      </c>
      <c r="CQ319">
        <v>318</v>
      </c>
      <c r="CR319" t="s">
        <v>100</v>
      </c>
      <c r="CS319" t="s">
        <v>100</v>
      </c>
      <c r="CT319" t="s">
        <v>152</v>
      </c>
      <c r="CU319" t="s">
        <v>102</v>
      </c>
      <c r="CV319" t="s">
        <v>100</v>
      </c>
    </row>
    <row r="320" spans="1:100">
      <c r="A320" s="3" t="s">
        <v>6132</v>
      </c>
      <c r="B320" s="4" t="s">
        <v>6133</v>
      </c>
      <c r="C320">
        <v>1351.43007656129</v>
      </c>
      <c r="D320">
        <v>7149.4030910422898</v>
      </c>
      <c r="E320">
        <f>-2.40317726543318</f>
        <v>-2.4031772654331802</v>
      </c>
      <c r="F320" s="5">
        <v>8.7681893552904106E-11</v>
      </c>
      <c r="G320" t="s">
        <v>4</v>
      </c>
      <c r="H320">
        <v>1351.43007656129</v>
      </c>
      <c r="I320">
        <v>837.11086004748097</v>
      </c>
      <c r="J320">
        <v>0.69113309592384198</v>
      </c>
      <c r="K320">
        <v>7.8741827882346904E-2</v>
      </c>
      <c r="L320" t="s">
        <v>4</v>
      </c>
      <c r="M320">
        <v>7149.4030910422898</v>
      </c>
      <c r="N320">
        <v>837.11086004748097</v>
      </c>
      <c r="O320">
        <v>3.09431036135702</v>
      </c>
      <c r="P320" s="5">
        <v>7.9163113140246701E-18</v>
      </c>
      <c r="Q320" t="s">
        <v>4</v>
      </c>
      <c r="R320" s="4" t="s">
        <v>87</v>
      </c>
      <c r="S320" t="s">
        <v>4</v>
      </c>
      <c r="T320" t="s">
        <v>92</v>
      </c>
      <c r="U320" t="s">
        <v>92</v>
      </c>
      <c r="V320" t="s">
        <v>92</v>
      </c>
      <c r="W320" t="s">
        <v>92</v>
      </c>
      <c r="X320" t="s">
        <v>4</v>
      </c>
      <c r="Y320" t="s">
        <v>6134</v>
      </c>
      <c r="Z320" t="s">
        <v>6135</v>
      </c>
      <c r="AA320" t="s">
        <v>6136</v>
      </c>
      <c r="AB320" t="s">
        <v>4</v>
      </c>
      <c r="AC320" s="3" t="s">
        <v>6137</v>
      </c>
      <c r="AD320" t="s">
        <v>4</v>
      </c>
      <c r="AE320" s="4" t="s">
        <v>94</v>
      </c>
      <c r="AZ320" t="s">
        <v>4</v>
      </c>
      <c r="BA320" s="3" t="s">
        <v>95</v>
      </c>
      <c r="BB320" s="6" t="s">
        <v>95</v>
      </c>
      <c r="BC320" s="3" t="s">
        <v>95</v>
      </c>
      <c r="BD320" t="s">
        <v>4</v>
      </c>
      <c r="BE320">
        <v>2718</v>
      </c>
      <c r="BF320" t="s">
        <v>97</v>
      </c>
      <c r="BH320">
        <v>24.880400000000002</v>
      </c>
      <c r="BJ320" t="s">
        <v>6138</v>
      </c>
      <c r="BK320">
        <v>78.11</v>
      </c>
      <c r="BL320">
        <v>17.1053</v>
      </c>
      <c r="BM320">
        <v>58.492800000000003</v>
      </c>
      <c r="BN320">
        <v>31.818200000000001</v>
      </c>
      <c r="BO320">
        <v>11.244</v>
      </c>
      <c r="CK320">
        <v>4</v>
      </c>
      <c r="CL320" t="s">
        <v>4</v>
      </c>
      <c r="CM320" t="s">
        <v>98</v>
      </c>
      <c r="CN320" t="s">
        <v>98</v>
      </c>
      <c r="CO320" t="s">
        <v>99</v>
      </c>
      <c r="CP320" t="s">
        <v>100</v>
      </c>
      <c r="CQ320">
        <v>319</v>
      </c>
      <c r="CR320" t="s">
        <v>100</v>
      </c>
      <c r="CS320" t="s">
        <v>100</v>
      </c>
      <c r="CT320" t="s">
        <v>152</v>
      </c>
      <c r="CU320" t="s">
        <v>102</v>
      </c>
      <c r="CV320" t="s">
        <v>100</v>
      </c>
    </row>
    <row r="321" spans="1:100">
      <c r="A321" s="3" t="s">
        <v>6139</v>
      </c>
      <c r="B321" s="4" t="s">
        <v>6140</v>
      </c>
      <c r="C321">
        <v>49.040985575839201</v>
      </c>
      <c r="D321">
        <v>709.511805181098</v>
      </c>
      <c r="E321">
        <f>-3.85235734194196</f>
        <v>-3.8523573419419601</v>
      </c>
      <c r="F321" s="5">
        <v>1.23954961311939E-20</v>
      </c>
      <c r="G321" t="s">
        <v>4</v>
      </c>
      <c r="H321">
        <v>49.040985575839201</v>
      </c>
      <c r="I321">
        <v>30.310362515942298</v>
      </c>
      <c r="J321">
        <v>0.64461108965392599</v>
      </c>
      <c r="K321">
        <v>0.19204822339873101</v>
      </c>
      <c r="L321" t="s">
        <v>4</v>
      </c>
      <c r="M321">
        <v>709.511805181098</v>
      </c>
      <c r="N321">
        <v>30.310362515942298</v>
      </c>
      <c r="O321">
        <v>4.4969684315958904</v>
      </c>
      <c r="P321" s="5">
        <v>1.82011088166597E-25</v>
      </c>
      <c r="Q321" t="s">
        <v>4</v>
      </c>
      <c r="R321" s="4" t="s">
        <v>87</v>
      </c>
      <c r="S321" t="s">
        <v>4</v>
      </c>
      <c r="T321" t="s">
        <v>88</v>
      </c>
      <c r="U321" t="s">
        <v>89</v>
      </c>
      <c r="V321" t="s">
        <v>90</v>
      </c>
      <c r="W321" t="s">
        <v>91</v>
      </c>
      <c r="X321" t="s">
        <v>4</v>
      </c>
      <c r="Y321" t="s">
        <v>92</v>
      </c>
      <c r="Z321" t="s">
        <v>92</v>
      </c>
      <c r="AA321" t="s">
        <v>92</v>
      </c>
      <c r="AB321" t="s">
        <v>4</v>
      </c>
      <c r="AC321" s="3" t="s">
        <v>93</v>
      </c>
      <c r="AD321" t="s">
        <v>4</v>
      </c>
      <c r="AE321" s="4" t="s">
        <v>94</v>
      </c>
      <c r="AZ321" t="s">
        <v>4</v>
      </c>
      <c r="BA321" s="3" t="s">
        <v>95</v>
      </c>
      <c r="BB321" t="s">
        <v>96</v>
      </c>
      <c r="BC321" s="3" t="s">
        <v>95</v>
      </c>
      <c r="BD321" t="s">
        <v>4</v>
      </c>
      <c r="BE321">
        <v>2054</v>
      </c>
      <c r="BF321" t="s">
        <v>148</v>
      </c>
      <c r="BG321">
        <v>97.435900000000004</v>
      </c>
      <c r="BH321">
        <v>99.487200000000001</v>
      </c>
      <c r="BI321">
        <v>88.205100000000002</v>
      </c>
      <c r="BJ321">
        <v>74.871799999999993</v>
      </c>
      <c r="BK321">
        <v>66.153800000000004</v>
      </c>
      <c r="BL321">
        <v>53.846200000000003</v>
      </c>
      <c r="BM321">
        <v>64.615399999999994</v>
      </c>
      <c r="BN321">
        <v>64.102599999999995</v>
      </c>
      <c r="BO321">
        <v>64.615399999999994</v>
      </c>
      <c r="CK321">
        <v>3</v>
      </c>
      <c r="CL321" t="s">
        <v>4</v>
      </c>
      <c r="CM321" t="s">
        <v>98</v>
      </c>
      <c r="CN321" t="s">
        <v>98</v>
      </c>
      <c r="CO321" t="s">
        <v>99</v>
      </c>
      <c r="CP321" t="s">
        <v>100</v>
      </c>
      <c r="CQ321">
        <v>320</v>
      </c>
      <c r="CR321" t="s">
        <v>100</v>
      </c>
      <c r="CS321" t="s">
        <v>100</v>
      </c>
      <c r="CT321" t="s">
        <v>152</v>
      </c>
      <c r="CU321" t="s">
        <v>102</v>
      </c>
      <c r="CV321" t="s">
        <v>100</v>
      </c>
    </row>
    <row r="322" spans="1:100">
      <c r="A322" s="3" t="s">
        <v>6141</v>
      </c>
      <c r="B322" s="4" t="s">
        <v>6142</v>
      </c>
      <c r="C322">
        <v>541.02439278810505</v>
      </c>
      <c r="D322">
        <v>12529.696314395</v>
      </c>
      <c r="E322">
        <f>-4.53317357595961</f>
        <v>-4.5331735759596103</v>
      </c>
      <c r="F322" s="5">
        <v>7.3726748319281296E-16</v>
      </c>
      <c r="G322" t="s">
        <v>4</v>
      </c>
      <c r="H322">
        <v>541.02439278810505</v>
      </c>
      <c r="I322">
        <v>732.89979742345997</v>
      </c>
      <c r="J322">
        <f>0.438861156205192</f>
        <v>0.438861156205192</v>
      </c>
      <c r="K322">
        <v>0.48947099315964299</v>
      </c>
      <c r="L322" t="s">
        <v>4</v>
      </c>
      <c r="M322">
        <v>12529.696314395</v>
      </c>
      <c r="N322">
        <v>732.89979742345997</v>
      </c>
      <c r="O322">
        <v>4.0943124197544201</v>
      </c>
      <c r="P322" s="5">
        <v>1.2144515870161299E-13</v>
      </c>
      <c r="Q322" t="s">
        <v>4</v>
      </c>
      <c r="R322" s="4" t="s">
        <v>87</v>
      </c>
      <c r="S322" t="s">
        <v>4</v>
      </c>
      <c r="T322" t="s">
        <v>92</v>
      </c>
      <c r="U322" t="s">
        <v>92</v>
      </c>
      <c r="V322" t="s">
        <v>92</v>
      </c>
      <c r="W322" t="s">
        <v>92</v>
      </c>
      <c r="X322" t="s">
        <v>4</v>
      </c>
      <c r="Y322" t="s">
        <v>2546</v>
      </c>
      <c r="Z322" t="s">
        <v>2547</v>
      </c>
      <c r="AA322" t="s">
        <v>2548</v>
      </c>
      <c r="AB322" t="s">
        <v>4</v>
      </c>
      <c r="AC322" s="3" t="s">
        <v>6143</v>
      </c>
      <c r="AD322" t="s">
        <v>4</v>
      </c>
      <c r="AE322" s="4" t="s">
        <v>94</v>
      </c>
      <c r="AZ322" t="s">
        <v>4</v>
      </c>
      <c r="BA322" s="3" t="s">
        <v>95</v>
      </c>
      <c r="BB322" s="6" t="s">
        <v>95</v>
      </c>
      <c r="BC322" s="3" t="s">
        <v>95</v>
      </c>
      <c r="BD322" t="s">
        <v>4</v>
      </c>
      <c r="BE322">
        <v>2719</v>
      </c>
      <c r="BF322" t="s">
        <v>97</v>
      </c>
      <c r="BH322">
        <v>77.752300000000005</v>
      </c>
      <c r="BJ322">
        <v>65.596299999999999</v>
      </c>
      <c r="BK322">
        <v>58.945</v>
      </c>
      <c r="BL322">
        <v>26.376100000000001</v>
      </c>
      <c r="BM322">
        <v>37.155999999999999</v>
      </c>
      <c r="BN322">
        <v>31.422000000000001</v>
      </c>
      <c r="BO322">
        <v>60.091700000000003</v>
      </c>
      <c r="BP322">
        <v>18.807300000000001</v>
      </c>
      <c r="CK322">
        <v>4</v>
      </c>
      <c r="CL322" t="s">
        <v>4</v>
      </c>
      <c r="CM322" t="s">
        <v>98</v>
      </c>
      <c r="CN322" t="s">
        <v>98</v>
      </c>
      <c r="CO322" t="s">
        <v>99</v>
      </c>
      <c r="CP322" t="s">
        <v>100</v>
      </c>
      <c r="CQ322">
        <v>321</v>
      </c>
      <c r="CR322" t="s">
        <v>100</v>
      </c>
      <c r="CS322" t="s">
        <v>100</v>
      </c>
      <c r="CT322" t="s">
        <v>152</v>
      </c>
      <c r="CU322" t="s">
        <v>102</v>
      </c>
      <c r="CV322" t="s">
        <v>100</v>
      </c>
    </row>
    <row r="323" spans="1:100">
      <c r="A323" s="3" t="s">
        <v>6144</v>
      </c>
      <c r="B323" s="4" t="s">
        <v>6145</v>
      </c>
      <c r="C323">
        <v>356.24571288101902</v>
      </c>
      <c r="D323">
        <v>1671.7711689453599</v>
      </c>
      <c r="E323">
        <f>-2.22999480418682</f>
        <v>-2.2299948041868198</v>
      </c>
      <c r="F323" s="5">
        <v>1.0151472197238201E-9</v>
      </c>
      <c r="G323" t="s">
        <v>4</v>
      </c>
      <c r="H323">
        <v>356.24571288101902</v>
      </c>
      <c r="I323">
        <v>277.37595697443101</v>
      </c>
      <c r="J323">
        <v>0.35679995433426698</v>
      </c>
      <c r="K323">
        <v>0.378293525051969</v>
      </c>
      <c r="L323" t="s">
        <v>4</v>
      </c>
      <c r="M323">
        <v>1671.7711689453599</v>
      </c>
      <c r="N323">
        <v>277.37595697443101</v>
      </c>
      <c r="O323">
        <v>2.5867947585210902</v>
      </c>
      <c r="P323" s="5">
        <v>4.3942476805208401E-13</v>
      </c>
      <c r="Q323" t="s">
        <v>4</v>
      </c>
      <c r="R323" s="4" t="s">
        <v>87</v>
      </c>
      <c r="S323" t="s">
        <v>4</v>
      </c>
      <c r="T323" t="s">
        <v>120</v>
      </c>
      <c r="U323" t="s">
        <v>121</v>
      </c>
      <c r="V323" t="s">
        <v>122</v>
      </c>
      <c r="W323" t="s">
        <v>123</v>
      </c>
      <c r="X323" t="s">
        <v>4</v>
      </c>
      <c r="Y323" t="s">
        <v>6146</v>
      </c>
      <c r="Z323" t="s">
        <v>6147</v>
      </c>
      <c r="AA323" t="s">
        <v>6148</v>
      </c>
      <c r="AB323" t="s">
        <v>4</v>
      </c>
      <c r="AC323" s="3" t="s">
        <v>6149</v>
      </c>
      <c r="AD323" t="s">
        <v>4</v>
      </c>
      <c r="AE323" t="s">
        <v>6150</v>
      </c>
      <c r="AF323" t="s">
        <v>6151</v>
      </c>
      <c r="AG323" t="s">
        <v>6152</v>
      </c>
      <c r="AH323" t="s">
        <v>282</v>
      </c>
      <c r="AU323" t="s">
        <v>112</v>
      </c>
      <c r="AV323" t="s">
        <v>6153</v>
      </c>
      <c r="AW323" t="s">
        <v>114</v>
      </c>
      <c r="AX323" t="s">
        <v>2157</v>
      </c>
      <c r="AY323" t="s">
        <v>6154</v>
      </c>
      <c r="AZ323" t="s">
        <v>4</v>
      </c>
      <c r="BA323" s="3" t="s">
        <v>95</v>
      </c>
      <c r="BB323" s="6" t="s">
        <v>95</v>
      </c>
      <c r="BC323" s="3" t="s">
        <v>95</v>
      </c>
      <c r="BD323" t="s">
        <v>4</v>
      </c>
      <c r="BE323">
        <v>7939</v>
      </c>
      <c r="BF323" t="s">
        <v>213</v>
      </c>
      <c r="BG323">
        <v>92.101900000000001</v>
      </c>
      <c r="BH323">
        <v>77.834400000000002</v>
      </c>
      <c r="BI323">
        <v>72.993600000000001</v>
      </c>
      <c r="BJ323">
        <v>35.9236</v>
      </c>
      <c r="BK323">
        <v>50.3185</v>
      </c>
      <c r="BL323">
        <v>45.732500000000002</v>
      </c>
      <c r="BM323">
        <v>51.974499999999999</v>
      </c>
      <c r="BN323">
        <v>52.866199999999999</v>
      </c>
      <c r="BP323" t="s">
        <v>6155</v>
      </c>
      <c r="BX323">
        <v>21.273900000000001</v>
      </c>
      <c r="BZ323">
        <v>16.815300000000001</v>
      </c>
      <c r="CA323">
        <v>22.9299</v>
      </c>
      <c r="CB323">
        <v>18.8535</v>
      </c>
      <c r="CC323" t="s">
        <v>6156</v>
      </c>
      <c r="CD323">
        <v>22.0382</v>
      </c>
      <c r="CE323">
        <v>21.019100000000002</v>
      </c>
      <c r="CF323">
        <v>21.656099999999999</v>
      </c>
      <c r="CI323">
        <v>19.1083</v>
      </c>
      <c r="CK323">
        <v>8</v>
      </c>
      <c r="CL323" t="s">
        <v>4</v>
      </c>
      <c r="CM323" t="s">
        <v>6157</v>
      </c>
      <c r="CN323" t="s">
        <v>6158</v>
      </c>
      <c r="CO323" t="s">
        <v>99</v>
      </c>
      <c r="CP323" t="s">
        <v>100</v>
      </c>
      <c r="CQ323">
        <v>322</v>
      </c>
      <c r="CR323" t="s">
        <v>100</v>
      </c>
      <c r="CS323" t="s">
        <v>100</v>
      </c>
      <c r="CT323" t="s">
        <v>152</v>
      </c>
      <c r="CU323" t="s">
        <v>102</v>
      </c>
      <c r="CV323" t="s">
        <v>100</v>
      </c>
    </row>
    <row r="324" spans="1:100">
      <c r="A324" s="3" t="s">
        <v>6159</v>
      </c>
      <c r="B324" s="4" t="s">
        <v>6160</v>
      </c>
      <c r="C324">
        <v>92.703189969609795</v>
      </c>
      <c r="D324">
        <v>991.53774336548395</v>
      </c>
      <c r="E324">
        <f>-3.41488945935542</f>
        <v>-3.41488945935542</v>
      </c>
      <c r="F324" s="5">
        <v>2.2643433242028899E-39</v>
      </c>
      <c r="G324" t="s">
        <v>4</v>
      </c>
      <c r="H324">
        <v>92.703189969609795</v>
      </c>
      <c r="I324">
        <v>152.20712653508301</v>
      </c>
      <c r="J324">
        <f>0.70665620403694</f>
        <v>0.70665620403693996</v>
      </c>
      <c r="K324">
        <v>1.46498506969958E-2</v>
      </c>
      <c r="L324" t="s">
        <v>4</v>
      </c>
      <c r="M324">
        <v>991.53774336548395</v>
      </c>
      <c r="N324">
        <v>152.20712653508301</v>
      </c>
      <c r="O324">
        <v>2.70823325531848</v>
      </c>
      <c r="P324" s="5">
        <v>1.4379607054391699E-25</v>
      </c>
      <c r="Q324" t="s">
        <v>4</v>
      </c>
      <c r="R324" s="4" t="s">
        <v>87</v>
      </c>
      <c r="S324" t="s">
        <v>4</v>
      </c>
      <c r="T324" t="s">
        <v>460</v>
      </c>
      <c r="U324" t="s">
        <v>461</v>
      </c>
      <c r="V324" t="s">
        <v>462</v>
      </c>
      <c r="W324" t="s">
        <v>123</v>
      </c>
      <c r="X324" t="s">
        <v>4</v>
      </c>
      <c r="Y324" t="s">
        <v>463</v>
      </c>
      <c r="Z324" t="s">
        <v>464</v>
      </c>
      <c r="AA324" t="s">
        <v>465</v>
      </c>
      <c r="AB324" t="s">
        <v>4</v>
      </c>
      <c r="AC324" s="3" t="s">
        <v>6161</v>
      </c>
      <c r="AD324" t="s">
        <v>4</v>
      </c>
      <c r="AE324" t="s">
        <v>6162</v>
      </c>
      <c r="AF324" t="s">
        <v>6163</v>
      </c>
      <c r="AG324" t="s">
        <v>479</v>
      </c>
      <c r="AH324" t="s">
        <v>112</v>
      </c>
      <c r="AL324" t="s">
        <v>6164</v>
      </c>
      <c r="AQ324" t="s">
        <v>1003</v>
      </c>
      <c r="AU324" t="s">
        <v>112</v>
      </c>
      <c r="AV324" t="s">
        <v>6165</v>
      </c>
      <c r="AW324" t="s">
        <v>114</v>
      </c>
      <c r="AX324" t="s">
        <v>371</v>
      </c>
      <c r="AY324" t="s">
        <v>6166</v>
      </c>
      <c r="AZ324" t="s">
        <v>4</v>
      </c>
      <c r="BA324" s="3" t="s">
        <v>95</v>
      </c>
      <c r="BB324" s="6" t="s">
        <v>95</v>
      </c>
      <c r="BC324" s="3" t="s">
        <v>95</v>
      </c>
      <c r="BD324" t="s">
        <v>4</v>
      </c>
      <c r="BE324">
        <v>5715</v>
      </c>
      <c r="BF324" t="s">
        <v>386</v>
      </c>
      <c r="BG324">
        <v>92.463800000000006</v>
      </c>
      <c r="BH324">
        <v>80.289900000000003</v>
      </c>
      <c r="BJ324">
        <v>76.811599999999999</v>
      </c>
      <c r="BM324">
        <v>67.826099999999997</v>
      </c>
      <c r="BN324">
        <v>70.434799999999996</v>
      </c>
      <c r="BO324">
        <v>73.043499999999995</v>
      </c>
      <c r="BP324">
        <v>39.710099999999997</v>
      </c>
      <c r="BQ324">
        <v>23.7681</v>
      </c>
      <c r="BR324">
        <v>23.188400000000001</v>
      </c>
      <c r="BS324">
        <v>25.507200000000001</v>
      </c>
      <c r="BV324" t="s">
        <v>6167</v>
      </c>
      <c r="BW324">
        <v>31.594200000000001</v>
      </c>
      <c r="CB324">
        <v>21.739100000000001</v>
      </c>
      <c r="CC324" t="s">
        <v>6168</v>
      </c>
      <c r="CD324" t="s">
        <v>6169</v>
      </c>
      <c r="CE324">
        <v>20.289899999999999</v>
      </c>
      <c r="CF324" t="s">
        <v>6170</v>
      </c>
      <c r="CK324">
        <v>7</v>
      </c>
      <c r="CL324" t="s">
        <v>4</v>
      </c>
      <c r="CM324" t="s">
        <v>98</v>
      </c>
      <c r="CN324" t="s">
        <v>98</v>
      </c>
      <c r="CO324" t="s">
        <v>99</v>
      </c>
      <c r="CP324" t="s">
        <v>100</v>
      </c>
      <c r="CQ324">
        <v>323</v>
      </c>
      <c r="CR324" t="s">
        <v>100</v>
      </c>
      <c r="CS324" t="s">
        <v>100</v>
      </c>
      <c r="CT324" t="s">
        <v>152</v>
      </c>
      <c r="CU324" t="s">
        <v>102</v>
      </c>
      <c r="CV324" t="s">
        <v>100</v>
      </c>
    </row>
    <row r="325" spans="1:100">
      <c r="A325" s="3" t="s">
        <v>6171</v>
      </c>
      <c r="B325" s="4" t="s">
        <v>6172</v>
      </c>
      <c r="C325">
        <v>351.41711197826203</v>
      </c>
      <c r="D325">
        <v>3454.4130007325198</v>
      </c>
      <c r="E325">
        <f>-3.29634923424546</f>
        <v>-3.2963492342454601</v>
      </c>
      <c r="F325" s="5">
        <v>2.4245937517738302E-18</v>
      </c>
      <c r="G325" t="s">
        <v>4</v>
      </c>
      <c r="H325">
        <v>351.41711197826203</v>
      </c>
      <c r="I325">
        <v>174.16602629010001</v>
      </c>
      <c r="J325">
        <v>1.0033894746382801</v>
      </c>
      <c r="K325">
        <v>1.31207797340836E-2</v>
      </c>
      <c r="L325" t="s">
        <v>4</v>
      </c>
      <c r="M325">
        <v>3454.4130007325198</v>
      </c>
      <c r="N325">
        <v>174.16602629010001</v>
      </c>
      <c r="O325">
        <v>4.2997387088837398</v>
      </c>
      <c r="P325" s="5">
        <v>1.1871633559915801E-30</v>
      </c>
      <c r="Q325" t="s">
        <v>4</v>
      </c>
      <c r="R325" s="4" t="s">
        <v>87</v>
      </c>
      <c r="S325" t="s">
        <v>4</v>
      </c>
      <c r="T325" t="s">
        <v>92</v>
      </c>
      <c r="U325" t="s">
        <v>92</v>
      </c>
      <c r="V325" t="s">
        <v>92</v>
      </c>
      <c r="W325" t="s">
        <v>92</v>
      </c>
      <c r="X325" t="s">
        <v>4</v>
      </c>
      <c r="Y325" t="s">
        <v>6173</v>
      </c>
      <c r="Z325" t="s">
        <v>6174</v>
      </c>
      <c r="AA325" t="s">
        <v>6175</v>
      </c>
      <c r="AB325" t="s">
        <v>4</v>
      </c>
      <c r="AC325" s="3" t="s">
        <v>6176</v>
      </c>
      <c r="AD325" t="s">
        <v>4</v>
      </c>
      <c r="AE325" s="4" t="s">
        <v>94</v>
      </c>
      <c r="AZ325" t="s">
        <v>4</v>
      </c>
      <c r="BA325" s="3" t="s">
        <v>95</v>
      </c>
      <c r="BB325" s="6" t="s">
        <v>95</v>
      </c>
      <c r="BC325" s="3" t="s">
        <v>95</v>
      </c>
      <c r="BD325" t="s">
        <v>4</v>
      </c>
      <c r="BE325">
        <v>2729</v>
      </c>
      <c r="BF325" t="s">
        <v>97</v>
      </c>
      <c r="BG325">
        <v>99.698800000000006</v>
      </c>
      <c r="BH325">
        <v>89.457800000000006</v>
      </c>
      <c r="BI325">
        <v>85.542199999999994</v>
      </c>
      <c r="BJ325">
        <v>94.879499999999993</v>
      </c>
      <c r="BK325">
        <v>91.566299999999998</v>
      </c>
      <c r="BL325">
        <v>81.626499999999993</v>
      </c>
      <c r="BM325">
        <v>89.759</v>
      </c>
      <c r="BN325">
        <v>89.759</v>
      </c>
      <c r="BO325">
        <v>92.469899999999996</v>
      </c>
      <c r="BP325">
        <v>30.1205</v>
      </c>
      <c r="CK325">
        <v>4</v>
      </c>
      <c r="CL325" t="s">
        <v>4</v>
      </c>
      <c r="CM325" t="s">
        <v>98</v>
      </c>
      <c r="CN325" t="s">
        <v>98</v>
      </c>
      <c r="CO325" t="s">
        <v>99</v>
      </c>
      <c r="CP325" t="s">
        <v>100</v>
      </c>
      <c r="CQ325">
        <v>324</v>
      </c>
      <c r="CR325" t="s">
        <v>100</v>
      </c>
      <c r="CS325" s="7" t="s">
        <v>101</v>
      </c>
      <c r="CT325" t="s">
        <v>152</v>
      </c>
      <c r="CU325" t="s">
        <v>102</v>
      </c>
      <c r="CV325" t="s">
        <v>100</v>
      </c>
    </row>
    <row r="326" spans="1:100">
      <c r="A326" s="3" t="s">
        <v>6177</v>
      </c>
      <c r="B326" s="4" t="s">
        <v>6178</v>
      </c>
      <c r="C326">
        <v>54.562255739935701</v>
      </c>
      <c r="D326">
        <v>560.13537319082695</v>
      </c>
      <c r="E326">
        <f>-3.35858352777668</f>
        <v>-3.35858352777668</v>
      </c>
      <c r="F326" s="5">
        <v>1.6642327953248199E-6</v>
      </c>
      <c r="G326" t="s">
        <v>4</v>
      </c>
      <c r="H326">
        <v>54.562255739935701</v>
      </c>
      <c r="I326">
        <v>20.6366022768836</v>
      </c>
      <c r="J326">
        <v>1.43872781469859</v>
      </c>
      <c r="K326">
        <v>5.9717695706785798E-2</v>
      </c>
      <c r="L326" t="s">
        <v>4</v>
      </c>
      <c r="M326">
        <v>560.13537319082695</v>
      </c>
      <c r="N326">
        <v>20.6366022768836</v>
      </c>
      <c r="O326">
        <v>4.7973113424752798</v>
      </c>
      <c r="P326" s="5">
        <v>7.6959425461212098E-12</v>
      </c>
      <c r="Q326" t="s">
        <v>4</v>
      </c>
      <c r="R326" s="4" t="s">
        <v>87</v>
      </c>
      <c r="S326" t="s">
        <v>4</v>
      </c>
      <c r="T326" t="s">
        <v>92</v>
      </c>
      <c r="U326" t="s">
        <v>92</v>
      </c>
      <c r="V326" t="s">
        <v>92</v>
      </c>
      <c r="W326" t="s">
        <v>92</v>
      </c>
      <c r="X326" t="s">
        <v>4</v>
      </c>
      <c r="Y326" t="s">
        <v>92</v>
      </c>
      <c r="Z326" t="s">
        <v>92</v>
      </c>
      <c r="AA326" t="s">
        <v>92</v>
      </c>
      <c r="AB326" t="s">
        <v>4</v>
      </c>
      <c r="AC326" s="3" t="s">
        <v>93</v>
      </c>
      <c r="AD326" t="s">
        <v>4</v>
      </c>
      <c r="AE326" s="4" t="s">
        <v>94</v>
      </c>
      <c r="AZ326" t="s">
        <v>4</v>
      </c>
      <c r="BA326" s="3" t="s">
        <v>95</v>
      </c>
      <c r="BB326" s="6" t="s">
        <v>95</v>
      </c>
      <c r="BC326" s="3" t="s">
        <v>95</v>
      </c>
      <c r="BD326" t="s">
        <v>4</v>
      </c>
      <c r="BE326">
        <v>1279</v>
      </c>
      <c r="BF326" t="s">
        <v>151</v>
      </c>
      <c r="BG326">
        <v>93.118300000000005</v>
      </c>
      <c r="BH326">
        <v>83.870999999999995</v>
      </c>
      <c r="BJ326">
        <v>35.698900000000002</v>
      </c>
      <c r="BK326">
        <v>23.870999999999999</v>
      </c>
      <c r="BM326">
        <v>24.516100000000002</v>
      </c>
      <c r="BN326">
        <v>24.085999999999999</v>
      </c>
      <c r="CK326">
        <v>2</v>
      </c>
      <c r="CL326" t="s">
        <v>4</v>
      </c>
      <c r="CM326" t="s">
        <v>98</v>
      </c>
      <c r="CN326" t="s">
        <v>98</v>
      </c>
      <c r="CO326" t="s">
        <v>99</v>
      </c>
      <c r="CP326" t="s">
        <v>100</v>
      </c>
      <c r="CQ326">
        <v>325</v>
      </c>
      <c r="CR326" t="s">
        <v>100</v>
      </c>
      <c r="CS326" t="s">
        <v>100</v>
      </c>
      <c r="CT326" t="s">
        <v>152</v>
      </c>
      <c r="CU326" t="s">
        <v>102</v>
      </c>
      <c r="CV326" t="s">
        <v>100</v>
      </c>
    </row>
    <row r="327" spans="1:100">
      <c r="A327" s="3" t="s">
        <v>6179</v>
      </c>
      <c r="B327" s="4" t="s">
        <v>6180</v>
      </c>
      <c r="C327">
        <v>92.980155499025201</v>
      </c>
      <c r="D327">
        <v>1206.5674361998599</v>
      </c>
      <c r="E327">
        <f>-3.69706900360847</f>
        <v>-3.6970690036084699</v>
      </c>
      <c r="F327" s="5">
        <v>6.3957486709009904E-9</v>
      </c>
      <c r="G327" t="s">
        <v>4</v>
      </c>
      <c r="H327">
        <v>92.980155499025201</v>
      </c>
      <c r="I327">
        <v>46.8220209565307</v>
      </c>
      <c r="J327">
        <v>0.99344391697690204</v>
      </c>
      <c r="K327">
        <v>0.153171090193778</v>
      </c>
      <c r="L327" t="s">
        <v>4</v>
      </c>
      <c r="M327">
        <v>1206.5674361998599</v>
      </c>
      <c r="N327">
        <v>46.8220209565307</v>
      </c>
      <c r="O327">
        <v>4.6905129205853697</v>
      </c>
      <c r="P327" s="5">
        <v>8.34694878717942E-14</v>
      </c>
      <c r="Q327" t="s">
        <v>4</v>
      </c>
      <c r="R327" s="4" t="s">
        <v>87</v>
      </c>
      <c r="S327" t="s">
        <v>4</v>
      </c>
      <c r="T327" t="s">
        <v>92</v>
      </c>
      <c r="U327" t="s">
        <v>92</v>
      </c>
      <c r="V327" t="s">
        <v>92</v>
      </c>
      <c r="W327" t="s">
        <v>92</v>
      </c>
      <c r="X327" t="s">
        <v>4</v>
      </c>
      <c r="Y327" t="s">
        <v>92</v>
      </c>
      <c r="Z327" t="s">
        <v>92</v>
      </c>
      <c r="AA327" t="s">
        <v>92</v>
      </c>
      <c r="AB327" t="s">
        <v>4</v>
      </c>
      <c r="AC327" s="3" t="s">
        <v>93</v>
      </c>
      <c r="AD327" t="s">
        <v>4</v>
      </c>
      <c r="AE327" s="4" t="s">
        <v>94</v>
      </c>
      <c r="AZ327" t="s">
        <v>4</v>
      </c>
      <c r="BA327" s="3" t="s">
        <v>95</v>
      </c>
      <c r="BB327" s="6" t="s">
        <v>95</v>
      </c>
      <c r="BC327" s="3" t="s">
        <v>95</v>
      </c>
      <c r="BD327" t="s">
        <v>4</v>
      </c>
      <c r="BE327">
        <v>1280</v>
      </c>
      <c r="BF327" t="s">
        <v>151</v>
      </c>
      <c r="BG327">
        <v>95.700900000000004</v>
      </c>
      <c r="BI327" t="s">
        <v>6181</v>
      </c>
      <c r="CK327">
        <v>2</v>
      </c>
      <c r="CL327" t="s">
        <v>4</v>
      </c>
      <c r="CM327" t="s">
        <v>98</v>
      </c>
      <c r="CN327" t="s">
        <v>98</v>
      </c>
      <c r="CO327" t="s">
        <v>99</v>
      </c>
      <c r="CP327" t="s">
        <v>100</v>
      </c>
      <c r="CQ327">
        <v>326</v>
      </c>
      <c r="CR327" t="s">
        <v>100</v>
      </c>
      <c r="CS327" t="s">
        <v>100</v>
      </c>
      <c r="CT327" t="s">
        <v>152</v>
      </c>
      <c r="CU327" t="s">
        <v>102</v>
      </c>
      <c r="CV327" t="s">
        <v>100</v>
      </c>
    </row>
    <row r="328" spans="1:100">
      <c r="A328" s="3" t="s">
        <v>6182</v>
      </c>
      <c r="B328" s="4" t="s">
        <v>6183</v>
      </c>
      <c r="C328">
        <v>394.41153974473099</v>
      </c>
      <c r="D328">
        <v>5465.9872724686102</v>
      </c>
      <c r="E328">
        <f>-3.79212186472413</f>
        <v>-3.7921218647241299</v>
      </c>
      <c r="F328" s="5">
        <v>1.7736909118010299E-10</v>
      </c>
      <c r="G328" t="s">
        <v>4</v>
      </c>
      <c r="H328">
        <v>394.41153974473099</v>
      </c>
      <c r="I328">
        <v>207.995381401911</v>
      </c>
      <c r="J328">
        <v>0.91708878381910297</v>
      </c>
      <c r="K328">
        <v>0.151227083410956</v>
      </c>
      <c r="L328" t="s">
        <v>4</v>
      </c>
      <c r="M328">
        <v>5465.9872724686102</v>
      </c>
      <c r="N328">
        <v>207.995381401911</v>
      </c>
      <c r="O328">
        <v>4.7092106485432303</v>
      </c>
      <c r="P328" s="5">
        <v>4.1400978001492898E-16</v>
      </c>
      <c r="Q328" t="s">
        <v>4</v>
      </c>
      <c r="R328" s="4" t="s">
        <v>87</v>
      </c>
      <c r="S328" t="s">
        <v>4</v>
      </c>
      <c r="T328" t="s">
        <v>92</v>
      </c>
      <c r="U328" t="s">
        <v>92</v>
      </c>
      <c r="V328" t="s">
        <v>92</v>
      </c>
      <c r="W328" t="s">
        <v>92</v>
      </c>
      <c r="X328" t="s">
        <v>4</v>
      </c>
      <c r="Y328" t="s">
        <v>92</v>
      </c>
      <c r="Z328" t="s">
        <v>92</v>
      </c>
      <c r="AA328" t="s">
        <v>92</v>
      </c>
      <c r="AB328" t="s">
        <v>4</v>
      </c>
      <c r="AC328" s="3" t="s">
        <v>93</v>
      </c>
      <c r="AD328" t="s">
        <v>4</v>
      </c>
      <c r="AE328" s="4" t="s">
        <v>94</v>
      </c>
      <c r="AZ328" t="s">
        <v>4</v>
      </c>
      <c r="BA328" s="3" t="s">
        <v>95</v>
      </c>
      <c r="BB328" s="6" t="s">
        <v>95</v>
      </c>
      <c r="BC328" s="3" t="s">
        <v>95</v>
      </c>
      <c r="BD328" t="s">
        <v>4</v>
      </c>
      <c r="BE328">
        <v>2732</v>
      </c>
      <c r="BF328" t="s">
        <v>97</v>
      </c>
      <c r="BG328">
        <v>96.588499999999996</v>
      </c>
      <c r="BI328">
        <v>78.677999999999997</v>
      </c>
      <c r="BJ328">
        <v>57.356099999999998</v>
      </c>
      <c r="BK328">
        <v>51.172699999999999</v>
      </c>
      <c r="BL328" t="s">
        <v>6184</v>
      </c>
      <c r="BM328" t="s">
        <v>6185</v>
      </c>
      <c r="BN328" t="s">
        <v>6186</v>
      </c>
      <c r="BO328">
        <v>51.5991</v>
      </c>
      <c r="CK328">
        <v>4</v>
      </c>
      <c r="CL328" t="s">
        <v>4</v>
      </c>
      <c r="CM328" t="s">
        <v>98</v>
      </c>
      <c r="CN328" t="s">
        <v>98</v>
      </c>
      <c r="CO328" t="s">
        <v>99</v>
      </c>
      <c r="CP328" t="s">
        <v>100</v>
      </c>
      <c r="CQ328">
        <v>327</v>
      </c>
      <c r="CR328" t="s">
        <v>100</v>
      </c>
      <c r="CS328" t="s">
        <v>100</v>
      </c>
      <c r="CT328" t="s">
        <v>152</v>
      </c>
      <c r="CU328" t="s">
        <v>102</v>
      </c>
      <c r="CV328" t="s">
        <v>100</v>
      </c>
    </row>
    <row r="329" spans="1:100">
      <c r="A329" s="3" t="s">
        <v>6187</v>
      </c>
      <c r="B329" s="4" t="s">
        <v>6188</v>
      </c>
      <c r="C329">
        <v>244.08399499882401</v>
      </c>
      <c r="D329">
        <v>2684.3593861902</v>
      </c>
      <c r="E329">
        <f>-3.45909512566806</f>
        <v>-3.45909512566806</v>
      </c>
      <c r="F329" s="5">
        <v>1.08351977949358E-16</v>
      </c>
      <c r="G329" t="s">
        <v>4</v>
      </c>
      <c r="H329">
        <v>244.08399499882401</v>
      </c>
      <c r="I329">
        <v>182.78051711392101</v>
      </c>
      <c r="J329">
        <v>0.42130681338015202</v>
      </c>
      <c r="K329">
        <v>0.370134606307081</v>
      </c>
      <c r="L329" t="s">
        <v>4</v>
      </c>
      <c r="M329">
        <v>2684.3593861902</v>
      </c>
      <c r="N329">
        <v>182.78051711392101</v>
      </c>
      <c r="O329">
        <v>3.8804019390482098</v>
      </c>
      <c r="P329" s="5">
        <v>3.9962201487095503E-21</v>
      </c>
      <c r="Q329" t="s">
        <v>4</v>
      </c>
      <c r="R329" s="4" t="s">
        <v>87</v>
      </c>
      <c r="S329" t="s">
        <v>4</v>
      </c>
      <c r="T329" t="s">
        <v>92</v>
      </c>
      <c r="U329" t="s">
        <v>92</v>
      </c>
      <c r="V329" t="s">
        <v>92</v>
      </c>
      <c r="W329" t="s">
        <v>92</v>
      </c>
      <c r="X329" t="s">
        <v>4</v>
      </c>
      <c r="Y329" t="s">
        <v>92</v>
      </c>
      <c r="Z329" t="s">
        <v>92</v>
      </c>
      <c r="AA329" t="s">
        <v>92</v>
      </c>
      <c r="AB329" t="s">
        <v>4</v>
      </c>
      <c r="AC329" s="3" t="s">
        <v>93</v>
      </c>
      <c r="AD329" t="s">
        <v>4</v>
      </c>
      <c r="AE329" s="4" t="s">
        <v>94</v>
      </c>
      <c r="AZ329" t="s">
        <v>4</v>
      </c>
      <c r="BA329" s="3" t="s">
        <v>115</v>
      </c>
      <c r="BB329" s="6" t="s">
        <v>95</v>
      </c>
      <c r="BC329" s="3" t="s">
        <v>95</v>
      </c>
      <c r="BD329" t="s">
        <v>4</v>
      </c>
      <c r="BE329">
        <v>1284</v>
      </c>
      <c r="BF329" t="s">
        <v>151</v>
      </c>
      <c r="BG329">
        <v>69.738500000000002</v>
      </c>
      <c r="BH329">
        <v>58.1569</v>
      </c>
      <c r="BI329">
        <v>60.398499999999999</v>
      </c>
      <c r="BJ329">
        <v>42.963900000000002</v>
      </c>
      <c r="BK329">
        <v>24.159400000000002</v>
      </c>
      <c r="BL329">
        <v>35.367400000000004</v>
      </c>
      <c r="BM329">
        <v>37.110799999999998</v>
      </c>
      <c r="BN329">
        <v>36.9863</v>
      </c>
      <c r="BO329">
        <v>36.363599999999998</v>
      </c>
      <c r="CK329">
        <v>2</v>
      </c>
      <c r="CL329" t="s">
        <v>4</v>
      </c>
      <c r="CM329" t="s">
        <v>98</v>
      </c>
      <c r="CN329" t="s">
        <v>98</v>
      </c>
      <c r="CO329" t="s">
        <v>99</v>
      </c>
      <c r="CP329" t="s">
        <v>100</v>
      </c>
      <c r="CQ329">
        <v>328</v>
      </c>
      <c r="CR329" t="s">
        <v>100</v>
      </c>
      <c r="CS329" t="s">
        <v>100</v>
      </c>
      <c r="CT329" t="s">
        <v>152</v>
      </c>
      <c r="CU329" t="s">
        <v>102</v>
      </c>
      <c r="CV329" t="s">
        <v>100</v>
      </c>
    </row>
    <row r="330" spans="1:100">
      <c r="A330" s="3" t="s">
        <v>6189</v>
      </c>
      <c r="B330" s="4" t="s">
        <v>6190</v>
      </c>
      <c r="C330">
        <v>39.839025682872197</v>
      </c>
      <c r="D330">
        <v>473.93419099639101</v>
      </c>
      <c r="E330">
        <f>-3.56759122249792</f>
        <v>-3.5675912224979198</v>
      </c>
      <c r="F330" s="5">
        <v>9.3166315953782403E-20</v>
      </c>
      <c r="G330" t="s">
        <v>4</v>
      </c>
      <c r="H330">
        <v>39.839025682872197</v>
      </c>
      <c r="I330">
        <v>63.264325342227401</v>
      </c>
      <c r="J330">
        <f>0.669970554298041</f>
        <v>0.66997055429804098</v>
      </c>
      <c r="K330">
        <v>0.13265095277613401</v>
      </c>
      <c r="L330" t="s">
        <v>4</v>
      </c>
      <c r="M330">
        <v>473.93419099639101</v>
      </c>
      <c r="N330">
        <v>63.264325342227401</v>
      </c>
      <c r="O330">
        <v>2.8976206681998802</v>
      </c>
      <c r="P330" s="5">
        <v>1.16480137431397E-13</v>
      </c>
      <c r="Q330" t="s">
        <v>4</v>
      </c>
      <c r="R330" s="4" t="s">
        <v>87</v>
      </c>
      <c r="S330" t="s">
        <v>4</v>
      </c>
      <c r="T330" t="s">
        <v>6191</v>
      </c>
      <c r="U330" t="s">
        <v>6192</v>
      </c>
      <c r="V330" t="s">
        <v>6193</v>
      </c>
      <c r="W330" t="s">
        <v>328</v>
      </c>
      <c r="X330" t="s">
        <v>4</v>
      </c>
      <c r="Y330" t="s">
        <v>6194</v>
      </c>
      <c r="Z330" t="s">
        <v>6195</v>
      </c>
      <c r="AA330" t="s">
        <v>6196</v>
      </c>
      <c r="AB330" t="s">
        <v>4</v>
      </c>
      <c r="AC330" s="3" t="s">
        <v>93</v>
      </c>
      <c r="AD330" t="s">
        <v>4</v>
      </c>
      <c r="AE330" s="4" t="s">
        <v>94</v>
      </c>
      <c r="AZ330" t="s">
        <v>4</v>
      </c>
      <c r="BA330" s="3" t="s">
        <v>95</v>
      </c>
      <c r="BB330" t="s">
        <v>96</v>
      </c>
      <c r="BC330" s="3" t="s">
        <v>95</v>
      </c>
      <c r="BD330" t="s">
        <v>4</v>
      </c>
      <c r="BE330">
        <v>1286</v>
      </c>
      <c r="BF330" t="s">
        <v>151</v>
      </c>
      <c r="BG330">
        <v>46.721299999999999</v>
      </c>
      <c r="BI330">
        <v>42.349699999999999</v>
      </c>
      <c r="BJ330">
        <v>27.8689</v>
      </c>
      <c r="BL330">
        <v>26.776</v>
      </c>
      <c r="BM330">
        <v>29.508199999999999</v>
      </c>
      <c r="BN330">
        <v>28.688500000000001</v>
      </c>
      <c r="CK330">
        <v>2</v>
      </c>
      <c r="CL330" t="s">
        <v>4</v>
      </c>
      <c r="CM330" t="s">
        <v>98</v>
      </c>
      <c r="CN330" t="s">
        <v>98</v>
      </c>
      <c r="CO330" t="s">
        <v>99</v>
      </c>
      <c r="CP330" t="s">
        <v>100</v>
      </c>
      <c r="CQ330">
        <v>329</v>
      </c>
      <c r="CR330" t="s">
        <v>100</v>
      </c>
      <c r="CS330" t="s">
        <v>100</v>
      </c>
      <c r="CT330" t="s">
        <v>152</v>
      </c>
      <c r="CU330" t="s">
        <v>102</v>
      </c>
      <c r="CV330" t="s">
        <v>100</v>
      </c>
    </row>
    <row r="331" spans="1:100">
      <c r="A331" s="3" t="s">
        <v>6197</v>
      </c>
      <c r="B331" s="4" t="s">
        <v>6198</v>
      </c>
      <c r="C331">
        <v>269.47771231112603</v>
      </c>
      <c r="D331">
        <v>1330.3628486830301</v>
      </c>
      <c r="E331">
        <f>-2.30183187938308</f>
        <v>-2.3018318793830801</v>
      </c>
      <c r="F331" s="5">
        <v>5.1148925102933899E-32</v>
      </c>
      <c r="G331" t="s">
        <v>4</v>
      </c>
      <c r="H331">
        <v>269.47771231112603</v>
      </c>
      <c r="I331">
        <v>107.37354305422301</v>
      </c>
      <c r="J331">
        <v>1.3244368249184899</v>
      </c>
      <c r="K331" s="5">
        <v>1.80155335177408E-9</v>
      </c>
      <c r="L331" t="s">
        <v>4</v>
      </c>
      <c r="M331">
        <v>1330.3628486830301</v>
      </c>
      <c r="N331">
        <v>107.37354305422301</v>
      </c>
      <c r="O331">
        <v>3.62626870430157</v>
      </c>
      <c r="P331" s="5">
        <v>4.5178653388239897E-67</v>
      </c>
      <c r="Q331" t="s">
        <v>4</v>
      </c>
      <c r="R331" s="4" t="s">
        <v>87</v>
      </c>
      <c r="S331" t="s">
        <v>4</v>
      </c>
      <c r="T331" t="s">
        <v>92</v>
      </c>
      <c r="U331" t="s">
        <v>92</v>
      </c>
      <c r="V331" t="s">
        <v>92</v>
      </c>
      <c r="W331" t="s">
        <v>92</v>
      </c>
      <c r="X331" t="s">
        <v>4</v>
      </c>
      <c r="Y331" t="s">
        <v>6199</v>
      </c>
      <c r="Z331" t="s">
        <v>6200</v>
      </c>
      <c r="AA331" t="s">
        <v>6201</v>
      </c>
      <c r="AB331" t="s">
        <v>4</v>
      </c>
      <c r="AC331" s="3" t="s">
        <v>93</v>
      </c>
      <c r="AD331" t="s">
        <v>4</v>
      </c>
      <c r="AE331" s="4" t="s">
        <v>94</v>
      </c>
      <c r="AZ331" t="s">
        <v>4</v>
      </c>
      <c r="BA331" s="3" t="s">
        <v>95</v>
      </c>
      <c r="BB331" s="6" t="s">
        <v>95</v>
      </c>
      <c r="BC331" s="3" t="s">
        <v>95</v>
      </c>
      <c r="BD331" t="s">
        <v>4</v>
      </c>
      <c r="BE331">
        <v>2743</v>
      </c>
      <c r="BF331" t="s">
        <v>97</v>
      </c>
      <c r="BG331">
        <v>42.857100000000003</v>
      </c>
      <c r="BI331">
        <v>65.773799999999994</v>
      </c>
      <c r="BJ331">
        <v>22.023800000000001</v>
      </c>
      <c r="BM331">
        <v>20.535699999999999</v>
      </c>
      <c r="CK331">
        <v>4</v>
      </c>
      <c r="CL331" t="s">
        <v>4</v>
      </c>
      <c r="CM331" t="s">
        <v>98</v>
      </c>
      <c r="CN331" t="s">
        <v>98</v>
      </c>
      <c r="CO331" t="s">
        <v>99</v>
      </c>
      <c r="CP331" t="s">
        <v>100</v>
      </c>
      <c r="CQ331">
        <v>330</v>
      </c>
      <c r="CR331" t="s">
        <v>100</v>
      </c>
      <c r="CS331" s="7" t="s">
        <v>101</v>
      </c>
      <c r="CT331" t="s">
        <v>152</v>
      </c>
      <c r="CU331" t="s">
        <v>102</v>
      </c>
      <c r="CV331" t="s">
        <v>100</v>
      </c>
    </row>
    <row r="332" spans="1:100">
      <c r="A332" s="3" t="s">
        <v>6202</v>
      </c>
      <c r="B332" s="4" t="s">
        <v>6203</v>
      </c>
      <c r="C332">
        <v>338.28153675362898</v>
      </c>
      <c r="D332">
        <v>2972.0787075604198</v>
      </c>
      <c r="E332">
        <f>-3.13477227096879</f>
        <v>-3.13477227096879</v>
      </c>
      <c r="F332" s="5">
        <v>4.5552970469103E-21</v>
      </c>
      <c r="G332" t="s">
        <v>4</v>
      </c>
      <c r="H332">
        <v>338.28153675362898</v>
      </c>
      <c r="I332">
        <v>377.00327884465497</v>
      </c>
      <c r="J332">
        <f>0.148993416592415</f>
        <v>0.148993416592415</v>
      </c>
      <c r="K332">
        <v>0.70554250256011597</v>
      </c>
      <c r="L332" t="s">
        <v>4</v>
      </c>
      <c r="M332">
        <v>2972.0787075604198</v>
      </c>
      <c r="N332">
        <v>377.00327884465497</v>
      </c>
      <c r="O332">
        <v>2.9857788543763801</v>
      </c>
      <c r="P332" s="5">
        <v>1.1405393992614601E-19</v>
      </c>
      <c r="Q332" t="s">
        <v>4</v>
      </c>
      <c r="R332" s="4" t="s">
        <v>87</v>
      </c>
      <c r="S332" t="s">
        <v>4</v>
      </c>
      <c r="T332" t="s">
        <v>88</v>
      </c>
      <c r="U332" t="s">
        <v>89</v>
      </c>
      <c r="V332" t="s">
        <v>90</v>
      </c>
      <c r="W332" t="s">
        <v>91</v>
      </c>
      <c r="X332" t="s">
        <v>4</v>
      </c>
      <c r="Y332" t="s">
        <v>92</v>
      </c>
      <c r="Z332" t="s">
        <v>92</v>
      </c>
      <c r="AA332" t="s">
        <v>92</v>
      </c>
      <c r="AB332" t="s">
        <v>4</v>
      </c>
      <c r="AC332" s="3" t="s">
        <v>93</v>
      </c>
      <c r="AD332" t="s">
        <v>4</v>
      </c>
      <c r="AE332" s="4" t="s">
        <v>94</v>
      </c>
      <c r="AZ332" t="s">
        <v>4</v>
      </c>
      <c r="BA332" s="3" t="s">
        <v>95</v>
      </c>
      <c r="BB332" t="s">
        <v>96</v>
      </c>
      <c r="BC332" s="3" t="s">
        <v>95</v>
      </c>
      <c r="BD332" t="s">
        <v>4</v>
      </c>
      <c r="BE332">
        <v>4338</v>
      </c>
      <c r="BF332" t="s">
        <v>112</v>
      </c>
      <c r="BG332" t="s">
        <v>6204</v>
      </c>
      <c r="BI332">
        <v>90.740700000000004</v>
      </c>
      <c r="BJ332">
        <v>76.388900000000007</v>
      </c>
      <c r="BL332">
        <v>56.481499999999997</v>
      </c>
      <c r="BM332">
        <v>71.296300000000002</v>
      </c>
      <c r="BP332">
        <v>19.444400000000002</v>
      </c>
      <c r="CK332">
        <v>5</v>
      </c>
      <c r="CL332" t="s">
        <v>4</v>
      </c>
      <c r="CM332" t="s">
        <v>98</v>
      </c>
      <c r="CN332" t="s">
        <v>98</v>
      </c>
      <c r="CO332" t="s">
        <v>99</v>
      </c>
      <c r="CP332" t="s">
        <v>100</v>
      </c>
      <c r="CQ332">
        <v>331</v>
      </c>
      <c r="CR332" t="s">
        <v>100</v>
      </c>
      <c r="CS332" t="s">
        <v>100</v>
      </c>
      <c r="CT332" t="s">
        <v>152</v>
      </c>
      <c r="CU332" t="s">
        <v>102</v>
      </c>
      <c r="CV332" t="s">
        <v>100</v>
      </c>
    </row>
    <row r="333" spans="1:100">
      <c r="A333" s="3" t="s">
        <v>6205</v>
      </c>
      <c r="B333" s="4" t="s">
        <v>6206</v>
      </c>
      <c r="C333">
        <v>53.096101712972498</v>
      </c>
      <c r="D333">
        <v>222.91174584325199</v>
      </c>
      <c r="E333">
        <f>-2.07050039303185</f>
        <v>-2.0705003930318502</v>
      </c>
      <c r="F333">
        <v>1.7790145036217901E-3</v>
      </c>
      <c r="G333" t="s">
        <v>4</v>
      </c>
      <c r="H333">
        <v>53.096101712972498</v>
      </c>
      <c r="I333">
        <v>14.6403915922119</v>
      </c>
      <c r="J333">
        <v>1.9372786062771501</v>
      </c>
      <c r="K333">
        <v>6.3194166617499001E-3</v>
      </c>
      <c r="L333" t="s">
        <v>4</v>
      </c>
      <c r="M333">
        <v>222.91174584325199</v>
      </c>
      <c r="N333">
        <v>14.6403915922119</v>
      </c>
      <c r="O333">
        <v>4.0077789993090001</v>
      </c>
      <c r="P333" s="5">
        <v>2.05688338687223E-9</v>
      </c>
      <c r="Q333" t="s">
        <v>4</v>
      </c>
      <c r="R333" s="4" t="s">
        <v>87</v>
      </c>
      <c r="S333" t="s">
        <v>4</v>
      </c>
      <c r="T333" t="s">
        <v>2243</v>
      </c>
      <c r="U333" t="s">
        <v>2244</v>
      </c>
      <c r="V333" t="s">
        <v>2245</v>
      </c>
      <c r="W333" t="s">
        <v>123</v>
      </c>
      <c r="X333" t="s">
        <v>4</v>
      </c>
      <c r="Y333" t="s">
        <v>6207</v>
      </c>
      <c r="Z333" t="s">
        <v>6208</v>
      </c>
      <c r="AA333" t="s">
        <v>6209</v>
      </c>
      <c r="AB333" t="s">
        <v>4</v>
      </c>
      <c r="AC333" s="3" t="s">
        <v>6210</v>
      </c>
      <c r="AD333" t="s">
        <v>4</v>
      </c>
      <c r="AE333" t="s">
        <v>6211</v>
      </c>
      <c r="AF333" t="s">
        <v>6212</v>
      </c>
      <c r="AG333" t="s">
        <v>6213</v>
      </c>
      <c r="AH333" t="s">
        <v>112</v>
      </c>
      <c r="AU333" t="s">
        <v>112</v>
      </c>
      <c r="AV333" t="s">
        <v>6214</v>
      </c>
      <c r="AW333" t="s">
        <v>114</v>
      </c>
      <c r="AX333" t="s">
        <v>144</v>
      </c>
      <c r="AY333" t="s">
        <v>6215</v>
      </c>
      <c r="AZ333" t="s">
        <v>4</v>
      </c>
      <c r="BA333" s="3" t="s">
        <v>95</v>
      </c>
      <c r="BB333" s="6" t="s">
        <v>95</v>
      </c>
      <c r="BC333" s="3" t="s">
        <v>95</v>
      </c>
      <c r="BD333" t="s">
        <v>4</v>
      </c>
      <c r="BE333">
        <v>4339</v>
      </c>
      <c r="BF333" t="s">
        <v>112</v>
      </c>
      <c r="BG333">
        <v>99.636399999999995</v>
      </c>
      <c r="BH333">
        <v>100</v>
      </c>
      <c r="BI333">
        <v>98.545500000000004</v>
      </c>
      <c r="BJ333">
        <v>93.090900000000005</v>
      </c>
      <c r="BK333">
        <v>92.7273</v>
      </c>
      <c r="BL333">
        <v>56</v>
      </c>
      <c r="BM333">
        <v>53.454500000000003</v>
      </c>
      <c r="BN333">
        <v>85.818200000000004</v>
      </c>
      <c r="BO333">
        <v>89.454499999999996</v>
      </c>
      <c r="BP333">
        <v>65.090900000000005</v>
      </c>
      <c r="BR333" t="s">
        <v>6216</v>
      </c>
      <c r="BS333">
        <v>66.545500000000004</v>
      </c>
      <c r="BW333" t="s">
        <v>6217</v>
      </c>
      <c r="BX333" t="s">
        <v>6218</v>
      </c>
      <c r="BY333">
        <v>52.7273</v>
      </c>
      <c r="BZ333">
        <v>60.363599999999998</v>
      </c>
      <c r="CA333" t="s">
        <v>6219</v>
      </c>
      <c r="CK333">
        <v>5</v>
      </c>
      <c r="CL333" t="s">
        <v>4</v>
      </c>
      <c r="CM333" t="s">
        <v>6220</v>
      </c>
      <c r="CN333" t="s">
        <v>6219</v>
      </c>
      <c r="CO333" t="s">
        <v>1467</v>
      </c>
      <c r="CP333" t="s">
        <v>100</v>
      </c>
      <c r="CQ333">
        <v>332</v>
      </c>
      <c r="CR333" t="s">
        <v>100</v>
      </c>
      <c r="CS333" s="7" t="s">
        <v>101</v>
      </c>
      <c r="CT333" t="s">
        <v>152</v>
      </c>
      <c r="CU333" t="s">
        <v>102</v>
      </c>
      <c r="CV333" t="s">
        <v>100</v>
      </c>
    </row>
    <row r="334" spans="1:100">
      <c r="A334" s="3" t="s">
        <v>6221</v>
      </c>
      <c r="B334" s="4" t="s">
        <v>6222</v>
      </c>
      <c r="C334">
        <v>12.0041240810737</v>
      </c>
      <c r="D334">
        <v>184.76853675023699</v>
      </c>
      <c r="E334">
        <f>-3.93869880046892</f>
        <v>-3.9386988004689201</v>
      </c>
      <c r="F334" s="5">
        <v>5.69175304884092E-5</v>
      </c>
      <c r="G334" t="s">
        <v>4</v>
      </c>
      <c r="H334">
        <v>12.0041240810737</v>
      </c>
      <c r="I334">
        <v>15.8045045983779</v>
      </c>
      <c r="J334">
        <f>0.416546475495974</f>
        <v>0.41654647549597401</v>
      </c>
      <c r="K334">
        <v>0.71256103106485003</v>
      </c>
      <c r="L334" t="s">
        <v>4</v>
      </c>
      <c r="M334">
        <v>184.76853675023699</v>
      </c>
      <c r="N334">
        <v>15.8045045983779</v>
      </c>
      <c r="O334">
        <v>3.5221523249729398</v>
      </c>
      <c r="P334">
        <v>2.4508320045016601E-4</v>
      </c>
      <c r="Q334" t="s">
        <v>4</v>
      </c>
      <c r="R334" s="4" t="s">
        <v>87</v>
      </c>
      <c r="S334" t="s">
        <v>4</v>
      </c>
      <c r="T334" t="s">
        <v>92</v>
      </c>
      <c r="U334" t="s">
        <v>92</v>
      </c>
      <c r="V334" t="s">
        <v>92</v>
      </c>
      <c r="W334" t="s">
        <v>92</v>
      </c>
      <c r="X334" t="s">
        <v>4</v>
      </c>
      <c r="Y334" t="s">
        <v>92</v>
      </c>
      <c r="Z334" t="s">
        <v>92</v>
      </c>
      <c r="AA334" t="s">
        <v>92</v>
      </c>
      <c r="AB334" t="s">
        <v>4</v>
      </c>
      <c r="AC334" s="3" t="s">
        <v>93</v>
      </c>
      <c r="AD334" t="s">
        <v>4</v>
      </c>
      <c r="AE334" s="4" t="s">
        <v>94</v>
      </c>
      <c r="AZ334" t="s">
        <v>4</v>
      </c>
      <c r="BA334" s="3" t="s">
        <v>95</v>
      </c>
      <c r="BB334" s="6" t="s">
        <v>95</v>
      </c>
      <c r="BC334" s="3" t="s">
        <v>95</v>
      </c>
      <c r="BD334" t="s">
        <v>4</v>
      </c>
      <c r="BE334">
        <v>2459</v>
      </c>
      <c r="BF334" t="s">
        <v>97</v>
      </c>
      <c r="BG334">
        <v>50.413200000000003</v>
      </c>
      <c r="BJ334">
        <v>37.190100000000001</v>
      </c>
      <c r="BK334">
        <v>47.107399999999998</v>
      </c>
      <c r="BL334">
        <v>47.107399999999998</v>
      </c>
      <c r="BM334">
        <v>45.454500000000003</v>
      </c>
      <c r="BN334">
        <v>45.454500000000003</v>
      </c>
      <c r="BO334">
        <v>45.454500000000003</v>
      </c>
      <c r="CK334">
        <v>4</v>
      </c>
      <c r="CL334" t="s">
        <v>4</v>
      </c>
      <c r="CM334" t="s">
        <v>98</v>
      </c>
      <c r="CN334" t="s">
        <v>98</v>
      </c>
      <c r="CO334" t="s">
        <v>99</v>
      </c>
      <c r="CP334" t="s">
        <v>100</v>
      </c>
      <c r="CQ334">
        <v>333</v>
      </c>
      <c r="CR334" t="s">
        <v>100</v>
      </c>
      <c r="CS334" t="s">
        <v>100</v>
      </c>
      <c r="CT334" t="s">
        <v>152</v>
      </c>
      <c r="CU334" t="s">
        <v>102</v>
      </c>
      <c r="CV334" t="s">
        <v>100</v>
      </c>
    </row>
    <row r="335" spans="1:100">
      <c r="A335" s="3" t="s">
        <v>6223</v>
      </c>
      <c r="B335" s="4" t="s">
        <v>6224</v>
      </c>
      <c r="C335">
        <v>300.97690170786097</v>
      </c>
      <c r="D335">
        <v>2122.6866103318698</v>
      </c>
      <c r="E335">
        <f>-2.81820976590709</f>
        <v>-2.8182097659070902</v>
      </c>
      <c r="F335" s="5">
        <v>9.9165868658904302E-20</v>
      </c>
      <c r="G335" t="s">
        <v>4</v>
      </c>
      <c r="H335">
        <v>300.97690170786097</v>
      </c>
      <c r="I335">
        <v>82.952132075794395</v>
      </c>
      <c r="J335">
        <v>1.8300854304910401</v>
      </c>
      <c r="K335" s="5">
        <v>3.4302423498440598E-8</v>
      </c>
      <c r="L335" t="s">
        <v>4</v>
      </c>
      <c r="M335">
        <v>2122.6866103318698</v>
      </c>
      <c r="N335">
        <v>82.952132075794395</v>
      </c>
      <c r="O335">
        <v>4.6482951963981396</v>
      </c>
      <c r="P335" s="5">
        <v>2.2639776711196399E-48</v>
      </c>
      <c r="Q335" t="s">
        <v>4</v>
      </c>
      <c r="R335" s="4" t="s">
        <v>87</v>
      </c>
      <c r="S335" t="s">
        <v>4</v>
      </c>
      <c r="T335" t="s">
        <v>4635</v>
      </c>
      <c r="U335" t="s">
        <v>4636</v>
      </c>
      <c r="V335" t="s">
        <v>4637</v>
      </c>
      <c r="W335" t="s">
        <v>507</v>
      </c>
      <c r="X335" t="s">
        <v>4</v>
      </c>
      <c r="Y335" t="s">
        <v>6225</v>
      </c>
      <c r="Z335" t="s">
        <v>6226</v>
      </c>
      <c r="AA335" t="s">
        <v>6227</v>
      </c>
      <c r="AB335" t="s">
        <v>4</v>
      </c>
      <c r="AC335" s="3" t="s">
        <v>6228</v>
      </c>
      <c r="AD335" t="s">
        <v>4</v>
      </c>
      <c r="AE335" t="s">
        <v>6229</v>
      </c>
      <c r="AF335" t="s">
        <v>6230</v>
      </c>
      <c r="AG335" t="s">
        <v>6231</v>
      </c>
      <c r="AH335" t="s">
        <v>638</v>
      </c>
      <c r="AU335" t="s">
        <v>112</v>
      </c>
      <c r="AV335" t="s">
        <v>6232</v>
      </c>
      <c r="AW335" t="s">
        <v>114</v>
      </c>
      <c r="AX335" t="s">
        <v>144</v>
      </c>
      <c r="AY335" t="s">
        <v>4646</v>
      </c>
      <c r="AZ335" t="s">
        <v>4</v>
      </c>
      <c r="BA335" s="3" t="s">
        <v>115</v>
      </c>
      <c r="BB335" t="s">
        <v>96</v>
      </c>
      <c r="BC335" s="3" t="s">
        <v>197</v>
      </c>
      <c r="BD335" t="s">
        <v>4</v>
      </c>
      <c r="BE335">
        <v>5720</v>
      </c>
      <c r="BF335" t="s">
        <v>386</v>
      </c>
      <c r="BG335">
        <v>95.252200000000002</v>
      </c>
      <c r="BH335">
        <v>99.554900000000004</v>
      </c>
      <c r="BI335">
        <v>14.8368</v>
      </c>
      <c r="BK335">
        <v>65.875399999999999</v>
      </c>
      <c r="BL335">
        <v>43.620199999999997</v>
      </c>
      <c r="BM335">
        <v>75.222499999999997</v>
      </c>
      <c r="BN335">
        <v>77.151300000000006</v>
      </c>
      <c r="BO335">
        <v>72.255200000000002</v>
      </c>
      <c r="BQ335">
        <v>15.875400000000001</v>
      </c>
      <c r="BR335">
        <v>13.649900000000001</v>
      </c>
      <c r="BS335">
        <v>17.804200000000002</v>
      </c>
      <c r="BU335">
        <v>29.2285</v>
      </c>
      <c r="BV335" t="s">
        <v>6233</v>
      </c>
      <c r="BX335">
        <v>19.139500000000002</v>
      </c>
      <c r="BZ335">
        <v>7.1216600000000003</v>
      </c>
      <c r="CB335" t="s">
        <v>6234</v>
      </c>
      <c r="CC335">
        <v>8.9020799999999998</v>
      </c>
      <c r="CD335">
        <v>12.907999999999999</v>
      </c>
      <c r="CE335" t="s">
        <v>6235</v>
      </c>
      <c r="CK335">
        <v>7</v>
      </c>
      <c r="CL335" t="s">
        <v>4</v>
      </c>
      <c r="CM335" t="s">
        <v>98</v>
      </c>
      <c r="CN335" t="s">
        <v>98</v>
      </c>
      <c r="CO335" t="s">
        <v>99</v>
      </c>
      <c r="CP335" t="s">
        <v>100</v>
      </c>
      <c r="CQ335">
        <v>334</v>
      </c>
      <c r="CR335" t="s">
        <v>100</v>
      </c>
      <c r="CS335" s="7" t="s">
        <v>101</v>
      </c>
      <c r="CT335" t="s">
        <v>152</v>
      </c>
      <c r="CU335" t="s">
        <v>102</v>
      </c>
      <c r="CV335" t="s">
        <v>100</v>
      </c>
    </row>
    <row r="336" spans="1:100">
      <c r="A336" s="3" t="s">
        <v>6236</v>
      </c>
      <c r="B336" s="4" t="s">
        <v>6237</v>
      </c>
      <c r="C336">
        <v>51.317558890089899</v>
      </c>
      <c r="D336">
        <v>935.61350222436499</v>
      </c>
      <c r="E336">
        <f>-4.18713451153578</f>
        <v>-4.1871345115357803</v>
      </c>
      <c r="F336" s="5">
        <v>1.5003907345837901E-25</v>
      </c>
      <c r="G336" t="s">
        <v>4</v>
      </c>
      <c r="H336">
        <v>51.317558890089899</v>
      </c>
      <c r="I336">
        <v>28.011284511850199</v>
      </c>
      <c r="J336">
        <v>0.83889165333129401</v>
      </c>
      <c r="K336">
        <v>7.9920391513914099E-2</v>
      </c>
      <c r="L336" t="s">
        <v>4</v>
      </c>
      <c r="M336">
        <v>935.61350222436499</v>
      </c>
      <c r="N336">
        <v>28.011284511850199</v>
      </c>
      <c r="O336">
        <v>5.0260261648670799</v>
      </c>
      <c r="P336" s="5">
        <v>1.9624814851575901E-32</v>
      </c>
      <c r="Q336" t="s">
        <v>4</v>
      </c>
      <c r="R336" s="4" t="s">
        <v>87</v>
      </c>
      <c r="S336" t="s">
        <v>4</v>
      </c>
      <c r="T336" t="s">
        <v>2243</v>
      </c>
      <c r="U336" t="s">
        <v>2244</v>
      </c>
      <c r="V336" t="s">
        <v>2245</v>
      </c>
      <c r="W336" t="s">
        <v>123</v>
      </c>
      <c r="X336" t="s">
        <v>4</v>
      </c>
      <c r="Y336" t="s">
        <v>6238</v>
      </c>
      <c r="Z336" t="s">
        <v>6239</v>
      </c>
      <c r="AA336" t="s">
        <v>6240</v>
      </c>
      <c r="AB336" t="s">
        <v>4</v>
      </c>
      <c r="AC336" s="3" t="s">
        <v>6241</v>
      </c>
      <c r="AD336" t="s">
        <v>4</v>
      </c>
      <c r="AE336" t="s">
        <v>2800</v>
      </c>
      <c r="AF336" t="s">
        <v>6242</v>
      </c>
      <c r="AG336" t="s">
        <v>6243</v>
      </c>
      <c r="AH336" t="s">
        <v>112</v>
      </c>
      <c r="AU336" t="s">
        <v>112</v>
      </c>
      <c r="AV336" t="s">
        <v>2803</v>
      </c>
      <c r="AW336" t="s">
        <v>114</v>
      </c>
      <c r="AX336" t="s">
        <v>144</v>
      </c>
      <c r="AY336" t="s">
        <v>2804</v>
      </c>
      <c r="AZ336" t="s">
        <v>4</v>
      </c>
      <c r="BA336" s="3" t="s">
        <v>95</v>
      </c>
      <c r="BB336" s="6" t="s">
        <v>95</v>
      </c>
      <c r="BC336" s="3" t="s">
        <v>95</v>
      </c>
      <c r="BD336" t="s">
        <v>4</v>
      </c>
      <c r="BE336">
        <v>7977</v>
      </c>
      <c r="BF336" t="s">
        <v>213</v>
      </c>
      <c r="BG336">
        <v>93.0946</v>
      </c>
      <c r="BH336">
        <v>96.419399999999996</v>
      </c>
      <c r="BI336">
        <v>81.074200000000005</v>
      </c>
      <c r="BP336">
        <v>33.759599999999999</v>
      </c>
      <c r="BQ336">
        <v>33.503799999999998</v>
      </c>
      <c r="BR336">
        <v>31.457799999999999</v>
      </c>
      <c r="BS336">
        <v>29.155999999999999</v>
      </c>
      <c r="BT336">
        <v>30.178999999999998</v>
      </c>
      <c r="BU336">
        <v>29.411799999999999</v>
      </c>
      <c r="BV336" t="s">
        <v>6244</v>
      </c>
      <c r="BW336">
        <v>29.6675</v>
      </c>
      <c r="BX336">
        <v>33.248100000000001</v>
      </c>
      <c r="BZ336">
        <v>33.503799999999998</v>
      </c>
      <c r="CA336">
        <v>32.9923</v>
      </c>
      <c r="CB336">
        <v>10.2302</v>
      </c>
      <c r="CC336">
        <v>26.342700000000001</v>
      </c>
      <c r="CD336">
        <v>25.575399999999998</v>
      </c>
      <c r="CF336">
        <v>27.3657</v>
      </c>
      <c r="CG336" t="s">
        <v>6245</v>
      </c>
      <c r="CH336" t="s">
        <v>6246</v>
      </c>
      <c r="CI336">
        <v>7.4168799999999999</v>
      </c>
      <c r="CJ336" t="s">
        <v>6247</v>
      </c>
      <c r="CK336">
        <v>8</v>
      </c>
      <c r="CL336" t="s">
        <v>4</v>
      </c>
      <c r="CM336" t="s">
        <v>2809</v>
      </c>
      <c r="CN336" t="s">
        <v>6248</v>
      </c>
      <c r="CO336" t="s">
        <v>1218</v>
      </c>
      <c r="CP336" t="s">
        <v>100</v>
      </c>
      <c r="CQ336">
        <v>335</v>
      </c>
      <c r="CR336" t="s">
        <v>100</v>
      </c>
      <c r="CS336" t="s">
        <v>100</v>
      </c>
      <c r="CT336" t="s">
        <v>152</v>
      </c>
      <c r="CU336" t="s">
        <v>102</v>
      </c>
      <c r="CV336" t="s">
        <v>100</v>
      </c>
    </row>
    <row r="337" spans="1:100">
      <c r="A337" s="3" t="s">
        <v>6249</v>
      </c>
      <c r="B337" s="4" t="s">
        <v>6250</v>
      </c>
      <c r="C337">
        <v>162.602239436198</v>
      </c>
      <c r="D337">
        <v>1335.3293989629999</v>
      </c>
      <c r="E337">
        <f>-3.03806528505345</f>
        <v>-3.0380652850534502</v>
      </c>
      <c r="F337" s="5">
        <v>5.3590146199298499E-33</v>
      </c>
      <c r="G337" t="s">
        <v>4</v>
      </c>
      <c r="H337">
        <v>162.602239436198</v>
      </c>
      <c r="I337">
        <v>160.801883112013</v>
      </c>
      <c r="J337">
        <v>2.5159771446316401E-2</v>
      </c>
      <c r="K337">
        <v>0.93709472703627905</v>
      </c>
      <c r="L337" t="s">
        <v>4</v>
      </c>
      <c r="M337">
        <v>1335.3293989629999</v>
      </c>
      <c r="N337">
        <v>160.801883112013</v>
      </c>
      <c r="O337">
        <v>3.0632250564997601</v>
      </c>
      <c r="P337" s="5">
        <v>5.4842136025377998E-33</v>
      </c>
      <c r="Q337" t="s">
        <v>4</v>
      </c>
      <c r="R337" s="4" t="s">
        <v>87</v>
      </c>
      <c r="S337" t="s">
        <v>4</v>
      </c>
      <c r="T337" t="s">
        <v>6251</v>
      </c>
      <c r="U337" t="s">
        <v>6252</v>
      </c>
      <c r="V337" t="s">
        <v>6253</v>
      </c>
      <c r="W337" t="s">
        <v>203</v>
      </c>
      <c r="X337" t="s">
        <v>4</v>
      </c>
      <c r="Y337" t="s">
        <v>6254</v>
      </c>
      <c r="Z337" t="s">
        <v>6255</v>
      </c>
      <c r="AA337" t="s">
        <v>6256</v>
      </c>
      <c r="AB337" t="s">
        <v>4</v>
      </c>
      <c r="AC337" s="3" t="s">
        <v>6257</v>
      </c>
      <c r="AD337" t="s">
        <v>4</v>
      </c>
      <c r="AE337" t="s">
        <v>6258</v>
      </c>
      <c r="AF337" t="s">
        <v>6259</v>
      </c>
      <c r="AG337" t="s">
        <v>6260</v>
      </c>
      <c r="AH337" t="s">
        <v>112</v>
      </c>
      <c r="AU337" t="s">
        <v>112</v>
      </c>
      <c r="AV337" t="s">
        <v>6261</v>
      </c>
      <c r="AW337" t="s">
        <v>114</v>
      </c>
      <c r="AX337" t="s">
        <v>6262</v>
      </c>
      <c r="AY337" t="s">
        <v>6263</v>
      </c>
      <c r="AZ337" t="s">
        <v>4</v>
      </c>
      <c r="BA337" s="3" t="s">
        <v>95</v>
      </c>
      <c r="BB337" s="6" t="s">
        <v>95</v>
      </c>
      <c r="BC337" s="3" t="s">
        <v>95</v>
      </c>
      <c r="BD337" t="s">
        <v>4</v>
      </c>
      <c r="BE337">
        <v>5722</v>
      </c>
      <c r="BF337" t="s">
        <v>386</v>
      </c>
      <c r="BG337">
        <v>78.873199999999997</v>
      </c>
      <c r="BH337">
        <v>84.507000000000005</v>
      </c>
      <c r="BI337">
        <v>85.915499999999994</v>
      </c>
      <c r="BJ337">
        <v>72.535200000000003</v>
      </c>
      <c r="BL337">
        <v>66.901399999999995</v>
      </c>
      <c r="BM337">
        <v>68.309899999999999</v>
      </c>
      <c r="BN337">
        <v>75.352099999999993</v>
      </c>
      <c r="CK337">
        <v>7</v>
      </c>
      <c r="CL337" t="s">
        <v>4</v>
      </c>
      <c r="CM337" t="s">
        <v>98</v>
      </c>
      <c r="CN337" t="s">
        <v>98</v>
      </c>
      <c r="CO337" t="s">
        <v>99</v>
      </c>
      <c r="CP337" t="s">
        <v>100</v>
      </c>
      <c r="CQ337">
        <v>336</v>
      </c>
      <c r="CR337" t="s">
        <v>100</v>
      </c>
      <c r="CS337" t="s">
        <v>100</v>
      </c>
      <c r="CT337" t="s">
        <v>152</v>
      </c>
      <c r="CU337" t="s">
        <v>102</v>
      </c>
      <c r="CV337" t="s">
        <v>100</v>
      </c>
    </row>
    <row r="338" spans="1:100">
      <c r="A338" s="3" t="s">
        <v>6264</v>
      </c>
      <c r="B338" s="4" t="s">
        <v>6265</v>
      </c>
      <c r="C338">
        <v>959.16697378686399</v>
      </c>
      <c r="D338">
        <v>5160.5797419813598</v>
      </c>
      <c r="E338">
        <f>-2.4275479872307</f>
        <v>-2.4275479872307</v>
      </c>
      <c r="F338" s="5">
        <v>1.7865883495879701E-15</v>
      </c>
      <c r="G338" t="s">
        <v>4</v>
      </c>
      <c r="H338">
        <v>959.16697378686399</v>
      </c>
      <c r="I338">
        <v>425.342470040124</v>
      </c>
      <c r="J338">
        <v>1.16749680200538</v>
      </c>
      <c r="K338">
        <v>2.25852672663694E-4</v>
      </c>
      <c r="L338" t="s">
        <v>4</v>
      </c>
      <c r="M338">
        <v>5160.5797419813598</v>
      </c>
      <c r="N338">
        <v>425.342470040124</v>
      </c>
      <c r="O338">
        <v>3.5950447892360802</v>
      </c>
      <c r="P338" s="5">
        <v>2.61785212312991E-33</v>
      </c>
      <c r="Q338" t="s">
        <v>4</v>
      </c>
      <c r="R338" s="4" t="s">
        <v>87</v>
      </c>
      <c r="S338" t="s">
        <v>4</v>
      </c>
      <c r="T338" t="s">
        <v>2243</v>
      </c>
      <c r="U338" t="s">
        <v>2244</v>
      </c>
      <c r="V338" t="s">
        <v>2245</v>
      </c>
      <c r="W338" t="s">
        <v>123</v>
      </c>
      <c r="X338" t="s">
        <v>4</v>
      </c>
      <c r="Y338" t="s">
        <v>2647</v>
      </c>
      <c r="Z338" t="s">
        <v>2648</v>
      </c>
      <c r="AA338" t="s">
        <v>2649</v>
      </c>
      <c r="AB338" t="s">
        <v>4</v>
      </c>
      <c r="AC338" s="3" t="s">
        <v>2650</v>
      </c>
      <c r="AD338" t="s">
        <v>4</v>
      </c>
      <c r="AE338" t="s">
        <v>6266</v>
      </c>
      <c r="AF338" t="s">
        <v>6267</v>
      </c>
      <c r="AG338" t="s">
        <v>6268</v>
      </c>
      <c r="AH338" t="s">
        <v>386</v>
      </c>
      <c r="AU338" t="s">
        <v>112</v>
      </c>
      <c r="AV338" t="s">
        <v>6269</v>
      </c>
      <c r="AW338" t="s">
        <v>114</v>
      </c>
      <c r="AX338" t="s">
        <v>144</v>
      </c>
      <c r="AY338" t="s">
        <v>6270</v>
      </c>
      <c r="AZ338" t="s">
        <v>4</v>
      </c>
      <c r="BA338" s="3" t="s">
        <v>95</v>
      </c>
      <c r="BB338" s="6" t="s">
        <v>95</v>
      </c>
      <c r="BC338" s="3" t="s">
        <v>95</v>
      </c>
      <c r="BD338" t="s">
        <v>4</v>
      </c>
      <c r="BE338">
        <v>7991</v>
      </c>
      <c r="BF338" t="s">
        <v>213</v>
      </c>
      <c r="BG338">
        <v>96.988699999999994</v>
      </c>
      <c r="BH338">
        <v>70.7654</v>
      </c>
      <c r="BI338">
        <v>87.954800000000006</v>
      </c>
      <c r="BJ338">
        <v>43.161900000000003</v>
      </c>
      <c r="BK338">
        <v>58.092799999999997</v>
      </c>
      <c r="BL338">
        <v>55.834400000000002</v>
      </c>
      <c r="BM338">
        <v>65.119200000000006</v>
      </c>
      <c r="BN338">
        <v>66.373900000000006</v>
      </c>
      <c r="BQ338">
        <v>14.0527</v>
      </c>
      <c r="BR338" t="s">
        <v>6271</v>
      </c>
      <c r="BT338">
        <v>6.1480600000000001</v>
      </c>
      <c r="CB338">
        <v>5.6461699999999997</v>
      </c>
      <c r="CG338" t="s">
        <v>6272</v>
      </c>
      <c r="CH338" t="s">
        <v>6273</v>
      </c>
      <c r="CI338" t="s">
        <v>6274</v>
      </c>
      <c r="CK338">
        <v>8</v>
      </c>
      <c r="CL338" t="s">
        <v>4</v>
      </c>
      <c r="CM338" t="s">
        <v>98</v>
      </c>
      <c r="CN338" t="s">
        <v>98</v>
      </c>
      <c r="CO338" t="s">
        <v>99</v>
      </c>
      <c r="CP338" t="s">
        <v>100</v>
      </c>
      <c r="CQ338">
        <v>337</v>
      </c>
      <c r="CR338" t="s">
        <v>100</v>
      </c>
      <c r="CS338" s="7" t="s">
        <v>101</v>
      </c>
      <c r="CT338" t="s">
        <v>152</v>
      </c>
      <c r="CU338" t="s">
        <v>102</v>
      </c>
      <c r="CV338" t="s">
        <v>100</v>
      </c>
    </row>
    <row r="339" spans="1:100">
      <c r="A339" s="3" t="s">
        <v>6275</v>
      </c>
      <c r="B339" s="4" t="s">
        <v>6276</v>
      </c>
      <c r="C339">
        <v>117.425540664209</v>
      </c>
      <c r="D339">
        <v>1291.3477059050199</v>
      </c>
      <c r="E339">
        <f>-3.45817719844065</f>
        <v>-3.4581771984406502</v>
      </c>
      <c r="F339" s="5">
        <v>4.6464345275925102E-6</v>
      </c>
      <c r="G339" t="s">
        <v>4</v>
      </c>
      <c r="H339">
        <v>117.425540664209</v>
      </c>
      <c r="I339">
        <v>37.518245686127401</v>
      </c>
      <c r="J339">
        <v>1.6512259693162401</v>
      </c>
      <c r="K339">
        <v>3.7419024292523799E-2</v>
      </c>
      <c r="L339" t="s">
        <v>4</v>
      </c>
      <c r="M339">
        <v>1291.3477059050199</v>
      </c>
      <c r="N339">
        <v>37.518245686127401</v>
      </c>
      <c r="O339">
        <v>5.1094031677568896</v>
      </c>
      <c r="P339" s="5">
        <v>3.6896956713814502E-12</v>
      </c>
      <c r="Q339" t="s">
        <v>4</v>
      </c>
      <c r="R339" s="4" t="s">
        <v>87</v>
      </c>
      <c r="S339" t="s">
        <v>4</v>
      </c>
      <c r="T339" t="s">
        <v>92</v>
      </c>
      <c r="U339" t="s">
        <v>92</v>
      </c>
      <c r="V339" t="s">
        <v>92</v>
      </c>
      <c r="W339" t="s">
        <v>92</v>
      </c>
      <c r="X339" t="s">
        <v>4</v>
      </c>
      <c r="Y339" t="s">
        <v>92</v>
      </c>
      <c r="Z339" t="s">
        <v>92</v>
      </c>
      <c r="AA339" t="s">
        <v>92</v>
      </c>
      <c r="AB339" t="s">
        <v>4</v>
      </c>
      <c r="AC339" s="3" t="s">
        <v>93</v>
      </c>
      <c r="AD339" t="s">
        <v>4</v>
      </c>
      <c r="AE339" t="s">
        <v>6277</v>
      </c>
      <c r="AF339" t="s">
        <v>6278</v>
      </c>
      <c r="AG339" t="s">
        <v>6279</v>
      </c>
      <c r="AH339" t="s">
        <v>112</v>
      </c>
      <c r="AL339" t="s">
        <v>6280</v>
      </c>
      <c r="AM339" t="s">
        <v>1854</v>
      </c>
      <c r="AQ339" t="s">
        <v>879</v>
      </c>
      <c r="AU339" t="s">
        <v>112</v>
      </c>
      <c r="AV339" t="s">
        <v>6281</v>
      </c>
      <c r="AW339" t="s">
        <v>114</v>
      </c>
      <c r="AX339" t="s">
        <v>5688</v>
      </c>
      <c r="AY339" t="s">
        <v>6282</v>
      </c>
      <c r="AZ339" t="s">
        <v>4</v>
      </c>
      <c r="BA339" s="3" t="s">
        <v>95</v>
      </c>
      <c r="BB339" s="6" t="s">
        <v>95</v>
      </c>
      <c r="BC339" s="3" t="s">
        <v>95</v>
      </c>
      <c r="BD339" t="s">
        <v>4</v>
      </c>
      <c r="BE339">
        <v>2106</v>
      </c>
      <c r="BF339" t="s">
        <v>148</v>
      </c>
      <c r="BI339">
        <v>90.884</v>
      </c>
      <c r="BK339" t="s">
        <v>6283</v>
      </c>
      <c r="BL339">
        <v>16.5746</v>
      </c>
      <c r="BM339">
        <v>18.784500000000001</v>
      </c>
      <c r="BN339" t="s">
        <v>6284</v>
      </c>
      <c r="BO339">
        <v>72.928200000000004</v>
      </c>
      <c r="CK339">
        <v>3</v>
      </c>
      <c r="CL339" t="s">
        <v>4</v>
      </c>
      <c r="CM339" t="s">
        <v>98</v>
      </c>
      <c r="CN339" t="s">
        <v>98</v>
      </c>
      <c r="CO339" t="s">
        <v>99</v>
      </c>
      <c r="CP339" t="s">
        <v>100</v>
      </c>
      <c r="CQ339">
        <v>338</v>
      </c>
      <c r="CR339" t="s">
        <v>100</v>
      </c>
      <c r="CS339" s="7" t="s">
        <v>101</v>
      </c>
      <c r="CT339" t="s">
        <v>152</v>
      </c>
      <c r="CU339" t="s">
        <v>102</v>
      </c>
      <c r="CV339" t="s">
        <v>100</v>
      </c>
    </row>
    <row r="340" spans="1:100">
      <c r="A340" s="3" t="s">
        <v>6285</v>
      </c>
      <c r="B340" s="4" t="s">
        <v>6286</v>
      </c>
      <c r="C340">
        <v>194.89591170862201</v>
      </c>
      <c r="D340">
        <v>823.81742910980995</v>
      </c>
      <c r="E340">
        <f>-2.07779994610993</f>
        <v>-2.0777999461099301</v>
      </c>
      <c r="F340" s="5">
        <v>1.3006487107461501E-11</v>
      </c>
      <c r="G340" t="s">
        <v>4</v>
      </c>
      <c r="H340">
        <v>194.89591170862201</v>
      </c>
      <c r="I340">
        <v>109.585096158049</v>
      </c>
      <c r="J340">
        <v>0.84934238798080797</v>
      </c>
      <c r="K340">
        <v>1.0851624526475499E-2</v>
      </c>
      <c r="L340" t="s">
        <v>4</v>
      </c>
      <c r="M340">
        <v>823.81742910980995</v>
      </c>
      <c r="N340">
        <v>109.585096158049</v>
      </c>
      <c r="O340">
        <v>2.9271423340907399</v>
      </c>
      <c r="P340" s="5">
        <v>2.1269832599529899E-21</v>
      </c>
      <c r="Q340" t="s">
        <v>4</v>
      </c>
      <c r="R340" s="4" t="s">
        <v>87</v>
      </c>
      <c r="S340" t="s">
        <v>4</v>
      </c>
      <c r="T340" t="s">
        <v>2243</v>
      </c>
      <c r="U340" t="s">
        <v>2244</v>
      </c>
      <c r="V340" t="s">
        <v>2245</v>
      </c>
      <c r="W340" t="s">
        <v>123</v>
      </c>
      <c r="X340" t="s">
        <v>4</v>
      </c>
      <c r="Y340" t="s">
        <v>6287</v>
      </c>
      <c r="Z340" t="s">
        <v>6288</v>
      </c>
      <c r="AA340" t="s">
        <v>6289</v>
      </c>
      <c r="AB340" t="s">
        <v>4</v>
      </c>
      <c r="AC340" s="3" t="s">
        <v>2706</v>
      </c>
      <c r="AD340" t="s">
        <v>4</v>
      </c>
      <c r="AE340" t="s">
        <v>6290</v>
      </c>
      <c r="AF340" t="s">
        <v>6291</v>
      </c>
      <c r="AG340" t="s">
        <v>6292</v>
      </c>
      <c r="AH340" t="s">
        <v>112</v>
      </c>
      <c r="AJ340" t="s">
        <v>6293</v>
      </c>
      <c r="AL340" t="s">
        <v>6294</v>
      </c>
      <c r="AQ340" t="s">
        <v>2177</v>
      </c>
      <c r="AU340" t="s">
        <v>112</v>
      </c>
      <c r="AV340" t="s">
        <v>6295</v>
      </c>
      <c r="AW340" t="s">
        <v>114</v>
      </c>
      <c r="AX340" t="s">
        <v>144</v>
      </c>
      <c r="AY340" t="s">
        <v>6296</v>
      </c>
      <c r="AZ340" t="s">
        <v>4</v>
      </c>
      <c r="BA340" s="3" t="s">
        <v>95</v>
      </c>
      <c r="BB340" s="6" t="s">
        <v>95</v>
      </c>
      <c r="BC340" s="3" t="s">
        <v>95</v>
      </c>
      <c r="BD340" t="s">
        <v>4</v>
      </c>
      <c r="BE340">
        <v>4377</v>
      </c>
      <c r="BF340" t="s">
        <v>112</v>
      </c>
      <c r="BG340" t="s">
        <v>6297</v>
      </c>
      <c r="BJ340">
        <v>12.9717</v>
      </c>
      <c r="BK340">
        <v>35.377400000000002</v>
      </c>
      <c r="BL340">
        <v>15.3302</v>
      </c>
      <c r="BM340">
        <v>35.8491</v>
      </c>
      <c r="BN340">
        <v>36.792499999999997</v>
      </c>
      <c r="BO340">
        <v>36.792499999999997</v>
      </c>
      <c r="CK340">
        <v>5</v>
      </c>
      <c r="CL340" t="s">
        <v>4</v>
      </c>
      <c r="CM340" t="s">
        <v>98</v>
      </c>
      <c r="CN340" t="s">
        <v>98</v>
      </c>
      <c r="CO340" t="s">
        <v>99</v>
      </c>
      <c r="CP340" t="s">
        <v>100</v>
      </c>
      <c r="CQ340">
        <v>339</v>
      </c>
      <c r="CR340" t="s">
        <v>100</v>
      </c>
      <c r="CS340" t="s">
        <v>100</v>
      </c>
      <c r="CT340" t="s">
        <v>152</v>
      </c>
      <c r="CU340" t="s">
        <v>102</v>
      </c>
      <c r="CV340" t="s">
        <v>100</v>
      </c>
    </row>
    <row r="341" spans="1:100">
      <c r="A341" s="3" t="s">
        <v>6298</v>
      </c>
      <c r="B341" s="4" t="s">
        <v>6299</v>
      </c>
      <c r="C341">
        <v>108.91611041546101</v>
      </c>
      <c r="D341">
        <v>1299.5529554939701</v>
      </c>
      <c r="E341">
        <f>-3.57486680627642</f>
        <v>-3.57486680627642</v>
      </c>
      <c r="F341" s="5">
        <v>1.2736000071509201E-13</v>
      </c>
      <c r="G341" t="s">
        <v>4</v>
      </c>
      <c r="H341">
        <v>108.91611041546101</v>
      </c>
      <c r="I341">
        <v>56.999545027049102</v>
      </c>
      <c r="J341">
        <v>0.943917032636578</v>
      </c>
      <c r="K341">
        <v>7.6673633546446102E-2</v>
      </c>
      <c r="L341" t="s">
        <v>4</v>
      </c>
      <c r="M341">
        <v>1299.5529554939701</v>
      </c>
      <c r="N341">
        <v>56.999545027049102</v>
      </c>
      <c r="O341">
        <v>4.5187838389130004</v>
      </c>
      <c r="P341" s="5">
        <v>8.2807756940736399E-21</v>
      </c>
      <c r="Q341" t="s">
        <v>4</v>
      </c>
      <c r="R341" s="4" t="s">
        <v>87</v>
      </c>
      <c r="S341" t="s">
        <v>4</v>
      </c>
      <c r="T341" t="s">
        <v>2243</v>
      </c>
      <c r="U341" t="s">
        <v>2244</v>
      </c>
      <c r="V341" t="s">
        <v>2245</v>
      </c>
      <c r="W341" t="s">
        <v>123</v>
      </c>
      <c r="X341" t="s">
        <v>4</v>
      </c>
      <c r="Y341" t="s">
        <v>6287</v>
      </c>
      <c r="Z341" t="s">
        <v>6288</v>
      </c>
      <c r="AA341" t="s">
        <v>6289</v>
      </c>
      <c r="AB341" t="s">
        <v>4</v>
      </c>
      <c r="AC341" s="3" t="s">
        <v>2706</v>
      </c>
      <c r="AD341" t="s">
        <v>4</v>
      </c>
      <c r="AE341" t="s">
        <v>6290</v>
      </c>
      <c r="AF341" t="s">
        <v>6300</v>
      </c>
      <c r="AG341" t="s">
        <v>6301</v>
      </c>
      <c r="AH341" t="s">
        <v>112</v>
      </c>
      <c r="AJ341" t="s">
        <v>6293</v>
      </c>
      <c r="AL341" t="s">
        <v>6294</v>
      </c>
      <c r="AQ341" t="s">
        <v>2177</v>
      </c>
      <c r="AU341" t="s">
        <v>112</v>
      </c>
      <c r="AV341" t="s">
        <v>6295</v>
      </c>
      <c r="AW341" t="s">
        <v>114</v>
      </c>
      <c r="AX341" t="s">
        <v>144</v>
      </c>
      <c r="AY341" t="s">
        <v>6296</v>
      </c>
      <c r="AZ341" t="s">
        <v>4</v>
      </c>
      <c r="BA341" s="3" t="s">
        <v>95</v>
      </c>
      <c r="BB341" s="6" t="s">
        <v>95</v>
      </c>
      <c r="BC341" s="3" t="s">
        <v>95</v>
      </c>
      <c r="BD341" t="s">
        <v>4</v>
      </c>
      <c r="BE341">
        <v>4378</v>
      </c>
      <c r="BF341" t="s">
        <v>112</v>
      </c>
      <c r="BG341">
        <v>56.046500000000002</v>
      </c>
      <c r="BJ341">
        <v>21.860499999999998</v>
      </c>
      <c r="BK341">
        <v>41.162799999999997</v>
      </c>
      <c r="BL341">
        <v>13.7209</v>
      </c>
      <c r="BM341">
        <v>34.418599999999998</v>
      </c>
      <c r="BN341">
        <v>34.883699999999997</v>
      </c>
      <c r="BO341">
        <v>33.7209</v>
      </c>
      <c r="CK341">
        <v>5</v>
      </c>
      <c r="CL341" t="s">
        <v>4</v>
      </c>
      <c r="CM341" t="s">
        <v>98</v>
      </c>
      <c r="CN341" t="s">
        <v>98</v>
      </c>
      <c r="CO341" t="s">
        <v>99</v>
      </c>
      <c r="CP341" t="s">
        <v>100</v>
      </c>
      <c r="CQ341">
        <v>340</v>
      </c>
      <c r="CR341" t="s">
        <v>100</v>
      </c>
      <c r="CS341" t="s">
        <v>100</v>
      </c>
      <c r="CT341" t="s">
        <v>152</v>
      </c>
      <c r="CU341" t="s">
        <v>102</v>
      </c>
      <c r="CV341" t="s">
        <v>100</v>
      </c>
    </row>
    <row r="342" spans="1:100">
      <c r="A342" s="3" t="s">
        <v>6302</v>
      </c>
      <c r="B342" s="4" t="s">
        <v>6303</v>
      </c>
      <c r="C342">
        <v>898.24489154716605</v>
      </c>
      <c r="D342">
        <v>18659.208430616502</v>
      </c>
      <c r="E342">
        <f>-4.3765749893223</f>
        <v>-4.3765749893223003</v>
      </c>
      <c r="F342" s="5">
        <v>1.3005995162071499E-5</v>
      </c>
      <c r="G342" t="s">
        <v>4</v>
      </c>
      <c r="H342">
        <v>898.24489154716605</v>
      </c>
      <c r="I342">
        <v>424.09950050433702</v>
      </c>
      <c r="J342">
        <v>1.0835597721319601</v>
      </c>
      <c r="K342">
        <v>0.30885538929803702</v>
      </c>
      <c r="L342" t="s">
        <v>4</v>
      </c>
      <c r="M342">
        <v>18659.208430616502</v>
      </c>
      <c r="N342">
        <v>424.09950050433702</v>
      </c>
      <c r="O342">
        <v>5.4601347614542597</v>
      </c>
      <c r="P342" s="5">
        <v>1.28776202420857E-8</v>
      </c>
      <c r="Q342" t="s">
        <v>4</v>
      </c>
      <c r="R342" s="4" t="s">
        <v>87</v>
      </c>
      <c r="S342" t="s">
        <v>4</v>
      </c>
      <c r="T342" t="s">
        <v>92</v>
      </c>
      <c r="U342" t="s">
        <v>92</v>
      </c>
      <c r="V342" t="s">
        <v>92</v>
      </c>
      <c r="W342" t="s">
        <v>92</v>
      </c>
      <c r="X342" t="s">
        <v>4</v>
      </c>
      <c r="Y342" t="s">
        <v>92</v>
      </c>
      <c r="Z342" t="s">
        <v>92</v>
      </c>
      <c r="AA342" t="s">
        <v>92</v>
      </c>
      <c r="AB342" t="s">
        <v>4</v>
      </c>
      <c r="AC342" s="3" t="s">
        <v>93</v>
      </c>
      <c r="AD342" t="s">
        <v>4</v>
      </c>
      <c r="AE342" s="4" t="s">
        <v>94</v>
      </c>
      <c r="AZ342" t="s">
        <v>4</v>
      </c>
      <c r="BA342" s="3" t="s">
        <v>95</v>
      </c>
      <c r="BB342" s="6" t="s">
        <v>95</v>
      </c>
      <c r="BC342" s="3" t="s">
        <v>95</v>
      </c>
      <c r="BD342" t="s">
        <v>4</v>
      </c>
      <c r="BE342">
        <v>1323</v>
      </c>
      <c r="BF342" t="s">
        <v>151</v>
      </c>
      <c r="BG342">
        <v>99.539199999999994</v>
      </c>
      <c r="BH342" t="s">
        <v>6304</v>
      </c>
      <c r="BI342">
        <v>87.557599999999994</v>
      </c>
      <c r="BJ342" t="s">
        <v>6305</v>
      </c>
      <c r="CK342">
        <v>2</v>
      </c>
      <c r="CL342" t="s">
        <v>4</v>
      </c>
      <c r="CM342" t="s">
        <v>98</v>
      </c>
      <c r="CN342" t="s">
        <v>98</v>
      </c>
      <c r="CO342" t="s">
        <v>99</v>
      </c>
      <c r="CP342" t="s">
        <v>100</v>
      </c>
      <c r="CQ342">
        <v>341</v>
      </c>
      <c r="CR342" t="s">
        <v>100</v>
      </c>
      <c r="CS342" t="s">
        <v>100</v>
      </c>
      <c r="CT342" t="s">
        <v>152</v>
      </c>
      <c r="CU342" t="s">
        <v>102</v>
      </c>
      <c r="CV342" t="s">
        <v>100</v>
      </c>
    </row>
    <row r="343" spans="1:100">
      <c r="A343" s="3" t="s">
        <v>6306</v>
      </c>
      <c r="B343" s="4" t="s">
        <v>6307</v>
      </c>
      <c r="C343">
        <v>134.01074882092499</v>
      </c>
      <c r="D343">
        <v>1789.67371502892</v>
      </c>
      <c r="E343">
        <f>-3.73853604310165</f>
        <v>-3.7385360431016501</v>
      </c>
      <c r="F343" s="5">
        <v>1.1130420600043199E-7</v>
      </c>
      <c r="G343" t="s">
        <v>4</v>
      </c>
      <c r="H343">
        <v>134.01074882092499</v>
      </c>
      <c r="I343">
        <v>75.007751577769199</v>
      </c>
      <c r="J343">
        <v>0.83909486119701704</v>
      </c>
      <c r="K343">
        <v>0.27332580966526299</v>
      </c>
      <c r="L343" t="s">
        <v>4</v>
      </c>
      <c r="M343">
        <v>1789.67371502892</v>
      </c>
      <c r="N343">
        <v>75.007751577769199</v>
      </c>
      <c r="O343">
        <v>4.5776309042986698</v>
      </c>
      <c r="P343" s="5">
        <v>2.5199757747355101E-11</v>
      </c>
      <c r="Q343" t="s">
        <v>4</v>
      </c>
      <c r="R343" s="4" t="s">
        <v>87</v>
      </c>
      <c r="S343" t="s">
        <v>4</v>
      </c>
      <c r="T343" t="s">
        <v>88</v>
      </c>
      <c r="U343" t="s">
        <v>89</v>
      </c>
      <c r="V343" t="s">
        <v>90</v>
      </c>
      <c r="W343" t="s">
        <v>91</v>
      </c>
      <c r="X343" t="s">
        <v>4</v>
      </c>
      <c r="Y343" t="s">
        <v>92</v>
      </c>
      <c r="Z343" t="s">
        <v>92</v>
      </c>
      <c r="AA343" t="s">
        <v>92</v>
      </c>
      <c r="AB343" t="s">
        <v>4</v>
      </c>
      <c r="AC343" s="3" t="s">
        <v>93</v>
      </c>
      <c r="AD343" t="s">
        <v>4</v>
      </c>
      <c r="AE343" t="s">
        <v>6308</v>
      </c>
      <c r="AF343" t="s">
        <v>6309</v>
      </c>
      <c r="AG343" t="s">
        <v>788</v>
      </c>
      <c r="AH343" t="s">
        <v>638</v>
      </c>
      <c r="AU343" t="s">
        <v>112</v>
      </c>
      <c r="AV343" t="s">
        <v>6310</v>
      </c>
      <c r="AW343" t="s">
        <v>114</v>
      </c>
      <c r="AZ343" t="s">
        <v>4</v>
      </c>
      <c r="BA343" s="3" t="s">
        <v>95</v>
      </c>
      <c r="BB343" t="s">
        <v>96</v>
      </c>
      <c r="BC343" s="3" t="s">
        <v>95</v>
      </c>
      <c r="BD343" t="s">
        <v>4</v>
      </c>
      <c r="BE343">
        <v>2790</v>
      </c>
      <c r="BF343" t="s">
        <v>97</v>
      </c>
      <c r="BG343" t="s">
        <v>6311</v>
      </c>
      <c r="BI343">
        <v>35.410800000000002</v>
      </c>
      <c r="BJ343">
        <v>50.708199999999998</v>
      </c>
      <c r="BK343">
        <v>46.4589</v>
      </c>
      <c r="BL343">
        <v>51.8414</v>
      </c>
      <c r="BM343">
        <v>55.524099999999997</v>
      </c>
      <c r="BN343">
        <v>52.974499999999999</v>
      </c>
      <c r="BO343">
        <v>66.288899999999998</v>
      </c>
      <c r="BP343">
        <v>17.847000000000001</v>
      </c>
      <c r="CK343">
        <v>4</v>
      </c>
      <c r="CL343" t="s">
        <v>4</v>
      </c>
      <c r="CM343" t="s">
        <v>98</v>
      </c>
      <c r="CN343" t="s">
        <v>98</v>
      </c>
      <c r="CO343" t="s">
        <v>99</v>
      </c>
      <c r="CP343" t="s">
        <v>100</v>
      </c>
      <c r="CQ343">
        <v>342</v>
      </c>
      <c r="CR343" t="s">
        <v>100</v>
      </c>
      <c r="CS343" t="s">
        <v>100</v>
      </c>
      <c r="CT343" t="s">
        <v>152</v>
      </c>
      <c r="CU343" t="s">
        <v>102</v>
      </c>
      <c r="CV343" t="s">
        <v>100</v>
      </c>
    </row>
    <row r="344" spans="1:100">
      <c r="A344" s="3" t="s">
        <v>6312</v>
      </c>
      <c r="B344" s="4" t="s">
        <v>6313</v>
      </c>
      <c r="C344">
        <v>81.503370994500401</v>
      </c>
      <c r="D344">
        <v>873.06631981703504</v>
      </c>
      <c r="E344">
        <f>-3.42092851434494</f>
        <v>-3.4209285143449399</v>
      </c>
      <c r="F344" s="5">
        <v>2.6120582575592E-9</v>
      </c>
      <c r="G344" t="s">
        <v>4</v>
      </c>
      <c r="H344">
        <v>81.503370994500401</v>
      </c>
      <c r="I344">
        <v>16.289244638098499</v>
      </c>
      <c r="J344">
        <v>2.36947918141971</v>
      </c>
      <c r="K344">
        <v>2.0848697560500501E-4</v>
      </c>
      <c r="L344" t="s">
        <v>4</v>
      </c>
      <c r="M344">
        <v>873.06631981703504</v>
      </c>
      <c r="N344">
        <v>16.289244638098499</v>
      </c>
      <c r="O344">
        <v>5.7904076957646602</v>
      </c>
      <c r="P344" s="5">
        <v>8.1122531865674904E-22</v>
      </c>
      <c r="Q344" t="s">
        <v>4</v>
      </c>
      <c r="R344" s="4" t="s">
        <v>87</v>
      </c>
      <c r="S344" t="s">
        <v>4</v>
      </c>
      <c r="T344" t="s">
        <v>92</v>
      </c>
      <c r="U344" t="s">
        <v>92</v>
      </c>
      <c r="V344" t="s">
        <v>92</v>
      </c>
      <c r="W344" t="s">
        <v>92</v>
      </c>
      <c r="X344" t="s">
        <v>4</v>
      </c>
      <c r="Y344" t="s">
        <v>92</v>
      </c>
      <c r="Z344" t="s">
        <v>92</v>
      </c>
      <c r="AA344" t="s">
        <v>92</v>
      </c>
      <c r="AB344" t="s">
        <v>4</v>
      </c>
      <c r="AC344" s="3" t="s">
        <v>93</v>
      </c>
      <c r="AD344" t="s">
        <v>4</v>
      </c>
      <c r="AE344" s="4" t="s">
        <v>94</v>
      </c>
      <c r="AZ344" t="s">
        <v>4</v>
      </c>
      <c r="BA344" s="3" t="s">
        <v>95</v>
      </c>
      <c r="BB344" s="6" t="s">
        <v>95</v>
      </c>
      <c r="BC344" s="3" t="s">
        <v>95</v>
      </c>
      <c r="BD344" t="s">
        <v>4</v>
      </c>
      <c r="BE344">
        <v>810</v>
      </c>
      <c r="BF344" t="s">
        <v>604</v>
      </c>
      <c r="BG344">
        <v>85.593199999999996</v>
      </c>
      <c r="BH344">
        <v>89.830500000000001</v>
      </c>
      <c r="CK344">
        <v>1.5</v>
      </c>
      <c r="CL344" t="s">
        <v>4</v>
      </c>
      <c r="CM344" t="s">
        <v>98</v>
      </c>
      <c r="CN344" t="s">
        <v>98</v>
      </c>
      <c r="CO344" t="s">
        <v>99</v>
      </c>
      <c r="CP344" t="s">
        <v>100</v>
      </c>
      <c r="CQ344">
        <v>343</v>
      </c>
      <c r="CR344" t="s">
        <v>100</v>
      </c>
      <c r="CS344" t="s">
        <v>101</v>
      </c>
      <c r="CT344" t="s">
        <v>152</v>
      </c>
      <c r="CU344" t="s">
        <v>102</v>
      </c>
      <c r="CV344" t="s">
        <v>100</v>
      </c>
    </row>
    <row r="345" spans="1:100">
      <c r="A345" s="3" t="s">
        <v>6314</v>
      </c>
      <c r="B345" s="4" t="s">
        <v>6315</v>
      </c>
      <c r="C345">
        <v>81.6583872534991</v>
      </c>
      <c r="D345">
        <v>1094.7297050683201</v>
      </c>
      <c r="E345">
        <f>-3.74308001862523</f>
        <v>-3.7430800186252302</v>
      </c>
      <c r="F345" s="5">
        <v>1.2509248102815901E-27</v>
      </c>
      <c r="G345" t="s">
        <v>4</v>
      </c>
      <c r="H345">
        <v>81.6583872534991</v>
      </c>
      <c r="I345">
        <v>128.853840190439</v>
      </c>
      <c r="J345">
        <f>0.645608451797917</f>
        <v>0.64560845179791704</v>
      </c>
      <c r="K345">
        <v>9.3398787221750101E-2</v>
      </c>
      <c r="L345" t="s">
        <v>4</v>
      </c>
      <c r="M345">
        <v>1094.7297050683201</v>
      </c>
      <c r="N345">
        <v>128.853840190439</v>
      </c>
      <c r="O345">
        <v>3.0974715668273198</v>
      </c>
      <c r="P345" s="5">
        <v>1.30885745905655E-19</v>
      </c>
      <c r="Q345" t="s">
        <v>4</v>
      </c>
      <c r="R345" s="4" t="s">
        <v>87</v>
      </c>
      <c r="S345" t="s">
        <v>4</v>
      </c>
      <c r="T345" t="s">
        <v>3367</v>
      </c>
      <c r="U345" t="s">
        <v>3368</v>
      </c>
      <c r="V345" t="s">
        <v>3369</v>
      </c>
      <c r="W345" t="s">
        <v>328</v>
      </c>
      <c r="X345" t="s">
        <v>4</v>
      </c>
      <c r="Y345" t="s">
        <v>3370</v>
      </c>
      <c r="Z345" t="s">
        <v>3371</v>
      </c>
      <c r="AA345" t="s">
        <v>3372</v>
      </c>
      <c r="AB345" t="s">
        <v>4</v>
      </c>
      <c r="AC345" s="3" t="s">
        <v>6316</v>
      </c>
      <c r="AD345" t="s">
        <v>4</v>
      </c>
      <c r="AE345" t="s">
        <v>3373</v>
      </c>
      <c r="AF345" t="s">
        <v>6317</v>
      </c>
      <c r="AG345" t="s">
        <v>6318</v>
      </c>
      <c r="AH345" t="s">
        <v>386</v>
      </c>
      <c r="AU345" t="s">
        <v>112</v>
      </c>
      <c r="AV345" t="s">
        <v>3376</v>
      </c>
      <c r="AW345" t="s">
        <v>114</v>
      </c>
      <c r="AX345" t="s">
        <v>371</v>
      </c>
      <c r="AY345" t="s">
        <v>3377</v>
      </c>
      <c r="AZ345" t="s">
        <v>4</v>
      </c>
      <c r="BA345" s="3" t="s">
        <v>95</v>
      </c>
      <c r="BB345" s="6" t="s">
        <v>95</v>
      </c>
      <c r="BC345" s="3" t="s">
        <v>95</v>
      </c>
      <c r="BD345" t="s">
        <v>4</v>
      </c>
      <c r="BE345">
        <v>5735</v>
      </c>
      <c r="BF345" t="s">
        <v>386</v>
      </c>
      <c r="BG345">
        <v>95.054900000000004</v>
      </c>
      <c r="BH345">
        <v>91.483500000000006</v>
      </c>
      <c r="BK345">
        <v>79.670299999999997</v>
      </c>
      <c r="BQ345">
        <v>35.439599999999999</v>
      </c>
      <c r="BV345" t="s">
        <v>6319</v>
      </c>
      <c r="BX345">
        <v>32.4176</v>
      </c>
      <c r="CB345">
        <v>22.5275</v>
      </c>
      <c r="CE345">
        <v>25.549399999999999</v>
      </c>
      <c r="CK345">
        <v>7</v>
      </c>
      <c r="CL345" t="s">
        <v>4</v>
      </c>
      <c r="CM345" t="s">
        <v>98</v>
      </c>
      <c r="CN345" t="s">
        <v>98</v>
      </c>
      <c r="CO345" t="s">
        <v>99</v>
      </c>
      <c r="CP345" t="s">
        <v>100</v>
      </c>
      <c r="CQ345">
        <v>344</v>
      </c>
      <c r="CR345" t="s">
        <v>100</v>
      </c>
      <c r="CS345" t="s">
        <v>100</v>
      </c>
      <c r="CT345" t="s">
        <v>152</v>
      </c>
      <c r="CU345" t="s">
        <v>102</v>
      </c>
      <c r="CV345" t="s">
        <v>100</v>
      </c>
    </row>
    <row r="346" spans="1:100">
      <c r="A346" s="3" t="s">
        <v>6320</v>
      </c>
      <c r="B346" s="4" t="s">
        <v>6321</v>
      </c>
      <c r="C346">
        <v>48.120701823252404</v>
      </c>
      <c r="D346">
        <v>446.69800312994198</v>
      </c>
      <c r="E346">
        <f>-3.21102141739545</f>
        <v>-3.2110214173954499</v>
      </c>
      <c r="F346" s="5">
        <v>2.7325098847262E-8</v>
      </c>
      <c r="G346" t="s">
        <v>4</v>
      </c>
      <c r="H346">
        <v>48.120701823252404</v>
      </c>
      <c r="I346">
        <v>26.381659364579701</v>
      </c>
      <c r="J346">
        <v>0.85005810852309804</v>
      </c>
      <c r="K346">
        <v>0.19238871063283999</v>
      </c>
      <c r="L346" t="s">
        <v>4</v>
      </c>
      <c r="M346">
        <v>446.69800312994198</v>
      </c>
      <c r="N346">
        <v>26.381659364579701</v>
      </c>
      <c r="O346">
        <v>4.0610795259185499</v>
      </c>
      <c r="P346" s="5">
        <v>3.05639128217266E-12</v>
      </c>
      <c r="Q346" t="s">
        <v>4</v>
      </c>
      <c r="R346" s="4" t="s">
        <v>87</v>
      </c>
      <c r="S346" t="s">
        <v>4</v>
      </c>
      <c r="T346" t="s">
        <v>92</v>
      </c>
      <c r="U346" t="s">
        <v>92</v>
      </c>
      <c r="V346" t="s">
        <v>92</v>
      </c>
      <c r="W346" t="s">
        <v>92</v>
      </c>
      <c r="X346" t="s">
        <v>4</v>
      </c>
      <c r="Y346" t="s">
        <v>92</v>
      </c>
      <c r="Z346" t="s">
        <v>92</v>
      </c>
      <c r="AA346" t="s">
        <v>92</v>
      </c>
      <c r="AB346" t="s">
        <v>4</v>
      </c>
      <c r="AC346" s="3" t="s">
        <v>93</v>
      </c>
      <c r="AD346" t="s">
        <v>4</v>
      </c>
      <c r="AE346" s="4" t="s">
        <v>94</v>
      </c>
      <c r="AZ346" t="s">
        <v>4</v>
      </c>
      <c r="BA346" s="3" t="s">
        <v>95</v>
      </c>
      <c r="BB346" s="6" t="s">
        <v>95</v>
      </c>
      <c r="BC346" s="3" t="s">
        <v>95</v>
      </c>
      <c r="BD346" t="s">
        <v>4</v>
      </c>
      <c r="BE346">
        <v>1339</v>
      </c>
      <c r="BF346" t="s">
        <v>151</v>
      </c>
      <c r="BG346">
        <v>98.648700000000005</v>
      </c>
      <c r="BH346">
        <v>100</v>
      </c>
      <c r="BI346">
        <v>90.991</v>
      </c>
      <c r="BJ346">
        <v>73.423400000000001</v>
      </c>
      <c r="BK346">
        <v>40.540500000000002</v>
      </c>
      <c r="BL346">
        <v>54.054099999999998</v>
      </c>
      <c r="BM346">
        <v>61.261299999999999</v>
      </c>
      <c r="BN346">
        <v>61.261299999999999</v>
      </c>
      <c r="BO346">
        <v>59.9099</v>
      </c>
      <c r="CK346">
        <v>2</v>
      </c>
      <c r="CL346" t="s">
        <v>4</v>
      </c>
      <c r="CM346" t="s">
        <v>98</v>
      </c>
      <c r="CN346" t="s">
        <v>98</v>
      </c>
      <c r="CO346" t="s">
        <v>99</v>
      </c>
      <c r="CP346" t="s">
        <v>100</v>
      </c>
      <c r="CQ346">
        <v>345</v>
      </c>
      <c r="CR346" t="s">
        <v>100</v>
      </c>
      <c r="CS346" t="s">
        <v>100</v>
      </c>
      <c r="CT346" t="s">
        <v>152</v>
      </c>
      <c r="CU346" t="s">
        <v>102</v>
      </c>
      <c r="CV346" t="s">
        <v>100</v>
      </c>
    </row>
    <row r="347" spans="1:100">
      <c r="A347" s="3" t="s">
        <v>6322</v>
      </c>
      <c r="B347" s="4" t="s">
        <v>6323</v>
      </c>
      <c r="C347">
        <v>1901.9164379359299</v>
      </c>
      <c r="D347">
        <v>10906.3720269608</v>
      </c>
      <c r="E347">
        <f>-2.51962333228305</f>
        <v>-2.5196233322830501</v>
      </c>
      <c r="F347" s="5">
        <v>1.34045217962258E-57</v>
      </c>
      <c r="G347" t="s">
        <v>4</v>
      </c>
      <c r="H347">
        <v>1901.9164379359299</v>
      </c>
      <c r="I347">
        <v>1245.6303658117899</v>
      </c>
      <c r="J347">
        <v>0.61005151904392196</v>
      </c>
      <c r="K347">
        <v>2.7130371957883101E-4</v>
      </c>
      <c r="L347" t="s">
        <v>4</v>
      </c>
      <c r="M347">
        <v>10906.3720269608</v>
      </c>
      <c r="N347">
        <v>1245.6303658117899</v>
      </c>
      <c r="O347">
        <v>3.1296748513269699</v>
      </c>
      <c r="P347" s="5">
        <v>9.5450391697230104E-89</v>
      </c>
      <c r="Q347" t="s">
        <v>4</v>
      </c>
      <c r="R347" s="4" t="s">
        <v>87</v>
      </c>
      <c r="S347" t="s">
        <v>4</v>
      </c>
      <c r="T347" t="s">
        <v>684</v>
      </c>
      <c r="U347" t="s">
        <v>685</v>
      </c>
      <c r="V347" t="s">
        <v>686</v>
      </c>
      <c r="W347" t="s">
        <v>123</v>
      </c>
      <c r="X347" t="s">
        <v>4</v>
      </c>
      <c r="Y347" t="s">
        <v>6324</v>
      </c>
      <c r="Z347" t="s">
        <v>6325</v>
      </c>
      <c r="AA347" t="s">
        <v>6326</v>
      </c>
      <c r="AB347" t="s">
        <v>4</v>
      </c>
      <c r="AC347" s="3" t="s">
        <v>6327</v>
      </c>
      <c r="AD347" t="s">
        <v>4</v>
      </c>
      <c r="AE347" t="s">
        <v>6328</v>
      </c>
      <c r="AF347" t="s">
        <v>6329</v>
      </c>
      <c r="AG347" t="s">
        <v>6330</v>
      </c>
      <c r="AH347" t="s">
        <v>282</v>
      </c>
      <c r="AU347" t="s">
        <v>112</v>
      </c>
      <c r="AV347" t="s">
        <v>6331</v>
      </c>
      <c r="AW347" t="s">
        <v>114</v>
      </c>
      <c r="AX347" t="s">
        <v>536</v>
      </c>
      <c r="AY347" t="s">
        <v>6332</v>
      </c>
      <c r="AZ347" t="s">
        <v>4</v>
      </c>
      <c r="BA347" s="3" t="s">
        <v>95</v>
      </c>
      <c r="BB347" s="6" t="s">
        <v>95</v>
      </c>
      <c r="BC347" s="3" t="s">
        <v>95</v>
      </c>
      <c r="BD347" t="s">
        <v>4</v>
      </c>
      <c r="BE347">
        <v>5736</v>
      </c>
      <c r="BF347" t="s">
        <v>386</v>
      </c>
      <c r="BG347">
        <v>98.6631</v>
      </c>
      <c r="BH347">
        <v>37.433199999999999</v>
      </c>
      <c r="BI347">
        <v>96.123000000000005</v>
      </c>
      <c r="BJ347">
        <v>90.240600000000001</v>
      </c>
      <c r="BK347">
        <v>84.3583</v>
      </c>
      <c r="BL347">
        <v>67.647099999999995</v>
      </c>
      <c r="BM347">
        <v>86.898399999999995</v>
      </c>
      <c r="BN347">
        <v>86.764700000000005</v>
      </c>
      <c r="BO347">
        <v>86.898399999999995</v>
      </c>
      <c r="BV347" t="s">
        <v>6333</v>
      </c>
      <c r="CB347">
        <v>10.828900000000001</v>
      </c>
      <c r="CE347">
        <v>8.1550799999999999</v>
      </c>
      <c r="CF347" t="s">
        <v>6334</v>
      </c>
      <c r="CG347" t="s">
        <v>6335</v>
      </c>
      <c r="CH347" t="s">
        <v>6336</v>
      </c>
      <c r="CI347" t="s">
        <v>6337</v>
      </c>
      <c r="CK347">
        <v>7</v>
      </c>
      <c r="CL347" t="s">
        <v>4</v>
      </c>
      <c r="CM347" t="s">
        <v>98</v>
      </c>
      <c r="CN347" t="s">
        <v>98</v>
      </c>
      <c r="CO347" t="s">
        <v>99</v>
      </c>
      <c r="CP347" t="s">
        <v>100</v>
      </c>
      <c r="CQ347">
        <v>346</v>
      </c>
      <c r="CR347" t="s">
        <v>100</v>
      </c>
      <c r="CS347" t="s">
        <v>100</v>
      </c>
      <c r="CT347" t="s">
        <v>152</v>
      </c>
      <c r="CU347" t="s">
        <v>102</v>
      </c>
      <c r="CV347" t="s">
        <v>100</v>
      </c>
    </row>
    <row r="348" spans="1:100">
      <c r="A348" s="3" t="s">
        <v>6338</v>
      </c>
      <c r="B348" s="4" t="s">
        <v>6339</v>
      </c>
      <c r="C348">
        <v>102.701293170201</v>
      </c>
      <c r="D348">
        <v>780.54061569050702</v>
      </c>
      <c r="E348">
        <f>-2.92541586859205</f>
        <v>-2.9254158685920499</v>
      </c>
      <c r="F348" s="5">
        <v>4.9633770786766297E-7</v>
      </c>
      <c r="G348" t="s">
        <v>4</v>
      </c>
      <c r="H348">
        <v>102.701293170201</v>
      </c>
      <c r="I348">
        <v>13.633015049991901</v>
      </c>
      <c r="J348">
        <v>2.9274776820988802</v>
      </c>
      <c r="K348" s="5">
        <v>4.9479299773643397E-6</v>
      </c>
      <c r="L348" t="s">
        <v>4</v>
      </c>
      <c r="M348">
        <v>780.54061569050702</v>
      </c>
      <c r="N348">
        <v>13.633015049991901</v>
      </c>
      <c r="O348">
        <v>5.8528935506909301</v>
      </c>
      <c r="P348" s="5">
        <v>1.55082380903146E-21</v>
      </c>
      <c r="Q348" t="s">
        <v>4</v>
      </c>
      <c r="R348" s="4" t="s">
        <v>87</v>
      </c>
      <c r="S348" t="s">
        <v>4</v>
      </c>
      <c r="T348" t="s">
        <v>675</v>
      </c>
      <c r="U348" t="s">
        <v>676</v>
      </c>
      <c r="V348" t="s">
        <v>677</v>
      </c>
      <c r="W348" t="s">
        <v>123</v>
      </c>
      <c r="X348" t="s">
        <v>4</v>
      </c>
      <c r="Y348" t="s">
        <v>6340</v>
      </c>
      <c r="Z348" t="s">
        <v>6341</v>
      </c>
      <c r="AA348" t="s">
        <v>6342</v>
      </c>
      <c r="AB348" t="s">
        <v>4</v>
      </c>
      <c r="AC348" s="3" t="s">
        <v>93</v>
      </c>
      <c r="AD348" t="s">
        <v>4</v>
      </c>
      <c r="AE348" s="4" t="s">
        <v>94</v>
      </c>
      <c r="AZ348" t="s">
        <v>4</v>
      </c>
      <c r="BA348" s="3" t="s">
        <v>115</v>
      </c>
      <c r="BB348" s="6" t="s">
        <v>95</v>
      </c>
      <c r="BC348" s="3" t="s">
        <v>95</v>
      </c>
      <c r="BD348" t="s">
        <v>4</v>
      </c>
      <c r="BE348">
        <v>1350</v>
      </c>
      <c r="BF348" t="s">
        <v>151</v>
      </c>
      <c r="BG348">
        <v>84</v>
      </c>
      <c r="BH348">
        <v>85.333299999999994</v>
      </c>
      <c r="BI348">
        <v>84</v>
      </c>
      <c r="BJ348">
        <v>27.333300000000001</v>
      </c>
      <c r="BK348">
        <v>51.333300000000001</v>
      </c>
      <c r="CK348">
        <v>2</v>
      </c>
      <c r="CL348" t="s">
        <v>4</v>
      </c>
      <c r="CM348" t="s">
        <v>98</v>
      </c>
      <c r="CN348" t="s">
        <v>98</v>
      </c>
      <c r="CO348" t="s">
        <v>99</v>
      </c>
      <c r="CP348" t="s">
        <v>100</v>
      </c>
      <c r="CQ348">
        <v>347</v>
      </c>
      <c r="CR348" t="s">
        <v>100</v>
      </c>
      <c r="CS348" t="s">
        <v>101</v>
      </c>
      <c r="CT348" t="s">
        <v>152</v>
      </c>
      <c r="CU348" t="s">
        <v>102</v>
      </c>
      <c r="CV348" t="s">
        <v>100</v>
      </c>
    </row>
  </sheetData>
  <conditionalFormatting sqref="M2:N348 H2:I348 C2:D348">
    <cfRule type="colorScale" priority="5">
      <colorScale>
        <cfvo type="min"/>
        <cfvo type="percentile" val="50"/>
        <cfvo type="max"/>
        <color rgb="FF63BE7B"/>
        <color rgb="FFFFEB84"/>
        <color rgb="FFF8696B"/>
      </colorScale>
    </cfRule>
  </conditionalFormatting>
  <conditionalFormatting sqref="E2:E348 J2:J348 O2:O348">
    <cfRule type="cellIs" dxfId="2" priority="3" operator="lessThan">
      <formula>-2</formula>
    </cfRule>
    <cfRule type="cellIs" dxfId="1" priority="4" operator="greaterThan">
      <formula>2</formula>
    </cfRule>
  </conditionalFormatting>
  <conditionalFormatting sqref="F2:F348 K2:K348 P2:P348">
    <cfRule type="cellIs" dxfId="0" priority="2" operator="lessThan">
      <formula>0.01</formula>
    </cfRule>
  </conditionalFormatting>
  <conditionalFormatting sqref="BG2:CJ9 BG11:CJ348 BG10:BV10 BX10:CJ10">
    <cfRule type="colorScale" priority="1">
      <colorScale>
        <cfvo type="min"/>
        <cfvo type="percentile" val="50"/>
        <cfvo type="max"/>
        <color rgb="FF63BE7B"/>
        <color rgb="FFFFEB84"/>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3</vt:i4>
      </vt:variant>
    </vt:vector>
  </HeadingPairs>
  <TitlesOfParts>
    <vt:vector size="3" baseType="lpstr">
      <vt:lpstr>up-Ovaries(1621)</vt:lpstr>
      <vt:lpstr>up-PZ(213)</vt:lpstr>
      <vt:lpstr>up-MZ(347)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2020-04-25T19:31:16Z</dcterms:created>
  <dcterms:modified xsi:type="dcterms:W3CDTF">2020-06-17T16:07:08Z</dcterms:modified>
</cp:coreProperties>
</file>